
<file path=[Content_Types].xml><?xml version="1.0" encoding="utf-8"?>
<Types xmlns="http://schemas.openxmlformats.org/package/2006/content-types">
  <Default ContentType="application/vnd.openxmlformats-officedocument.spreadsheetml.printerSettings" Extension="bin"/>
  <Default ContentType="image/gif" Extension="gif"/>
  <Default ContentType="image/jpeg" Extension="jpeg"/>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ms-excel.controlproperties+xml" PartName="/xl/ctrlProps/ctrlProp1.xml"/>
  <Override ContentType="application/vnd.ms-excel.controlproperties+xml" PartName="/xl/ctrlProps/ctrlProp2.xml"/>
  <Override ContentType="application/vnd.ms-excel.controlproperties+xml" PartName="/xl/ctrlProps/ctrlProp3.xml"/>
  <Override ContentType="application/vnd.ms-excel.controlproperties+xml" PartName="/xl/ctrlProps/ctrlProp4.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60" yWindow="330" windowWidth="18735" windowHeight="10935" tabRatio="885"/>
  </bookViews>
  <sheets>
    <sheet name="ImportantDisclosures" sheetId="47" r:id="rId1"/>
    <sheet name="VA" sheetId="1" r:id="rId2"/>
    <sheet name="Revenue_end_mkt" sheetId="2" r:id="rId3"/>
    <sheet name="Variance" sheetId="4" r:id="rId4"/>
    <sheet name="DCF_Rev" sheetId="5" r:id="rId5"/>
    <sheet name="Debt and Int" sheetId="7" r:id="rId6"/>
    <sheet name="IndexInformation" sheetId="48" r:id="rId7"/>
    <sheet name="ModPubIndex" sheetId="49" r:id="rId8"/>
    <sheet name="MW-Cache" sheetId="33" state="veryHidden" r:id="rId9"/>
  </sheets>
  <externalReferences>
    <externalReference r:id="rId10"/>
    <externalReference r:id="rId11"/>
  </externalReferences>
  <definedNames>
    <definedName name="__FDS_HYPERLINK_TOGGLE_STATE__" hidden="1">"ON"</definedName>
    <definedName name="__FDS_UNIQUE_RANGE_ID_GENERATOR_COUNTER" hidden="1">2</definedName>
    <definedName name="_1._Discounted_Cash_Flow_Valuation">"1. Discounted Cash Flow Valuation"</definedName>
    <definedName name="_1__FDSAUDITLINK__" hidden="1">{"fdsup://Directions/FactSet Auditing Viewer?action=AUDIT_VALUE&amp;DB=129&amp;ID1=55354G10&amp;VALUEID=05194&amp;SDATE=201001&amp;PERIODTYPE=QTR_STD&amp;window=popup_no_bar&amp;width=385&amp;height=120&amp;START_MAXIMIZED=FALSE&amp;creator=factset&amp;display_string=Audit"}</definedName>
    <definedName name="_2._Sum_of_the_Parts">"Sum of the Parts"</definedName>
    <definedName name="_3._Relative_Valuation">"Multiple Valuation"</definedName>
    <definedName name="_bdm.0269BB9FDBE44521A1E97B464B705FD0.edm" hidden="1" xml:space="preserve">          '[1]Revenue Model'!$A:$IV</definedName>
    <definedName name="_bdm.03519552348041F48863B415AC26BA40.edm" localSheetId="1" hidden="1">VA!$CC$11:$CM$72</definedName>
    <definedName name="_bdm.037A81D7C38A4BC2BB6E48CDE1382C87.edm" localSheetId="1" hidden="1">VA!$A$11:$D$72</definedName>
    <definedName name="_bdm.0587DB142F3C4FB6BC790AE20E7DDABA.edm" hidden="1" xml:space="preserve">          [1]DCF!$A:$IV</definedName>
    <definedName name="_bdm.063B616EC5BF45FC8666183BBE26B832.edm" hidden="1" xml:space="preserve">          '[1]Revenue Model'!$A:$IV</definedName>
    <definedName name="_bdm.070F8E7A6AED414A95467727792A7AEC.edm" hidden="1" xml:space="preserve">          [1]MXB2!$A:$IV</definedName>
    <definedName name="_bdm.093B3604E2CC47CF8DF2F9367D987CF1.edm" localSheetId="1" hidden="1">VA!$A$230:$CC$343</definedName>
    <definedName name="_bdm.093B399FA2844A6AAF581895C037E4EC.edm" hidden="1" xml:space="preserve">          [1]MXB2!$A:$IV</definedName>
    <definedName name="_bdm.09A90EC2F1824ED191325987D785390C.edm" hidden="1" xml:space="preserve">          [1]MXB2!$A:$IV</definedName>
    <definedName name="_bdm.09D6BD95D3984FF89A007E38111449EB.edm" hidden="1" xml:space="preserve">          '[1]Revenue Model'!$A:$IV</definedName>
    <definedName name="_bdm.0AE0C8EC72BF4BAA8F013C778E285AAD.edm" localSheetId="1" hidden="1">VA!$A$11:$S$71</definedName>
    <definedName name="_bdm.0B531975AB6946F8B6727E996E5B2571.edm" localSheetId="1" hidden="1">VA!$CC$71:$CK$148</definedName>
    <definedName name="_bdm.0C2DC35467B04863A3E2E46D4E060C35.edm" hidden="1" xml:space="preserve">          [1]MXB2!$A:$IV</definedName>
    <definedName name="_bdm.0C7999722BF34E96AA66E2DC990CCA13.edm" hidden="1" xml:space="preserve">          '[1]Mult Valuation'!$A:$IV</definedName>
    <definedName name="_bdm.0DDC5FDBC6384760B03614C9856E1CFC.edm" localSheetId="1" hidden="1">VA!$A$230:$CD$272</definedName>
    <definedName name="_bdm.0E2F17F6FD274CC19494DD8130642489.edm" hidden="1" xml:space="preserve">          [1]MXB2!$A:$IV</definedName>
    <definedName name="_bdm.112E6CFFD9C84168A99BC03D5723109A.edm" hidden="1" xml:space="preserve">          '[1]Revenue Model'!$A:$IV</definedName>
    <definedName name="_bdm.117CA3FBDA684B18A08F0DC394A61510.edm" localSheetId="1" hidden="1">VA!$A$284:$CD$338</definedName>
    <definedName name="_bdm.1476C14EB0AB4DE29AC5E133478BBCF5.edm" hidden="1" xml:space="preserve">          '[1]Revenue Model'!$A:$IV</definedName>
    <definedName name="_bdm.1515CC40A2D74785BF64E72BCCB133C2.edm" hidden="1" xml:space="preserve">          '[1]Revenue Model'!$A:$IV</definedName>
    <definedName name="_bdm.169EA875F60F4A78B7C359FC74EBB6F0.edm" localSheetId="1" hidden="1">VA!$CC$11:$CL$72</definedName>
    <definedName name="_bdm.184BD9E118E64B928E45032CF6929A99.edm" hidden="1" xml:space="preserve">          [1]MXB2!$A:$IV</definedName>
    <definedName name="_bdm.184E5A80923A459884BC65217B45208D.edm" hidden="1" xml:space="preserve">          [1]MXB2!$A:$IV</definedName>
    <definedName name="_bdm.18EF3677CD774863AC4076DB2308C485.edm" hidden="1" xml:space="preserve">          [1]DCF!$A:$IV</definedName>
    <definedName name="_bdm.1901FC328A644532B9362839BD61B4FB.edm" localSheetId="1" hidden="1">VA!$CC$11:$CL$67</definedName>
    <definedName name="_bdm.193949E699DF43FAB4D8E168612CC7B5.edm" hidden="1" xml:space="preserve">          [1]DCF!$A:$IV</definedName>
    <definedName name="_bdm.195E7D57D8484A4EBE38F1B4E272F9DE.edm" hidden="1" xml:space="preserve">          [1]MXB2!$A:$IV</definedName>
    <definedName name="_bdm.1EA8BC48610945B1B3DAEE52416CB1F9.edm" hidden="1" xml:space="preserve">          '[1]Perf Stats_old'!$A:$IV</definedName>
    <definedName name="_bdm.2011B747E14E432DB39E90189FE30E39.edm" hidden="1" xml:space="preserve">          [1]MXB2!$A:$IV</definedName>
    <definedName name="_bdm.204D4B5E0C764CB7B63E042C5D793223.edm" localSheetId="1" hidden="1">VA!$A$11:$AM$61</definedName>
    <definedName name="_bdm.2139A2BC717B43358BFED8620FC14F5D.edm" localSheetId="1" hidden="1">VA!$CC$11:$CL$72</definedName>
    <definedName name="_bdm.218DEE366CB24267924B1E6375A8E4C7.edm" localSheetId="1" hidden="1">VA!$A$230:$AH$337</definedName>
    <definedName name="_bdm.2210D5CE904D4F5D9D82FE9627CDCDCE.edm" hidden="1" xml:space="preserve">          [1]MXB2!$A:$IV</definedName>
    <definedName name="_bdm.2274C19CB75342B4BBED990C6F6C51AE.edm" hidden="1" xml:space="preserve">          [1]DCF!$A:$IV</definedName>
    <definedName name="_bdm.2305A656A4D24C49AA0E4B3053A5A57A.edm" hidden="1" xml:space="preserve">          '[1]Mult Valuation'!$A:$IV</definedName>
    <definedName name="_bdm.2349FFA37153473DBD13B4C9DBA22326.edm" hidden="1" xml:space="preserve">          '[1]Revenue Model'!$A:$IV</definedName>
    <definedName name="_bdm.238350A18DC14CA9B8D19B8BEAD2A5CE.edm" localSheetId="1" hidden="1">VA!$A$11:$AH$72</definedName>
    <definedName name="_bdm.2546FE15AA7843CDB82DD5060C414ED9.edm" hidden="1" xml:space="preserve">          [1]MXB2!$A:$IV</definedName>
    <definedName name="_bdm.25636613201A46C5975E1D9B9DE746CA.edm" hidden="1" xml:space="preserve">          [1]MXB2!$A:$IV</definedName>
    <definedName name="_bdm.25C1896468F44E2089372C3EF0DEF3B4.edm" localSheetId="1" hidden="1">VA!$A$230:$CC$338</definedName>
    <definedName name="_bdm.25F3784BF288433BBE2E3AF7A4E208BF.edm" localSheetId="1" hidden="1">VA!$A$230:$AM$274</definedName>
    <definedName name="_bdm.2611332EBFD8432DBC7525C17CEB1C0E.edm" hidden="1" xml:space="preserve">          '[1]Revenue Model'!$A:$IV</definedName>
    <definedName name="_bdm.2742C4AC2A584BD3983713ED2874AB01.edm" hidden="1" xml:space="preserve">          [1]MXB2!$A:$IV</definedName>
    <definedName name="_bdm.276718C36C9E44A9A7D1C47003DFB6DA.edm" hidden="1" xml:space="preserve">          [1]MXB2!$A:$IV</definedName>
    <definedName name="_bdm.28C63C90176D4AC68FC2F6F0219367EE.edm" hidden="1" xml:space="preserve">          [1]MXB2!$A:$IV</definedName>
    <definedName name="_bdm.2B3517DD371440A893CA6B93A01E58FE.edm" hidden="1" xml:space="preserve">          '[1]Mult Valuation'!$A:$IV</definedName>
    <definedName name="_bdm.2D132C38A1E3471093AF895361544202.edm" hidden="1" xml:space="preserve">          '[1]Perf Stats_old'!$A:$IV</definedName>
    <definedName name="_bdm.2D49945FA2DF4C3FB9368CF9E3F017F0.edm" hidden="1" xml:space="preserve">          [1]MXB2!$A:$IV</definedName>
    <definedName name="_bdm.2DD478D60D7842198BF2BF1B458100E9.edm" hidden="1" xml:space="preserve">          [1]MXB2!$A:$IV</definedName>
    <definedName name="_bdm.2E9584F117B54365AAC9D0798BF61F5D.edm" hidden="1" xml:space="preserve">          [1]DCF!$A:$IV</definedName>
    <definedName name="_bdm.2EEC9C41A5094E2CB23AEC808692BD37.edm" localSheetId="1" hidden="1">VA!$CC$11:$CM$67</definedName>
    <definedName name="_bdm.2FB02F1F2F8B4B2EB64038229DC4F55F.edm" hidden="1" xml:space="preserve">          [1]MXB2!$A:$IV</definedName>
    <definedName name="_bdm.2FC6D866FAB94C0F99B52B46BA53C352.edm" localSheetId="1" hidden="1">VA!$A$170:$AH$225</definedName>
    <definedName name="_bdm.3136A1325E084EF88B8CC40F75971B53.edm" localSheetId="1" hidden="1">VA!$A$11:$AH$31</definedName>
    <definedName name="_bdm.3137FA33A8EC49359E3627B6CB743DD9.edm" hidden="1" xml:space="preserve">          [1]DCF!$A:$IV</definedName>
    <definedName name="_bdm.33408B97837E41A0AB3BBED74D8E5041.edm" hidden="1" xml:space="preserve">          [1]MXB2!$A:$IV</definedName>
    <definedName name="_bdm.34AEFE83D55F4EFF87811E0ECB6C3AF7.edm" hidden="1" xml:space="preserve">          [1]DCF!$A:$IV</definedName>
    <definedName name="_bdm.35653730A9194052B42C10F5C62F46D6.edm" hidden="1" xml:space="preserve">          [1]MXB2!$A:$IV</definedName>
    <definedName name="_bdm.369F62A9B5494CC691E6C6CAAB559F71.edm" hidden="1" xml:space="preserve">          [1]MXB2!$A:$IV</definedName>
    <definedName name="_bdm.370B0D8722AB4B7D95C7CD807FD7E86F.edm" hidden="1" xml:space="preserve">          [1]MXB2!$A:$IV</definedName>
    <definedName name="_bdm.396DD2F2D95D42AE8DF7CCBF99155ECF.edm" hidden="1" xml:space="preserve">          '[1]Revenue Model'!$A:$IV</definedName>
    <definedName name="_bdm.39C1DDE6DA4747718231B5D0BCE505D3.edm" hidden="1" xml:space="preserve">          [1]MXB2!$A:$IV</definedName>
    <definedName name="_bdm.3B4481EA78864E1CA96FE2B12FEF2047.edm" localSheetId="1" hidden="1">VA!$A$284:$CC$316</definedName>
    <definedName name="_bdm.3B8DFE89764B4728AA6559E185CFEA58.edm" hidden="1" xml:space="preserve">          [1]MXB2!$A:$IV</definedName>
    <definedName name="_bdm.3CA7E88002DE4603A263A5CD237BD1C5.edm" localSheetId="1" hidden="1">VA!$A$230:$AM$275</definedName>
    <definedName name="_bdm.3D97838063614FB38BE0DC92D79E2FC8.edm" hidden="1" xml:space="preserve">          [1]MXB2!$A:$IV</definedName>
    <definedName name="_bdm.3DD8342ECB4642E7B9306AA40FFC8B04.edm" hidden="1" xml:space="preserve">          [1]MXB2!$A:$IV</definedName>
    <definedName name="_bdm.3EB754FBEE744140A2F233813ED9F178.edm" hidden="1" xml:space="preserve">          [1]DCF!$A:$IV</definedName>
    <definedName name="_bdm.3F97272D41A745C6B513972FA54A1FE5.edm" localSheetId="1" hidden="1">VA!$A$230:$X$337</definedName>
    <definedName name="_bdm.3FE42FDEA75B4C4481D9430287843E35.edm" hidden="1" xml:space="preserve">          [1]Variance!$A:$IV</definedName>
    <definedName name="_bdm.408E7E936DAE4D969DE8F064E24CEBED.edm" localSheetId="1" hidden="1">VA!$A$230:$S$343</definedName>
    <definedName name="_bdm.413EFAA1F3EB4740BAE21EEB4CBDB028.edm" hidden="1" xml:space="preserve">          [1]MXB2!$A:$IV</definedName>
    <definedName name="_bdm.414915ED6FCF4A429DAE281875EE7F6A.edm" hidden="1" xml:space="preserve">          '[1]Revenue Model'!$A:$IV</definedName>
    <definedName name="_bdm.4167E4A8F36141328AF1033D4FBDF4F4.edm" localSheetId="1" hidden="1">VA!$CC$11:$CL$72</definedName>
    <definedName name="_bdm.42B3A8F1DD4B4263BC7B94182AB7B2E5.edm" localSheetId="1" hidden="1">VA!$A$230:$AH$246</definedName>
    <definedName name="_bdm.4346E5B9B494483C86C4ABACA0C94D9C.edm" hidden="1" xml:space="preserve">          [1]MXB2!$A:$IV</definedName>
    <definedName name="_bdm.447C9362A98147E8823E72FD054E89E7.edm" localSheetId="1" hidden="1">VA!$CC$170:$CK$218</definedName>
    <definedName name="_bdm.44C01847BDF4421CBD5E9EE2EA6F9A51.edm" hidden="1" xml:space="preserve">          [1]DCF!$A:$IV</definedName>
    <definedName name="_bdm.44E099BA93214F4E94108899CDFD0BE1.edm" hidden="1" xml:space="preserve">          '[1]Perf Stats_old'!$A:$IV</definedName>
    <definedName name="_bdm.471BC459FD2442D1859FAE929B9897C7.edm" hidden="1" xml:space="preserve">          [1]MXB2!$A:$IV</definedName>
    <definedName name="_bdm.4A015C2FA48A44C08C80299F7ABA9F23.edm" hidden="1" xml:space="preserve">          [1]DCF!$A:$IV</definedName>
    <definedName name="_bdm.4A65E079F505401CB1A6EC1CB578B022.edm" hidden="1" xml:space="preserve">          '[1]Revenue Model'!$A:$IV</definedName>
    <definedName name="_bdm.4C375D8E2A7E4FC9897C86B7DAC7D9EE.edm" localSheetId="1" hidden="1">VA!$A$230:$S$340</definedName>
    <definedName name="_bdm.4CCBE50D89A146B69031F8C01EAB8577.edm" hidden="1" xml:space="preserve">          '[1]Perf Stats_old'!$A:$IV</definedName>
    <definedName name="_bdm.4FC0455E13E244A6B8452AB94DE38CA7.edm" hidden="1" xml:space="preserve">          '[1]Mult Valuation'!$A:$IV</definedName>
    <definedName name="_bdm.500358B7512C48A1893599AE96A57994.edm" localSheetId="1" hidden="1">VA!$A$170:$AH$373</definedName>
    <definedName name="_bdm.50DAC66FE4324DCDBABD62ECA21AB716.edm" hidden="1" xml:space="preserve">          [1]MXB2!$A:$IV</definedName>
    <definedName name="_bdm.521A76901BB746DEB57D0AB2360571F0.edm" hidden="1" xml:space="preserve">          '[1]Revenue Model'!$A:$IV</definedName>
    <definedName name="_bdm.55F8E192CD844064A62CF4BFB8AD08EB.edm" hidden="1">Revenue_end_mkt!$1:$1048576</definedName>
    <definedName name="_bdm.560EEF970F5F4E18B2B624E5771548B8.edm" hidden="1" xml:space="preserve">          [1]MXB2!$A:$IV</definedName>
    <definedName name="_bdm.561BC7E4EF964692BE9364CFBA609B44.edm" hidden="1" xml:space="preserve">          '[1]Mult Valuation'!$A:$IV</definedName>
    <definedName name="_bdm.563474A2246B4CA5983E88D3EC419852.edm" hidden="1" xml:space="preserve">          '[1]Revenue Model'!$A:$IV</definedName>
    <definedName name="_bdm.572BA62014544343BA97006273C5ADC8.edm" hidden="1" xml:space="preserve">          [1]Variance!$A:$IV</definedName>
    <definedName name="_bdm.582DC7A2311A4A299CA5BFE3D63C1E81.edm" localSheetId="1" hidden="1">VA!$CC$11:$CK$58</definedName>
    <definedName name="_bdm.58AB2423EC3F43C29CA370FAD272F204.edm" localSheetId="1" hidden="1">VA!$CC$71:$CL$148</definedName>
    <definedName name="_bdm.5A724ED1319048208CF013BC49162E29.edm" hidden="1" xml:space="preserve">          '[1]Revenue Model'!$A:$IV</definedName>
    <definedName name="_bdm.5B316B24C6D447C58C9E4F23EF40DE2C.edm" hidden="1" xml:space="preserve">          '[1]Mult Valuation'!$A:$IV</definedName>
    <definedName name="_bdm.5BCEBD4AD59148F294ADCD8CE3F5492F.edm" localSheetId="1" hidden="1">VA!$A$364:$AH$373</definedName>
    <definedName name="_bdm.5CCB6A009F8D4A0A9E3EE3D074AE28FE.edm" hidden="1" xml:space="preserve">          [1]DCF!$A:$IV</definedName>
    <definedName name="_bdm.5E22AFE355794C9A923BFDCA83C0B505.edm" hidden="1" xml:space="preserve">          [1]MXB2!$A:$IV</definedName>
    <definedName name="_bdm.5F544F0D13BB4B3BB5576A65BA184A20.edm" localSheetId="1" hidden="1">VA!$A$11:$I$72</definedName>
    <definedName name="_bdm.6064DC89E6B54B6CB90715155AEF7EAC.edm" hidden="1" xml:space="preserve">          [1]MXB2!$A:$IV</definedName>
    <definedName name="_bdm.6123BAB6240741EEA9C11440CB75127F.edm" hidden="1" xml:space="preserve">          '[1]Revenue Model'!$A:$IV</definedName>
    <definedName name="_bdm.616D3FBE24C9410386BD47BF0C601B38.edm" hidden="1" xml:space="preserve">          [1]Variance!$A:$IV</definedName>
    <definedName name="_bdm.622FF60DE6CB4493B077115AE0C4FD80.edm" hidden="1" xml:space="preserve">          [1]DCF!$A:$IV</definedName>
    <definedName name="_bdm.6330B67A0E1E43FC91637CCA9141283C.edm" hidden="1" xml:space="preserve">          '[1]Revenue Model'!$A:$IV</definedName>
    <definedName name="_bdm.63A4EB00507F406E854CCCFEA33E62F6.edm" hidden="1" xml:space="preserve">          [1]MXB2!$A:$IV</definedName>
    <definedName name="_bdm.6710CCFDA88E47228CF926CEB34F1430.edm" hidden="1" xml:space="preserve">          [1]Variance!$A:$IV</definedName>
    <definedName name="_bdm.68587FAABE1A4CD9AD234B9D7D4B02B0.edm" localSheetId="1" hidden="1">VA!$A$111:$CC$166</definedName>
    <definedName name="_bdm.69865E7016D84D5B992B1419E5FD8392.edm" hidden="1" xml:space="preserve">          [1]MXB2!$A:$IV</definedName>
    <definedName name="_bdm.6ADA32DA4E1C4D368C47A7822A81F90F.edm" hidden="1" xml:space="preserve">          '[1]Revenue Model'!$A:$IV</definedName>
    <definedName name="_bdm.6BD9DE51E2804C41B592BD4A9C2395F5.edm" hidden="1" xml:space="preserve">          [1]Variance!$A:$IV</definedName>
    <definedName name="_bdm.6FB63D29D259467F9FAF8E0DAAA753CF.edm" localSheetId="1" hidden="1">VA!$CD$170:$CL$225</definedName>
    <definedName name="_bdm.70951E530A5B489BB7745BAEE2B00521.edm" hidden="1" xml:space="preserve">          [1]MXB2!$A:$IV</definedName>
    <definedName name="_bdm.713B4AE9004145408FFB5D62485B86B7.edm" hidden="1" xml:space="preserve">          '[1]Revenue Model'!$A:$IV</definedName>
    <definedName name="_bdm.720209357A7744A8B0ED0D79E1B8CAAC.edm" hidden="1" xml:space="preserve">          '[1]Revenue Model'!$A:$IV</definedName>
    <definedName name="_bdm.7263720C39AE4FF7A906ED4571E03D58.edm" hidden="1" xml:space="preserve">          [1]Variance!$A:$IV</definedName>
    <definedName name="_bdm.736C78565FD34199B52A17E5BBE58462.edm" localSheetId="3" hidden="1">Variance!$D$93:$P$162</definedName>
    <definedName name="_bdm.73BBFC1707244819BCC414838BC057E7.edm" localSheetId="1" hidden="1">VA!$CC$11:$CL$72</definedName>
    <definedName name="_bdm.75B43C2CE7A34A179374CE8E44317AEC.edm" hidden="1" xml:space="preserve">          [1]MXB2!$A:$IV</definedName>
    <definedName name="_bdm.75CF1826F4E840B5942CD9ADAC0AD367.edm" hidden="1" xml:space="preserve">          [1]MXB2!$A:$IV</definedName>
    <definedName name="_bdm.783778FC31714862B767EC643BFCFEF6.edm" hidden="1" xml:space="preserve">          [1]MXB2!$A:$IV</definedName>
    <definedName name="_bdm.783A7AF3FBD240AE82C5A4C75AF94090.edm" hidden="1" xml:space="preserve">          '[1]Revenue Model'!$A:$IV</definedName>
    <definedName name="_bdm.784BF09FB72240F097882C8360C80C0B.edm" hidden="1" xml:space="preserve">          '[1]Revenue Model'!$A:$IV</definedName>
    <definedName name="_bdm.7886B46C4C59415BB6B53A62C45954C7.edm" localSheetId="1" hidden="1">VA!$CC$11:$CM$58</definedName>
    <definedName name="_bdm.78CD8431079343DCAA283FD464CEF416.edm" localSheetId="1" hidden="1">VA!$A$230:$AM$246</definedName>
    <definedName name="_bdm.790FECC0F73549DEB3F02CDE91E30ACB.edm" hidden="1" xml:space="preserve">          [1]MXB2!$A:$IV</definedName>
    <definedName name="_bdm.79D7B9261EEF4B1885D91665ACE5FB62.edm" hidden="1" xml:space="preserve">          '[1]Revenue Model'!$A:$IV</definedName>
    <definedName name="_bdm.79ED9B3CAF9148E2ACC0E653A8F6B13B.edm" hidden="1" xml:space="preserve">          [1]Variance!$A:$IV</definedName>
    <definedName name="_bdm.7D9F97E1D1B149679B469E7C857A2527.edm" hidden="1" xml:space="preserve">          '[1]Mult Valuation'!$A:$IV</definedName>
    <definedName name="_bdm.7DFF17403AA34629B5FD84C031AC492D.edm" hidden="1" xml:space="preserve">          [1]MXB2!$A:$IV</definedName>
    <definedName name="_bdm.7E9CFE1DF5B945F7BF5489285CF9307C.edm" localSheetId="3" hidden="1">Variance!$D$4:$P$162</definedName>
    <definedName name="_bdm.7EEFFCC68EEF4EB5B7229447CB1DC04D.edm" hidden="1" xml:space="preserve">          [1]MXB2!$A:$IV</definedName>
    <definedName name="_bdm.80CCF96E53CF44C2AC7FB745AD9A29B2.edm" hidden="1" xml:space="preserve">          [1]MXB2!$A:$IV</definedName>
    <definedName name="_bdm.8482825436F348C99169FB9FCEF229D4.edm" hidden="1" xml:space="preserve">          [1]MXB2!$A:$IV</definedName>
    <definedName name="_bdm.84D0CF1B4C304F03B4241806D8926F4B.edm" hidden="1" xml:space="preserve">          [1]DCF!$A:$IV</definedName>
    <definedName name="_bdm.84DB973FADE84376B8F0FDD91B368E2F.edm" hidden="1" xml:space="preserve">          [1]MXB2!$A:$IV</definedName>
    <definedName name="_bdm.857A951F82E343908DBA7D678BD35337.edm" hidden="1" xml:space="preserve">          [1]MXB2!$A:$IV</definedName>
    <definedName name="_bdm.8596A50D481441BDACC038E641489D4F.edm" hidden="1" xml:space="preserve">          [1]DCF!$A:$IV</definedName>
    <definedName name="_bdm.86342C20A18747BD8B7FB565ABB8EBBF.edm" localSheetId="1" hidden="1">VA!$A$11:$AC$71</definedName>
    <definedName name="_bdm.86FC7D59D9754EE28313E36A5C8ED583.edm" hidden="1" xml:space="preserve">          [1]MXB2!$A:$IV</definedName>
    <definedName name="_bdm.88E3914F8CB441CB9C9D0987BA1A3795.edm" hidden="1" xml:space="preserve">          [1]MXB2!$A:$IV</definedName>
    <definedName name="_bdm.88E3F148338A42D2BD8D89246C023177.edm" hidden="1" xml:space="preserve">          [1]MXB2!$A:$IV</definedName>
    <definedName name="_bdm.897BDE23D64047209CDF30C82323706A.edm" hidden="1" xml:space="preserve">          [1]MXB2!$A:$IV</definedName>
    <definedName name="_bdm.89F2651DFE44475182EB8B47B2051244.edm" hidden="1" xml:space="preserve">          [1]MXB2!$A:$IV</definedName>
    <definedName name="_bdm.8AB308995AF5448880F80415D1C924EE.edm" localSheetId="1" hidden="1">VA!$A$11:$CC$71</definedName>
    <definedName name="_bdm.8B1AC9B1994B4523AD0C6BA3C485C4BD.edm" localSheetId="1" hidden="1">VA!$A$230:$CC$337</definedName>
    <definedName name="_bdm.8C905DD1DB1F4CB289A6C6E06D001507.edm" hidden="1" xml:space="preserve">          '[1]Revenue Model'!$A:$IV</definedName>
    <definedName name="_bdm.8E4BEC7F1B584353AF4AF37657F40CFC.edm" localSheetId="1" hidden="1">VA!$A$111:$AM$165</definedName>
    <definedName name="_bdm.8FF2F22031224DA7850014B8694EBC14.edm" localSheetId="1" hidden="1">VA!$A$230:$S$346</definedName>
    <definedName name="_bdm.902F28A652CF4001A57724C5193410CB.edm" hidden="1" xml:space="preserve">          '[1]Revenue Model'!$A:$IV</definedName>
    <definedName name="_bdm.903A4CFF8CE6419AA80316069C47752F.edm" hidden="1" xml:space="preserve">          '[1]Revenue Model'!$A:$IV</definedName>
    <definedName name="_bdm.9087302E5E7E49F5812A80D1958ECC8E.edm" hidden="1" xml:space="preserve">          [1]MXB2!$A:$IV</definedName>
    <definedName name="_bdm.9316F8AE61914E0B90D9C7D718012597.edm" hidden="1" xml:space="preserve">          '[1]Revenue Model'!$A:$IV</definedName>
    <definedName name="_bdm.939704F744FA4720B2246C010937E549.edm" hidden="1" xml:space="preserve">          [1]DCF!$A:$IV</definedName>
    <definedName name="_bdm.93C61A2D3942446894F1969EB9651D0E.edm" hidden="1" xml:space="preserve">          [1]DCF!$A:$IV</definedName>
    <definedName name="_bdm.93D47CEEAA61416C9551E7EC7040860A.edm" hidden="1" xml:space="preserve">          [1]DCF!$A:$IV</definedName>
    <definedName name="_bdm.9446C4E7030A4BD6AEB68263A6529D5A.edm" hidden="1" xml:space="preserve">          [1]MXB2!$A:$IV</definedName>
    <definedName name="_bdm.945F1F019D214CB0930460A53477D1D5.edm" hidden="1" xml:space="preserve">          '[1]Revenue Model'!$A:$IV</definedName>
    <definedName name="_bdm.94F137B89481420ABB27B7CD848ECEE5.edm" hidden="1" xml:space="preserve">          '[1]Revenue Model'!$A:$IV</definedName>
    <definedName name="_bdm.952D55E0D00A4D1CA001CE4DC7EC1C39.edm" hidden="1" xml:space="preserve">          [1]MXB2!$A:$IV</definedName>
    <definedName name="_bdm.963F18651CDD4CE6BCB645E491281E5A.edm" localSheetId="1" hidden="1">VA!$A$284:$AH$314</definedName>
    <definedName name="_bdm.97EC1E240C8D4E628F20199E257A8E10.edm" hidden="1" xml:space="preserve">          '[1]Revenue Model'!$A:$IV</definedName>
    <definedName name="_bdm.99001C3462DC40399B490C4565B1DDD2.edm" localSheetId="1" hidden="1">VA!$CD$111:$CL$164</definedName>
    <definedName name="_bdm.9B86A24B42514A43984C84D5FABD85F8.edm" localSheetId="1" hidden="1">VA!$A$170:$AM$226</definedName>
    <definedName name="_bdm.9D2F56C9AC3040CD84FBA788968B379B.edm" hidden="1" xml:space="preserve">          [1]MXB2!$A:$IV</definedName>
    <definedName name="_bdm.9EEBF680E2974B838CBB2B2EBD936D71.edm" hidden="1" xml:space="preserve">          [1]MXB2!$A:$IV</definedName>
    <definedName name="_bdm.A06D608048994F0FADE4D2CE83ABBA7E.edm" hidden="1" xml:space="preserve">          [1]MXB2!$A:$IV</definedName>
    <definedName name="_bdm.A14C628FE7E1436C8F8E3CE590E0BB2A.edm" localSheetId="1" hidden="1">VA!$A$11:$CC$32</definedName>
    <definedName name="_bdm.A1B3333CB63A4C2D9D890BC227A752CC.edm" localSheetId="3" hidden="1">Variance!$B$4:$P$161</definedName>
    <definedName name="_bdm.A331D6B58BA34F8591D0B1A72E60AE8F.edm" localSheetId="1" hidden="1">VA!$A$11:$AH$71</definedName>
    <definedName name="_bdm.A3A517FB9AC64C1FA77FBE27868614F3.edm" localSheetId="3" hidden="1">Variance!$D$4:$P$58</definedName>
    <definedName name="_bdm.A4E637232FB24D92AB367F5C90589588.edm" hidden="1" xml:space="preserve">          '[1]Revenue Model'!$A:$IV</definedName>
    <definedName name="_bdm.A57AC57538634672A7373081F056717E.edm" hidden="1" xml:space="preserve">          [1]MXB2!$A:$IV</definedName>
    <definedName name="_bdm.A607C4A5D37D4E81B962E7801004E69B.edm" hidden="1" xml:space="preserve">          [1]Variance!$A:$IV</definedName>
    <definedName name="_bdm.A6127FB992E94D83B8B1189E9C0F4ABE.edm" hidden="1" xml:space="preserve">          [1]MXB2!$A:$IV</definedName>
    <definedName name="_bdm.A624007E48EA447C988E39C65428A909.edm" localSheetId="1" hidden="1">VA!$A$11:$X$71</definedName>
    <definedName name="_bdm.A64EEC2A8EA6446C82CC1B8813066381.edm" hidden="1" xml:space="preserve">          '[1]Revenue Model'!$A:$IV</definedName>
    <definedName name="_bdm.A74472B970D34C6E8C835A9847D4AEB2.edm" hidden="1" xml:space="preserve">          [1]DCF!$A:$IV</definedName>
    <definedName name="_bdm.A7D55A957191422CAB71E702B814C03C.edm" localSheetId="1" hidden="1">VA!$A$230:$AH$349</definedName>
    <definedName name="_bdm.A92C57C76B5049A3BED59AFE35391215.edm" hidden="1" xml:space="preserve">          '[1]Revenue Model'!$A:$IV</definedName>
    <definedName name="_bdm.AA3F527DFE8A4CF583FEECFC19EA2751.edm" localSheetId="3" hidden="1">Variance!$D$4:$O$58</definedName>
    <definedName name="_bdm.AA90280BDA6B470FB9496C56BFB57811.edm" hidden="1" xml:space="preserve">          [1]MXB2!$A:$IV</definedName>
    <definedName name="_bdm.AB901DAFC0864E81839F93749FFDC595.edm" hidden="1" xml:space="preserve">          '[1]Revenue Model'!$A:$IV</definedName>
    <definedName name="_bdm.ABC8513998BF4840BB59D25259730A3D.edm" hidden="1" xml:space="preserve">          [1]MXB2!$A:$IV</definedName>
    <definedName name="_bdm.AC426CD0DB2146B696977AA8CAE94B4D.edm" hidden="1" xml:space="preserve">          [1]MXB2!$A:$IV</definedName>
    <definedName name="_bdm.AFB51D80BD5540F9A8B0B59717D289DE.edm" localSheetId="1" hidden="1">VA!$A$11:$S$68</definedName>
    <definedName name="_bdm.B09689FB9864405384F124B8705AAC71.edm" hidden="1">#N/A</definedName>
    <definedName name="_bdm.B0DA5743CA33430AB4EF71744C833F87.edm" localSheetId="1" hidden="1">VA!$A$230:$AM$316</definedName>
    <definedName name="_bdm.B21B01D743A1438BBCE0F34AC4A49446.edm" hidden="1" xml:space="preserve">          [1]MXB2!$A:$IV</definedName>
    <definedName name="_bdm.B236CE1C43EF43A3A74075CC1426D228.edm" hidden="1" xml:space="preserve">          [1]MXB2!$A:$IV</definedName>
    <definedName name="_bdm.B2AEEC29B5FB40C6B87DAB6800EBE7AF.edm" localSheetId="1" hidden="1">VA!$CD$11:$CK$71</definedName>
    <definedName name="_bdm.B3383ACFB8814D219386CBE90C9D35E5.edm" hidden="1" xml:space="preserve">          [1]MXB2!$A:$IV</definedName>
    <definedName name="_bdm.B3D94C155E36430D8EFE7BA7F051EA86.edm" hidden="1" xml:space="preserve">          [1]MXB2!$A:$IV</definedName>
    <definedName name="_bdm.B4FA5E8FDA3C432FBF3AE4660D6686F5.edm" hidden="1" xml:space="preserve">          [1]Variance!$A:$IV</definedName>
    <definedName name="_bdm.B790DA26BFD74D07BFB8591F6D1A2B52.edm" localSheetId="2" hidden="1">Revenue_end_mkt!$A$1:$M$118</definedName>
    <definedName name="_bdm.B7C5FCD427A2474FB3B5BD5565C865A9.edm" localSheetId="1" hidden="1">VA!$A$230:$CC$250</definedName>
    <definedName name="_bdm.B81DC757EBCB4F73BF92B2234D9CE98C.edm" localSheetId="1" hidden="1">VA!$A$230:$CD$274</definedName>
    <definedName name="_bdm.B889F0A8CBBC46C2A8459364CDE1D7F1.edm" hidden="1" xml:space="preserve">          [1]MXB2!$A:$IV</definedName>
    <definedName name="_bdm.B8F4C5D546BC4DB1B5D7E0E8017E80B4.edm" hidden="1" xml:space="preserve">          [1]DCF!$A:$IV</definedName>
    <definedName name="_bdm.B8F775CD68CE4097B36C37439F7A95D9.edm" hidden="1" xml:space="preserve">          [1]MXB2!$A:$IV</definedName>
    <definedName name="_bdm.BAAF6F6975284A3B881E7E904FDA36DE.edm" localSheetId="1" hidden="1">VA!$A$11:$S$61</definedName>
    <definedName name="_bdm.BAF21CCB9D514737BB4D0FF5E78E6763.edm" localSheetId="1" hidden="1">VA!$A$230:$AH$274</definedName>
    <definedName name="_bdm.BC4D20801A7A4246B4279FBACBBFA9BA.edm" localSheetId="1" hidden="1">VA!$A$284:$AH$337</definedName>
    <definedName name="_bdm.BE76A85D897C4694BFB0A50F61180BCC.edm" localSheetId="1" hidden="1">VA!$A$111:$AH$165</definedName>
    <definedName name="_bdm.BE8BD37ACFE84BE9B89FB6A7FBA448E0.edm" localSheetId="1" hidden="1">VA!$A$11:$CO$61</definedName>
    <definedName name="_bdm.BF89D472097143FD9F58BD2BA40B5B1B.edm" localSheetId="1" hidden="1">VA!$CC$170:$CL$218</definedName>
    <definedName name="_bdm.C057157DDD354FC29DF0155F83E45DDB.edm" hidden="1" xml:space="preserve">          [1]MXB2!$A:$IV</definedName>
    <definedName name="_bdm.C07D9ED118044C79ABB30A364DB55D9A.edm" localSheetId="1" hidden="1">VA!$A$11:$N$68</definedName>
    <definedName name="_bdm.C0F7E053AABA423BBC2E19C2D77036EF.edm" hidden="1" xml:space="preserve">          [1]Variance!$A:$IV</definedName>
    <definedName name="_bdm.C145E2F61C8842A999C010F178BE76D3.edm" hidden="1" xml:space="preserve">          [1]MXB2!$A:$IV</definedName>
    <definedName name="_bdm.C26DC4D476C9415998927A231ED4CC7A.edm" localSheetId="2" hidden="1">Revenue_end_mkt!$A$1:$W$118</definedName>
    <definedName name="_bdm.C56FD27A09E04FB99EEC0CE4EF85E41B.edm" hidden="1" xml:space="preserve">          '[1]Revenue Model'!$A:$IV</definedName>
    <definedName name="_bdm.C7086B2B52474C90B990FFC4B1F72390.edm" localSheetId="1" hidden="1">VA!$A$11:$S$72</definedName>
    <definedName name="_bdm.C96BE29A41AD46F1BA8E18FBF490169F.edm" hidden="1" xml:space="preserve">          [1]DCF!$A:$IV</definedName>
    <definedName name="_bdm.C9FE4627C0B34A6FBA6743202820A150.edm" hidden="1" xml:space="preserve">          [1]MXB2!$A:$IV</definedName>
    <definedName name="_bdm.CAE86A7B05454A548B31C6A50DCBA83B.edm" localSheetId="1" hidden="1">VA!$A$230:$S$337</definedName>
    <definedName name="_bdm.CB0B143EFE134884BE431222B8020113.edm" hidden="1" xml:space="preserve">          [1]MXB2!$A:$IV</definedName>
    <definedName name="_bdm.CB89B5EAE72C48F38FF9AFC81D584942.edm" localSheetId="3" hidden="1">Variance!$D$4:$O$48</definedName>
    <definedName name="_bdm.CCD7CB27F9664C0EB3314BED3600B7C3.edm" localSheetId="1" hidden="1">VA!$A$230:$AH$340</definedName>
    <definedName name="_bdm.CD3E0726AE004B679085FF39A452FEB4.edm" hidden="1" xml:space="preserve">          [1]MXB2!$A:$IV</definedName>
    <definedName name="_bdm.CD483AA57AF04472869B227EF52A7536.edm" hidden="1" xml:space="preserve">          [1]Variance!$A:$IV</definedName>
    <definedName name="_bdm.CD49D9D79FF5477D9E593E7A30D5D42D.edm" hidden="1" xml:space="preserve">          [1]DCF!$A:$IV</definedName>
    <definedName name="_bdm.CE4291F38EDB426C9477180B34E589FD.edm" hidden="1" xml:space="preserve">          [1]MXB2!$A:$IV</definedName>
    <definedName name="_bdm.CF756FD14F7D4046A56A233A96D66161.edm" hidden="1" xml:space="preserve">          [1]MXB2!$A:$IV</definedName>
    <definedName name="_bdm.CF7B89464E694A848DE75F49083A47C6.edm" hidden="1" xml:space="preserve">          [1]DCF!$A:$IV</definedName>
    <definedName name="_bdm.CFA2F471678344378DDC8DBE3091EB3E.edm" localSheetId="1" hidden="1">VA!$A$11:$CC$72</definedName>
    <definedName name="_bdm.D0215E37990D41DDBD51D8DD6D9E307C.edm" hidden="1" xml:space="preserve">          [1]MXB2!$A:$IV</definedName>
    <definedName name="_bdm.D218B93DE9F04F01B1D932D32254262F.edm" hidden="1" xml:space="preserve">          [1]MXB2!$A:$IV</definedName>
    <definedName name="_bdm.D37832A5B8FF4260B4D158CA0826BF35.edm" hidden="1" xml:space="preserve">          '[1]Revenue Model'!$A:$IV</definedName>
    <definedName name="_bdm.D4D2232707C240D0A9D67DEB3ABB08C8.edm" hidden="1" xml:space="preserve">          '[1]Mult Valuation'!$A:$IV</definedName>
    <definedName name="_bdm.D5024A2FA8F44B21A3C9C15EDDB8799C.edm" localSheetId="1" hidden="1">VA!$A$230:$CC$340</definedName>
    <definedName name="_bdm.D6B63AA302FE4E0A9AD3C2DDDEEBD05A.edm" hidden="1" xml:space="preserve">          [1]MXB2!$A:$IV</definedName>
    <definedName name="_bdm.D73EDD3D4C244AE09CD8331A45E2FCAF.edm" hidden="1" xml:space="preserve">          '[1]Mult Valuation'!$A:$IV</definedName>
    <definedName name="_bdm.D8D5E4F600E04344B869D80CCE7878AC.edm" hidden="1" xml:space="preserve">          '[1]Revenue Model'!$A:$IV</definedName>
    <definedName name="_bdm.D8DD0506D8204F5EAA7832EB8645C14E.edm" localSheetId="3" hidden="1">Variance!$D$3:$O$48</definedName>
    <definedName name="_bdm.D9AF86735C724F0FBF96BF850DBE0854.edm" localSheetId="3" hidden="1">Variance!$D$4:$O$91</definedName>
    <definedName name="_bdm.DB3F1433979C4920B2889682ACD06BDF.edm" hidden="1" xml:space="preserve">          '[1]Mult Valuation'!$A:$IV</definedName>
    <definedName name="_bdm.DDAC696DA5064389B0C20091FA842373.edm" localSheetId="1" hidden="1">VA!$A$230:$AH$271</definedName>
    <definedName name="_bdm.DE3BC19226C842DA9B52537B07237998.edm" hidden="1" xml:space="preserve">          [1]DCF!$A:$IV</definedName>
    <definedName name="_bdm.DF5DF0177D1443DD8BD928281DE16C45.edm" localSheetId="4" hidden="1">DCF_Rev!$A$2:$K$32</definedName>
    <definedName name="_bdm.E0887FA2812244F1A0032326834C9B3F.edm" localSheetId="1" hidden="1">VA!$A$11:$AM$13</definedName>
    <definedName name="_bdm.E0890AC8B44F440EA618EFA988FCE225.edm" hidden="1" xml:space="preserve">          '[1]Mult Valuation'!$A:$IV</definedName>
    <definedName name="_bdm.E31E6D25F1754A8D947B3D3430743827.edm" localSheetId="3" hidden="1">Variance!$D$51:$O$57</definedName>
    <definedName name="_bdm.E55F26168D784CBE9721074ADF47551D.edm" hidden="1" xml:space="preserve">          [1]MXB2!$A:$IV</definedName>
    <definedName name="_bdm.E5EF224841BA40859B60F37433BC4E3B.edm" localSheetId="1" hidden="1">VA!$CC$11:$CK$68</definedName>
    <definedName name="_bdm.E63B213112F14A95A13A9B274E9CC204.edm" hidden="1" xml:space="preserve">          [1]MXB2!$A:$IV</definedName>
    <definedName name="_bdm.E7AE49AADB8D4ADDBBFAA032A21E809E.edm" hidden="1" xml:space="preserve">          [1]MXB2!$A:$IV</definedName>
    <definedName name="_bdm.E90D0435D30C4987AD69B4A005180AA4.edm" localSheetId="1" hidden="1">VA!$A$275:$CD$343</definedName>
    <definedName name="_bdm.E9CDE474ACAE4A15828C03FFFFAAF17C.edm" localSheetId="1" hidden="1">VA!$A$536:$AW$543</definedName>
    <definedName name="_bdm.EB70C4FB5A9F4EAB8B3D7A96A3DBF19E.edm" hidden="1" xml:space="preserve">          [1]MXB2!$A:$IV</definedName>
    <definedName name="_bdm.EC7AA6E178574DFDA4EA8EE3AFF3B16A.edm" hidden="1" xml:space="preserve">          [1]DCF!$A:$IV</definedName>
    <definedName name="_bdm.EC87FE0885854575B208905BE4D31D4A.edm" hidden="1" xml:space="preserve">          [1]MXB2!$A:$IV</definedName>
    <definedName name="_bdm.EC8B7D2E8AD548E38626AC26A157E841.edm" localSheetId="1" hidden="1">VA!$A$8:$N$68</definedName>
    <definedName name="_bdm.ECFFEA01FA884316A3FDD16D8ECFC928.edm" hidden="1" xml:space="preserve">          [1]MXB2!$A:$IV</definedName>
    <definedName name="_bdm.EE16B9E952424E5DB72C997B766B9E91.edm" hidden="1" xml:space="preserve">          [1]DCF!$A:$IV</definedName>
    <definedName name="_bdm.EE8C2DD42D8E469488FEF45179F478C6.edm" hidden="1" xml:space="preserve">          [1]MXB2!$A:$IV</definedName>
    <definedName name="_bdm.EEA5D54B20C14C10953C718BE9DF943E.edm" hidden="1" xml:space="preserve">          [1]MXB2!$A:$IV</definedName>
    <definedName name="_bdm.EEC33505E6854D1C9C5F4D6AB913C07A.edm" hidden="1" xml:space="preserve">          [1]MXB2!$A:$IV</definedName>
    <definedName name="_bdm.EFF9EDA042C84242AE34FB9C3B9EB2B3.edm" localSheetId="1" hidden="1">VA!$A$170:$CC$226</definedName>
    <definedName name="_bdm.F02FB89BDC12468A8196813D40295B36.edm" hidden="1" xml:space="preserve">          '[1]Revenue Model'!$A:$IV</definedName>
    <definedName name="_bdm.F366C071D971462E8DCE171565586396.edm" hidden="1" xml:space="preserve">          [1]MXB2!$A:$IV</definedName>
    <definedName name="_bdm.F385C5FD27384DF6B13FB6600E069472.edm" hidden="1" xml:space="preserve">          [1]DCF!$A:$IV</definedName>
    <definedName name="_bdm.F3ED73C328ED4CDF8D317A9AEF56FC80.edm" localSheetId="1" hidden="1">VA!$A$11:$CC$35</definedName>
    <definedName name="_bdm.F4E115D14AE345E7918041272D8E7F4A.edm" localSheetId="1" hidden="1">VA!$A$284:$AM$314</definedName>
    <definedName name="_bdm.F6D7DC7A3AC54463B6F5B64D4DD87BD1.edm" localSheetId="1" hidden="1">VA!$A$11:$AH$13</definedName>
    <definedName name="_bdm.F883E033906F4891997B56BBE693DE32.edm" hidden="1" xml:space="preserve">          [1]MXB2!$A:$IV</definedName>
    <definedName name="_bdm.F9D31667AEA24E1280C7A7A9C64B9A8F.edm" localSheetId="1" hidden="1">VA!$CC$11:$CN$67</definedName>
    <definedName name="_bdm.F9F98092030B47F0B66024CDD40CB243.edm" hidden="1" xml:space="preserve">          [1]MXB2!$A:$IV</definedName>
    <definedName name="_bdm.FB15E99EBE94433687F6679EA1FC9EE6.edm" localSheetId="1" hidden="1">VA!$CD$11:$CL$71</definedName>
    <definedName name="_bdm.FC13355FCEAC48AB9D2BD5EA7698D71C.edm" localSheetId="1" hidden="1">VA!$A$230:$S$350</definedName>
    <definedName name="_bdm.FCBD447543E44A0C9F9F4FFC7E81BA70.edm" hidden="1" xml:space="preserve">          [1]MXB2!$A:$IV</definedName>
    <definedName name="_bdm.FCC16D917BFD4128B7AA2951EF485356.edm" hidden="1" xml:space="preserve">          '[1]Revenue Model'!$A:$IV</definedName>
    <definedName name="_bdm.FE9364B0DE254AFC8AB852F128F35286.edm" hidden="1" xml:space="preserve">          [1]MXB2!$A:$IV</definedName>
    <definedName name="AdditionalInstructions">IndexInformation!$B$42</definedName>
    <definedName name="Address" localSheetId="0">ImportantDisclosures!$A$2:$A$2</definedName>
    <definedName name="ANA" localSheetId="7">ModPubIndex!$A$7</definedName>
    <definedName name="Authors" localSheetId="0">ImportantDisclosures!$A$7</definedName>
    <definedName name="Authors" localSheetId="6">IndexInformation!$B$18</definedName>
    <definedName name="BRO" localSheetId="7">ModPubIndex!$A$1</definedName>
    <definedName name="CashFlowCapitalExpenditureCellular">0</definedName>
    <definedName name="CashFlowCapitalExpenditureOther">0</definedName>
    <definedName name="CashFlowCapitalExpenditurePaging">0</definedName>
    <definedName name="CashFlowCapitalExpenditureTelephone">0</definedName>
    <definedName name="CashFlowCapitalExpenditureWireless">0</definedName>
    <definedName name="CashFlowDividendPaidPreferredStock">0</definedName>
    <definedName name="CopyrightStamp">ImportantDisclosures!$A$27</definedName>
    <definedName name="Corinthian_Colleges">'[2]Print '!$B$2:$M$71</definedName>
    <definedName name="COU" localSheetId="7">ModPubIndex!$A$5</definedName>
    <definedName name="CQEnd" localSheetId="6">IndexInformation!$B$31</definedName>
    <definedName name="Currency" localSheetId="6">IndexInformation!$B$24</definedName>
    <definedName name="CurrentStockPrice" localSheetId="6">IndexInformation!$B$23</definedName>
    <definedName name="CurrQtrEPS" localSheetId="6">IndexInformation!$B$29</definedName>
    <definedName name="CurrYearEPS" localSheetId="6">IndexInformation!$B$11</definedName>
    <definedName name="CurrYearTotalRevenue" localSheetId="6">IndexInformation!$B$10</definedName>
    <definedName name="CurrYearTotalRevenueActual" localSheetId="6">IndexInformation!$B$32</definedName>
    <definedName name="CUSIP" localSheetId="6">IndexInformation!$B$20</definedName>
    <definedName name="CYEnd" localSheetId="6">IndexInformation!$B$30</definedName>
    <definedName name="Date" localSheetId="0">ImportantDisclosures!$A$8</definedName>
    <definedName name="Deleted" localSheetId="6">IndexInformation!$B$27</definedName>
    <definedName name="Description" localSheetId="6">IndexInformation!$B$7</definedName>
    <definedName name="Discipline" localSheetId="6">IndexInformation!$B$3</definedName>
    <definedName name="DISCIPLINE" localSheetId="7">ModPubIndex!$A$12</definedName>
    <definedName name="DisclosuresText">ImportantDisclosures!$A$22</definedName>
    <definedName name="Distribution" localSheetId="6">IndexInformation!$B$26</definedName>
    <definedName name="DistTable" localSheetId="0">ImportantDisclosures!#REF!</definedName>
    <definedName name="DistTablePreamble" localSheetId="0">ImportantDisclosures!#REF!</definedName>
    <definedName name="DOCDAT" localSheetId="7">ModPubIndex!$A$2</definedName>
    <definedName name="DOCTIME" localSheetId="7">ModPubIndex!$A$3</definedName>
    <definedName name="DocType" localSheetId="6">IndexInformation!$B$5</definedName>
    <definedName name="EMAIL_ALERT" localSheetId="7">ModPubIndex!$A$10</definedName>
    <definedName name="EmailAlert" localSheetId="6">IndexInformation!$B$28</definedName>
    <definedName name="EquityAdjustments">0</definedName>
    <definedName name="EquityEmployeeStockOwnershipPlan">0</definedName>
    <definedName name="EquityPaidInCapital">0</definedName>
    <definedName name="EquityTreasuryStock">0</definedName>
    <definedName name="FiveYearGrowthRate" localSheetId="6">IndexInformation!$B$16</definedName>
    <definedName name="FollowingYearEPS" localSheetId="6">IndexInformation!$B$15</definedName>
    <definedName name="FollowingYearTotalRevenue" localSheetId="6">IndexInformation!$B$14</definedName>
    <definedName name="FollowingYearTotalRevenueActual" localSheetId="6">IndexInformation!$B$34</definedName>
    <definedName name="HL" localSheetId="7">ModPubIndex!$A$8</definedName>
    <definedName name="IncomeEPSFullyDiluted">0</definedName>
    <definedName name="IncomeEPSPrimary">0</definedName>
    <definedName name="IncomeEPSRegular">0</definedName>
    <definedName name="IND" localSheetId="7">ModPubIndex!$A$9</definedName>
    <definedName name="Industry" localSheetId="0">ImportantDisclosures!$A$12</definedName>
    <definedName name="IndustryId">IndexInformation!$B$40</definedName>
    <definedName name="IndustryRating" localSheetId="0">ImportantDisclosures!$A$13</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38859.8503356481</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KeepVersions" localSheetId="6">IndexInformation!$B$8</definedName>
    <definedName name="LanguageCode">IndexInformation!$B$38</definedName>
    <definedName name="LastCell" localSheetId="0">ImportantDisclosures!$A$22</definedName>
    <definedName name="LiabilitiesCurrentAccruedLiabilities">0</definedName>
    <definedName name="LiabilitiesCurrentNotesPayable">0</definedName>
    <definedName name="LiabilitiesDeferredIncomeTaxes">0</definedName>
    <definedName name="LiabilitiesOther">0</definedName>
    <definedName name="LiabilitiesUnamortizedInvestmentTaxCredits">0</definedName>
    <definedName name="Linking_1">Variance!$D$4:$O$166</definedName>
    <definedName name="Linking_10">VA!$CD$11:$CS$71</definedName>
    <definedName name="Linking_11">Revenue_end_mkt!$A$1:$AL$92</definedName>
    <definedName name="Linking_12">Revenue_end_mkt!$BR$1:$CC$92</definedName>
    <definedName name="Linking_13">Variance!$D$4:$O$57</definedName>
    <definedName name="Linking_14">Variance!$D$93:$O$161</definedName>
    <definedName name="Linking_15">VA!$CD$111:$CS$164</definedName>
    <definedName name="Linking_16">Variance!$D$92:$O$161</definedName>
    <definedName name="Linking_17">Revenue_end_mkt!$A$1:$AQ$92</definedName>
    <definedName name="Linking_18">VA!$CD$170:$CS$225</definedName>
    <definedName name="Linking_19">Variance!$D$60:$O$88</definedName>
    <definedName name="Linking_2">Revenue_end_mkt!$A$1:$AG$108</definedName>
    <definedName name="Linking_20">Revenue_end_mkt!$A$1:$AQ$107</definedName>
    <definedName name="Linking_21">Variance!$D$60:$O$78</definedName>
    <definedName name="Linking_22">VA!$A$11:$BL$71</definedName>
    <definedName name="Linking_23">Revenue_end_mkt!$A$1:$AV$92</definedName>
    <definedName name="Linking_24">VA!$CD$11:$CT$71</definedName>
    <definedName name="Linking_25">Revenue_end_mkt!$BR$1:$CD$92</definedName>
    <definedName name="Linking_26">VA!$CD$111:$CT$164</definedName>
    <definedName name="Linking_27">VA!$CD$170:$CT$225</definedName>
    <definedName name="Linking_28">DCF_Rev!$A$2:$R$33</definedName>
    <definedName name="Linking_3">Revenue_end_mkt!$BR$1:$CB$108</definedName>
    <definedName name="Linking_30">Revenue_end_mkt!$A$1:$AV$93</definedName>
    <definedName name="Linking_4">DCF_Rev!$A$2:$O$33</definedName>
    <definedName name="Linking_5">Revenue_end_mkt!$BZ$59</definedName>
    <definedName name="Linking_6">DCF_Rev!$A$2:$P$33</definedName>
    <definedName name="Linking_7">Variance!$D$4:$O$88</definedName>
    <definedName name="Linking_8">Revenue_end_mkt!$BR$1:$CC$107</definedName>
    <definedName name="Linking_9">VA!$A$11:$BG$71</definedName>
    <definedName name="Linking_Range_12">Revenue_end_mkt!$A$1:$AB$118</definedName>
    <definedName name="Linking_Range_14">Revenue_end_mkt!$A$1:$W$118</definedName>
    <definedName name="Linking_Range_15">Revenue_end_mkt!$A$1:$AL$118</definedName>
    <definedName name="Linking_Range_16">Revenue_end_mkt!$A$1:$AL$107</definedName>
    <definedName name="Linking_Range_2">Revenue_end_mkt!$A$1:$AG$118</definedName>
    <definedName name="Linking_Range_23">Revenue_end_mkt!$A$1:$AQ$118</definedName>
    <definedName name="Linking_Range_3">Revenue_end_mkt!$A$1:$R$120</definedName>
    <definedName name="Linking_Range_31">Variance!$D$168:$I$190</definedName>
    <definedName name="Linking_Range_39">Revenue_end_mkt!$A$1:$AG$107</definedName>
    <definedName name="Linking_Range_40">Revenue_end_mkt!$BR$1:$CB$107</definedName>
    <definedName name="Linking_Range_43">DCF_Rev!$A$2:$N$33</definedName>
    <definedName name="Linking_Range_44">DCF_Rev!$A$69:$K$85</definedName>
    <definedName name="Linking_Range_5">Variance!$D$4:$O$161</definedName>
    <definedName name="Linking_Range_8">Revenue_end_mkt!$A$1:$R$118</definedName>
    <definedName name="Linking_Range_9">DCF_Rev!$A$2:$K$32</definedName>
    <definedName name="Linking_Text_1">DCF_Rev!$S$25</definedName>
    <definedName name="Linking_Text_10">DCF_Rev!$S$27</definedName>
    <definedName name="Linking_Text_11">DCF_Rev!$T$26</definedName>
    <definedName name="Linking_Text_12">DCF_Rev!$T$27</definedName>
    <definedName name="Linking_Text_13">DCF_Rev!$U$26</definedName>
    <definedName name="Linking_Text_14">DCF_Rev!$U$27</definedName>
    <definedName name="Linking_Text_15">DCF_Rev!$S$32</definedName>
    <definedName name="Linking_Text_2">DCF_Rev!$T$25</definedName>
    <definedName name="Linking_Text_3">DCF_Rev!$U$25</definedName>
    <definedName name="Linking_Text_4">DCF_Rev!$S$28</definedName>
    <definedName name="Linking_Text_5">DCF_Rev!$T$28</definedName>
    <definedName name="Linking_Text_6">DCF_Rev!$U$28</definedName>
    <definedName name="Linking_Text_7">DCF_Rev!$F$2</definedName>
    <definedName name="Linking_Text_9">DCF_Rev!$S$26</definedName>
    <definedName name="MacroVersion" localSheetId="6">IndexInformation!$B$1</definedName>
    <definedName name="ModelPrice" localSheetId="0">ImportantDisclosures!$A$14</definedName>
    <definedName name="Multiplier" localSheetId="6">IndexInformation!$B$35</definedName>
    <definedName name="NextYearEPS" localSheetId="6">IndexInformation!$B$13</definedName>
    <definedName name="NextYearTotalRevenue" localSheetId="6">IndexInformation!$B$12</definedName>
    <definedName name="NextYearTotalRevenueActual" localSheetId="6">IndexInformation!$B$33</definedName>
    <definedName name="Normalized_Income_Statement">"IS_Annual"</definedName>
    <definedName name="ObjectType">IndexInformation!$B$37</definedName>
    <definedName name="OpExAmortization">0</definedName>
    <definedName name="OpExBeforeDepreciationAmortizationExtraordinariesOther">0</definedName>
    <definedName name="OpExBeforeDepreciationAmortizationExtraordinariesTotal">0</definedName>
    <definedName name="OpExCostOfEquipment">0</definedName>
    <definedName name="OpExDepreciation">0</definedName>
    <definedName name="OpExGeneralAdministrative">0</definedName>
    <definedName name="OpExSellingMarketing">0</definedName>
    <definedName name="OpExTotal">0</definedName>
    <definedName name="OtherExEquityIncome">0</definedName>
    <definedName name="OtherExGainOnSale">0</definedName>
    <definedName name="OtherExInterestIncome">0</definedName>
    <definedName name="OtherExMinorityInterest">0</definedName>
    <definedName name="OtherExTotal">0</definedName>
    <definedName name="PANA" localSheetId="7">ModPubIndex!$A$11</definedName>
    <definedName name="PathName" localSheetId="6">IndexInformation!$B$25</definedName>
    <definedName name="PRODUCT" localSheetId="7">ModPubIndex!$A$6</definedName>
    <definedName name="ProjectName" localSheetId="3">{"Client Name or Project Name"}</definedName>
    <definedName name="ProjectName">{"Client Name or Project Name"}</definedName>
    <definedName name="PSYM" localSheetId="7">ModPubIndex!$A$4</definedName>
    <definedName name="PublishDate" localSheetId="6">IndexInformation!$B$2</definedName>
    <definedName name="Rating" localSheetId="6">IndexInformation!$B$9</definedName>
    <definedName name="RatingsDefined" localSheetId="0">ImportantDisclosures!$A$21</definedName>
    <definedName name="RatingsDefs" localSheetId="0">ImportantDisclosures!#REF!</definedName>
    <definedName name="RegACDisclosure" localSheetId="0">ImportantDisclosures!#REF!</definedName>
    <definedName name="ResearchTopic" localSheetId="6">IndexInformation!$B$4</definedName>
    <definedName name="RevenuesCellularEquipment">0</definedName>
    <definedName name="RevenuesCellularOther">0</definedName>
    <definedName name="RevenuesCellularService">0</definedName>
    <definedName name="RevenuesCellularTotal">0</definedName>
    <definedName name="RevenuesPagingEquipment">0</definedName>
    <definedName name="RevenuesPagingOther">0</definedName>
    <definedName name="RevenuesPagingService">0</definedName>
    <definedName name="RevenuesPagingTotal">0</definedName>
    <definedName name="RevenuesWirelessEquipment">0</definedName>
    <definedName name="RevenuesWirelessOther">0</definedName>
    <definedName name="RevenuesWirelessService">0</definedName>
    <definedName name="RIC" localSheetId="6">IndexInformation!$B$21</definedName>
    <definedName name="SECSettlement" localSheetId="0">ImportantDisclosures!#REF!</definedName>
    <definedName name="SEDOL" localSheetId="6">IndexInformation!$B$22</definedName>
    <definedName name="SharesConvertibleSecurities">0</definedName>
    <definedName name="SharesFullyDiluted">0</definedName>
    <definedName name="SharesOptions">0</definedName>
    <definedName name="SharesOutstandingLatestDate">0</definedName>
    <definedName name="SharesOutstandingOther">0</definedName>
    <definedName name="SharesOutstandingSenior">0</definedName>
    <definedName name="SharesOutstandingSubordinate">0</definedName>
    <definedName name="SharesPrimary">0</definedName>
    <definedName name="SharesWarrants">0</definedName>
    <definedName name="SourceDefined" localSheetId="0">ImportantDisclosures!$A$19</definedName>
    <definedName name="StatsAccessLinesDomesticInternationalTotalAverage">0</definedName>
    <definedName name="StatsAccessLinesTotalAverage">0</definedName>
    <definedName name="StatsAverageMonthlyRevenue">0</definedName>
    <definedName name="StatsEmployeesConsolidatedInternational">0</definedName>
    <definedName name="StatsEmployeesTelephoneInternational">0</definedName>
    <definedName name="StatsPagingAverageMonthlyRevenue">0</definedName>
    <definedName name="StatsPagingSubscribers">0</definedName>
    <definedName name="StatsPenetration">0</definedName>
    <definedName name="StatsPOPS">0</definedName>
    <definedName name="StatsProportionatePenetration">0</definedName>
    <definedName name="StatsProportionatePOPS">0</definedName>
    <definedName name="StatsProportionateSubscribersAverage">0</definedName>
    <definedName name="StatsProportionateSubscribersBeginning">0</definedName>
    <definedName name="StatsProportionateSubscribersEnding">0</definedName>
    <definedName name="StatsProportionateSubscribersNetAdds">0</definedName>
    <definedName name="StatsSubscribersAverage">0</definedName>
    <definedName name="StatsSubscribersBeginning">0</definedName>
    <definedName name="StatsSubscribersEnding">0</definedName>
    <definedName name="StatsSubscribersNetAdds">0</definedName>
    <definedName name="StockRating" localSheetId="0">ImportantDisclosures!$A$11</definedName>
    <definedName name="SubjectCode" localSheetId="6">IndexInformation!$B$6</definedName>
    <definedName name="SubmitterUserId">IndexInformation!$B$39</definedName>
    <definedName name="SUPPRESSED" localSheetId="7">ModPubIndex!$A$13</definedName>
    <definedName name="TargetPrice" localSheetId="0">ImportantDisclosures!$A$15</definedName>
    <definedName name="TemplateRegion">IndexInformation!$B$36</definedName>
    <definedName name="Ticker" localSheetId="0">ImportantDisclosures!$A$10</definedName>
    <definedName name="TickerRegion">IndexInformation!$B$41</definedName>
    <definedName name="Tickers" localSheetId="6">IndexInformation!$B$19</definedName>
    <definedName name="UpdateReason" localSheetId="6">IndexInformation!$B$17</definedName>
    <definedName name="USRegDisclosures" localSheetId="0">ImportantDisclosures!#REF!</definedName>
    <definedName name="ValuationAdjustmentsOther">0</definedName>
    <definedName name="ValuationAdjustmentsValue">0</definedName>
    <definedName name="ValuationCellularValue">0</definedName>
    <definedName name="ValuationDebtAdjustment">0</definedName>
    <definedName name="ValuationDebtNet">0</definedName>
    <definedName name="ValuationDebtTotal">0</definedName>
    <definedName name="ValuationFirmValue">0</definedName>
    <definedName name="ValuationInvestments">0</definedName>
    <definedName name="ValuationMarketCapitalization">0</definedName>
    <definedName name="ValuationOtherValue">0</definedName>
    <definedName name="ValuationPagingValue">0</definedName>
    <definedName name="ValuationTelephoneValue">0</definedName>
    <definedName name="ValuationWirelessValue">0</definedName>
  </definedNames>
  <calcPr calcId="145621"/>
</workbook>
</file>

<file path=xl/calcChain.xml><?xml version="1.0" encoding="utf-8"?>
<calcChain xmlns="http://schemas.openxmlformats.org/spreadsheetml/2006/main">
  <c r="CB313" i="1" l="1"/>
  <c r="CB273" i="1"/>
  <c r="CB245" i="1"/>
  <c r="CB12" i="1"/>
  <c r="CB33" i="1"/>
  <c r="AP22" i="2" l="1"/>
  <c r="AO22" i="2"/>
  <c r="BX375" i="1" l="1"/>
  <c r="BY375" i="1" s="1"/>
  <c r="BZ375" i="1" s="1"/>
  <c r="BS375" i="1"/>
  <c r="BT375" i="1" s="1"/>
  <c r="BU375" i="1" s="1"/>
  <c r="BN375" i="1"/>
  <c r="BO375" i="1" s="1"/>
  <c r="BP375" i="1" s="1"/>
  <c r="BI375" i="1"/>
  <c r="BJ375" i="1" s="1"/>
  <c r="BK375" i="1" s="1"/>
  <c r="BR151" i="1" l="1"/>
  <c r="BN151" i="1"/>
  <c r="BO151" i="1" s="1"/>
  <c r="BP151" i="1" s="1"/>
  <c r="BM151" i="1"/>
  <c r="BW151" i="1"/>
  <c r="BX151" i="1" s="1"/>
  <c r="BY151" i="1" s="1"/>
  <c r="BZ151" i="1" s="1"/>
  <c r="BS151" i="1"/>
  <c r="BT151" i="1" s="1"/>
  <c r="BU151" i="1" s="1"/>
  <c r="BJ151" i="1"/>
  <c r="BK151" i="1" s="1"/>
  <c r="BI151" i="1"/>
  <c r="BH151" i="1"/>
  <c r="BX381" i="1"/>
  <c r="BY381" i="1" s="1"/>
  <c r="BZ381" i="1" s="1"/>
  <c r="BS381" i="1"/>
  <c r="BT381" i="1" s="1"/>
  <c r="BU381" i="1" s="1"/>
  <c r="BN381" i="1"/>
  <c r="BO381" i="1" s="1"/>
  <c r="BP381" i="1" s="1"/>
  <c r="BI381" i="1"/>
  <c r="BJ381" i="1" s="1"/>
  <c r="BK381" i="1" s="1"/>
  <c r="BJ345" i="1"/>
  <c r="BI345" i="1"/>
  <c r="BH345" i="1"/>
  <c r="AU36" i="2"/>
  <c r="AT36" i="2"/>
  <c r="AS36" i="2"/>
  <c r="N41" i="5"/>
  <c r="N42" i="5"/>
  <c r="N38" i="5"/>
  <c r="N39" i="5"/>
  <c r="O42" i="5"/>
  <c r="O40" i="5"/>
  <c r="O39" i="5"/>
  <c r="N40" i="5"/>
  <c r="O41" i="5"/>
  <c r="O38" i="5"/>
  <c r="AP27" i="2" l="1"/>
  <c r="AP93" i="2" l="1"/>
  <c r="AR36" i="2" l="1"/>
  <c r="AR34" i="2" s="1"/>
  <c r="AU64" i="2"/>
  <c r="AT64" i="2"/>
  <c r="AS64" i="2"/>
  <c r="AR64" i="2"/>
  <c r="AP34" i="2"/>
  <c r="AP28" i="2"/>
  <c r="AR19" i="2"/>
  <c r="AS19" i="2"/>
  <c r="BW39" i="1" l="1"/>
  <c r="BR39" i="1"/>
  <c r="BM39" i="1"/>
  <c r="BH39" i="1"/>
  <c r="AK55" i="7"/>
  <c r="BF276" i="1" l="1"/>
  <c r="BF279" i="1"/>
  <c r="BF277" i="1"/>
  <c r="BF346" i="1"/>
  <c r="BF345" i="1"/>
  <c r="BK345" i="1" s="1"/>
  <c r="BF418" i="1"/>
  <c r="BF423" i="1"/>
  <c r="BF424" i="1"/>
  <c r="BF397" i="1"/>
  <c r="BF398" i="1"/>
  <c r="BF401" i="1"/>
  <c r="BF405" i="1"/>
  <c r="BF408" i="1"/>
  <c r="BF412" i="1"/>
  <c r="BF415" i="1"/>
  <c r="BF383" i="1"/>
  <c r="BF209" i="1"/>
  <c r="BF159" i="1"/>
  <c r="BF155" i="1"/>
  <c r="BF153" i="1"/>
  <c r="BF151" i="1"/>
  <c r="BF147" i="1"/>
  <c r="BF142" i="1"/>
  <c r="BF139" i="1"/>
  <c r="BF140" i="1"/>
  <c r="BF138" i="1"/>
  <c r="BF137" i="1"/>
  <c r="BF129" i="1"/>
  <c r="BF132" i="1"/>
  <c r="BF130" i="1"/>
  <c r="BF127" i="1"/>
  <c r="BF128" i="1"/>
  <c r="BF126" i="1"/>
  <c r="BF122" i="1"/>
  <c r="BF121" i="1"/>
  <c r="BF119" i="1"/>
  <c r="BF117" i="1"/>
  <c r="BF124" i="1"/>
  <c r="BF115" i="1"/>
  <c r="BF114" i="1"/>
  <c r="BF344" i="1" l="1"/>
  <c r="BF17" i="1"/>
  <c r="BF366" i="1" s="1"/>
  <c r="AP62" i="2"/>
  <c r="AP33" i="2"/>
  <c r="AP32" i="2"/>
  <c r="AP25" i="2"/>
  <c r="AP16" i="2"/>
  <c r="AP8" i="2"/>
  <c r="AP5" i="2"/>
  <c r="F70" i="5" l="1"/>
  <c r="DC206" i="1" l="1"/>
  <c r="DC198" i="1" s="1"/>
  <c r="DC221" i="1" s="1"/>
  <c r="DB185" i="1"/>
  <c r="DB221" i="1" s="1"/>
  <c r="N43" i="5" l="1"/>
  <c r="O43" i="5"/>
  <c r="AS27" i="2" l="1"/>
  <c r="AT27" i="2"/>
  <c r="AR27" i="2"/>
  <c r="AT34" i="2"/>
  <c r="AS34" i="2"/>
  <c r="AO34" i="2"/>
  <c r="AP73" i="2" l="1"/>
  <c r="BX39" i="1"/>
  <c r="BY39" i="1" s="1"/>
  <c r="BZ39" i="1" s="1"/>
  <c r="BS39" i="1"/>
  <c r="BT39" i="1" s="1"/>
  <c r="BU39" i="1" s="1"/>
  <c r="BN39" i="1"/>
  <c r="BO39" i="1" s="1"/>
  <c r="BP39" i="1" s="1"/>
  <c r="BI39" i="1"/>
  <c r="BJ39" i="1" s="1"/>
  <c r="BK39" i="1" s="1"/>
  <c r="AO27" i="2"/>
  <c r="AJ55" i="7" l="1"/>
  <c r="BE344" i="1"/>
  <c r="BE276" i="1"/>
  <c r="BE418" i="1"/>
  <c r="BE423" i="1"/>
  <c r="BE424" i="1"/>
  <c r="BF425" i="1" s="1"/>
  <c r="BF426" i="1" s="1"/>
  <c r="BE401" i="1"/>
  <c r="BF396" i="1" s="1"/>
  <c r="BF399" i="1" s="1"/>
  <c r="BE408" i="1"/>
  <c r="BF404" i="1" s="1"/>
  <c r="BF406" i="1" s="1"/>
  <c r="BE412" i="1"/>
  <c r="BE415" i="1"/>
  <c r="BF411" i="1" s="1"/>
  <c r="BF413" i="1" s="1"/>
  <c r="BE159" i="1"/>
  <c r="BE148" i="1"/>
  <c r="BE142" i="1"/>
  <c r="BE140" i="1"/>
  <c r="BE119" i="1"/>
  <c r="BE122" i="1"/>
  <c r="BE209" i="1"/>
  <c r="BE24" i="1" l="1"/>
  <c r="AO62" i="2" l="1"/>
  <c r="AO33" i="2"/>
  <c r="AO32" i="2"/>
  <c r="AO25" i="2"/>
  <c r="AO16" i="2"/>
  <c r="AO8" i="2"/>
  <c r="AO5" i="2"/>
  <c r="AM76" i="2" l="1"/>
  <c r="AN76" i="2"/>
  <c r="AN33" i="2" l="1"/>
  <c r="AN34" i="2"/>
  <c r="A77" i="5"/>
  <c r="A79" i="5"/>
  <c r="G70" i="5"/>
  <c r="I70" i="5" s="1"/>
  <c r="K70" i="5" s="1"/>
  <c r="H70" i="5"/>
  <c r="J70" i="5" s="1"/>
  <c r="E54" i="5"/>
  <c r="J2" i="5" s="1"/>
  <c r="R7" i="5" s="1"/>
  <c r="V53" i="5"/>
  <c r="U53" i="5" s="1"/>
  <c r="T53" i="5" s="1"/>
  <c r="S53" i="5" s="1"/>
  <c r="R53" i="5" s="1"/>
  <c r="Q53" i="5" s="1"/>
  <c r="P53" i="5" s="1"/>
  <c r="O53" i="5" s="1"/>
  <c r="N53" i="5" s="1"/>
  <c r="M53" i="5" s="1"/>
  <c r="L53" i="5" s="1"/>
  <c r="K53" i="5" s="1"/>
  <c r="J53" i="5" s="1"/>
  <c r="I53" i="5" s="1"/>
  <c r="H53" i="5" s="1"/>
  <c r="G53" i="5" s="1"/>
  <c r="E49" i="5"/>
  <c r="BG438" i="1" s="1"/>
  <c r="BH438" i="1" s="1"/>
  <c r="A41" i="5"/>
  <c r="A40" i="5"/>
  <c r="A32" i="5"/>
  <c r="A28" i="5"/>
  <c r="N27" i="5"/>
  <c r="O27" i="5" s="1"/>
  <c r="P27" i="5" s="1"/>
  <c r="Q27" i="5" s="1"/>
  <c r="R27" i="5" s="1"/>
  <c r="O4" i="5"/>
  <c r="P4" i="5" s="1"/>
  <c r="Q4" i="5" s="1"/>
  <c r="R4" i="5" s="1"/>
  <c r="C3" i="5"/>
  <c r="D3" i="5" s="1"/>
  <c r="E3" i="5" s="1"/>
  <c r="F3" i="5" s="1"/>
  <c r="G3" i="5" s="1"/>
  <c r="H3" i="5" s="1"/>
  <c r="I3" i="5" s="1"/>
  <c r="J3" i="5" s="1"/>
  <c r="K3" i="5" s="1"/>
  <c r="L3" i="5" s="1"/>
  <c r="M3" i="5" s="1"/>
  <c r="N3" i="5" s="1"/>
  <c r="O3" i="5" s="1"/>
  <c r="P3" i="5" s="1"/>
  <c r="Q3" i="5" s="1"/>
  <c r="R3" i="5" s="1"/>
  <c r="CD384" i="1"/>
  <c r="CD383" i="1"/>
  <c r="AU27" i="2"/>
  <c r="AV27" i="2" s="1"/>
  <c r="A78" i="4"/>
  <c r="A77" i="4"/>
  <c r="A75" i="4"/>
  <c r="A74" i="4"/>
  <c r="A72" i="4"/>
  <c r="A71" i="4"/>
  <c r="A69" i="4"/>
  <c r="A68" i="4"/>
  <c r="A67" i="4"/>
  <c r="A65" i="4"/>
  <c r="F193" i="4"/>
  <c r="AI55" i="7"/>
  <c r="BD446" i="1"/>
  <c r="BD448" i="1"/>
  <c r="BD449" i="1"/>
  <c r="BD418" i="1"/>
  <c r="BD423" i="1"/>
  <c r="BD427" i="1" s="1"/>
  <c r="BD424" i="1"/>
  <c r="BE425" i="1" s="1"/>
  <c r="BE426" i="1" s="1"/>
  <c r="BD401" i="1"/>
  <c r="BE396" i="1" s="1"/>
  <c r="BD408" i="1"/>
  <c r="BE404" i="1" s="1"/>
  <c r="BD412" i="1"/>
  <c r="BD415" i="1"/>
  <c r="BE411" i="1" s="1"/>
  <c r="BE413" i="1" s="1"/>
  <c r="BD209" i="1"/>
  <c r="BD155" i="1"/>
  <c r="BE155" i="1" s="1"/>
  <c r="BD147" i="1"/>
  <c r="BE147" i="1" s="1"/>
  <c r="BD153" i="1"/>
  <c r="BE153" i="1" s="1"/>
  <c r="BD151" i="1"/>
  <c r="BD139" i="1"/>
  <c r="BE139" i="1" s="1"/>
  <c r="BD137" i="1"/>
  <c r="BD128" i="1"/>
  <c r="BE128" i="1" s="1"/>
  <c r="BD132" i="1"/>
  <c r="BE132" i="1" s="1"/>
  <c r="BD130" i="1"/>
  <c r="BE130" i="1" s="1"/>
  <c r="BD129" i="1"/>
  <c r="BE129" i="1" s="1"/>
  <c r="BD127" i="1"/>
  <c r="BE127" i="1" s="1"/>
  <c r="BD126" i="1"/>
  <c r="BE126" i="1" s="1"/>
  <c r="BD117" i="1"/>
  <c r="BD115" i="1"/>
  <c r="BE115" i="1" s="1"/>
  <c r="BE405" i="1" s="1"/>
  <c r="BD114" i="1"/>
  <c r="BD344" i="1"/>
  <c r="BD276" i="1"/>
  <c r="BD37" i="1"/>
  <c r="BD17" i="1"/>
  <c r="BD19" i="1"/>
  <c r="AN62" i="2"/>
  <c r="BD577" i="1" s="1"/>
  <c r="AN32" i="2"/>
  <c r="AN25" i="2"/>
  <c r="AN16" i="2"/>
  <c r="AN86" i="2" s="1"/>
  <c r="AN108" i="2" s="1"/>
  <c r="AN8" i="2"/>
  <c r="AN5" i="2"/>
  <c r="BD24" i="1"/>
  <c r="BF24" i="1"/>
  <c r="CD78" i="2"/>
  <c r="CD73" i="2"/>
  <c r="CD69" i="2"/>
  <c r="CD58" i="2"/>
  <c r="CD54" i="2"/>
  <c r="CD53" i="2"/>
  <c r="CD51" i="2"/>
  <c r="CD47" i="2"/>
  <c r="CD46" i="2"/>
  <c r="CC78" i="2"/>
  <c r="CC73" i="2"/>
  <c r="CC69" i="2"/>
  <c r="CC58" i="2"/>
  <c r="CC54" i="2"/>
  <c r="CC53" i="2"/>
  <c r="CC51" i="2"/>
  <c r="CC47" i="2"/>
  <c r="CC46" i="2"/>
  <c r="CB78" i="2"/>
  <c r="CB73" i="2"/>
  <c r="CB69" i="2"/>
  <c r="CB58" i="2"/>
  <c r="CB54" i="2"/>
  <c r="CB53" i="2"/>
  <c r="CB51" i="2"/>
  <c r="CB47" i="2"/>
  <c r="CB46" i="2"/>
  <c r="CA78" i="2"/>
  <c r="CA73" i="2"/>
  <c r="CA69" i="2"/>
  <c r="CA58" i="2"/>
  <c r="CA54" i="2"/>
  <c r="CA53" i="2"/>
  <c r="CA51" i="2"/>
  <c r="CA47" i="2"/>
  <c r="CA46" i="2"/>
  <c r="CT266" i="1"/>
  <c r="CT240" i="1"/>
  <c r="CT239" i="1"/>
  <c r="CT125" i="1"/>
  <c r="CT66" i="1"/>
  <c r="CT14" i="1"/>
  <c r="CT1" i="1"/>
  <c r="BW641" i="1"/>
  <c r="BX641" i="1" s="1"/>
  <c r="BY641" i="1" s="1"/>
  <c r="BZ641" i="1" s="1"/>
  <c r="BZ614" i="1"/>
  <c r="BY614" i="1"/>
  <c r="BX614" i="1"/>
  <c r="BX615" i="1" s="1"/>
  <c r="BX617" i="1" s="1"/>
  <c r="BW614" i="1"/>
  <c r="BW615" i="1" s="1"/>
  <c r="BW617" i="1" s="1"/>
  <c r="BZ609" i="1"/>
  <c r="BY609" i="1"/>
  <c r="BX609" i="1"/>
  <c r="BW609" i="1"/>
  <c r="CA608" i="1"/>
  <c r="BZ607" i="1"/>
  <c r="BY607" i="1"/>
  <c r="BX607" i="1"/>
  <c r="BW607" i="1"/>
  <c r="BZ606" i="1"/>
  <c r="BY606" i="1"/>
  <c r="BX606" i="1"/>
  <c r="BW606" i="1"/>
  <c r="BZ603" i="1"/>
  <c r="BY603" i="1"/>
  <c r="BX603" i="1"/>
  <c r="BW603" i="1"/>
  <c r="CA602" i="1"/>
  <c r="BZ601" i="1"/>
  <c r="BY601" i="1"/>
  <c r="BX601" i="1"/>
  <c r="BW601" i="1"/>
  <c r="BZ600" i="1"/>
  <c r="BY600" i="1"/>
  <c r="BX600" i="1"/>
  <c r="BW600" i="1"/>
  <c r="CA596" i="1"/>
  <c r="BZ587" i="1"/>
  <c r="BY587" i="1"/>
  <c r="BX587" i="1"/>
  <c r="BW587" i="1"/>
  <c r="CA582" i="1"/>
  <c r="BZ582" i="1"/>
  <c r="BY582" i="1"/>
  <c r="BX582" i="1"/>
  <c r="BW582" i="1"/>
  <c r="BZ578" i="1"/>
  <c r="BY578" i="1"/>
  <c r="BX578" i="1"/>
  <c r="BW578" i="1"/>
  <c r="CA574" i="1"/>
  <c r="BZ574" i="1"/>
  <c r="BY574" i="1"/>
  <c r="BX574" i="1"/>
  <c r="BW574" i="1"/>
  <c r="CA573" i="1"/>
  <c r="BZ573" i="1"/>
  <c r="BY573" i="1"/>
  <c r="BX573" i="1"/>
  <c r="BW573" i="1"/>
  <c r="CA572" i="1"/>
  <c r="BZ572" i="1"/>
  <c r="BY572" i="1"/>
  <c r="BX572" i="1"/>
  <c r="BW572" i="1"/>
  <c r="BZ570" i="1"/>
  <c r="BY570" i="1"/>
  <c r="BX570" i="1"/>
  <c r="BW570" i="1"/>
  <c r="BZ566" i="1"/>
  <c r="BY566" i="1"/>
  <c r="BX566" i="1"/>
  <c r="BW566" i="1"/>
  <c r="BZ542" i="1"/>
  <c r="BY542" i="1"/>
  <c r="BX542" i="1"/>
  <c r="BW542" i="1"/>
  <c r="CA448" i="1"/>
  <c r="BZ448" i="1"/>
  <c r="BY448" i="1"/>
  <c r="BX448" i="1"/>
  <c r="BW448" i="1"/>
  <c r="BZ413" i="1"/>
  <c r="BY413" i="1"/>
  <c r="BX413" i="1"/>
  <c r="BW413" i="1"/>
  <c r="BZ412" i="1"/>
  <c r="BY412" i="1"/>
  <c r="BX412" i="1"/>
  <c r="BW412" i="1"/>
  <c r="BZ399" i="1"/>
  <c r="BY399" i="1"/>
  <c r="BX399" i="1"/>
  <c r="BW399" i="1"/>
  <c r="CA393" i="1"/>
  <c r="BZ393" i="1"/>
  <c r="BZ406" i="1" s="1"/>
  <c r="BY393" i="1"/>
  <c r="BY406" i="1" s="1"/>
  <c r="BX393" i="1"/>
  <c r="BX406" i="1" s="1"/>
  <c r="BW393" i="1"/>
  <c r="BW406" i="1" s="1"/>
  <c r="CA331" i="1"/>
  <c r="CT331" i="1" s="1"/>
  <c r="CA284" i="1"/>
  <c r="CT284" i="1" s="1"/>
  <c r="BZ284" i="1"/>
  <c r="BY284" i="1"/>
  <c r="BX284" i="1"/>
  <c r="BW284" i="1"/>
  <c r="CA280" i="1"/>
  <c r="CA265" i="1"/>
  <c r="CT265" i="1" s="1"/>
  <c r="CA230" i="1"/>
  <c r="CT230" i="1" s="1"/>
  <c r="BZ230" i="1"/>
  <c r="BY230" i="1"/>
  <c r="BX230" i="1"/>
  <c r="BW230" i="1"/>
  <c r="CA170" i="1"/>
  <c r="CT170" i="1" s="1"/>
  <c r="BZ170" i="1"/>
  <c r="BY170" i="1"/>
  <c r="BX170" i="1"/>
  <c r="BW170" i="1"/>
  <c r="CA159" i="1"/>
  <c r="CT159" i="1" s="1"/>
  <c r="BZ154" i="1"/>
  <c r="BZ486" i="1" s="1"/>
  <c r="BY154" i="1"/>
  <c r="BY486" i="1" s="1"/>
  <c r="BX154" i="1"/>
  <c r="BX486" i="1" s="1"/>
  <c r="BW154" i="1"/>
  <c r="BW486" i="1" s="1"/>
  <c r="BZ153" i="1"/>
  <c r="BY153" i="1"/>
  <c r="BX153" i="1"/>
  <c r="BW153" i="1"/>
  <c r="BZ152" i="1"/>
  <c r="BY152" i="1"/>
  <c r="BX152" i="1"/>
  <c r="BW152" i="1"/>
  <c r="BX485" i="1"/>
  <c r="CA151" i="1"/>
  <c r="CT151" i="1" s="1"/>
  <c r="CA150" i="1"/>
  <c r="CT150" i="1" s="1"/>
  <c r="CA149" i="1"/>
  <c r="CT149" i="1" s="1"/>
  <c r="CA148" i="1"/>
  <c r="CT148" i="1" s="1"/>
  <c r="CA147" i="1"/>
  <c r="CT147" i="1" s="1"/>
  <c r="CA140" i="1"/>
  <c r="CT140" i="1" s="1"/>
  <c r="CA139" i="1"/>
  <c r="CT139" i="1" s="1"/>
  <c r="CA138" i="1"/>
  <c r="CT138" i="1" s="1"/>
  <c r="CA123" i="1"/>
  <c r="CT123" i="1" s="1"/>
  <c r="CA122" i="1"/>
  <c r="CT122" i="1" s="1"/>
  <c r="CA121" i="1"/>
  <c r="CT121" i="1" s="1"/>
  <c r="CA120" i="1"/>
  <c r="CT120" i="1" s="1"/>
  <c r="CA118" i="1"/>
  <c r="CT118" i="1" s="1"/>
  <c r="BZ115" i="1"/>
  <c r="BZ405" i="1" s="1"/>
  <c r="CA111" i="1"/>
  <c r="CT111" i="1" s="1"/>
  <c r="CA56" i="1"/>
  <c r="CT56" i="1" s="1"/>
  <c r="CA55" i="1"/>
  <c r="CT55" i="1" s="1"/>
  <c r="CA51" i="1"/>
  <c r="CA47" i="1"/>
  <c r="CT47" i="1" s="1"/>
  <c r="CA24" i="1"/>
  <c r="CT24" i="1" s="1"/>
  <c r="BZ24" i="1"/>
  <c r="BY24" i="1"/>
  <c r="BX24" i="1"/>
  <c r="BW24" i="1"/>
  <c r="CA11" i="1"/>
  <c r="CT11" i="1" s="1"/>
  <c r="BZ11" i="1"/>
  <c r="BZ111" i="1" s="1"/>
  <c r="BE112" i="7" s="1"/>
  <c r="BY11" i="1"/>
  <c r="BY111" i="1" s="1"/>
  <c r="BD112" i="7" s="1"/>
  <c r="BX11" i="1"/>
  <c r="BX111" i="1" s="1"/>
  <c r="BC112" i="7" s="1"/>
  <c r="BW11" i="1"/>
  <c r="BW111" i="1" s="1"/>
  <c r="BB112" i="7" s="1"/>
  <c r="BJ64" i="2"/>
  <c r="BJ63" i="2" s="1"/>
  <c r="BI64" i="2"/>
  <c r="BH64" i="2"/>
  <c r="BH63" i="2" s="1"/>
  <c r="BG64" i="2"/>
  <c r="BG63" i="2" s="1"/>
  <c r="BJ34" i="2"/>
  <c r="BI34" i="2"/>
  <c r="BI35" i="2" s="1"/>
  <c r="BH34" i="2"/>
  <c r="BH33" i="2" s="1"/>
  <c r="BG34" i="2"/>
  <c r="BJ27" i="2"/>
  <c r="BI27" i="2"/>
  <c r="BI26" i="2" s="1"/>
  <c r="BH27" i="2"/>
  <c r="BG27" i="2"/>
  <c r="BJ26" i="2"/>
  <c r="BJ19" i="2"/>
  <c r="BJ20" i="2" s="1"/>
  <c r="BI19" i="2"/>
  <c r="BI17" i="2" s="1"/>
  <c r="BY586" i="1" s="1"/>
  <c r="BH19" i="2"/>
  <c r="BH18" i="2" s="1"/>
  <c r="BG19" i="2"/>
  <c r="BG20" i="2" s="1"/>
  <c r="BK1" i="2"/>
  <c r="CD1" i="2" s="1"/>
  <c r="BJ1" i="2"/>
  <c r="BJ151" i="2" s="1"/>
  <c r="BI1" i="2"/>
  <c r="BI151" i="2" s="1"/>
  <c r="BH1" i="2"/>
  <c r="BH151" i="2" s="1"/>
  <c r="BG1" i="2"/>
  <c r="BG151" i="2" s="1"/>
  <c r="BE133" i="7"/>
  <c r="BD133" i="7"/>
  <c r="BC133" i="7"/>
  <c r="BB133" i="7"/>
  <c r="BE132" i="7"/>
  <c r="BD132" i="7"/>
  <c r="BC132" i="7"/>
  <c r="BB132" i="7"/>
  <c r="BE131" i="7"/>
  <c r="BD131" i="7"/>
  <c r="BC131" i="7"/>
  <c r="BB131" i="7"/>
  <c r="BF131" i="7"/>
  <c r="BE128" i="7"/>
  <c r="BD128" i="7"/>
  <c r="BC128" i="7"/>
  <c r="BB128" i="7"/>
  <c r="BF128" i="7" s="1"/>
  <c r="BE127" i="7"/>
  <c r="BD127" i="7"/>
  <c r="BC127" i="7"/>
  <c r="BB127" i="7"/>
  <c r="BC119" i="7"/>
  <c r="BB119" i="7"/>
  <c r="BF119" i="7" s="1"/>
  <c r="BE118" i="7"/>
  <c r="BD118" i="7"/>
  <c r="BC118" i="7"/>
  <c r="BB118" i="7"/>
  <c r="BE117" i="7"/>
  <c r="BE137" i="7"/>
  <c r="BD117" i="7"/>
  <c r="BC117" i="7"/>
  <c r="BC137" i="7"/>
  <c r="BB117" i="7"/>
  <c r="BF117" i="7" s="1"/>
  <c r="BF95" i="7"/>
  <c r="BF92" i="7"/>
  <c r="BF90" i="7"/>
  <c r="BF85" i="7"/>
  <c r="BE80" i="7"/>
  <c r="BD80" i="7"/>
  <c r="BC80" i="7"/>
  <c r="BB80" i="7"/>
  <c r="BB50" i="7"/>
  <c r="BB95" i="7" s="1"/>
  <c r="BB46" i="7"/>
  <c r="BB92" i="7" s="1"/>
  <c r="BB44" i="7"/>
  <c r="BB90" i="7" s="1"/>
  <c r="BB39" i="7"/>
  <c r="BB85" i="7" s="1"/>
  <c r="BB33" i="7"/>
  <c r="BC33" i="7" s="1"/>
  <c r="BB32" i="7"/>
  <c r="BB78" i="7" s="1"/>
  <c r="BB30" i="7"/>
  <c r="BC30" i="7" s="1"/>
  <c r="BC76" i="7" s="1"/>
  <c r="BB76" i="7"/>
  <c r="BB29" i="7"/>
  <c r="BC29" i="7" s="1"/>
  <c r="BD29" i="7" s="1"/>
  <c r="BD75" i="7" s="1"/>
  <c r="BF3" i="7"/>
  <c r="BE3" i="7"/>
  <c r="BD3" i="7"/>
  <c r="BC3" i="7"/>
  <c r="BB3" i="7"/>
  <c r="CS266" i="1"/>
  <c r="CS240" i="1"/>
  <c r="CS239" i="1"/>
  <c r="CS125" i="1"/>
  <c r="CS66" i="1"/>
  <c r="CS14" i="1"/>
  <c r="CS1" i="1"/>
  <c r="CR266" i="1"/>
  <c r="CR240" i="1"/>
  <c r="CR239" i="1"/>
  <c r="CR125" i="1"/>
  <c r="CR66" i="1"/>
  <c r="CR14" i="1"/>
  <c r="CR1" i="1"/>
  <c r="CQ266" i="1"/>
  <c r="CQ240" i="1"/>
  <c r="CQ239" i="1"/>
  <c r="CQ125" i="1"/>
  <c r="CQ66" i="1"/>
  <c r="CQ14" i="1"/>
  <c r="CQ1" i="1"/>
  <c r="CB14" i="1"/>
  <c r="AG26" i="7"/>
  <c r="AG25" i="7"/>
  <c r="AG24" i="7"/>
  <c r="AZ133" i="7"/>
  <c r="AY133" i="7"/>
  <c r="AX133" i="7"/>
  <c r="AW133" i="7"/>
  <c r="AZ132" i="7"/>
  <c r="AY132" i="7"/>
  <c r="AX132" i="7"/>
  <c r="AW132" i="7"/>
  <c r="AZ131" i="7"/>
  <c r="AY131" i="7"/>
  <c r="AX131" i="7"/>
  <c r="AW131" i="7"/>
  <c r="AZ128" i="7"/>
  <c r="AY128" i="7"/>
  <c r="AX128" i="7"/>
  <c r="AW128" i="7"/>
  <c r="BA128" i="7"/>
  <c r="AZ127" i="7"/>
  <c r="AY127" i="7"/>
  <c r="AX127" i="7"/>
  <c r="AW127" i="7"/>
  <c r="BA127" i="7" s="1"/>
  <c r="AX119" i="7"/>
  <c r="BA119" i="7" s="1"/>
  <c r="AW119" i="7"/>
  <c r="AZ118" i="7"/>
  <c r="AY118" i="7"/>
  <c r="AX118" i="7"/>
  <c r="AW118" i="7"/>
  <c r="AZ117" i="7"/>
  <c r="AZ137" i="7" s="1"/>
  <c r="AY117" i="7"/>
  <c r="AY137" i="7" s="1"/>
  <c r="AX117" i="7"/>
  <c r="AW117" i="7"/>
  <c r="BA117" i="7" s="1"/>
  <c r="BA95" i="7"/>
  <c r="BA92" i="7"/>
  <c r="BA90" i="7"/>
  <c r="BA85" i="7"/>
  <c r="AZ80" i="7"/>
  <c r="AY80" i="7"/>
  <c r="AX80" i="7"/>
  <c r="AW80" i="7"/>
  <c r="AW50" i="7"/>
  <c r="AW95" i="7" s="1"/>
  <c r="AW46" i="7"/>
  <c r="AW92" i="7" s="1"/>
  <c r="AW44" i="7"/>
  <c r="AX44" i="7" s="1"/>
  <c r="AX90" i="7" s="1"/>
  <c r="AW39" i="7"/>
  <c r="AW85" i="7"/>
  <c r="AW33" i="7"/>
  <c r="AX33" i="7" s="1"/>
  <c r="AX79" i="7" s="1"/>
  <c r="AW32" i="7"/>
  <c r="AW78" i="7" s="1"/>
  <c r="AW30" i="7"/>
  <c r="AX30" i="7" s="1"/>
  <c r="AW76" i="7"/>
  <c r="AW29" i="7"/>
  <c r="AW75" i="7" s="1"/>
  <c r="BA3" i="7"/>
  <c r="AZ3" i="7"/>
  <c r="AY3" i="7"/>
  <c r="AX3" i="7"/>
  <c r="AW3" i="7"/>
  <c r="AU133" i="7"/>
  <c r="AT133" i="7"/>
  <c r="AS133" i="7"/>
  <c r="AR133" i="7"/>
  <c r="AU132" i="7"/>
  <c r="AT132" i="7"/>
  <c r="AS132" i="7"/>
  <c r="AR132" i="7"/>
  <c r="AU131" i="7"/>
  <c r="AT131" i="7"/>
  <c r="AS131" i="7"/>
  <c r="AR131" i="7"/>
  <c r="AU128" i="7"/>
  <c r="AT128" i="7"/>
  <c r="AS128" i="7"/>
  <c r="AR128" i="7"/>
  <c r="AV128" i="7" s="1"/>
  <c r="AU127" i="7"/>
  <c r="AT127" i="7"/>
  <c r="AS127" i="7"/>
  <c r="AR127" i="7"/>
  <c r="AS119" i="7"/>
  <c r="AR119" i="7"/>
  <c r="AV119" i="7" s="1"/>
  <c r="AU118" i="7"/>
  <c r="AT118" i="7"/>
  <c r="AS118" i="7"/>
  <c r="AR118" i="7"/>
  <c r="AV118" i="7" s="1"/>
  <c r="AU117" i="7"/>
  <c r="AT117" i="7"/>
  <c r="AS117" i="7"/>
  <c r="AS137" i="7" s="1"/>
  <c r="AR117" i="7"/>
  <c r="AV117" i="7" s="1"/>
  <c r="AV95" i="7"/>
  <c r="AV92" i="7"/>
  <c r="AV90" i="7"/>
  <c r="AV85" i="7"/>
  <c r="AU80" i="7"/>
  <c r="AT80" i="7"/>
  <c r="AS80" i="7"/>
  <c r="AV80" i="7" s="1"/>
  <c r="AR80" i="7"/>
  <c r="AR50" i="7"/>
  <c r="AS50" i="7" s="1"/>
  <c r="AT50" i="7" s="1"/>
  <c r="AT95" i="7" s="1"/>
  <c r="AR95" i="7"/>
  <c r="AR46" i="7"/>
  <c r="AR92" i="7" s="1"/>
  <c r="AR44" i="7"/>
  <c r="AR90" i="7" s="1"/>
  <c r="AS44" i="7"/>
  <c r="AT44" i="7" s="1"/>
  <c r="AR39" i="7"/>
  <c r="AR85" i="7" s="1"/>
  <c r="AR33" i="7"/>
  <c r="AR79" i="7" s="1"/>
  <c r="AR32" i="7"/>
  <c r="AS32" i="7" s="1"/>
  <c r="AR30" i="7"/>
  <c r="AR76" i="7"/>
  <c r="AR29" i="7"/>
  <c r="AR75" i="7" s="1"/>
  <c r="AV3" i="7"/>
  <c r="AU3" i="7"/>
  <c r="AT3" i="7"/>
  <c r="AS3" i="7"/>
  <c r="AR3" i="7"/>
  <c r="BR641" i="1"/>
  <c r="BS641" i="1" s="1"/>
  <c r="BT641" i="1" s="1"/>
  <c r="BU641" i="1" s="1"/>
  <c r="BU614" i="1"/>
  <c r="BT614" i="1"/>
  <c r="BS614" i="1"/>
  <c r="BR614" i="1"/>
  <c r="BR615" i="1" s="1"/>
  <c r="BR617" i="1" s="1"/>
  <c r="BU609" i="1"/>
  <c r="BT609" i="1"/>
  <c r="BS609" i="1"/>
  <c r="BR609" i="1"/>
  <c r="BV608" i="1"/>
  <c r="BU607" i="1"/>
  <c r="BT607" i="1"/>
  <c r="BS607" i="1"/>
  <c r="BR607" i="1"/>
  <c r="BU606" i="1"/>
  <c r="BT606" i="1"/>
  <c r="BS606" i="1"/>
  <c r="BR606" i="1"/>
  <c r="BU603" i="1"/>
  <c r="BT603" i="1"/>
  <c r="BS603" i="1"/>
  <c r="BR603" i="1"/>
  <c r="BV602" i="1"/>
  <c r="BU601" i="1"/>
  <c r="BT601" i="1"/>
  <c r="BS601" i="1"/>
  <c r="BR601" i="1"/>
  <c r="BU600" i="1"/>
  <c r="BT600" i="1"/>
  <c r="BS600" i="1"/>
  <c r="BR600" i="1"/>
  <c r="BV596" i="1"/>
  <c r="BU587" i="1"/>
  <c r="BT587" i="1"/>
  <c r="BS587" i="1"/>
  <c r="BR587" i="1"/>
  <c r="BV582" i="1"/>
  <c r="BU582" i="1"/>
  <c r="BT582" i="1"/>
  <c r="BS582" i="1"/>
  <c r="BR582" i="1"/>
  <c r="BU578" i="1"/>
  <c r="BT578" i="1"/>
  <c r="BS578" i="1"/>
  <c r="BR578" i="1"/>
  <c r="BV574" i="1"/>
  <c r="BU574" i="1"/>
  <c r="BT574" i="1"/>
  <c r="BS574" i="1"/>
  <c r="BR574" i="1"/>
  <c r="BV573" i="1"/>
  <c r="BU573" i="1"/>
  <c r="BT573" i="1"/>
  <c r="BS573" i="1"/>
  <c r="BR573" i="1"/>
  <c r="BV572" i="1"/>
  <c r="BU572" i="1"/>
  <c r="BT572" i="1"/>
  <c r="BS572" i="1"/>
  <c r="BR572" i="1"/>
  <c r="BU570" i="1"/>
  <c r="BT570" i="1"/>
  <c r="BS570" i="1"/>
  <c r="BR570" i="1"/>
  <c r="BU566" i="1"/>
  <c r="BT566" i="1"/>
  <c r="BS566" i="1"/>
  <c r="BR566" i="1"/>
  <c r="BU542" i="1"/>
  <c r="BT542" i="1"/>
  <c r="BS542" i="1"/>
  <c r="BR542" i="1"/>
  <c r="BV448" i="1"/>
  <c r="BU448" i="1"/>
  <c r="BT448" i="1"/>
  <c r="BS448" i="1"/>
  <c r="BR448" i="1"/>
  <c r="BU413" i="1"/>
  <c r="BT413" i="1"/>
  <c r="BS413" i="1"/>
  <c r="BR413" i="1"/>
  <c r="BV413" i="1" s="1"/>
  <c r="BU412" i="1"/>
  <c r="BT412" i="1"/>
  <c r="BS412" i="1"/>
  <c r="BR412" i="1"/>
  <c r="BV412" i="1" s="1"/>
  <c r="BU399" i="1"/>
  <c r="BT399" i="1"/>
  <c r="BS399" i="1"/>
  <c r="BR399" i="1"/>
  <c r="BU115" i="1"/>
  <c r="BU405" i="1" s="1"/>
  <c r="AQ3" i="7"/>
  <c r="AP3" i="7"/>
  <c r="AO3" i="7"/>
  <c r="AN3" i="7"/>
  <c r="AM3" i="7"/>
  <c r="AL3" i="7"/>
  <c r="BV393" i="1"/>
  <c r="BU393" i="1"/>
  <c r="BU406" i="1" s="1"/>
  <c r="BT393" i="1"/>
  <c r="BT406" i="1" s="1"/>
  <c r="BS393" i="1"/>
  <c r="BS406" i="1" s="1"/>
  <c r="BR393" i="1"/>
  <c r="BR406" i="1" s="1"/>
  <c r="BV406" i="1" s="1"/>
  <c r="BV331" i="1"/>
  <c r="CS331" i="1" s="1"/>
  <c r="BV284" i="1"/>
  <c r="CS284" i="1" s="1"/>
  <c r="BU284" i="1"/>
  <c r="BT284" i="1"/>
  <c r="BS284" i="1"/>
  <c r="BR284" i="1"/>
  <c r="BV280" i="1"/>
  <c r="BV265" i="1"/>
  <c r="CS265" i="1" s="1"/>
  <c r="BV230" i="1"/>
  <c r="CS230" i="1" s="1"/>
  <c r="BU230" i="1"/>
  <c r="BT230" i="1"/>
  <c r="BS230" i="1"/>
  <c r="BR230" i="1"/>
  <c r="BV170" i="1"/>
  <c r="CS170" i="1" s="1"/>
  <c r="BU170" i="1"/>
  <c r="BT170" i="1"/>
  <c r="BS170" i="1"/>
  <c r="BR170" i="1"/>
  <c r="BV159" i="1"/>
  <c r="CS159" i="1" s="1"/>
  <c r="BU154" i="1"/>
  <c r="BU486" i="1" s="1"/>
  <c r="BT154" i="1"/>
  <c r="BT486" i="1" s="1"/>
  <c r="BS154" i="1"/>
  <c r="BS486" i="1" s="1"/>
  <c r="BR154" i="1"/>
  <c r="BR486" i="1" s="1"/>
  <c r="BU153" i="1"/>
  <c r="BT153" i="1"/>
  <c r="BV153" i="1" s="1"/>
  <c r="CS153" i="1" s="1"/>
  <c r="BS153" i="1"/>
  <c r="BR153" i="1"/>
  <c r="BU152" i="1"/>
  <c r="BT152" i="1"/>
  <c r="BS152" i="1"/>
  <c r="BR152" i="1"/>
  <c r="BU485" i="1"/>
  <c r="BT485" i="1"/>
  <c r="BS485" i="1"/>
  <c r="BR485" i="1"/>
  <c r="BV150" i="1"/>
  <c r="CS150" i="1" s="1"/>
  <c r="BV149" i="1"/>
  <c r="CS149" i="1" s="1"/>
  <c r="BV148" i="1"/>
  <c r="CS148" i="1" s="1"/>
  <c r="BV147" i="1"/>
  <c r="CS147" i="1" s="1"/>
  <c r="BV140" i="1"/>
  <c r="CS140" i="1" s="1"/>
  <c r="BV139" i="1"/>
  <c r="CS139" i="1" s="1"/>
  <c r="BV138" i="1"/>
  <c r="CS138" i="1" s="1"/>
  <c r="BV123" i="1"/>
  <c r="CS123" i="1" s="1"/>
  <c r="BV122" i="1"/>
  <c r="CS122" i="1" s="1"/>
  <c r="BV121" i="1"/>
  <c r="CS121" i="1" s="1"/>
  <c r="BV120" i="1"/>
  <c r="CS120" i="1" s="1"/>
  <c r="BV118" i="1"/>
  <c r="CS118" i="1" s="1"/>
  <c r="BV111" i="1"/>
  <c r="CS111" i="1" s="1"/>
  <c r="BV56" i="1"/>
  <c r="CS56" i="1" s="1"/>
  <c r="BV55" i="1"/>
  <c r="CS55" i="1" s="1"/>
  <c r="BV51" i="1"/>
  <c r="BV47" i="1"/>
  <c r="CS47" i="1" s="1"/>
  <c r="BU24" i="1"/>
  <c r="BT24" i="1"/>
  <c r="BS24" i="1"/>
  <c r="BR24" i="1"/>
  <c r="BV11" i="1"/>
  <c r="CS11" i="1" s="1"/>
  <c r="BU11" i="1"/>
  <c r="BU111" i="1" s="1"/>
  <c r="AZ112" i="7" s="1"/>
  <c r="BT11" i="1"/>
  <c r="BT111" i="1" s="1"/>
  <c r="AY112" i="7" s="1"/>
  <c r="BS11" i="1"/>
  <c r="BS111" i="1" s="1"/>
  <c r="AX112" i="7" s="1"/>
  <c r="BR11" i="1"/>
  <c r="BR111" i="1" s="1"/>
  <c r="AW112" i="7" s="1"/>
  <c r="BE64" i="2"/>
  <c r="BE65" i="2" s="1"/>
  <c r="BD64" i="2"/>
  <c r="BD65" i="2" s="1"/>
  <c r="BC64" i="2"/>
  <c r="BC65" i="2" s="1"/>
  <c r="BB64" i="2"/>
  <c r="BB63" i="2" s="1"/>
  <c r="BE34" i="2"/>
  <c r="BD34" i="2"/>
  <c r="BC34" i="2"/>
  <c r="BB34" i="2"/>
  <c r="BE33" i="2"/>
  <c r="BD33" i="2"/>
  <c r="BC33" i="2"/>
  <c r="BE27" i="2"/>
  <c r="BE28" i="2" s="1"/>
  <c r="BD27" i="2"/>
  <c r="BD28" i="2" s="1"/>
  <c r="BC27" i="2"/>
  <c r="BB27" i="2"/>
  <c r="BB28" i="2" s="1"/>
  <c r="BE26" i="2"/>
  <c r="BD26" i="2"/>
  <c r="BC26" i="2"/>
  <c r="BB26" i="2"/>
  <c r="BE25" i="2"/>
  <c r="BU565" i="1" s="1"/>
  <c r="BE19" i="2"/>
  <c r="BE18" i="2" s="1"/>
  <c r="BD19" i="2"/>
  <c r="BD20" i="2" s="1"/>
  <c r="BC19" i="2"/>
  <c r="BB19" i="2"/>
  <c r="BB18" i="2" s="1"/>
  <c r="BF1" i="2"/>
  <c r="CC1" i="2" s="1"/>
  <c r="BE1" i="2"/>
  <c r="BE151" i="2" s="1"/>
  <c r="BD1" i="2"/>
  <c r="BD151" i="2" s="1"/>
  <c r="BC1" i="2"/>
  <c r="BC151" i="2" s="1"/>
  <c r="BB1" i="2"/>
  <c r="BB151" i="2" s="1"/>
  <c r="BA1" i="2"/>
  <c r="CB1" i="2" s="1"/>
  <c r="AZ1" i="2"/>
  <c r="AY1" i="2"/>
  <c r="AY151" i="2" s="1"/>
  <c r="AX1" i="2"/>
  <c r="AX151" i="2" s="1"/>
  <c r="AW1" i="2"/>
  <c r="BQ51" i="1"/>
  <c r="BQ47" i="1"/>
  <c r="CR47" i="1" s="1"/>
  <c r="BM641" i="1"/>
  <c r="BN641" i="1" s="1"/>
  <c r="BO641" i="1" s="1"/>
  <c r="BP641" i="1" s="1"/>
  <c r="BP614" i="1"/>
  <c r="BO614" i="1"/>
  <c r="BN614" i="1"/>
  <c r="BN615" i="1" s="1"/>
  <c r="BN617" i="1" s="1"/>
  <c r="BM614" i="1"/>
  <c r="BM615" i="1" s="1"/>
  <c r="BM617" i="1" s="1"/>
  <c r="BP609" i="1"/>
  <c r="BP606" i="1"/>
  <c r="BO609" i="1"/>
  <c r="BN609" i="1"/>
  <c r="BM609" i="1"/>
  <c r="BQ608" i="1"/>
  <c r="BP607" i="1"/>
  <c r="BO607" i="1"/>
  <c r="BN607" i="1"/>
  <c r="BM607" i="1"/>
  <c r="BO606" i="1"/>
  <c r="BN606" i="1"/>
  <c r="BM606" i="1"/>
  <c r="BP603" i="1"/>
  <c r="BO603" i="1"/>
  <c r="BN603" i="1"/>
  <c r="BM603" i="1"/>
  <c r="BM600" i="1"/>
  <c r="BQ602" i="1"/>
  <c r="BP601" i="1"/>
  <c r="BO601" i="1"/>
  <c r="BN601" i="1"/>
  <c r="BM601" i="1"/>
  <c r="BP600" i="1"/>
  <c r="BO600" i="1"/>
  <c r="BN600" i="1"/>
  <c r="BQ596" i="1"/>
  <c r="BP587" i="1"/>
  <c r="BO587" i="1"/>
  <c r="BN587" i="1"/>
  <c r="BM587" i="1"/>
  <c r="BQ582" i="1"/>
  <c r="BP582" i="1"/>
  <c r="BO582" i="1"/>
  <c r="BN582" i="1"/>
  <c r="BM582" i="1"/>
  <c r="BP578" i="1"/>
  <c r="BO578" i="1"/>
  <c r="BN578" i="1"/>
  <c r="BM578" i="1"/>
  <c r="BQ574" i="1"/>
  <c r="BP574" i="1"/>
  <c r="BO574" i="1"/>
  <c r="BN574" i="1"/>
  <c r="BM574" i="1"/>
  <c r="BQ573" i="1"/>
  <c r="BP573" i="1"/>
  <c r="BO573" i="1"/>
  <c r="BN573" i="1"/>
  <c r="BM573" i="1"/>
  <c r="BQ572" i="1"/>
  <c r="BP572" i="1"/>
  <c r="BO572" i="1"/>
  <c r="BN572" i="1"/>
  <c r="BM572" i="1"/>
  <c r="BP570" i="1"/>
  <c r="BO570" i="1"/>
  <c r="BN570" i="1"/>
  <c r="BM570" i="1"/>
  <c r="BP566" i="1"/>
  <c r="BO566" i="1"/>
  <c r="BN566" i="1"/>
  <c r="BM566" i="1"/>
  <c r="BP542" i="1"/>
  <c r="BO542" i="1"/>
  <c r="BN542" i="1"/>
  <c r="BM542" i="1"/>
  <c r="BQ448" i="1"/>
  <c r="BP448" i="1"/>
  <c r="BO448" i="1"/>
  <c r="BN448" i="1"/>
  <c r="BM448" i="1"/>
  <c r="BP413" i="1"/>
  <c r="BO413" i="1"/>
  <c r="BN413" i="1"/>
  <c r="BM413" i="1"/>
  <c r="BQ413" i="1" s="1"/>
  <c r="BP412" i="1"/>
  <c r="BO412" i="1"/>
  <c r="BN412" i="1"/>
  <c r="BM412" i="1"/>
  <c r="BQ412" i="1" s="1"/>
  <c r="BP399" i="1"/>
  <c r="BO399" i="1"/>
  <c r="BN399" i="1"/>
  <c r="BM399" i="1"/>
  <c r="BQ399" i="1" s="1"/>
  <c r="BQ393" i="1"/>
  <c r="BP393" i="1"/>
  <c r="BP406" i="1" s="1"/>
  <c r="BO393" i="1"/>
  <c r="BO406" i="1" s="1"/>
  <c r="BN393" i="1"/>
  <c r="BN406" i="1" s="1"/>
  <c r="BQ406" i="1" s="1"/>
  <c r="BM393" i="1"/>
  <c r="BM406" i="1" s="1"/>
  <c r="BQ331" i="1"/>
  <c r="CR331" i="1" s="1"/>
  <c r="BQ284" i="1"/>
  <c r="CR284" i="1" s="1"/>
  <c r="BP284" i="1"/>
  <c r="BO284" i="1"/>
  <c r="BN284" i="1"/>
  <c r="BM284" i="1"/>
  <c r="BQ280" i="1"/>
  <c r="BQ265" i="1"/>
  <c r="CR265" i="1" s="1"/>
  <c r="BQ230" i="1"/>
  <c r="CR230" i="1" s="1"/>
  <c r="BP230" i="1"/>
  <c r="BO230" i="1"/>
  <c r="BN230" i="1"/>
  <c r="BM230" i="1"/>
  <c r="BQ170" i="1"/>
  <c r="CR170" i="1" s="1"/>
  <c r="BP170" i="1"/>
  <c r="BO170" i="1"/>
  <c r="BN170" i="1"/>
  <c r="BM170" i="1"/>
  <c r="BQ159" i="1"/>
  <c r="CR159" i="1" s="1"/>
  <c r="BP154" i="1"/>
  <c r="BP486" i="1" s="1"/>
  <c r="BO154" i="1"/>
  <c r="BO486" i="1" s="1"/>
  <c r="BN154" i="1"/>
  <c r="BN486" i="1" s="1"/>
  <c r="BM154" i="1"/>
  <c r="BM486" i="1" s="1"/>
  <c r="BP153" i="1"/>
  <c r="BO153" i="1"/>
  <c r="BN153" i="1"/>
  <c r="BM153" i="1"/>
  <c r="BP152" i="1"/>
  <c r="BO152" i="1"/>
  <c r="BN152" i="1"/>
  <c r="BM152" i="1"/>
  <c r="BQ152" i="1" s="1"/>
  <c r="CR152" i="1" s="1"/>
  <c r="BN485" i="1"/>
  <c r="BM485" i="1"/>
  <c r="BQ150" i="1"/>
  <c r="CR150" i="1" s="1"/>
  <c r="BQ149" i="1"/>
  <c r="CR149" i="1" s="1"/>
  <c r="BQ148" i="1"/>
  <c r="CR148" i="1" s="1"/>
  <c r="BQ147" i="1"/>
  <c r="CR147" i="1" s="1"/>
  <c r="BQ140" i="1"/>
  <c r="CR140" i="1" s="1"/>
  <c r="BQ139" i="1"/>
  <c r="CR139" i="1" s="1"/>
  <c r="BQ138" i="1"/>
  <c r="CR138" i="1" s="1"/>
  <c r="BQ123" i="1"/>
  <c r="CR123" i="1" s="1"/>
  <c r="BQ122" i="1"/>
  <c r="CR122" i="1" s="1"/>
  <c r="BQ121" i="1"/>
  <c r="CR121" i="1" s="1"/>
  <c r="BQ120" i="1"/>
  <c r="CR120" i="1" s="1"/>
  <c r="BQ118" i="1"/>
  <c r="CR118" i="1" s="1"/>
  <c r="BQ111" i="1"/>
  <c r="CR111" i="1" s="1"/>
  <c r="BQ56" i="1"/>
  <c r="CR56" i="1" s="1"/>
  <c r="BQ55" i="1"/>
  <c r="CR55" i="1" s="1"/>
  <c r="BP24" i="1"/>
  <c r="BO24" i="1"/>
  <c r="BN24" i="1"/>
  <c r="BM24" i="1"/>
  <c r="BQ11" i="1"/>
  <c r="CR11" i="1" s="1"/>
  <c r="BP11" i="1"/>
  <c r="BP111" i="1" s="1"/>
  <c r="AU112" i="7" s="1"/>
  <c r="BO11" i="1"/>
  <c r="BO111" i="1" s="1"/>
  <c r="AT112" i="7" s="1"/>
  <c r="BN11" i="1"/>
  <c r="BN111" i="1" s="1"/>
  <c r="AS112" i="7" s="1"/>
  <c r="BM11" i="1"/>
  <c r="BM111" i="1" s="1"/>
  <c r="AR112" i="7" s="1"/>
  <c r="AW64" i="2"/>
  <c r="AZ64" i="2"/>
  <c r="AY64" i="2"/>
  <c r="AX64" i="2"/>
  <c r="AX63" i="2" s="1"/>
  <c r="AW34" i="2"/>
  <c r="AW27" i="2"/>
  <c r="AZ34" i="2"/>
  <c r="AZ35" i="2" s="1"/>
  <c r="AY34" i="2"/>
  <c r="AX34" i="2"/>
  <c r="AZ27" i="2"/>
  <c r="AZ28" i="2" s="1"/>
  <c r="AY27" i="2"/>
  <c r="AX27" i="2"/>
  <c r="AZ19" i="2"/>
  <c r="AY19" i="2"/>
  <c r="AY17" i="2" s="1"/>
  <c r="BO586" i="1" s="1"/>
  <c r="AX19" i="2"/>
  <c r="AX17" i="2" s="1"/>
  <c r="BN586" i="1" s="1"/>
  <c r="AW19" i="2"/>
  <c r="AW18" i="2" s="1"/>
  <c r="AZ18" i="2"/>
  <c r="BA151" i="2"/>
  <c r="AZ151" i="2"/>
  <c r="AW151" i="2"/>
  <c r="AV1" i="2"/>
  <c r="CA1" i="2" s="1"/>
  <c r="AU1" i="2"/>
  <c r="AU151" i="2" s="1"/>
  <c r="AT1" i="2"/>
  <c r="AT151" i="2" s="1"/>
  <c r="AS1" i="2"/>
  <c r="AS151" i="2" s="1"/>
  <c r="AR1" i="2"/>
  <c r="AR151" i="2" s="1"/>
  <c r="AM133" i="7"/>
  <c r="AM132" i="7"/>
  <c r="AM131" i="7"/>
  <c r="AM128" i="7"/>
  <c r="AM127" i="7"/>
  <c r="AM119" i="7"/>
  <c r="AM118" i="7"/>
  <c r="AM117" i="7"/>
  <c r="AM80" i="7"/>
  <c r="AM50" i="7"/>
  <c r="AM95" i="7" s="1"/>
  <c r="AM46" i="7"/>
  <c r="AM92" i="7" s="1"/>
  <c r="AM44" i="7"/>
  <c r="AM90" i="7"/>
  <c r="AM39" i="7"/>
  <c r="AM85" i="7" s="1"/>
  <c r="AM33" i="7"/>
  <c r="AN33" i="7" s="1"/>
  <c r="AN79" i="7" s="1"/>
  <c r="AM32" i="7"/>
  <c r="AM78" i="7" s="1"/>
  <c r="AM30" i="7"/>
  <c r="AM76" i="7"/>
  <c r="AM29" i="7"/>
  <c r="AM75" i="7" s="1"/>
  <c r="AP133" i="7"/>
  <c r="AO133" i="7"/>
  <c r="AN133" i="7"/>
  <c r="AP132" i="7"/>
  <c r="AO132" i="7"/>
  <c r="AN132" i="7"/>
  <c r="AP131" i="7"/>
  <c r="AO131" i="7"/>
  <c r="AN131" i="7"/>
  <c r="AP128" i="7"/>
  <c r="AO128" i="7"/>
  <c r="AN128" i="7"/>
  <c r="AP127" i="7"/>
  <c r="AO127" i="7"/>
  <c r="AN127" i="7"/>
  <c r="AN119" i="7"/>
  <c r="AP118" i="7"/>
  <c r="AO118" i="7"/>
  <c r="AN118" i="7"/>
  <c r="AP117" i="7"/>
  <c r="AO117" i="7"/>
  <c r="AO137" i="7" s="1"/>
  <c r="AN117" i="7"/>
  <c r="AQ95" i="7"/>
  <c r="AQ92" i="7"/>
  <c r="AQ90" i="7"/>
  <c r="AQ85" i="7"/>
  <c r="AP80" i="7"/>
  <c r="AO80" i="7"/>
  <c r="AN80" i="7"/>
  <c r="AN39" i="7"/>
  <c r="AN85" i="7" s="1"/>
  <c r="BI485" i="1"/>
  <c r="BL151" i="1"/>
  <c r="CQ151" i="1" s="1"/>
  <c r="BM345" i="1"/>
  <c r="BH279" i="1"/>
  <c r="BH346" i="1" s="1"/>
  <c r="BH344" i="1" s="1"/>
  <c r="BH11" i="1"/>
  <c r="BH111" i="1" s="1"/>
  <c r="AM112" i="7" s="1"/>
  <c r="BH24" i="1"/>
  <c r="BH115" i="1"/>
  <c r="BH405" i="1" s="1"/>
  <c r="BH152" i="1"/>
  <c r="BH153" i="1"/>
  <c r="BH154" i="1"/>
  <c r="BH170" i="1"/>
  <c r="BH230" i="1"/>
  <c r="BH284" i="1"/>
  <c r="BH393" i="1"/>
  <c r="BH406" i="1" s="1"/>
  <c r="BH399" i="1"/>
  <c r="BH412" i="1"/>
  <c r="BH413" i="1"/>
  <c r="BH448" i="1"/>
  <c r="BH542" i="1"/>
  <c r="BH566" i="1"/>
  <c r="BH570" i="1"/>
  <c r="BH572" i="1"/>
  <c r="BH573" i="1"/>
  <c r="BH574" i="1"/>
  <c r="BH578" i="1"/>
  <c r="BH582" i="1"/>
  <c r="BH587" i="1"/>
  <c r="BH601" i="1"/>
  <c r="BH603" i="1"/>
  <c r="BH600" i="1"/>
  <c r="BH606" i="1"/>
  <c r="BH607" i="1"/>
  <c r="BH609" i="1"/>
  <c r="BH641" i="1"/>
  <c r="BI641" i="1" s="1"/>
  <c r="BJ641" i="1" s="1"/>
  <c r="BK641" i="1" s="1"/>
  <c r="BK609" i="1"/>
  <c r="BK606" i="1"/>
  <c r="BJ609" i="1"/>
  <c r="BJ606" i="1"/>
  <c r="BI609" i="1"/>
  <c r="BK607" i="1"/>
  <c r="BJ607" i="1"/>
  <c r="BI607" i="1"/>
  <c r="BI606" i="1"/>
  <c r="BK603" i="1"/>
  <c r="BK600" i="1"/>
  <c r="BJ603" i="1"/>
  <c r="BI603" i="1"/>
  <c r="BK601" i="1"/>
  <c r="BJ601" i="1"/>
  <c r="BI601" i="1"/>
  <c r="BJ600" i="1"/>
  <c r="BI600" i="1"/>
  <c r="BK587" i="1"/>
  <c r="BJ587" i="1"/>
  <c r="BI587" i="1"/>
  <c r="BK582" i="1"/>
  <c r="BJ582" i="1"/>
  <c r="BI582" i="1"/>
  <c r="BK578" i="1"/>
  <c r="BJ578" i="1"/>
  <c r="BI578" i="1"/>
  <c r="BK574" i="1"/>
  <c r="BJ574" i="1"/>
  <c r="BI574" i="1"/>
  <c r="BK573" i="1"/>
  <c r="BJ573" i="1"/>
  <c r="BI573" i="1"/>
  <c r="BK572" i="1"/>
  <c r="BJ572" i="1"/>
  <c r="BI572" i="1"/>
  <c r="BK570" i="1"/>
  <c r="BJ570" i="1"/>
  <c r="BI570" i="1"/>
  <c r="BK566" i="1"/>
  <c r="BJ566" i="1"/>
  <c r="BI566" i="1"/>
  <c r="BK542" i="1"/>
  <c r="BJ542" i="1"/>
  <c r="BI542" i="1"/>
  <c r="BJ485" i="1"/>
  <c r="BK448" i="1"/>
  <c r="BJ448" i="1"/>
  <c r="BI448" i="1"/>
  <c r="BK413" i="1"/>
  <c r="BJ413" i="1"/>
  <c r="BI413" i="1"/>
  <c r="BK412" i="1"/>
  <c r="BJ412" i="1"/>
  <c r="BI412" i="1"/>
  <c r="BK399" i="1"/>
  <c r="BJ399" i="1"/>
  <c r="BI399" i="1"/>
  <c r="BK393" i="1"/>
  <c r="BK406" i="1" s="1"/>
  <c r="BJ393" i="1"/>
  <c r="BJ406" i="1" s="1"/>
  <c r="BI393" i="1"/>
  <c r="BI406" i="1" s="1"/>
  <c r="BK284" i="1"/>
  <c r="BJ284" i="1"/>
  <c r="BI284" i="1"/>
  <c r="BK230" i="1"/>
  <c r="BJ230" i="1"/>
  <c r="BI230" i="1"/>
  <c r="BK170" i="1"/>
  <c r="BJ170" i="1"/>
  <c r="BI170" i="1"/>
  <c r="BK154" i="1"/>
  <c r="BK486" i="1" s="1"/>
  <c r="BJ154" i="1"/>
  <c r="BJ486" i="1" s="1"/>
  <c r="BI154" i="1"/>
  <c r="BI486" i="1" s="1"/>
  <c r="BK153" i="1"/>
  <c r="BJ153" i="1"/>
  <c r="BI153" i="1"/>
  <c r="BK152" i="1"/>
  <c r="BJ152" i="1"/>
  <c r="BI152" i="1"/>
  <c r="BK24" i="1"/>
  <c r="BJ24" i="1"/>
  <c r="BI24" i="1"/>
  <c r="BK11" i="1"/>
  <c r="BK111" i="1" s="1"/>
  <c r="AP112" i="7" s="1"/>
  <c r="BJ11" i="1"/>
  <c r="BJ111" i="1" s="1"/>
  <c r="AO112" i="7" s="1"/>
  <c r="BI11" i="1"/>
  <c r="BI111" i="1" s="1"/>
  <c r="AN112" i="7" s="1"/>
  <c r="BL608" i="1"/>
  <c r="BL602" i="1"/>
  <c r="BL596" i="1"/>
  <c r="BL582" i="1"/>
  <c r="BL574" i="1"/>
  <c r="BL573" i="1"/>
  <c r="BL572" i="1"/>
  <c r="BL448" i="1"/>
  <c r="BL393" i="1"/>
  <c r="BL331" i="1"/>
  <c r="CQ331" i="1" s="1"/>
  <c r="BL284" i="1"/>
  <c r="CQ284" i="1" s="1"/>
  <c r="BL280" i="1"/>
  <c r="BL265" i="1"/>
  <c r="CQ265" i="1" s="1"/>
  <c r="BL230" i="1"/>
  <c r="CQ230" i="1" s="1"/>
  <c r="BL170" i="1"/>
  <c r="CQ170" i="1" s="1"/>
  <c r="BL159" i="1"/>
  <c r="CQ159" i="1" s="1"/>
  <c r="BL150" i="1"/>
  <c r="CQ150" i="1" s="1"/>
  <c r="BL149" i="1"/>
  <c r="CQ149" i="1" s="1"/>
  <c r="BL148" i="1"/>
  <c r="CQ148" i="1" s="1"/>
  <c r="BL147" i="1"/>
  <c r="CQ147" i="1" s="1"/>
  <c r="BL140" i="1"/>
  <c r="CQ140" i="1" s="1"/>
  <c r="BL139" i="1"/>
  <c r="CQ139" i="1" s="1"/>
  <c r="BL138" i="1"/>
  <c r="CQ138" i="1" s="1"/>
  <c r="BL123" i="1"/>
  <c r="CQ123" i="1" s="1"/>
  <c r="BL122" i="1"/>
  <c r="CQ122" i="1" s="1"/>
  <c r="BL121" i="1"/>
  <c r="CQ121" i="1" s="1"/>
  <c r="BL120" i="1"/>
  <c r="CQ120" i="1" s="1"/>
  <c r="BL118" i="1"/>
  <c r="CQ118" i="1" s="1"/>
  <c r="BL111" i="1"/>
  <c r="CQ111" i="1" s="1"/>
  <c r="BL56" i="1"/>
  <c r="CQ56" i="1" s="1"/>
  <c r="BL55" i="1"/>
  <c r="CQ55" i="1" s="1"/>
  <c r="BL51" i="1"/>
  <c r="BL47" i="1"/>
  <c r="CQ47" i="1" s="1"/>
  <c r="BL39" i="1"/>
  <c r="CQ39" i="1" s="1"/>
  <c r="BL11" i="1"/>
  <c r="CQ11" i="1" s="1"/>
  <c r="AT33" i="2"/>
  <c r="AU34" i="2"/>
  <c r="AS17" i="2"/>
  <c r="AT19" i="2"/>
  <c r="AT18" i="2" s="1"/>
  <c r="AU19" i="2"/>
  <c r="AU18" i="2" s="1"/>
  <c r="AR17" i="2"/>
  <c r="BH586" i="1" s="1"/>
  <c r="AR63" i="2"/>
  <c r="AT32" i="2"/>
  <c r="BJ569" i="1" s="1"/>
  <c r="AR4" i="2"/>
  <c r="BG39" i="1"/>
  <c r="CP39" i="1" s="1"/>
  <c r="BR52" i="2"/>
  <c r="BC383" i="1"/>
  <c r="AH55" i="7"/>
  <c r="AM5" i="2"/>
  <c r="BC448" i="1"/>
  <c r="BC424" i="1"/>
  <c r="BD425" i="1" s="1"/>
  <c r="BD426" i="1" s="1"/>
  <c r="BC423" i="1"/>
  <c r="BC418" i="1"/>
  <c r="BC415" i="1"/>
  <c r="BD411" i="1" s="1"/>
  <c r="BD413" i="1" s="1"/>
  <c r="BC412" i="1"/>
  <c r="BC408" i="1"/>
  <c r="BD404" i="1" s="1"/>
  <c r="BC405" i="1"/>
  <c r="BC401" i="1"/>
  <c r="BD396" i="1" s="1"/>
  <c r="BC398" i="1"/>
  <c r="BC397" i="1"/>
  <c r="BC209" i="1"/>
  <c r="BC360" i="1"/>
  <c r="BB184" i="1"/>
  <c r="CO184" i="1" s="1"/>
  <c r="BF437" i="1"/>
  <c r="BD486" i="1"/>
  <c r="BE486" i="1"/>
  <c r="BF486" i="1"/>
  <c r="BC138" i="1"/>
  <c r="BD138" i="1" s="1"/>
  <c r="BE138" i="1" s="1"/>
  <c r="BC124" i="1"/>
  <c r="BD124" i="1" s="1"/>
  <c r="BE124" i="1" s="1"/>
  <c r="AM62" i="2"/>
  <c r="BC577" i="1" s="1"/>
  <c r="AM32" i="2"/>
  <c r="BC569" i="1" s="1"/>
  <c r="AM25" i="2"/>
  <c r="BC565" i="1" s="1"/>
  <c r="AM16" i="2"/>
  <c r="AG3" i="7"/>
  <c r="AH70" i="7"/>
  <c r="AU418" i="1"/>
  <c r="AV418" i="1"/>
  <c r="AY418" i="1"/>
  <c r="AZ418" i="1"/>
  <c r="BA418" i="1"/>
  <c r="BG280" i="1"/>
  <c r="AL141" i="7"/>
  <c r="AG141" i="7"/>
  <c r="AB141" i="7"/>
  <c r="AA141" i="7"/>
  <c r="Y141" i="7"/>
  <c r="Q141" i="7"/>
  <c r="P141" i="7"/>
  <c r="B137" i="7"/>
  <c r="AK133" i="7"/>
  <c r="AJ133" i="7"/>
  <c r="AI133" i="7"/>
  <c r="AH133" i="7"/>
  <c r="AF133" i="7"/>
  <c r="AE133" i="7"/>
  <c r="AD133" i="7"/>
  <c r="AC133" i="7"/>
  <c r="AA133" i="7"/>
  <c r="Z133" i="7"/>
  <c r="Y133" i="7"/>
  <c r="X133" i="7"/>
  <c r="AB133" i="7" s="1"/>
  <c r="V133" i="7"/>
  <c r="U133" i="7"/>
  <c r="T133" i="7"/>
  <c r="S133" i="7"/>
  <c r="W133" i="7" s="1"/>
  <c r="Q133" i="7"/>
  <c r="P133" i="7"/>
  <c r="O133" i="7"/>
  <c r="N133" i="7"/>
  <c r="R133" i="7" s="1"/>
  <c r="AK132" i="7"/>
  <c r="AJ132" i="7"/>
  <c r="AI132" i="7"/>
  <c r="AH132" i="7"/>
  <c r="AL132" i="7" s="1"/>
  <c r="AF132" i="7"/>
  <c r="AE132" i="7"/>
  <c r="AD132" i="7"/>
  <c r="AC132" i="7"/>
  <c r="AA132" i="7"/>
  <c r="Z132" i="7"/>
  <c r="Y132" i="7"/>
  <c r="X132" i="7"/>
  <c r="V132" i="7"/>
  <c r="U132" i="7"/>
  <c r="T132" i="7"/>
  <c r="S132" i="7"/>
  <c r="Q132" i="7"/>
  <c r="P132" i="7"/>
  <c r="O132" i="7"/>
  <c r="N132" i="7"/>
  <c r="AK131" i="7"/>
  <c r="AJ131" i="7"/>
  <c r="AI131" i="7"/>
  <c r="AH131" i="7"/>
  <c r="AF131" i="7"/>
  <c r="AE131" i="7"/>
  <c r="AD131" i="7"/>
  <c r="AC131" i="7"/>
  <c r="AA131" i="7"/>
  <c r="Z131" i="7"/>
  <c r="Y131" i="7"/>
  <c r="X131" i="7"/>
  <c r="V131" i="7"/>
  <c r="U131" i="7"/>
  <c r="T131" i="7"/>
  <c r="S131" i="7"/>
  <c r="Q131" i="7"/>
  <c r="P131" i="7"/>
  <c r="O131" i="7"/>
  <c r="N131" i="7"/>
  <c r="AK128" i="7"/>
  <c r="AJ128" i="7"/>
  <c r="AI128" i="7"/>
  <c r="AH128" i="7"/>
  <c r="AF128" i="7"/>
  <c r="AE128" i="7"/>
  <c r="AD128" i="7"/>
  <c r="AC128" i="7"/>
  <c r="AA128" i="7"/>
  <c r="Z128" i="7"/>
  <c r="Y128" i="7"/>
  <c r="X128" i="7"/>
  <c r="V128" i="7"/>
  <c r="U128" i="7"/>
  <c r="T128" i="7"/>
  <c r="S128" i="7"/>
  <c r="W128" i="7" s="1"/>
  <c r="Q128" i="7"/>
  <c r="P128" i="7"/>
  <c r="O128" i="7"/>
  <c r="N128" i="7"/>
  <c r="AK127" i="7"/>
  <c r="AJ127" i="7"/>
  <c r="AI127" i="7"/>
  <c r="AH127" i="7"/>
  <c r="AF127" i="7"/>
  <c r="AE127" i="7"/>
  <c r="AD127" i="7"/>
  <c r="AC127" i="7"/>
  <c r="AA127" i="7"/>
  <c r="Z127" i="7"/>
  <c r="Y127" i="7"/>
  <c r="X127" i="7"/>
  <c r="V127" i="7"/>
  <c r="U127" i="7"/>
  <c r="T127" i="7"/>
  <c r="S127" i="7"/>
  <c r="Q127" i="7"/>
  <c r="P127" i="7"/>
  <c r="O127" i="7"/>
  <c r="N127" i="7"/>
  <c r="Q126" i="7"/>
  <c r="P126" i="7"/>
  <c r="O126" i="7"/>
  <c r="N126" i="7"/>
  <c r="R126" i="7" s="1"/>
  <c r="N125" i="7"/>
  <c r="O125" i="7" s="1"/>
  <c r="R125" i="7" s="1"/>
  <c r="Y122" i="7"/>
  <c r="X122" i="7"/>
  <c r="T122" i="7"/>
  <c r="S122" i="7"/>
  <c r="P122" i="7"/>
  <c r="O122" i="7"/>
  <c r="N122" i="7"/>
  <c r="AI119" i="7"/>
  <c r="AH119" i="7"/>
  <c r="AD119" i="7"/>
  <c r="AD137" i="7" s="1"/>
  <c r="AG119" i="7"/>
  <c r="AC119" i="7"/>
  <c r="AA119" i="7"/>
  <c r="Z119" i="7"/>
  <c r="Y119" i="7"/>
  <c r="Y137" i="7" s="1"/>
  <c r="X119" i="7"/>
  <c r="V119" i="7"/>
  <c r="U119" i="7"/>
  <c r="T119" i="7"/>
  <c r="W119" i="7" s="1"/>
  <c r="S119" i="7"/>
  <c r="Q119" i="7"/>
  <c r="P119" i="7"/>
  <c r="R119" i="7"/>
  <c r="O119" i="7"/>
  <c r="N119" i="7"/>
  <c r="AK118" i="7"/>
  <c r="AJ118" i="7"/>
  <c r="AL118" i="7" s="1"/>
  <c r="AI118" i="7"/>
  <c r="AH118" i="7"/>
  <c r="AF118" i="7"/>
  <c r="AE118" i="7"/>
  <c r="AG118" i="7" s="1"/>
  <c r="AD118" i="7"/>
  <c r="AC118" i="7"/>
  <c r="AA118" i="7"/>
  <c r="Z118" i="7"/>
  <c r="AB118" i="7" s="1"/>
  <c r="Y118" i="7"/>
  <c r="X118" i="7"/>
  <c r="V118" i="7"/>
  <c r="U118" i="7"/>
  <c r="T118" i="7"/>
  <c r="S118" i="7"/>
  <c r="Q118" i="7"/>
  <c r="P118" i="7"/>
  <c r="O118" i="7"/>
  <c r="N118" i="7"/>
  <c r="AK117" i="7"/>
  <c r="AK137" i="7" s="1"/>
  <c r="AJ117" i="7"/>
  <c r="AI117" i="7"/>
  <c r="AH117" i="7"/>
  <c r="AF117" i="7"/>
  <c r="AE117" i="7"/>
  <c r="AD117" i="7"/>
  <c r="AC117" i="7"/>
  <c r="AA117" i="7"/>
  <c r="BA141" i="7" s="1"/>
  <c r="Z117" i="7"/>
  <c r="Y117" i="7"/>
  <c r="X117" i="7"/>
  <c r="V117" i="7"/>
  <c r="AV141" i="7" s="1"/>
  <c r="U117" i="7"/>
  <c r="T117" i="7"/>
  <c r="S117" i="7"/>
  <c r="Q117" i="7"/>
  <c r="AQ141" i="7" s="1"/>
  <c r="P117" i="7"/>
  <c r="O117" i="7"/>
  <c r="N117" i="7"/>
  <c r="Q116" i="7"/>
  <c r="Q137" i="7" s="1"/>
  <c r="P116" i="7"/>
  <c r="O116" i="7"/>
  <c r="N116" i="7"/>
  <c r="P115" i="7"/>
  <c r="O115" i="7"/>
  <c r="N115" i="7"/>
  <c r="N114" i="7"/>
  <c r="O114" i="7" s="1"/>
  <c r="AI105" i="7"/>
  <c r="AH105" i="7"/>
  <c r="AF105" i="7"/>
  <c r="AE105" i="7"/>
  <c r="AD105" i="7"/>
  <c r="AC105" i="7"/>
  <c r="AA105" i="7"/>
  <c r="Z105" i="7"/>
  <c r="Y105" i="7"/>
  <c r="X105" i="7"/>
  <c r="V105" i="7"/>
  <c r="U105" i="7"/>
  <c r="S105" i="7"/>
  <c r="Q105" i="7"/>
  <c r="P105" i="7"/>
  <c r="O105" i="7"/>
  <c r="N105" i="7"/>
  <c r="K105" i="7"/>
  <c r="J105" i="7"/>
  <c r="I105" i="7"/>
  <c r="G105" i="7"/>
  <c r="F105" i="7"/>
  <c r="Z102" i="7"/>
  <c r="AA102" i="7" s="1"/>
  <c r="AB102" i="7" s="1"/>
  <c r="AC102" i="7" s="1"/>
  <c r="AD102" i="7" s="1"/>
  <c r="Y101" i="7"/>
  <c r="X101" i="7"/>
  <c r="V101" i="7"/>
  <c r="U101" i="7"/>
  <c r="T101" i="7"/>
  <c r="S101" i="7"/>
  <c r="Q101" i="7"/>
  <c r="P101" i="7"/>
  <c r="O101" i="7"/>
  <c r="N101" i="7"/>
  <c r="L101" i="7"/>
  <c r="K101" i="7"/>
  <c r="J101" i="7"/>
  <c r="I101" i="7"/>
  <c r="F101" i="7"/>
  <c r="AF98" i="7"/>
  <c r="AE98" i="7"/>
  <c r="AD98" i="7"/>
  <c r="AC98" i="7"/>
  <c r="AA98" i="7"/>
  <c r="Z98" i="7"/>
  <c r="Y98" i="7"/>
  <c r="AF97" i="7"/>
  <c r="AE97" i="7"/>
  <c r="AD97" i="7"/>
  <c r="AC97" i="7"/>
  <c r="AA97" i="7"/>
  <c r="Z97" i="7"/>
  <c r="Y97" i="7"/>
  <c r="AL95" i="7"/>
  <c r="AC95" i="7"/>
  <c r="AB95" i="7"/>
  <c r="Z95" i="7"/>
  <c r="X95" i="7"/>
  <c r="W95" i="7"/>
  <c r="V95" i="7"/>
  <c r="U95" i="7"/>
  <c r="T95" i="7"/>
  <c r="S95" i="7"/>
  <c r="K95" i="7"/>
  <c r="J95" i="7"/>
  <c r="I95" i="7"/>
  <c r="G95" i="7"/>
  <c r="F95" i="7"/>
  <c r="AL92" i="7"/>
  <c r="AC92" i="7"/>
  <c r="AB92" i="7"/>
  <c r="X92" i="7"/>
  <c r="W92" i="7"/>
  <c r="U92" i="7"/>
  <c r="T92" i="7"/>
  <c r="Q92" i="7"/>
  <c r="P92" i="7"/>
  <c r="O92" i="7"/>
  <c r="N92" i="7"/>
  <c r="K92" i="7"/>
  <c r="J92" i="7"/>
  <c r="I92" i="7"/>
  <c r="G92" i="7"/>
  <c r="F92" i="7"/>
  <c r="AC91" i="7"/>
  <c r="X91" i="7"/>
  <c r="V91" i="7"/>
  <c r="Q91" i="7"/>
  <c r="O91" i="7"/>
  <c r="N91" i="7"/>
  <c r="K91" i="7"/>
  <c r="J91" i="7"/>
  <c r="I91" i="7"/>
  <c r="G91" i="7"/>
  <c r="F91" i="7"/>
  <c r="AL90" i="7"/>
  <c r="AC90" i="7"/>
  <c r="AB90" i="7"/>
  <c r="X90" i="7"/>
  <c r="W90" i="7"/>
  <c r="V90" i="7"/>
  <c r="U90" i="7"/>
  <c r="T90" i="7"/>
  <c r="S90" i="7"/>
  <c r="Q90" i="7"/>
  <c r="N90" i="7"/>
  <c r="L90" i="7"/>
  <c r="K90" i="7"/>
  <c r="J90" i="7"/>
  <c r="I90" i="7"/>
  <c r="G90" i="7"/>
  <c r="F90" i="7"/>
  <c r="AL85" i="7"/>
  <c r="AC85" i="7"/>
  <c r="AB85" i="7"/>
  <c r="AA85" i="7"/>
  <c r="Z85" i="7"/>
  <c r="X85" i="7"/>
  <c r="W85" i="7"/>
  <c r="V85" i="7"/>
  <c r="U85" i="7"/>
  <c r="T85" i="7"/>
  <c r="S85" i="7"/>
  <c r="Q85" i="7"/>
  <c r="P85" i="7"/>
  <c r="N85" i="7"/>
  <c r="K85" i="7"/>
  <c r="J85" i="7"/>
  <c r="I85" i="7"/>
  <c r="G85" i="7"/>
  <c r="F85" i="7"/>
  <c r="AK80" i="7"/>
  <c r="AJ80" i="7"/>
  <c r="AI80" i="7"/>
  <c r="AH80" i="7"/>
  <c r="AF80" i="7"/>
  <c r="AE80" i="7"/>
  <c r="AD80" i="7"/>
  <c r="AG80" i="7" s="1"/>
  <c r="AC80" i="7"/>
  <c r="AB80" i="7"/>
  <c r="AA80" i="7"/>
  <c r="Z80" i="7"/>
  <c r="Y80" i="7"/>
  <c r="V80" i="7"/>
  <c r="T80" i="7"/>
  <c r="N80" i="7"/>
  <c r="K80" i="7"/>
  <c r="J80" i="7"/>
  <c r="I80" i="7"/>
  <c r="G80" i="7"/>
  <c r="F80" i="7"/>
  <c r="AC79" i="7"/>
  <c r="Z79" i="7"/>
  <c r="Y79" i="7"/>
  <c r="U79" i="7"/>
  <c r="T79" i="7"/>
  <c r="O79" i="7"/>
  <c r="N79" i="7"/>
  <c r="K79" i="7"/>
  <c r="J79" i="7"/>
  <c r="I79" i="7"/>
  <c r="G79" i="7"/>
  <c r="F79" i="7"/>
  <c r="AC78" i="7"/>
  <c r="AB78" i="7"/>
  <c r="Z78" i="7"/>
  <c r="Y78" i="7"/>
  <c r="X78" i="7"/>
  <c r="W78" i="7"/>
  <c r="V78" i="7"/>
  <c r="U78" i="7"/>
  <c r="T78" i="7"/>
  <c r="S78" i="7"/>
  <c r="Q78" i="7"/>
  <c r="P78" i="7"/>
  <c r="O78" i="7"/>
  <c r="N78" i="7"/>
  <c r="R78" i="7" s="1"/>
  <c r="L78" i="7"/>
  <c r="K78" i="7"/>
  <c r="J78" i="7"/>
  <c r="I78" i="7"/>
  <c r="G78" i="7"/>
  <c r="F78" i="7"/>
  <c r="AC77" i="7"/>
  <c r="Z77" i="7"/>
  <c r="Y77" i="7"/>
  <c r="X77" i="7"/>
  <c r="V77" i="7"/>
  <c r="U77" i="7"/>
  <c r="O77" i="7"/>
  <c r="N77" i="7"/>
  <c r="K77" i="7"/>
  <c r="J77" i="7"/>
  <c r="I77" i="7"/>
  <c r="G77" i="7"/>
  <c r="F77" i="7"/>
  <c r="AC76" i="7"/>
  <c r="AB76" i="7"/>
  <c r="Z76" i="7"/>
  <c r="Y76" i="7"/>
  <c r="X76" i="7"/>
  <c r="W76" i="7"/>
  <c r="V76" i="7"/>
  <c r="U76" i="7"/>
  <c r="T76" i="7"/>
  <c r="S76" i="7"/>
  <c r="Q76" i="7"/>
  <c r="N76" i="7"/>
  <c r="L76" i="7"/>
  <c r="K76" i="7"/>
  <c r="J76" i="7"/>
  <c r="I76" i="7"/>
  <c r="G76" i="7"/>
  <c r="F76" i="7"/>
  <c r="AC75" i="7"/>
  <c r="AB75" i="7"/>
  <c r="Z75" i="7"/>
  <c r="Y75" i="7"/>
  <c r="X75" i="7"/>
  <c r="W75" i="7"/>
  <c r="V75" i="7"/>
  <c r="U75" i="7"/>
  <c r="T75" i="7"/>
  <c r="S75" i="7"/>
  <c r="Q75" i="7"/>
  <c r="P75" i="7"/>
  <c r="K75" i="7"/>
  <c r="J75" i="7"/>
  <c r="I75" i="7"/>
  <c r="G75" i="7"/>
  <c r="F75" i="7"/>
  <c r="AF72" i="7"/>
  <c r="AE72" i="7"/>
  <c r="AD72" i="7"/>
  <c r="AC72" i="7"/>
  <c r="AA72" i="7"/>
  <c r="Z72" i="7"/>
  <c r="Y72" i="7"/>
  <c r="X72" i="7"/>
  <c r="V72" i="7"/>
  <c r="U72" i="7"/>
  <c r="T72" i="7"/>
  <c r="S72" i="7"/>
  <c r="Q72" i="7"/>
  <c r="P72" i="7"/>
  <c r="O72" i="7"/>
  <c r="N72" i="7"/>
  <c r="L72" i="7"/>
  <c r="K72" i="7"/>
  <c r="J72" i="7"/>
  <c r="I72" i="7"/>
  <c r="G72" i="7"/>
  <c r="F72" i="7"/>
  <c r="AF71" i="7"/>
  <c r="AE71" i="7"/>
  <c r="AD71" i="7"/>
  <c r="AC71" i="7"/>
  <c r="AA71" i="7"/>
  <c r="Z71" i="7"/>
  <c r="Y71" i="7"/>
  <c r="X71" i="7"/>
  <c r="V71" i="7"/>
  <c r="U71" i="7"/>
  <c r="T71" i="7"/>
  <c r="S71" i="7"/>
  <c r="Q71" i="7"/>
  <c r="P71" i="7"/>
  <c r="O71" i="7"/>
  <c r="N71" i="7"/>
  <c r="L71" i="7"/>
  <c r="K71" i="7"/>
  <c r="M71" i="7" s="1"/>
  <c r="AF70" i="7"/>
  <c r="AE70" i="7"/>
  <c r="AD70" i="7"/>
  <c r="AC70" i="7"/>
  <c r="AA70" i="7"/>
  <c r="Z70" i="7"/>
  <c r="Y70" i="7"/>
  <c r="X70" i="7"/>
  <c r="V70" i="7"/>
  <c r="U70" i="7"/>
  <c r="T70" i="7"/>
  <c r="S70" i="7"/>
  <c r="Q70" i="7"/>
  <c r="P70" i="7"/>
  <c r="O70" i="7"/>
  <c r="N70" i="7"/>
  <c r="L70" i="7"/>
  <c r="K70" i="7"/>
  <c r="J70" i="7"/>
  <c r="I70" i="7"/>
  <c r="G70" i="7"/>
  <c r="F70" i="7"/>
  <c r="AL68" i="7"/>
  <c r="AD68" i="7"/>
  <c r="AE68" i="7" s="1"/>
  <c r="AF68" i="7" s="1"/>
  <c r="AA68" i="7"/>
  <c r="AF60" i="7"/>
  <c r="AE60" i="7"/>
  <c r="AD60" i="7"/>
  <c r="AC60" i="7"/>
  <c r="AA60" i="7"/>
  <c r="Z60" i="7"/>
  <c r="Y60" i="7"/>
  <c r="X60" i="7"/>
  <c r="V60" i="7"/>
  <c r="U60" i="7"/>
  <c r="T60" i="7"/>
  <c r="S60" i="7"/>
  <c r="Q60" i="7"/>
  <c r="P60" i="7"/>
  <c r="O60" i="7"/>
  <c r="N60" i="7"/>
  <c r="L60" i="7"/>
  <c r="K60" i="7"/>
  <c r="J60" i="7"/>
  <c r="I60" i="7"/>
  <c r="G60" i="7"/>
  <c r="F60" i="7"/>
  <c r="K57" i="7"/>
  <c r="J57" i="7"/>
  <c r="I57" i="7"/>
  <c r="F57" i="7"/>
  <c r="AF55" i="7"/>
  <c r="AG55" i="7" s="1"/>
  <c r="AE55" i="7"/>
  <c r="AD55" i="7"/>
  <c r="AC55" i="7"/>
  <c r="AC101" i="7" s="1"/>
  <c r="AC57" i="7"/>
  <c r="AB55" i="7"/>
  <c r="R55" i="7"/>
  <c r="W55" i="7" s="1"/>
  <c r="W101" i="7" s="1"/>
  <c r="M55" i="7"/>
  <c r="G55" i="7"/>
  <c r="H55" i="7" s="1"/>
  <c r="AH98" i="7"/>
  <c r="AG53" i="7"/>
  <c r="AB53" i="7"/>
  <c r="AG52" i="7"/>
  <c r="AB52" i="7"/>
  <c r="AD50" i="7"/>
  <c r="AD95" i="7" s="1"/>
  <c r="AA50" i="7"/>
  <c r="AA95" i="7" s="1"/>
  <c r="Y50" i="7"/>
  <c r="Y95" i="7" s="1"/>
  <c r="L50" i="7"/>
  <c r="L95" i="7" s="1"/>
  <c r="H50" i="7"/>
  <c r="AG49" i="7"/>
  <c r="AG48" i="7"/>
  <c r="AG47" i="7"/>
  <c r="AD46" i="7"/>
  <c r="AD92" i="7" s="1"/>
  <c r="Y46" i="7"/>
  <c r="Y92" i="7" s="1"/>
  <c r="V46" i="7"/>
  <c r="V92" i="7" s="1"/>
  <c r="R46" i="7"/>
  <c r="S46" i="7" s="1"/>
  <c r="S92" i="7" s="1"/>
  <c r="L46" i="7"/>
  <c r="L92" i="7" s="1"/>
  <c r="H46" i="7"/>
  <c r="AD45" i="7"/>
  <c r="AD91" i="7"/>
  <c r="Y45" i="7"/>
  <c r="R45" i="7"/>
  <c r="W45" i="7" s="1"/>
  <c r="W91" i="7" s="1"/>
  <c r="P45" i="7"/>
  <c r="P91" i="7"/>
  <c r="L45" i="7"/>
  <c r="L91" i="7" s="1"/>
  <c r="H45" i="7"/>
  <c r="AD44" i="7"/>
  <c r="Y44" i="7"/>
  <c r="Y90" i="7" s="1"/>
  <c r="R44" i="7"/>
  <c r="O44" i="7"/>
  <c r="P44" i="7" s="1"/>
  <c r="P90" i="7" s="1"/>
  <c r="M44" i="7"/>
  <c r="H44" i="7"/>
  <c r="AG43" i="7"/>
  <c r="AG42" i="7"/>
  <c r="AG41" i="7"/>
  <c r="AG40" i="7"/>
  <c r="AD39" i="7"/>
  <c r="AD85" i="7" s="1"/>
  <c r="Y39" i="7"/>
  <c r="R39" i="7"/>
  <c r="O39" i="7"/>
  <c r="O85" i="7" s="1"/>
  <c r="L39" i="7"/>
  <c r="M39" i="7" s="1"/>
  <c r="H39" i="7"/>
  <c r="AG38" i="7"/>
  <c r="AG37" i="7"/>
  <c r="AG36" i="7"/>
  <c r="AG35" i="7"/>
  <c r="AG34" i="7"/>
  <c r="U34" i="7"/>
  <c r="U80" i="7" s="1"/>
  <c r="O34" i="7"/>
  <c r="P34" i="7" s="1"/>
  <c r="Q34" i="7" s="1"/>
  <c r="Q80" i="7" s="1"/>
  <c r="L34" i="7"/>
  <c r="M34" i="7" s="1"/>
  <c r="H34" i="7"/>
  <c r="AD33" i="7"/>
  <c r="AE33" i="7" s="1"/>
  <c r="AA33" i="7"/>
  <c r="AA79" i="7" s="1"/>
  <c r="V33" i="7"/>
  <c r="V79" i="7" s="1"/>
  <c r="P33" i="7"/>
  <c r="P79" i="7" s="1"/>
  <c r="L33" i="7"/>
  <c r="M33" i="7" s="1"/>
  <c r="H33" i="7"/>
  <c r="AD32" i="7"/>
  <c r="AA32" i="7"/>
  <c r="AA78" i="7" s="1"/>
  <c r="H32" i="7"/>
  <c r="AD31" i="7"/>
  <c r="AE31" i="7" s="1"/>
  <c r="AF31" i="7" s="1"/>
  <c r="AG31" i="7" s="1"/>
  <c r="AH31" i="7" s="1"/>
  <c r="AI31" i="7" s="1"/>
  <c r="AA31" i="7"/>
  <c r="AA77" i="7" s="1"/>
  <c r="P31" i="7"/>
  <c r="Q31" i="7" s="1"/>
  <c r="R31" i="7" s="1"/>
  <c r="L31" i="7"/>
  <c r="M31" i="7" s="1"/>
  <c r="H31" i="7"/>
  <c r="AD30" i="7"/>
  <c r="AE30" i="7" s="1"/>
  <c r="AA30" i="7"/>
  <c r="AA76" i="7" s="1"/>
  <c r="R30" i="7"/>
  <c r="O30" i="7"/>
  <c r="P30" i="7" s="1"/>
  <c r="P76" i="7" s="1"/>
  <c r="M30" i="7"/>
  <c r="H30" i="7"/>
  <c r="AD29" i="7"/>
  <c r="AE29" i="7" s="1"/>
  <c r="AA29" i="7"/>
  <c r="AA75" i="7" s="1"/>
  <c r="R29" i="7"/>
  <c r="L29" i="7"/>
  <c r="L75" i="7" s="1"/>
  <c r="H29" i="7"/>
  <c r="AG28" i="7"/>
  <c r="AG27" i="7"/>
  <c r="AB26" i="7"/>
  <c r="AB71" i="7" s="1"/>
  <c r="R26" i="7"/>
  <c r="W26" i="7"/>
  <c r="W71" i="7" s="1"/>
  <c r="M26" i="7"/>
  <c r="AB25" i="7"/>
  <c r="AB72" i="7" s="1"/>
  <c r="R25" i="7"/>
  <c r="W25" i="7" s="1"/>
  <c r="W72" i="7" s="1"/>
  <c r="M25" i="7"/>
  <c r="H25" i="7"/>
  <c r="AI70" i="7"/>
  <c r="AB24" i="7"/>
  <c r="AB70" i="7"/>
  <c r="R24" i="7"/>
  <c r="M24" i="7"/>
  <c r="H24" i="7"/>
  <c r="AF20" i="7"/>
  <c r="AE20" i="7"/>
  <c r="AD20" i="7"/>
  <c r="AC20" i="7"/>
  <c r="AA20" i="7"/>
  <c r="Z20" i="7"/>
  <c r="Y20" i="7"/>
  <c r="X20" i="7"/>
  <c r="V20" i="7"/>
  <c r="U20" i="7"/>
  <c r="T20" i="7"/>
  <c r="S20" i="7"/>
  <c r="Q20" i="7"/>
  <c r="P20" i="7"/>
  <c r="O20" i="7"/>
  <c r="N20" i="7"/>
  <c r="L20" i="7"/>
  <c r="K20" i="7"/>
  <c r="J20" i="7"/>
  <c r="I20" i="7"/>
  <c r="G20" i="7"/>
  <c r="F20" i="7"/>
  <c r="Y19" i="7"/>
  <c r="Y67" i="7" s="1"/>
  <c r="T19" i="7"/>
  <c r="T67" i="7" s="1"/>
  <c r="S19" i="7"/>
  <c r="S67" i="7" s="1"/>
  <c r="Q19" i="7"/>
  <c r="N19" i="7"/>
  <c r="N67" i="7" s="1"/>
  <c r="J19" i="7"/>
  <c r="I19" i="7"/>
  <c r="G19" i="7"/>
  <c r="F19" i="7"/>
  <c r="F67" i="7" s="1"/>
  <c r="AG17" i="7"/>
  <c r="AL17" i="7"/>
  <c r="AM17" i="7" s="1"/>
  <c r="AN17" i="7" s="1"/>
  <c r="AO17" i="7" s="1"/>
  <c r="AP17" i="7" s="1"/>
  <c r="AQ17" i="7" s="1"/>
  <c r="AR17" i="7" s="1"/>
  <c r="AS17" i="7" s="1"/>
  <c r="AT17" i="7" s="1"/>
  <c r="AU17" i="7" s="1"/>
  <c r="AV17" i="7" s="1"/>
  <c r="AW17" i="7" s="1"/>
  <c r="AX17" i="7" s="1"/>
  <c r="AY17" i="7" s="1"/>
  <c r="AZ17" i="7" s="1"/>
  <c r="BA17" i="7" s="1"/>
  <c r="BB17" i="7" s="1"/>
  <c r="BC17" i="7" s="1"/>
  <c r="BD17" i="7" s="1"/>
  <c r="BE17" i="7" s="1"/>
  <c r="BF17" i="7" s="1"/>
  <c r="AB17" i="7"/>
  <c r="W17" i="7"/>
  <c r="R17" i="7"/>
  <c r="M17" i="7"/>
  <c r="H17" i="7"/>
  <c r="Z16" i="7"/>
  <c r="AA16" i="7" s="1"/>
  <c r="AB16" i="7" s="1"/>
  <c r="AC16" i="7" s="1"/>
  <c r="AD16" i="7" s="1"/>
  <c r="AE16" i="7" s="1"/>
  <c r="AF16" i="7" s="1"/>
  <c r="AG16" i="7" s="1"/>
  <c r="W16" i="7"/>
  <c r="X16" i="7" s="1"/>
  <c r="R16" i="7"/>
  <c r="O16" i="7"/>
  <c r="P16" i="7" s="1"/>
  <c r="M16" i="7"/>
  <c r="H15" i="7"/>
  <c r="AL14" i="7"/>
  <c r="AM14" i="7" s="1"/>
  <c r="AN14" i="7" s="1"/>
  <c r="AO14" i="7" s="1"/>
  <c r="AP14" i="7" s="1"/>
  <c r="AQ14" i="7" s="1"/>
  <c r="AR14" i="7" s="1"/>
  <c r="AS14" i="7" s="1"/>
  <c r="AT14" i="7" s="1"/>
  <c r="AU14" i="7" s="1"/>
  <c r="AV14" i="7" s="1"/>
  <c r="AW14" i="7" s="1"/>
  <c r="AX14" i="7" s="1"/>
  <c r="AY14" i="7" s="1"/>
  <c r="AZ14" i="7" s="1"/>
  <c r="BA14" i="7" s="1"/>
  <c r="BB14" i="7" s="1"/>
  <c r="BC14" i="7" s="1"/>
  <c r="BD14" i="7" s="1"/>
  <c r="BE14" i="7" s="1"/>
  <c r="BF14" i="7" s="1"/>
  <c r="Z14" i="7"/>
  <c r="AA14" i="7" s="1"/>
  <c r="AB14" i="7" s="1"/>
  <c r="AC14" i="7" s="1"/>
  <c r="U14" i="7"/>
  <c r="V14" i="7" s="1"/>
  <c r="R14" i="7"/>
  <c r="O14" i="7"/>
  <c r="M14" i="7"/>
  <c r="AB13" i="7"/>
  <c r="AL12" i="7"/>
  <c r="AM12" i="7" s="1"/>
  <c r="AN12" i="7" s="1"/>
  <c r="AO12" i="7" s="1"/>
  <c r="AP12" i="7" s="1"/>
  <c r="AQ12" i="7" s="1"/>
  <c r="AR12" i="7" s="1"/>
  <c r="AS12" i="7" s="1"/>
  <c r="AT12" i="7" s="1"/>
  <c r="AU12" i="7" s="1"/>
  <c r="AV12" i="7" s="1"/>
  <c r="AW12" i="7" s="1"/>
  <c r="AX12" i="7" s="1"/>
  <c r="AY12" i="7" s="1"/>
  <c r="AZ12" i="7" s="1"/>
  <c r="BA12" i="7" s="1"/>
  <c r="BB12" i="7" s="1"/>
  <c r="BC12" i="7" s="1"/>
  <c r="BD12" i="7" s="1"/>
  <c r="BE12" i="7" s="1"/>
  <c r="BF12" i="7" s="1"/>
  <c r="Z12" i="7"/>
  <c r="Z19" i="7" s="1"/>
  <c r="Z67" i="7" s="1"/>
  <c r="W12" i="7"/>
  <c r="X12" i="7" s="1"/>
  <c r="R12" i="7"/>
  <c r="O12" i="7"/>
  <c r="P12" i="7"/>
  <c r="M12" i="7"/>
  <c r="R11" i="7"/>
  <c r="O11" i="7"/>
  <c r="M11" i="7"/>
  <c r="R10" i="7"/>
  <c r="K10" i="7"/>
  <c r="L10" i="7" s="1"/>
  <c r="M10" i="7" s="1"/>
  <c r="Z9" i="7"/>
  <c r="AA9" i="7" s="1"/>
  <c r="AB9" i="7" s="1"/>
  <c r="AC9" i="7" s="1"/>
  <c r="AD9" i="7" s="1"/>
  <c r="AE9" i="7" s="1"/>
  <c r="AF9" i="7" s="1"/>
  <c r="AG9" i="7" s="1"/>
  <c r="U9" i="7"/>
  <c r="R9" i="7"/>
  <c r="K9" i="7"/>
  <c r="K19" i="7" s="1"/>
  <c r="K67" i="7" s="1"/>
  <c r="H8" i="7"/>
  <c r="H7" i="7"/>
  <c r="AG5" i="7"/>
  <c r="AE5" i="7"/>
  <c r="AB5" i="7"/>
  <c r="V5" i="7"/>
  <c r="R5" i="7"/>
  <c r="O5" i="7"/>
  <c r="P5" i="7" s="1"/>
  <c r="M5" i="7"/>
  <c r="H5" i="7"/>
  <c r="AK3" i="7"/>
  <c r="AJ3" i="7"/>
  <c r="AI3" i="7"/>
  <c r="AH3" i="7"/>
  <c r="AF3" i="7"/>
  <c r="AE3" i="7"/>
  <c r="AD3" i="7"/>
  <c r="AC3" i="7"/>
  <c r="AA3" i="7"/>
  <c r="Z3" i="7"/>
  <c r="Y3" i="7"/>
  <c r="X3" i="7"/>
  <c r="V3" i="7"/>
  <c r="U3" i="7"/>
  <c r="T3" i="7"/>
  <c r="S3" i="7"/>
  <c r="A197" i="4"/>
  <c r="A196" i="4"/>
  <c r="A195" i="4"/>
  <c r="A194" i="4"/>
  <c r="A193" i="4"/>
  <c r="A192" i="4"/>
  <c r="A191" i="4"/>
  <c r="F190" i="4"/>
  <c r="E190" i="4"/>
  <c r="A190" i="4"/>
  <c r="F189" i="4"/>
  <c r="E189" i="4"/>
  <c r="A189" i="4"/>
  <c r="F188" i="4"/>
  <c r="E188" i="4"/>
  <c r="A188" i="4"/>
  <c r="F187" i="4"/>
  <c r="E187" i="4"/>
  <c r="A187" i="4"/>
  <c r="A186" i="4"/>
  <c r="A185" i="4"/>
  <c r="A184" i="4"/>
  <c r="A183" i="4"/>
  <c r="A182" i="4"/>
  <c r="A181" i="4"/>
  <c r="A180" i="4"/>
  <c r="A179" i="4"/>
  <c r="A178" i="4"/>
  <c r="A177" i="4"/>
  <c r="A176" i="4"/>
  <c r="A175" i="4"/>
  <c r="A174" i="4"/>
  <c r="A173" i="4"/>
  <c r="A172" i="4"/>
  <c r="A171" i="4"/>
  <c r="A170" i="4"/>
  <c r="A169" i="4"/>
  <c r="A168" i="4"/>
  <c r="A167" i="4"/>
  <c r="A166" i="4"/>
  <c r="A165" i="4"/>
  <c r="A164" i="4"/>
  <c r="I163" i="4"/>
  <c r="H163" i="4"/>
  <c r="A163" i="4"/>
  <c r="A162" i="4"/>
  <c r="D161" i="4"/>
  <c r="B161" i="4"/>
  <c r="A161" i="4" s="1"/>
  <c r="B160" i="4"/>
  <c r="A160" i="4" s="1"/>
  <c r="A159" i="4"/>
  <c r="D158" i="4"/>
  <c r="B158" i="4"/>
  <c r="A158" i="4" s="1"/>
  <c r="D157" i="4"/>
  <c r="B157" i="4"/>
  <c r="A157" i="4" s="1"/>
  <c r="A156" i="4"/>
  <c r="D155" i="4"/>
  <c r="B155" i="4"/>
  <c r="A155" i="4" s="1"/>
  <c r="A154" i="4"/>
  <c r="D153" i="4"/>
  <c r="B153" i="4"/>
  <c r="A153" i="4" s="1"/>
  <c r="D152" i="4"/>
  <c r="B152" i="4"/>
  <c r="A152" i="4" s="1"/>
  <c r="A151" i="4"/>
  <c r="D150" i="4"/>
  <c r="B150" i="4"/>
  <c r="A150" i="4" s="1"/>
  <c r="A149" i="4"/>
  <c r="D148" i="4"/>
  <c r="B148" i="4"/>
  <c r="A148" i="4" s="1"/>
  <c r="D147" i="4"/>
  <c r="B147" i="4"/>
  <c r="A147" i="4" s="1"/>
  <c r="A146" i="4"/>
  <c r="D145" i="4"/>
  <c r="B145" i="4"/>
  <c r="A145" i="4" s="1"/>
  <c r="D144" i="4"/>
  <c r="B144" i="4"/>
  <c r="A144" i="4" s="1"/>
  <c r="A143" i="4"/>
  <c r="A142" i="4"/>
  <c r="A141" i="4"/>
  <c r="A140" i="4"/>
  <c r="F139" i="4"/>
  <c r="E139" i="4"/>
  <c r="D139" i="4"/>
  <c r="D142" i="4" s="1"/>
  <c r="A139" i="4"/>
  <c r="I138" i="4"/>
  <c r="H138" i="4"/>
  <c r="A138" i="4"/>
  <c r="A137" i="4"/>
  <c r="D136" i="4"/>
  <c r="B136" i="4"/>
  <c r="A136" i="4" s="1"/>
  <c r="B135" i="4"/>
  <c r="A135" i="4" s="1"/>
  <c r="A134" i="4"/>
  <c r="A133" i="4"/>
  <c r="A132" i="4"/>
  <c r="A131" i="4"/>
  <c r="A130" i="4"/>
  <c r="A129" i="4"/>
  <c r="A128" i="4"/>
  <c r="A127" i="4"/>
  <c r="D126" i="4"/>
  <c r="A126" i="4"/>
  <c r="B125" i="4"/>
  <c r="A125" i="4" s="1"/>
  <c r="D124" i="4"/>
  <c r="A124" i="4"/>
  <c r="B123" i="4"/>
  <c r="A123" i="4" s="1"/>
  <c r="A122" i="4"/>
  <c r="A121" i="4"/>
  <c r="D120" i="4"/>
  <c r="B120" i="4"/>
  <c r="A120" i="4" s="1"/>
  <c r="D119" i="4"/>
  <c r="B119" i="4"/>
  <c r="A119" i="4" s="1"/>
  <c r="A118" i="4"/>
  <c r="D117" i="4"/>
  <c r="B117" i="4"/>
  <c r="A117" i="4" s="1"/>
  <c r="D116" i="4"/>
  <c r="B116" i="4"/>
  <c r="A116" i="4" s="1"/>
  <c r="A115" i="4"/>
  <c r="D114" i="4"/>
  <c r="B114" i="4"/>
  <c r="A114" i="4" s="1"/>
  <c r="A113" i="4"/>
  <c r="D112" i="4"/>
  <c r="B112" i="4"/>
  <c r="A112" i="4" s="1"/>
  <c r="D111" i="4"/>
  <c r="B111" i="4"/>
  <c r="A111" i="4" s="1"/>
  <c r="A110" i="4"/>
  <c r="D109" i="4"/>
  <c r="B109" i="4"/>
  <c r="A109" i="4" s="1"/>
  <c r="A108" i="4"/>
  <c r="D107" i="4"/>
  <c r="B107" i="4"/>
  <c r="A107" i="4" s="1"/>
  <c r="D106" i="4"/>
  <c r="B106" i="4"/>
  <c r="A106" i="4" s="1"/>
  <c r="A105" i="4"/>
  <c r="D104" i="4"/>
  <c r="B104" i="4"/>
  <c r="A104" i="4" s="1"/>
  <c r="D103" i="4"/>
  <c r="B103" i="4"/>
  <c r="A103" i="4" s="1"/>
  <c r="A102" i="4"/>
  <c r="D101" i="4"/>
  <c r="B101" i="4"/>
  <c r="A101" i="4" s="1"/>
  <c r="B100" i="4"/>
  <c r="A100" i="4" s="1"/>
  <c r="D99" i="4"/>
  <c r="B99" i="4"/>
  <c r="A99" i="4" s="1"/>
  <c r="D98" i="4"/>
  <c r="B98" i="4"/>
  <c r="A98" i="4" s="1"/>
  <c r="D97" i="4"/>
  <c r="B97" i="4"/>
  <c r="A97" i="4" s="1"/>
  <c r="D96" i="4"/>
  <c r="B96" i="4"/>
  <c r="A96" i="4" s="1"/>
  <c r="A95" i="4"/>
  <c r="A94" i="4"/>
  <c r="A93" i="4"/>
  <c r="A92" i="4"/>
  <c r="A91" i="4"/>
  <c r="O60" i="4"/>
  <c r="L60" i="4"/>
  <c r="I60" i="4"/>
  <c r="H60" i="4"/>
  <c r="D60" i="4"/>
  <c r="A58" i="4"/>
  <c r="D57" i="4"/>
  <c r="B57" i="4"/>
  <c r="A57" i="4" s="1"/>
  <c r="D56" i="4"/>
  <c r="B56" i="4"/>
  <c r="A56" i="4" s="1"/>
  <c r="D55" i="4"/>
  <c r="B55" i="4"/>
  <c r="A55" i="4" s="1"/>
  <c r="D54" i="4"/>
  <c r="B54" i="4"/>
  <c r="A54" i="4" s="1"/>
  <c r="D53" i="4"/>
  <c r="B53" i="4"/>
  <c r="A53" i="4" s="1"/>
  <c r="A52" i="4"/>
  <c r="D51" i="4"/>
  <c r="B51" i="4"/>
  <c r="A51" i="4" s="1"/>
  <c r="D50" i="4"/>
  <c r="B50" i="4"/>
  <c r="A50" i="4" s="1"/>
  <c r="D49" i="4"/>
  <c r="B49" i="4"/>
  <c r="A49" i="4" s="1"/>
  <c r="D48" i="4"/>
  <c r="D47" i="4"/>
  <c r="B47" i="4"/>
  <c r="A47" i="4" s="1"/>
  <c r="D46" i="4"/>
  <c r="B46" i="4"/>
  <c r="A46" i="4" s="1"/>
  <c r="D45" i="4"/>
  <c r="B45" i="4"/>
  <c r="A45" i="4" s="1"/>
  <c r="A44" i="4"/>
  <c r="D43" i="4"/>
  <c r="B43" i="4"/>
  <c r="A43" i="4" s="1"/>
  <c r="D42" i="4"/>
  <c r="B42" i="4"/>
  <c r="A42" i="4" s="1"/>
  <c r="D41" i="4"/>
  <c r="B41" i="4"/>
  <c r="A41" i="4" s="1"/>
  <c r="D40" i="4"/>
  <c r="B40" i="4"/>
  <c r="A40" i="4" s="1"/>
  <c r="A39" i="4"/>
  <c r="D38" i="4"/>
  <c r="B38" i="4"/>
  <c r="A38" i="4" s="1"/>
  <c r="D37" i="4"/>
  <c r="B37" i="4"/>
  <c r="A37" i="4" s="1"/>
  <c r="D36" i="4"/>
  <c r="B36" i="4"/>
  <c r="A36" i="4" s="1"/>
  <c r="A35" i="4"/>
  <c r="D34" i="4"/>
  <c r="B34" i="4"/>
  <c r="A34" i="4" s="1"/>
  <c r="D33" i="4"/>
  <c r="B33" i="4"/>
  <c r="A33" i="4" s="1"/>
  <c r="A32" i="4"/>
  <c r="D31" i="4"/>
  <c r="B31" i="4"/>
  <c r="A31" i="4" s="1"/>
  <c r="D30" i="4"/>
  <c r="B30" i="4"/>
  <c r="A30" i="4" s="1"/>
  <c r="D29" i="4"/>
  <c r="B29" i="4"/>
  <c r="A29" i="4" s="1"/>
  <c r="D28" i="4"/>
  <c r="B28" i="4"/>
  <c r="A28" i="4" s="1"/>
  <c r="A27" i="4"/>
  <c r="D26" i="4"/>
  <c r="B26" i="4"/>
  <c r="A26" i="4" s="1"/>
  <c r="D25" i="4"/>
  <c r="B25" i="4"/>
  <c r="A25" i="4" s="1"/>
  <c r="D24" i="4"/>
  <c r="B24" i="4"/>
  <c r="A24" i="4" s="1"/>
  <c r="A23" i="4"/>
  <c r="D22" i="4"/>
  <c r="B22" i="4"/>
  <c r="A22" i="4" s="1"/>
  <c r="D21" i="4"/>
  <c r="B21" i="4"/>
  <c r="A21" i="4" s="1"/>
  <c r="D20" i="4"/>
  <c r="B20" i="4"/>
  <c r="A20" i="4" s="1"/>
  <c r="A19" i="4"/>
  <c r="D18" i="4"/>
  <c r="B18" i="4"/>
  <c r="A18" i="4" s="1"/>
  <c r="D17" i="4"/>
  <c r="B17" i="4"/>
  <c r="A17" i="4" s="1"/>
  <c r="A16" i="4"/>
  <c r="D15" i="4"/>
  <c r="B15" i="4"/>
  <c r="A15" i="4" s="1"/>
  <c r="A14" i="4"/>
  <c r="D13" i="4"/>
  <c r="B13" i="4"/>
  <c r="A13" i="4" s="1"/>
  <c r="D12" i="4"/>
  <c r="B12" i="4"/>
  <c r="A12" i="4" s="1"/>
  <c r="D11" i="4"/>
  <c r="A11" i="4"/>
  <c r="D10" i="4"/>
  <c r="B10" i="4"/>
  <c r="A10" i="4" s="1"/>
  <c r="A9" i="4"/>
  <c r="N8" i="4"/>
  <c r="F8" i="4"/>
  <c r="A8" i="4"/>
  <c r="D7" i="4"/>
  <c r="B7" i="4"/>
  <c r="A7" i="4" s="1"/>
  <c r="D6" i="4"/>
  <c r="B6" i="4"/>
  <c r="A6" i="4" s="1"/>
  <c r="A5" i="4"/>
  <c r="A4" i="4"/>
  <c r="AD175" i="2"/>
  <c r="AL169" i="2"/>
  <c r="AK166" i="2"/>
  <c r="AK175" i="2" s="1"/>
  <c r="AJ166" i="2"/>
  <c r="AJ175" i="2" s="1"/>
  <c r="AA165" i="2"/>
  <c r="Z165" i="2"/>
  <c r="Y165" i="2"/>
  <c r="X165" i="2"/>
  <c r="V165" i="2"/>
  <c r="U165" i="2"/>
  <c r="U166" i="2" s="1"/>
  <c r="T165" i="2"/>
  <c r="T166" i="2" s="1"/>
  <c r="S165" i="2"/>
  <c r="S166" i="2" s="1"/>
  <c r="Q165" i="2"/>
  <c r="P165" i="2"/>
  <c r="P166" i="2" s="1"/>
  <c r="O165" i="2"/>
  <c r="N165" i="2"/>
  <c r="N166" i="2" s="1"/>
  <c r="L165" i="2"/>
  <c r="L166" i="2" s="1"/>
  <c r="K165" i="2"/>
  <c r="K166" i="2" s="1"/>
  <c r="J165" i="2"/>
  <c r="J166" i="2" s="1"/>
  <c r="I165" i="2"/>
  <c r="I166" i="2" s="1"/>
  <c r="AA162" i="2"/>
  <c r="Z162" i="2"/>
  <c r="Y162" i="2"/>
  <c r="X162" i="2"/>
  <c r="V162" i="2"/>
  <c r="U162" i="2"/>
  <c r="U163" i="2" s="1"/>
  <c r="T162" i="2"/>
  <c r="T163" i="2" s="1"/>
  <c r="S162" i="2"/>
  <c r="S163" i="2" s="1"/>
  <c r="Q162" i="2"/>
  <c r="Q163" i="2" s="1"/>
  <c r="P162" i="2"/>
  <c r="P163" i="2" s="1"/>
  <c r="O162" i="2"/>
  <c r="O163" i="2" s="1"/>
  <c r="N162" i="2"/>
  <c r="N163" i="2" s="1"/>
  <c r="L162" i="2"/>
  <c r="K162" i="2"/>
  <c r="J162" i="2"/>
  <c r="I162" i="2"/>
  <c r="AA159" i="2"/>
  <c r="Z159" i="2"/>
  <c r="Y159" i="2"/>
  <c r="X159" i="2"/>
  <c r="U159" i="2"/>
  <c r="U160" i="2" s="1"/>
  <c r="T159" i="2"/>
  <c r="T160" i="2" s="1"/>
  <c r="S159" i="2"/>
  <c r="S160" i="2" s="1"/>
  <c r="Q159" i="2"/>
  <c r="Q160" i="2" s="1"/>
  <c r="P159" i="2"/>
  <c r="P160" i="2" s="1"/>
  <c r="O159" i="2"/>
  <c r="O160" i="2" s="1"/>
  <c r="N159" i="2"/>
  <c r="N160" i="2" s="1"/>
  <c r="L159" i="2"/>
  <c r="K159" i="2"/>
  <c r="J159" i="2"/>
  <c r="I159" i="2"/>
  <c r="AA156" i="2"/>
  <c r="Z156" i="2"/>
  <c r="Y156" i="2"/>
  <c r="X156" i="2"/>
  <c r="V156" i="2"/>
  <c r="U156" i="2"/>
  <c r="U157" i="2" s="1"/>
  <c r="T156" i="2"/>
  <c r="T157" i="2" s="1"/>
  <c r="S156" i="2"/>
  <c r="S157" i="2" s="1"/>
  <c r="Q156" i="2"/>
  <c r="Q157" i="2" s="1"/>
  <c r="P156" i="2"/>
  <c r="P157" i="2" s="1"/>
  <c r="O156" i="2"/>
  <c r="N156" i="2"/>
  <c r="L156" i="2"/>
  <c r="K156" i="2"/>
  <c r="J156" i="2"/>
  <c r="I156" i="2"/>
  <c r="K151" i="2"/>
  <c r="J151" i="2"/>
  <c r="I151" i="2"/>
  <c r="H151" i="2"/>
  <c r="G151" i="2"/>
  <c r="F151" i="2"/>
  <c r="E151" i="2"/>
  <c r="D151" i="2"/>
  <c r="C151" i="2"/>
  <c r="B151" i="2"/>
  <c r="Z144" i="2"/>
  <c r="Y144" i="2"/>
  <c r="Z141" i="2"/>
  <c r="Y141" i="2"/>
  <c r="Z132" i="2"/>
  <c r="Y132" i="2"/>
  <c r="U132" i="2"/>
  <c r="T132" i="2"/>
  <c r="S132" i="2"/>
  <c r="P132" i="2"/>
  <c r="O132" i="2"/>
  <c r="N132" i="2"/>
  <c r="M132" i="2"/>
  <c r="L132" i="2"/>
  <c r="K132" i="2"/>
  <c r="J132" i="2"/>
  <c r="I132" i="2"/>
  <c r="Z129" i="2"/>
  <c r="Y129" i="2"/>
  <c r="X129" i="2"/>
  <c r="U129" i="2"/>
  <c r="T129" i="2"/>
  <c r="S129" i="2"/>
  <c r="P129" i="2"/>
  <c r="N129" i="2"/>
  <c r="K129" i="2"/>
  <c r="J129" i="2"/>
  <c r="I129" i="2"/>
  <c r="Z126" i="2"/>
  <c r="Y126" i="2"/>
  <c r="X126" i="2"/>
  <c r="U126" i="2"/>
  <c r="T126" i="2"/>
  <c r="S126" i="2"/>
  <c r="P126" i="2"/>
  <c r="O126" i="2"/>
  <c r="N126" i="2"/>
  <c r="K126" i="2"/>
  <c r="J126" i="2"/>
  <c r="I126" i="2"/>
  <c r="K121" i="2"/>
  <c r="J121" i="2"/>
  <c r="I121" i="2"/>
  <c r="BW108" i="2"/>
  <c r="BV108" i="2"/>
  <c r="BU108" i="2"/>
  <c r="BT108" i="2"/>
  <c r="BR108" i="2"/>
  <c r="BR107" i="2"/>
  <c r="BR106" i="2"/>
  <c r="BR105" i="2"/>
  <c r="BR104" i="2"/>
  <c r="BR103" i="2"/>
  <c r="BR102" i="2"/>
  <c r="BW100" i="2"/>
  <c r="BV100" i="2"/>
  <c r="BU100" i="2"/>
  <c r="BT100" i="2"/>
  <c r="BR100" i="2"/>
  <c r="BR99" i="2"/>
  <c r="BR98" i="2"/>
  <c r="BR97" i="2"/>
  <c r="BR96" i="2"/>
  <c r="BR95" i="2"/>
  <c r="K95" i="2"/>
  <c r="J95" i="2"/>
  <c r="I95" i="2"/>
  <c r="H95" i="2"/>
  <c r="BS95" i="2" s="1"/>
  <c r="BY92" i="2"/>
  <c r="BR92" i="2"/>
  <c r="BR91" i="2"/>
  <c r="BR90" i="2"/>
  <c r="BX88" i="2"/>
  <c r="BW88" i="2"/>
  <c r="BV88" i="2"/>
  <c r="BU88" i="2"/>
  <c r="BT88" i="2"/>
  <c r="BS88" i="2"/>
  <c r="BR88" i="2"/>
  <c r="BR87" i="2"/>
  <c r="BR86" i="2"/>
  <c r="BR85" i="2"/>
  <c r="G85" i="2"/>
  <c r="F85" i="2"/>
  <c r="E85" i="2"/>
  <c r="D85" i="2"/>
  <c r="BY83" i="2"/>
  <c r="BU83" i="2"/>
  <c r="BT83" i="2"/>
  <c r="BS83" i="2"/>
  <c r="BR83" i="2"/>
  <c r="BR82" i="2"/>
  <c r="BR81" i="2"/>
  <c r="AK81" i="2"/>
  <c r="AJ81" i="2"/>
  <c r="AO93" i="2" s="1"/>
  <c r="AI81" i="2"/>
  <c r="AH81" i="2"/>
  <c r="AH99" i="2" s="1"/>
  <c r="AF81" i="2"/>
  <c r="AE81" i="2"/>
  <c r="AD81" i="2"/>
  <c r="AC81" i="2"/>
  <c r="AA81" i="2"/>
  <c r="AF83" i="2" s="1"/>
  <c r="Z81" i="2"/>
  <c r="Y81" i="2"/>
  <c r="X81" i="2"/>
  <c r="U81" i="2"/>
  <c r="T81" i="2"/>
  <c r="S81" i="2"/>
  <c r="Q81" i="2"/>
  <c r="P81" i="2"/>
  <c r="O81" i="2"/>
  <c r="N81" i="2"/>
  <c r="L81" i="2"/>
  <c r="K81" i="2"/>
  <c r="J81" i="2"/>
  <c r="I81" i="2"/>
  <c r="G81" i="2"/>
  <c r="F81" i="2"/>
  <c r="E81" i="2"/>
  <c r="D81" i="2"/>
  <c r="C81" i="2"/>
  <c r="G80" i="2"/>
  <c r="F80" i="2"/>
  <c r="E80" i="2"/>
  <c r="D80" i="2"/>
  <c r="C80" i="2"/>
  <c r="BZ78" i="2"/>
  <c r="BY78" i="2"/>
  <c r="BX78" i="2"/>
  <c r="BW78" i="2"/>
  <c r="BS78" i="2"/>
  <c r="BR78" i="2"/>
  <c r="W78" i="2"/>
  <c r="BV78" i="2" s="1"/>
  <c r="R78" i="2"/>
  <c r="BU78" i="2" s="1"/>
  <c r="M78" i="2"/>
  <c r="BT78" i="2" s="1"/>
  <c r="BR77" i="2"/>
  <c r="BR76" i="2"/>
  <c r="AK76" i="2"/>
  <c r="BA580" i="1" s="1"/>
  <c r="AJ76" i="2"/>
  <c r="AZ580" i="1" s="1"/>
  <c r="AI76" i="2"/>
  <c r="AH76" i="2"/>
  <c r="AF76" i="2"/>
  <c r="AE76" i="2"/>
  <c r="AU580" i="1" s="1"/>
  <c r="AD76" i="2"/>
  <c r="AD99" i="2" s="1"/>
  <c r="AC76" i="2"/>
  <c r="AA76" i="2"/>
  <c r="AA96" i="2" s="1"/>
  <c r="Z76" i="2"/>
  <c r="Z171" i="2" s="1"/>
  <c r="Y76" i="2"/>
  <c r="Y98" i="2" s="1"/>
  <c r="X76" i="2"/>
  <c r="U76" i="2"/>
  <c r="T76" i="2"/>
  <c r="T98" i="2" s="1"/>
  <c r="S76" i="2"/>
  <c r="Q76" i="2"/>
  <c r="P76" i="2"/>
  <c r="P97" i="2" s="1"/>
  <c r="O76" i="2"/>
  <c r="O96" i="2" s="1"/>
  <c r="N76" i="2"/>
  <c r="AD313" i="1" s="1"/>
  <c r="L76" i="2"/>
  <c r="K76" i="2"/>
  <c r="K98" i="2" s="1"/>
  <c r="J76" i="2"/>
  <c r="J99" i="2" s="1"/>
  <c r="I76" i="2"/>
  <c r="I96" i="2" s="1"/>
  <c r="G76" i="2"/>
  <c r="F76" i="2"/>
  <c r="F96" i="2" s="1"/>
  <c r="E76" i="2"/>
  <c r="E97" i="2" s="1"/>
  <c r="D76" i="2"/>
  <c r="C76" i="2"/>
  <c r="B76" i="2"/>
  <c r="B99" i="2" s="1"/>
  <c r="BR75" i="2"/>
  <c r="G75" i="2"/>
  <c r="F75" i="2"/>
  <c r="E75" i="2"/>
  <c r="D75" i="2"/>
  <c r="C75" i="2"/>
  <c r="BX73" i="2"/>
  <c r="BW73" i="2"/>
  <c r="BV73" i="2"/>
  <c r="BU73" i="2"/>
  <c r="BT73" i="2"/>
  <c r="BS73" i="2"/>
  <c r="BR73" i="2"/>
  <c r="BZ73" i="2"/>
  <c r="AJ73" i="2"/>
  <c r="BR72" i="2"/>
  <c r="AP72" i="2"/>
  <c r="BR71" i="2"/>
  <c r="AH71" i="2"/>
  <c r="AD71" i="2"/>
  <c r="BR70" i="2"/>
  <c r="AP70" i="2"/>
  <c r="BZ69" i="2"/>
  <c r="BY69" i="2"/>
  <c r="BW69" i="2"/>
  <c r="BV69" i="2"/>
  <c r="BU69" i="2"/>
  <c r="BT69" i="2"/>
  <c r="BS69" i="2"/>
  <c r="BR69" i="2"/>
  <c r="AP69" i="2"/>
  <c r="AO69" i="2"/>
  <c r="AK69" i="2"/>
  <c r="AJ69" i="2"/>
  <c r="BW68" i="2"/>
  <c r="BU68" i="2"/>
  <c r="BT68" i="2"/>
  <c r="BS68" i="2"/>
  <c r="BR68" i="2"/>
  <c r="AI68" i="2"/>
  <c r="AI166" i="2" s="1"/>
  <c r="AH68" i="2"/>
  <c r="AH205" i="2" s="1"/>
  <c r="AF68" i="2"/>
  <c r="AV592" i="1" s="1"/>
  <c r="AE68" i="2"/>
  <c r="AE166" i="2" s="1"/>
  <c r="AE175" i="2" s="1"/>
  <c r="W68" i="2"/>
  <c r="BV68" i="2" s="1"/>
  <c r="BY66" i="2"/>
  <c r="BX66" i="2"/>
  <c r="BW66" i="2"/>
  <c r="BT66" i="2"/>
  <c r="BS66" i="2"/>
  <c r="BR66" i="2"/>
  <c r="BR65" i="2"/>
  <c r="BR64" i="2"/>
  <c r="BR63" i="2"/>
  <c r="BR62" i="2"/>
  <c r="AK62" i="2"/>
  <c r="BA577" i="1" s="1"/>
  <c r="AJ62" i="2"/>
  <c r="AI62" i="2"/>
  <c r="AY577" i="1" s="1"/>
  <c r="AH62" i="2"/>
  <c r="AX577" i="1" s="1"/>
  <c r="AF62" i="2"/>
  <c r="AV577" i="1" s="1"/>
  <c r="AE62" i="2"/>
  <c r="AU577" i="1" s="1"/>
  <c r="AD62" i="2"/>
  <c r="AT577" i="1" s="1"/>
  <c r="AC62" i="2"/>
  <c r="AS577" i="1" s="1"/>
  <c r="AA62" i="2"/>
  <c r="Z62" i="2"/>
  <c r="AP577" i="1" s="1"/>
  <c r="Y62" i="2"/>
  <c r="Y66" i="2" s="1"/>
  <c r="Y186" i="2" s="1"/>
  <c r="X62" i="2"/>
  <c r="V62" i="2"/>
  <c r="U62" i="2"/>
  <c r="AK577" i="1" s="1"/>
  <c r="T62" i="2"/>
  <c r="S62" i="2"/>
  <c r="Q62" i="2"/>
  <c r="P62" i="2"/>
  <c r="P186" i="2" s="1"/>
  <c r="O62" i="2"/>
  <c r="O66" i="2" s="1"/>
  <c r="N62" i="2"/>
  <c r="N186" i="2" s="1"/>
  <c r="L62" i="2"/>
  <c r="K62" i="2"/>
  <c r="J62" i="2"/>
  <c r="I62" i="2"/>
  <c r="BR61" i="2"/>
  <c r="AL61" i="2"/>
  <c r="AG61" i="2"/>
  <c r="AB61" i="2"/>
  <c r="AR576" i="1" s="1"/>
  <c r="W61" i="2"/>
  <c r="BV61" i="2" s="1"/>
  <c r="R61" i="2"/>
  <c r="M61" i="2"/>
  <c r="M165" i="2" s="1"/>
  <c r="H61" i="2"/>
  <c r="BS61" i="2" s="1"/>
  <c r="AF59" i="2"/>
  <c r="AE59" i="2"/>
  <c r="AD59" i="2"/>
  <c r="AC59" i="2"/>
  <c r="BZ58" i="2"/>
  <c r="BY58" i="2"/>
  <c r="BX58" i="2"/>
  <c r="BW58" i="2"/>
  <c r="BT58" i="2"/>
  <c r="BS58" i="2"/>
  <c r="BR58" i="2"/>
  <c r="AC58" i="2"/>
  <c r="AS574" i="1" s="1"/>
  <c r="R58" i="2"/>
  <c r="BU58" i="2" s="1"/>
  <c r="BR57" i="2"/>
  <c r="BR56" i="2"/>
  <c r="BR55" i="2"/>
  <c r="BZ54" i="2"/>
  <c r="BY54" i="2"/>
  <c r="BR54" i="2"/>
  <c r="AH54" i="2"/>
  <c r="AX573" i="1" s="1"/>
  <c r="AF54" i="2"/>
  <c r="AV573" i="1" s="1"/>
  <c r="AE54" i="2"/>
  <c r="AU573" i="1" s="1"/>
  <c r="AD54" i="2"/>
  <c r="AT573" i="1" s="1"/>
  <c r="AC54" i="2"/>
  <c r="AS573" i="1" s="1"/>
  <c r="V54" i="2"/>
  <c r="V58" i="2" s="1"/>
  <c r="U54" i="2"/>
  <c r="T54" i="2"/>
  <c r="S54" i="2"/>
  <c r="Q54" i="2"/>
  <c r="P54" i="2"/>
  <c r="O54" i="2"/>
  <c r="N54" i="2"/>
  <c r="L54" i="2"/>
  <c r="K54" i="2"/>
  <c r="J54" i="2"/>
  <c r="I54" i="2"/>
  <c r="C54" i="2"/>
  <c r="BZ53" i="2"/>
  <c r="BY53" i="2"/>
  <c r="BR53" i="2"/>
  <c r="AG53" i="2"/>
  <c r="AB53" i="2"/>
  <c r="AR664" i="1" s="1"/>
  <c r="W53" i="2"/>
  <c r="AM664" i="1" s="1"/>
  <c r="R53" i="2"/>
  <c r="BU53" i="2" s="1"/>
  <c r="M53" i="2"/>
  <c r="H53" i="2"/>
  <c r="H54" i="2" s="1"/>
  <c r="BS54" i="2" s="1"/>
  <c r="BZ51" i="2"/>
  <c r="BY51" i="2"/>
  <c r="BX51" i="2"/>
  <c r="BW51" i="2"/>
  <c r="BT51" i="2"/>
  <c r="BS51" i="2"/>
  <c r="BR51" i="2"/>
  <c r="R51" i="2"/>
  <c r="BU51" i="2" s="1"/>
  <c r="BR50" i="2"/>
  <c r="BR49" i="2"/>
  <c r="BR48" i="2"/>
  <c r="BZ47" i="2"/>
  <c r="BY47" i="2"/>
  <c r="BR47" i="2"/>
  <c r="AA47" i="2"/>
  <c r="Z47" i="2"/>
  <c r="Z51" i="2" s="1"/>
  <c r="Y47" i="2"/>
  <c r="AO573" i="1" s="1"/>
  <c r="X47" i="2"/>
  <c r="X51" i="2" s="1"/>
  <c r="V47" i="2"/>
  <c r="U47" i="2"/>
  <c r="U185" i="2" s="1"/>
  <c r="T47" i="2"/>
  <c r="S47" i="2"/>
  <c r="S185" i="2" s="1"/>
  <c r="Q47" i="2"/>
  <c r="Q185" i="2" s="1"/>
  <c r="P47" i="2"/>
  <c r="P185" i="2" s="1"/>
  <c r="O47" i="2"/>
  <c r="O185" i="2" s="1"/>
  <c r="N47" i="2"/>
  <c r="N185" i="2" s="1"/>
  <c r="L47" i="2"/>
  <c r="K47" i="2"/>
  <c r="J47" i="2"/>
  <c r="I47" i="2"/>
  <c r="C47" i="2"/>
  <c r="C85" i="2" s="1"/>
  <c r="BZ46" i="2"/>
  <c r="BY46" i="2"/>
  <c r="BR46" i="2"/>
  <c r="AH46" i="2"/>
  <c r="AF46" i="2"/>
  <c r="AV310" i="1" s="1"/>
  <c r="AE46" i="2"/>
  <c r="AU310" i="1" s="1"/>
  <c r="AD46" i="2"/>
  <c r="AD47" i="2" s="1"/>
  <c r="AC46" i="2"/>
  <c r="AS310" i="1" s="1"/>
  <c r="AB46" i="2"/>
  <c r="W46" i="2"/>
  <c r="AM572" i="1" s="1"/>
  <c r="R46" i="2"/>
  <c r="M46" i="2"/>
  <c r="BT46" i="2" s="1"/>
  <c r="H46" i="2"/>
  <c r="BT44" i="2"/>
  <c r="BS44" i="2"/>
  <c r="BR44" i="2"/>
  <c r="BV43" i="2"/>
  <c r="BU43" i="2"/>
  <c r="BT43" i="2"/>
  <c r="BS43" i="2"/>
  <c r="BR43" i="2"/>
  <c r="BT42" i="2"/>
  <c r="BS42" i="2"/>
  <c r="BR42" i="2"/>
  <c r="AA42" i="2"/>
  <c r="AA44" i="2" s="1"/>
  <c r="Z42" i="2"/>
  <c r="Z44" i="2" s="1"/>
  <c r="Y42" i="2"/>
  <c r="Y44" i="2" s="1"/>
  <c r="X42" i="2"/>
  <c r="X44" i="2" s="1"/>
  <c r="U42" i="2"/>
  <c r="Z32" i="2" s="1"/>
  <c r="Z36" i="2" s="1"/>
  <c r="T42" i="2"/>
  <c r="T75" i="2" s="1"/>
  <c r="S42" i="2"/>
  <c r="X32" i="2" s="1"/>
  <c r="X36" i="2" s="1"/>
  <c r="BR41" i="2"/>
  <c r="BW40" i="2"/>
  <c r="BS40" i="2"/>
  <c r="BR40" i="2"/>
  <c r="BU39" i="2"/>
  <c r="BT39" i="2"/>
  <c r="BS39" i="2"/>
  <c r="BR39" i="2"/>
  <c r="X39" i="2"/>
  <c r="BS38" i="2"/>
  <c r="BR38" i="2"/>
  <c r="AB38" i="2"/>
  <c r="BW38" i="2" s="1"/>
  <c r="U38" i="2"/>
  <c r="U41" i="2" s="1"/>
  <c r="T38" i="2"/>
  <c r="S38" i="2"/>
  <c r="S41" i="2" s="1"/>
  <c r="O38" i="2"/>
  <c r="O40" i="2" s="1"/>
  <c r="N38" i="2"/>
  <c r="L38" i="2"/>
  <c r="K38" i="2"/>
  <c r="J38" i="2"/>
  <c r="I38" i="2"/>
  <c r="BX36" i="2"/>
  <c r="BW36" i="2"/>
  <c r="BU36" i="2"/>
  <c r="BT36" i="2"/>
  <c r="BS36" i="2"/>
  <c r="BR36" i="2"/>
  <c r="BR35" i="2"/>
  <c r="BR34" i="2"/>
  <c r="BR33" i="2"/>
  <c r="BR32" i="2"/>
  <c r="AK32" i="2"/>
  <c r="BA569" i="1" s="1"/>
  <c r="AJ32" i="2"/>
  <c r="AI32" i="2"/>
  <c r="AY569" i="1" s="1"/>
  <c r="AH32" i="2"/>
  <c r="AF32" i="2"/>
  <c r="AV569" i="1" s="1"/>
  <c r="AE32" i="2"/>
  <c r="AD32" i="2"/>
  <c r="AD36" i="2" s="1"/>
  <c r="AT570" i="1" s="1"/>
  <c r="AC32" i="2"/>
  <c r="U32" i="2"/>
  <c r="T32" i="2"/>
  <c r="AJ569" i="1" s="1"/>
  <c r="S32" i="2"/>
  <c r="Q32" i="2"/>
  <c r="Q182" i="2" s="1"/>
  <c r="P32" i="2"/>
  <c r="P182" i="2" s="1"/>
  <c r="O32" i="2"/>
  <c r="O182" i="2" s="1"/>
  <c r="N32" i="2"/>
  <c r="N182" i="2" s="1"/>
  <c r="L32" i="2"/>
  <c r="L36" i="2" s="1"/>
  <c r="K32" i="2"/>
  <c r="J32" i="2"/>
  <c r="I32" i="2"/>
  <c r="C32" i="2"/>
  <c r="BR31" i="2"/>
  <c r="AL31" i="2"/>
  <c r="BB309" i="1" s="1"/>
  <c r="AG31" i="2"/>
  <c r="BX31" i="2" s="1"/>
  <c r="AB31" i="2"/>
  <c r="R31" i="2"/>
  <c r="M31" i="2"/>
  <c r="H31" i="2"/>
  <c r="BY29" i="2"/>
  <c r="BX29" i="2"/>
  <c r="BW29" i="2"/>
  <c r="BT29" i="2"/>
  <c r="BS29" i="2"/>
  <c r="BR29" i="2"/>
  <c r="BR28" i="2"/>
  <c r="BR27" i="2"/>
  <c r="BD565" i="1"/>
  <c r="BR26" i="2"/>
  <c r="BR25" i="2"/>
  <c r="AK25" i="2"/>
  <c r="AJ25" i="2"/>
  <c r="AZ565" i="1" s="1"/>
  <c r="AI25" i="2"/>
  <c r="AY565" i="1" s="1"/>
  <c r="AH25" i="2"/>
  <c r="AH29" i="2" s="1"/>
  <c r="AF25" i="2"/>
  <c r="AV565" i="1" s="1"/>
  <c r="AE25" i="2"/>
  <c r="AE29" i="2" s="1"/>
  <c r="AU566" i="1" s="1"/>
  <c r="AD25" i="2"/>
  <c r="AD29" i="2" s="1"/>
  <c r="AT566" i="1" s="1"/>
  <c r="AC25" i="2"/>
  <c r="AC29" i="2" s="1"/>
  <c r="AS566" i="1" s="1"/>
  <c r="AA25" i="2"/>
  <c r="AQ565" i="1" s="1"/>
  <c r="Z25" i="2"/>
  <c r="Y25" i="2"/>
  <c r="AO565" i="1" s="1"/>
  <c r="X25" i="2"/>
  <c r="X29" i="2" s="1"/>
  <c r="AN566" i="1" s="1"/>
  <c r="V25" i="2"/>
  <c r="U25" i="2"/>
  <c r="T25" i="2"/>
  <c r="AJ565" i="1" s="1"/>
  <c r="S25" i="2"/>
  <c r="S181" i="2" s="1"/>
  <c r="Q25" i="2"/>
  <c r="Q181" i="2" s="1"/>
  <c r="P25" i="2"/>
  <c r="P181" i="2" s="1"/>
  <c r="O25" i="2"/>
  <c r="O29" i="2" s="1"/>
  <c r="O181" i="2" s="1"/>
  <c r="N25" i="2"/>
  <c r="N29" i="2" s="1"/>
  <c r="N181" i="2" s="1"/>
  <c r="L25" i="2"/>
  <c r="K25" i="2"/>
  <c r="J25" i="2"/>
  <c r="I25" i="2"/>
  <c r="C25" i="2"/>
  <c r="BR24" i="2"/>
  <c r="AL24" i="2"/>
  <c r="AQ29" i="2" s="1"/>
  <c r="BG566" i="1" s="1"/>
  <c r="AG24" i="2"/>
  <c r="AB24" i="2"/>
  <c r="W24" i="2"/>
  <c r="AM564" i="1" s="1"/>
  <c r="R24" i="2"/>
  <c r="R81" i="2" s="1"/>
  <c r="M24" i="2"/>
  <c r="BT24" i="2" s="1"/>
  <c r="H24" i="2"/>
  <c r="BR23" i="2"/>
  <c r="BW21" i="2"/>
  <c r="BS21" i="2"/>
  <c r="BR21" i="2"/>
  <c r="BR20" i="2"/>
  <c r="BR19" i="2"/>
  <c r="BR18" i="2"/>
  <c r="BR17" i="2"/>
  <c r="BR16" i="2"/>
  <c r="AK16" i="2"/>
  <c r="AJ16" i="2"/>
  <c r="AI16" i="2"/>
  <c r="AY585" i="1" s="1"/>
  <c r="AH16" i="2"/>
  <c r="AM52" i="2" s="1"/>
  <c r="AF16" i="2"/>
  <c r="AE16" i="2"/>
  <c r="AD16" i="2"/>
  <c r="AI52" i="2" s="1"/>
  <c r="AC16" i="2"/>
  <c r="AS585" i="1" s="1"/>
  <c r="R13" i="2"/>
  <c r="K13" i="2"/>
  <c r="P14" i="2" s="1"/>
  <c r="J13" i="2"/>
  <c r="O14" i="2" s="1"/>
  <c r="I13" i="2"/>
  <c r="N14" i="2" s="1"/>
  <c r="G13" i="2"/>
  <c r="L14" i="2" s="1"/>
  <c r="F13" i="2"/>
  <c r="E13" i="2"/>
  <c r="D13" i="2"/>
  <c r="B13" i="2"/>
  <c r="R10" i="2"/>
  <c r="K10" i="2"/>
  <c r="P11" i="2" s="1"/>
  <c r="J10" i="2"/>
  <c r="O11" i="2" s="1"/>
  <c r="I10" i="2"/>
  <c r="N11" i="2" s="1"/>
  <c r="G10" i="2"/>
  <c r="L11" i="2" s="1"/>
  <c r="F10" i="2"/>
  <c r="E10" i="2"/>
  <c r="D10" i="2"/>
  <c r="B10" i="2"/>
  <c r="BR8" i="2"/>
  <c r="AK8" i="2"/>
  <c r="AJ8" i="2"/>
  <c r="AI8" i="2"/>
  <c r="AH8" i="2"/>
  <c r="AF8" i="2"/>
  <c r="AE8" i="2"/>
  <c r="AD8" i="2"/>
  <c r="BR7" i="2"/>
  <c r="X7" i="2"/>
  <c r="AC8" i="2" s="1"/>
  <c r="V7" i="2"/>
  <c r="AA8" i="2" s="1"/>
  <c r="U7" i="2"/>
  <c r="T7" i="2"/>
  <c r="Y8" i="2" s="1"/>
  <c r="S7" i="2"/>
  <c r="Q7" i="2"/>
  <c r="P7" i="2"/>
  <c r="O7" i="2"/>
  <c r="N7" i="2"/>
  <c r="L7" i="2"/>
  <c r="K7" i="2"/>
  <c r="J7" i="2"/>
  <c r="I7" i="2"/>
  <c r="G7" i="2"/>
  <c r="F7" i="2"/>
  <c r="E7" i="2"/>
  <c r="D7" i="2"/>
  <c r="B7" i="2"/>
  <c r="BR5" i="2"/>
  <c r="AK5" i="2"/>
  <c r="AJ5" i="2"/>
  <c r="AI5" i="2"/>
  <c r="AH5" i="2"/>
  <c r="AF5" i="2"/>
  <c r="AE5" i="2"/>
  <c r="AD5" i="2"/>
  <c r="BR4" i="2"/>
  <c r="AQ4" i="2"/>
  <c r="BZ4" i="2" s="1"/>
  <c r="AS4" i="2"/>
  <c r="AX4" i="2" s="1"/>
  <c r="AL4" i="2"/>
  <c r="BB233" i="1" s="1"/>
  <c r="CO233" i="1" s="1"/>
  <c r="AG4" i="2"/>
  <c r="BX4" i="2" s="1"/>
  <c r="X4" i="2"/>
  <c r="V4" i="2"/>
  <c r="AA5" i="2" s="1"/>
  <c r="U4" i="2"/>
  <c r="Z5" i="2" s="1"/>
  <c r="T4" i="2"/>
  <c r="Y5" i="2" s="1"/>
  <c r="S4" i="2"/>
  <c r="Q4" i="2"/>
  <c r="Q5" i="2" s="1"/>
  <c r="P4" i="2"/>
  <c r="O4" i="2"/>
  <c r="N4" i="2"/>
  <c r="K4" i="2"/>
  <c r="J4" i="2"/>
  <c r="I4" i="2"/>
  <c r="G4" i="2"/>
  <c r="L5" i="2"/>
  <c r="F4" i="2"/>
  <c r="E4" i="2"/>
  <c r="D4" i="2"/>
  <c r="B4" i="2"/>
  <c r="BR3" i="2"/>
  <c r="AQ1" i="2"/>
  <c r="BZ1" i="2" s="1"/>
  <c r="AP1" i="2"/>
  <c r="AP95" i="2" s="1"/>
  <c r="AO1" i="2"/>
  <c r="AO151" i="2" s="1"/>
  <c r="AN1" i="2"/>
  <c r="AM1" i="2"/>
  <c r="AM151" i="2" s="1"/>
  <c r="AL1" i="2"/>
  <c r="AK1" i="2"/>
  <c r="AK151" i="2" s="1"/>
  <c r="AJ1" i="2"/>
  <c r="AI1" i="2"/>
  <c r="AI151" i="2" s="1"/>
  <c r="AH1" i="2"/>
  <c r="AH95" i="2" s="1"/>
  <c r="AG1" i="2"/>
  <c r="AG151" i="2" s="1"/>
  <c r="AF1" i="2"/>
  <c r="AF151" i="2" s="1"/>
  <c r="AE1" i="2"/>
  <c r="AE151" i="2" s="1"/>
  <c r="AD1" i="2"/>
  <c r="AD95" i="2"/>
  <c r="AC1" i="2"/>
  <c r="AC151" i="2" s="1"/>
  <c r="AB1" i="2"/>
  <c r="AB95" i="2" s="1"/>
  <c r="BW95" i="2" s="1"/>
  <c r="AA1" i="2"/>
  <c r="AA121" i="2" s="1"/>
  <c r="Z1" i="2"/>
  <c r="Z95" i="2" s="1"/>
  <c r="Y1" i="2"/>
  <c r="Y151" i="2" s="1"/>
  <c r="X1" i="2"/>
  <c r="X121" i="2" s="1"/>
  <c r="W1" i="2"/>
  <c r="W121" i="2" s="1"/>
  <c r="V1" i="2"/>
  <c r="V151" i="2" s="1"/>
  <c r="U1" i="2"/>
  <c r="U151" i="2" s="1"/>
  <c r="T1" i="2"/>
  <c r="T151" i="2" s="1"/>
  <c r="S1" i="2"/>
  <c r="S121" i="2" s="1"/>
  <c r="R1" i="2"/>
  <c r="R121" i="2" s="1"/>
  <c r="Q1" i="2"/>
  <c r="Q151" i="2" s="1"/>
  <c r="P1" i="2"/>
  <c r="P95" i="2" s="1"/>
  <c r="O1" i="2"/>
  <c r="O121" i="2" s="1"/>
  <c r="N1" i="2"/>
  <c r="N151" i="2" s="1"/>
  <c r="M1" i="2"/>
  <c r="M151" i="2" s="1"/>
  <c r="L1" i="2"/>
  <c r="AY664" i="1"/>
  <c r="AY665" i="1" s="1"/>
  <c r="AX664" i="1"/>
  <c r="AV664" i="1"/>
  <c r="AU664" i="1"/>
  <c r="AT664" i="1"/>
  <c r="AS664" i="1"/>
  <c r="AQ664" i="1"/>
  <c r="AP664" i="1"/>
  <c r="AO664" i="1"/>
  <c r="AN664" i="1"/>
  <c r="AL664" i="1"/>
  <c r="AK664" i="1"/>
  <c r="AJ664" i="1"/>
  <c r="AI664" i="1"/>
  <c r="AG664" i="1"/>
  <c r="AF664" i="1"/>
  <c r="AE664" i="1"/>
  <c r="AD664" i="1"/>
  <c r="AB664" i="1"/>
  <c r="AA664" i="1"/>
  <c r="Z664" i="1"/>
  <c r="Y664" i="1"/>
  <c r="X664" i="1"/>
  <c r="W664" i="1"/>
  <c r="V664" i="1"/>
  <c r="U664" i="1"/>
  <c r="T664" i="1"/>
  <c r="AP652" i="1"/>
  <c r="AO652" i="1"/>
  <c r="AN652" i="1"/>
  <c r="AS649" i="1"/>
  <c r="AP649" i="1"/>
  <c r="AP655" i="1" s="1"/>
  <c r="AO649" i="1"/>
  <c r="AN649" i="1"/>
  <c r="AN655" i="1" s="1"/>
  <c r="BD641" i="1"/>
  <c r="BE641" i="1" s="1"/>
  <c r="BF641" i="1" s="1"/>
  <c r="AY641" i="1"/>
  <c r="AZ641" i="1" s="1"/>
  <c r="BA641" i="1" s="1"/>
  <c r="AU641" i="1"/>
  <c r="AV641" i="1" s="1"/>
  <c r="AX639" i="1"/>
  <c r="AY639" i="1" s="1"/>
  <c r="AZ639" i="1" s="1"/>
  <c r="AS638" i="1"/>
  <c r="AS639" i="1" s="1"/>
  <c r="AR638" i="1"/>
  <c r="AR639" i="1" s="1"/>
  <c r="AS635" i="1"/>
  <c r="AS636" i="1" s="1"/>
  <c r="AR635" i="1"/>
  <c r="AV629" i="1"/>
  <c r="AV631" i="1" s="1"/>
  <c r="AU629" i="1"/>
  <c r="AU631" i="1" s="1"/>
  <c r="AT629" i="1"/>
  <c r="AT631" i="1" s="1"/>
  <c r="AR611" i="1"/>
  <c r="AR612" i="1" s="1"/>
  <c r="AM611" i="1"/>
  <c r="BF609" i="1"/>
  <c r="BE609" i="1"/>
  <c r="BD609" i="1"/>
  <c r="BC609" i="1"/>
  <c r="BA609" i="1"/>
  <c r="AZ609" i="1"/>
  <c r="AY609" i="1"/>
  <c r="AX609" i="1"/>
  <c r="AV609" i="1"/>
  <c r="AU609" i="1"/>
  <c r="AT609" i="1"/>
  <c r="BG608" i="1"/>
  <c r="BB608" i="1"/>
  <c r="BF607" i="1"/>
  <c r="BE607" i="1"/>
  <c r="BD607" i="1"/>
  <c r="BC607" i="1"/>
  <c r="BA607" i="1"/>
  <c r="AZ607" i="1"/>
  <c r="AY607" i="1"/>
  <c r="AX607" i="1"/>
  <c r="AV607" i="1"/>
  <c r="AU607" i="1"/>
  <c r="AT607" i="1"/>
  <c r="BF606" i="1"/>
  <c r="BE606" i="1"/>
  <c r="BD606" i="1"/>
  <c r="BC606" i="1"/>
  <c r="BA606" i="1"/>
  <c r="AZ606" i="1"/>
  <c r="AY606" i="1"/>
  <c r="AX606" i="1"/>
  <c r="AV606" i="1"/>
  <c r="AU606" i="1"/>
  <c r="AT606" i="1"/>
  <c r="AS606" i="1"/>
  <c r="AR606" i="1"/>
  <c r="AM606" i="1"/>
  <c r="BF603" i="1"/>
  <c r="BE603" i="1"/>
  <c r="BD603" i="1"/>
  <c r="BC603" i="1"/>
  <c r="BA603" i="1"/>
  <c r="AZ603" i="1"/>
  <c r="AY603" i="1"/>
  <c r="AX603" i="1"/>
  <c r="AV603" i="1"/>
  <c r="AU603" i="1"/>
  <c r="AT603" i="1"/>
  <c r="BG602" i="1"/>
  <c r="BB602" i="1"/>
  <c r="BF601" i="1"/>
  <c r="BE601" i="1"/>
  <c r="BD601" i="1"/>
  <c r="BC601" i="1"/>
  <c r="BA601" i="1"/>
  <c r="AZ601" i="1"/>
  <c r="AY601" i="1"/>
  <c r="AX601" i="1"/>
  <c r="AV601" i="1"/>
  <c r="AU601" i="1"/>
  <c r="AT601" i="1"/>
  <c r="BF600" i="1"/>
  <c r="BE600" i="1"/>
  <c r="BD600" i="1"/>
  <c r="BC600" i="1"/>
  <c r="BA600" i="1"/>
  <c r="AZ600" i="1"/>
  <c r="AY600" i="1"/>
  <c r="AX600" i="1"/>
  <c r="AV600" i="1"/>
  <c r="AU600" i="1"/>
  <c r="AT600" i="1"/>
  <c r="AS600" i="1"/>
  <c r="AR600" i="1"/>
  <c r="AM600" i="1"/>
  <c r="BA597" i="1"/>
  <c r="BF597" i="1" s="1"/>
  <c r="BK597" i="1" s="1"/>
  <c r="BP597" i="1" s="1"/>
  <c r="BU597" i="1" s="1"/>
  <c r="BZ597" i="1" s="1"/>
  <c r="BF594" i="1"/>
  <c r="AZ597" i="1"/>
  <c r="BE597" i="1" s="1"/>
  <c r="BJ597" i="1" s="1"/>
  <c r="BO597" i="1" s="1"/>
  <c r="BT597" i="1" s="1"/>
  <c r="BY597" i="1" s="1"/>
  <c r="AY597" i="1"/>
  <c r="BD597" i="1" s="1"/>
  <c r="BI597" i="1" s="1"/>
  <c r="BN597" i="1" s="1"/>
  <c r="BS597" i="1" s="1"/>
  <c r="BX597" i="1" s="1"/>
  <c r="AX597" i="1"/>
  <c r="BG596" i="1"/>
  <c r="BB596" i="1"/>
  <c r="BA594" i="1"/>
  <c r="AZ594" i="1"/>
  <c r="AY594" i="1"/>
  <c r="AX594" i="1"/>
  <c r="AX592" i="1" s="1"/>
  <c r="AX593" i="1" s="1"/>
  <c r="AW594" i="1"/>
  <c r="AW592" i="1" s="1"/>
  <c r="AT592" i="1" s="1"/>
  <c r="AV594" i="1"/>
  <c r="AU594" i="1"/>
  <c r="AT594" i="1"/>
  <c r="AS594" i="1"/>
  <c r="AU592" i="1"/>
  <c r="AU590" i="1"/>
  <c r="AT590" i="1"/>
  <c r="BF587" i="1"/>
  <c r="BE587" i="1"/>
  <c r="BD587" i="1"/>
  <c r="BC587" i="1"/>
  <c r="AZ587" i="1"/>
  <c r="AY587" i="1"/>
  <c r="AV587" i="1"/>
  <c r="AR587" i="1"/>
  <c r="AK587" i="1"/>
  <c r="AI587" i="1"/>
  <c r="BG582" i="1"/>
  <c r="BF582" i="1"/>
  <c r="BE582" i="1"/>
  <c r="BD582" i="1"/>
  <c r="BC582" i="1"/>
  <c r="BB582" i="1"/>
  <c r="BA582" i="1"/>
  <c r="AZ582" i="1"/>
  <c r="AY582" i="1"/>
  <c r="AX582" i="1"/>
  <c r="AW582" i="1"/>
  <c r="AU582" i="1"/>
  <c r="AT582" i="1"/>
  <c r="AS582" i="1"/>
  <c r="AR582" i="1"/>
  <c r="AQ582" i="1"/>
  <c r="AP582" i="1"/>
  <c r="AO582" i="1"/>
  <c r="AN582" i="1"/>
  <c r="AL582" i="1"/>
  <c r="AK582" i="1"/>
  <c r="AJ582" i="1"/>
  <c r="AI582" i="1"/>
  <c r="BD580" i="1"/>
  <c r="BC580" i="1"/>
  <c r="AJ580" i="1"/>
  <c r="BB578" i="1"/>
  <c r="BA578" i="1"/>
  <c r="AZ578" i="1"/>
  <c r="AY578" i="1"/>
  <c r="AX578" i="1"/>
  <c r="AW578" i="1"/>
  <c r="AV578" i="1"/>
  <c r="AU578" i="1"/>
  <c r="AT578" i="1"/>
  <c r="AS578" i="1"/>
  <c r="AR578" i="1"/>
  <c r="AK578" i="1"/>
  <c r="AJ578" i="1"/>
  <c r="AI578" i="1"/>
  <c r="AZ577" i="1"/>
  <c r="BB576" i="1"/>
  <c r="BA576" i="1"/>
  <c r="AZ576" i="1"/>
  <c r="AY576" i="1"/>
  <c r="AX576" i="1"/>
  <c r="AV576" i="1"/>
  <c r="AU576" i="1"/>
  <c r="AT576" i="1"/>
  <c r="AS576" i="1"/>
  <c r="AQ576" i="1"/>
  <c r="AP576" i="1"/>
  <c r="AO576" i="1"/>
  <c r="AN576" i="1"/>
  <c r="AL576" i="1"/>
  <c r="AK576" i="1"/>
  <c r="AJ576" i="1"/>
  <c r="AI576" i="1"/>
  <c r="BG574" i="1"/>
  <c r="BF574" i="1"/>
  <c r="BE574" i="1"/>
  <c r="BD574" i="1"/>
  <c r="BC574" i="1"/>
  <c r="BB574" i="1"/>
  <c r="BA574" i="1"/>
  <c r="AZ574" i="1"/>
  <c r="AY574" i="1"/>
  <c r="AX574" i="1"/>
  <c r="AW574" i="1"/>
  <c r="AV574" i="1"/>
  <c r="AU574" i="1"/>
  <c r="AT574" i="1"/>
  <c r="AR574" i="1"/>
  <c r="AK574" i="1"/>
  <c r="AJ574" i="1"/>
  <c r="AI574" i="1"/>
  <c r="BG573" i="1"/>
  <c r="BF573" i="1"/>
  <c r="BE573" i="1"/>
  <c r="BD573" i="1"/>
  <c r="BC573" i="1"/>
  <c r="BB573" i="1"/>
  <c r="BA573" i="1"/>
  <c r="AZ573" i="1"/>
  <c r="AY573" i="1"/>
  <c r="AK573" i="1"/>
  <c r="BG572" i="1"/>
  <c r="BF572" i="1"/>
  <c r="BE572" i="1"/>
  <c r="BD572" i="1"/>
  <c r="BC572" i="1"/>
  <c r="BB572" i="1"/>
  <c r="BA572" i="1"/>
  <c r="AZ572" i="1"/>
  <c r="AY572" i="1"/>
  <c r="AX572" i="1"/>
  <c r="AV572" i="1"/>
  <c r="AU572" i="1"/>
  <c r="AT572" i="1"/>
  <c r="AS572" i="1"/>
  <c r="AQ572" i="1"/>
  <c r="AP572" i="1"/>
  <c r="AO572" i="1"/>
  <c r="AN572" i="1"/>
  <c r="AL572" i="1"/>
  <c r="AK572" i="1"/>
  <c r="AJ572" i="1"/>
  <c r="AI572" i="1"/>
  <c r="AY570" i="1"/>
  <c r="AW570" i="1"/>
  <c r="AV570" i="1"/>
  <c r="AR570" i="1"/>
  <c r="AK570" i="1"/>
  <c r="AJ570" i="1"/>
  <c r="AI570" i="1"/>
  <c r="BA568" i="1"/>
  <c r="AZ568" i="1"/>
  <c r="AY568" i="1"/>
  <c r="AX568" i="1"/>
  <c r="AW568" i="1"/>
  <c r="AV568" i="1"/>
  <c r="AU568" i="1"/>
  <c r="AT568" i="1"/>
  <c r="AS568" i="1"/>
  <c r="AQ568" i="1"/>
  <c r="AP568" i="1"/>
  <c r="AO568" i="1"/>
  <c r="AN568" i="1"/>
  <c r="AK568" i="1"/>
  <c r="AJ568" i="1"/>
  <c r="AI568" i="1"/>
  <c r="BF566" i="1"/>
  <c r="BE566" i="1"/>
  <c r="BD566" i="1"/>
  <c r="BC566" i="1"/>
  <c r="BB566" i="1"/>
  <c r="BA566" i="1"/>
  <c r="AZ566" i="1"/>
  <c r="AY566" i="1"/>
  <c r="AW566" i="1"/>
  <c r="AV566" i="1"/>
  <c r="AR566" i="1"/>
  <c r="AK566" i="1"/>
  <c r="AJ566" i="1"/>
  <c r="AI566" i="1"/>
  <c r="BA565" i="1"/>
  <c r="BA564" i="1"/>
  <c r="AZ564" i="1"/>
  <c r="AY564" i="1"/>
  <c r="AX564" i="1"/>
  <c r="AV564" i="1"/>
  <c r="AU564" i="1"/>
  <c r="AT564" i="1"/>
  <c r="AS564" i="1"/>
  <c r="AQ564" i="1"/>
  <c r="AP564" i="1"/>
  <c r="AO564" i="1"/>
  <c r="AN564" i="1"/>
  <c r="AL564" i="1"/>
  <c r="AK564" i="1"/>
  <c r="AJ564" i="1"/>
  <c r="AI564" i="1"/>
  <c r="BA556" i="1"/>
  <c r="AZ556" i="1"/>
  <c r="AY556" i="1"/>
  <c r="AX556" i="1"/>
  <c r="AV556" i="1"/>
  <c r="AU556" i="1"/>
  <c r="AT556" i="1"/>
  <c r="AS556" i="1"/>
  <c r="AQ556" i="1"/>
  <c r="AP556" i="1"/>
  <c r="AO556" i="1"/>
  <c r="AN556" i="1"/>
  <c r="AL556" i="1"/>
  <c r="AK556" i="1"/>
  <c r="AJ556" i="1"/>
  <c r="AI556" i="1"/>
  <c r="CD551" i="1"/>
  <c r="CD550" i="1"/>
  <c r="CD549" i="1"/>
  <c r="CD544" i="1"/>
  <c r="BF542" i="1"/>
  <c r="BE542" i="1"/>
  <c r="BD542" i="1"/>
  <c r="BC542" i="1"/>
  <c r="BA542" i="1"/>
  <c r="AZ542" i="1"/>
  <c r="AY542" i="1"/>
  <c r="AX542" i="1"/>
  <c r="AV542" i="1"/>
  <c r="AU542" i="1"/>
  <c r="AT542" i="1"/>
  <c r="AS542" i="1"/>
  <c r="AQ542" i="1"/>
  <c r="AP542" i="1"/>
  <c r="AO542" i="1"/>
  <c r="AN542" i="1"/>
  <c r="AL542" i="1"/>
  <c r="AK542" i="1"/>
  <c r="AJ542" i="1"/>
  <c r="AI542" i="1"/>
  <c r="AG542" i="1"/>
  <c r="AF542" i="1"/>
  <c r="AE542" i="1"/>
  <c r="AE541" i="1"/>
  <c r="AE539" i="1" s="1"/>
  <c r="AE540" i="1"/>
  <c r="AF540" i="1" s="1"/>
  <c r="AG540" i="1" s="1"/>
  <c r="AH540" i="1" s="1"/>
  <c r="AH537" i="1"/>
  <c r="AM537" i="1" s="1"/>
  <c r="AR537" i="1" s="1"/>
  <c r="AW537" i="1" s="1"/>
  <c r="BB537" i="1" s="1"/>
  <c r="BG537" i="1" s="1"/>
  <c r="Y537" i="1"/>
  <c r="AE536" i="1"/>
  <c r="AF536" i="1" s="1"/>
  <c r="AG536" i="1" s="1"/>
  <c r="AG534" i="1" s="1"/>
  <c r="AE535" i="1"/>
  <c r="AF535" i="1" s="1"/>
  <c r="AG535" i="1" s="1"/>
  <c r="AH535" i="1" s="1"/>
  <c r="AI535" i="1" s="1"/>
  <c r="AJ535" i="1" s="1"/>
  <c r="AK535" i="1" s="1"/>
  <c r="AL535" i="1" s="1"/>
  <c r="AQ524" i="1"/>
  <c r="AP524" i="1"/>
  <c r="AO524" i="1"/>
  <c r="AN524" i="1"/>
  <c r="AM524" i="1"/>
  <c r="V518" i="1"/>
  <c r="W518" i="1" s="1"/>
  <c r="U517" i="1"/>
  <c r="V517" i="1" s="1"/>
  <c r="T516" i="1"/>
  <c r="U516" i="1" s="1"/>
  <c r="R515" i="1"/>
  <c r="T515" i="1" s="1"/>
  <c r="Q514" i="1"/>
  <c r="R514" i="1" s="1"/>
  <c r="T514" i="1" s="1"/>
  <c r="U514" i="1" s="1"/>
  <c r="P513" i="1"/>
  <c r="O512" i="1"/>
  <c r="P512" i="1" s="1"/>
  <c r="M511" i="1"/>
  <c r="L510" i="1"/>
  <c r="M510" i="1" s="1"/>
  <c r="K509" i="1"/>
  <c r="L509" i="1" s="1"/>
  <c r="M509" i="1" s="1"/>
  <c r="J508" i="1"/>
  <c r="H507" i="1"/>
  <c r="G506" i="1"/>
  <c r="F505" i="1"/>
  <c r="G505" i="1" s="1"/>
  <c r="H505" i="1" s="1"/>
  <c r="E504" i="1"/>
  <c r="F504" i="1" s="1"/>
  <c r="G504" i="1" s="1"/>
  <c r="D503" i="1"/>
  <c r="C502" i="1"/>
  <c r="T501" i="1"/>
  <c r="O501" i="1"/>
  <c r="J501" i="1"/>
  <c r="E501" i="1"/>
  <c r="D501" i="1"/>
  <c r="C501" i="1"/>
  <c r="BC486" i="1"/>
  <c r="BA486" i="1"/>
  <c r="AZ486" i="1"/>
  <c r="AY486" i="1"/>
  <c r="AX486" i="1"/>
  <c r="AV486" i="1"/>
  <c r="AU486" i="1"/>
  <c r="AT486" i="1"/>
  <c r="AS486" i="1"/>
  <c r="AQ486" i="1"/>
  <c r="AP486" i="1"/>
  <c r="AO486" i="1"/>
  <c r="AN486" i="1"/>
  <c r="AL486" i="1"/>
  <c r="AK486" i="1"/>
  <c r="AJ486" i="1"/>
  <c r="AI486" i="1"/>
  <c r="AG486" i="1"/>
  <c r="AF486" i="1"/>
  <c r="AE486" i="1"/>
  <c r="AD486" i="1"/>
  <c r="AB486" i="1"/>
  <c r="AA486" i="1"/>
  <c r="Z486" i="1"/>
  <c r="Y486" i="1"/>
  <c r="V486" i="1"/>
  <c r="U486" i="1"/>
  <c r="T486" i="1"/>
  <c r="R486" i="1"/>
  <c r="Q486" i="1"/>
  <c r="P486" i="1"/>
  <c r="O486" i="1"/>
  <c r="M486" i="1"/>
  <c r="L486" i="1"/>
  <c r="K486" i="1"/>
  <c r="J486" i="1"/>
  <c r="BF485" i="1"/>
  <c r="BC485" i="1"/>
  <c r="AX485" i="1"/>
  <c r="AU485" i="1"/>
  <c r="AT485" i="1"/>
  <c r="AS485" i="1"/>
  <c r="AN485" i="1"/>
  <c r="AI485" i="1"/>
  <c r="AD485" i="1"/>
  <c r="Y485" i="1"/>
  <c r="T485" i="1"/>
  <c r="O485" i="1"/>
  <c r="BA481" i="1"/>
  <c r="AZ481" i="1"/>
  <c r="AY481" i="1"/>
  <c r="AV481" i="1"/>
  <c r="AU481" i="1"/>
  <c r="AT481" i="1"/>
  <c r="AQ481" i="1"/>
  <c r="AP481" i="1"/>
  <c r="AO481" i="1"/>
  <c r="AL481" i="1"/>
  <c r="AK481" i="1"/>
  <c r="AJ481" i="1"/>
  <c r="AG481" i="1"/>
  <c r="AF481" i="1"/>
  <c r="AE481" i="1"/>
  <c r="AB481" i="1"/>
  <c r="AA481" i="1"/>
  <c r="Z481" i="1"/>
  <c r="W481" i="1"/>
  <c r="V481" i="1"/>
  <c r="U481" i="1"/>
  <c r="R481" i="1"/>
  <c r="Q481" i="1"/>
  <c r="P481" i="1"/>
  <c r="M481" i="1"/>
  <c r="L481" i="1"/>
  <c r="K481" i="1"/>
  <c r="AX475" i="1"/>
  <c r="AI475" i="1"/>
  <c r="AD475" i="1"/>
  <c r="Y475" i="1"/>
  <c r="T475" i="1"/>
  <c r="O475" i="1"/>
  <c r="J475" i="1"/>
  <c r="AX472" i="1"/>
  <c r="AS472" i="1"/>
  <c r="T472" i="1"/>
  <c r="O472" i="1"/>
  <c r="J472" i="1"/>
  <c r="AS461" i="1"/>
  <c r="AP461" i="1"/>
  <c r="P461" i="1"/>
  <c r="K461" i="1"/>
  <c r="L461" i="1" s="1"/>
  <c r="M461" i="1" s="1"/>
  <c r="N461" i="1" s="1"/>
  <c r="F461" i="1"/>
  <c r="C460" i="1"/>
  <c r="P459" i="1"/>
  <c r="K459" i="1"/>
  <c r="L459" i="1" s="1"/>
  <c r="F459" i="1"/>
  <c r="G459" i="1" s="1"/>
  <c r="AU449" i="1"/>
  <c r="AT449" i="1"/>
  <c r="AQ449" i="1"/>
  <c r="AP449" i="1"/>
  <c r="AK449" i="1"/>
  <c r="AJ449" i="1"/>
  <c r="AG449" i="1"/>
  <c r="AF449" i="1"/>
  <c r="AE449" i="1"/>
  <c r="AB449" i="1"/>
  <c r="AA449" i="1"/>
  <c r="Z449" i="1"/>
  <c r="V449" i="1"/>
  <c r="U449" i="1"/>
  <c r="Q449" i="1"/>
  <c r="P449" i="1"/>
  <c r="M449" i="1"/>
  <c r="L449" i="1"/>
  <c r="K449" i="1"/>
  <c r="H449" i="1"/>
  <c r="G449" i="1"/>
  <c r="F449" i="1"/>
  <c r="E449" i="1"/>
  <c r="D449" i="1"/>
  <c r="BG448" i="1"/>
  <c r="BF448" i="1"/>
  <c r="BE448" i="1"/>
  <c r="BB448" i="1"/>
  <c r="BA448" i="1"/>
  <c r="AZ448" i="1"/>
  <c r="AY448" i="1"/>
  <c r="AX448" i="1"/>
  <c r="AW448" i="1"/>
  <c r="AV448" i="1"/>
  <c r="AU448" i="1"/>
  <c r="AT448" i="1"/>
  <c r="AS448" i="1"/>
  <c r="AR448" i="1"/>
  <c r="AQ448" i="1"/>
  <c r="AP448" i="1"/>
  <c r="AO448" i="1"/>
  <c r="AN448" i="1"/>
  <c r="AM448" i="1"/>
  <c r="AL448" i="1"/>
  <c r="AK448" i="1"/>
  <c r="AJ448" i="1"/>
  <c r="AI448" i="1"/>
  <c r="AH448" i="1"/>
  <c r="AG448" i="1"/>
  <c r="AF448" i="1"/>
  <c r="AE448" i="1"/>
  <c r="AD448" i="1"/>
  <c r="AC448" i="1"/>
  <c r="AB448" i="1"/>
  <c r="AA448" i="1"/>
  <c r="Z448" i="1"/>
  <c r="Y448" i="1"/>
  <c r="W448" i="1"/>
  <c r="V448" i="1"/>
  <c r="U448" i="1"/>
  <c r="T448" i="1"/>
  <c r="R448" i="1"/>
  <c r="Q448" i="1"/>
  <c r="P448" i="1"/>
  <c r="O448" i="1"/>
  <c r="M448" i="1"/>
  <c r="L448" i="1"/>
  <c r="K448" i="1"/>
  <c r="J448" i="1"/>
  <c r="H448" i="1"/>
  <c r="G448" i="1"/>
  <c r="F448" i="1"/>
  <c r="E448" i="1"/>
  <c r="D448" i="1"/>
  <c r="BA446" i="1"/>
  <c r="AV446" i="1"/>
  <c r="AU446" i="1"/>
  <c r="AT446" i="1"/>
  <c r="AQ446" i="1"/>
  <c r="AP446" i="1"/>
  <c r="AF446" i="1"/>
  <c r="AB446" i="1"/>
  <c r="AA446" i="1"/>
  <c r="Q446" i="1"/>
  <c r="P446" i="1"/>
  <c r="M446" i="1"/>
  <c r="L446" i="1"/>
  <c r="K446" i="1"/>
  <c r="H446" i="1"/>
  <c r="G446" i="1"/>
  <c r="F446" i="1"/>
  <c r="E446" i="1"/>
  <c r="D446" i="1"/>
  <c r="BB438" i="1"/>
  <c r="AW438" i="1"/>
  <c r="AR438" i="1"/>
  <c r="AH438" i="1"/>
  <c r="AC438" i="1"/>
  <c r="Y438" i="1"/>
  <c r="S438" i="1"/>
  <c r="AU436" i="1"/>
  <c r="AT436" i="1"/>
  <c r="AS436" i="1"/>
  <c r="AN436" i="1"/>
  <c r="AL436" i="1"/>
  <c r="AK436" i="1"/>
  <c r="AJ436" i="1"/>
  <c r="AI436" i="1"/>
  <c r="AG436" i="1"/>
  <c r="AF436" i="1"/>
  <c r="AE436" i="1"/>
  <c r="AD436" i="1"/>
  <c r="AB436" i="1"/>
  <c r="AA436" i="1"/>
  <c r="Q436" i="1"/>
  <c r="J436" i="1"/>
  <c r="G436" i="1"/>
  <c r="G437" i="1" s="1"/>
  <c r="F436" i="1"/>
  <c r="E436" i="1"/>
  <c r="F437" i="1" s="1"/>
  <c r="C436" i="1"/>
  <c r="AC430" i="1"/>
  <c r="Y430" i="1"/>
  <c r="X430" i="1"/>
  <c r="T430" i="1"/>
  <c r="S430" i="1"/>
  <c r="O430" i="1"/>
  <c r="N430" i="1"/>
  <c r="J430" i="1"/>
  <c r="I430" i="1"/>
  <c r="E430" i="1"/>
  <c r="D430" i="1"/>
  <c r="BA424" i="1"/>
  <c r="AZ424" i="1"/>
  <c r="AY424" i="1"/>
  <c r="AX424" i="1"/>
  <c r="AV424" i="1"/>
  <c r="AU424" i="1"/>
  <c r="AT424" i="1"/>
  <c r="AS424" i="1"/>
  <c r="AT425" i="1" s="1"/>
  <c r="AQ424" i="1"/>
  <c r="AP424" i="1"/>
  <c r="AQ425" i="1" s="1"/>
  <c r="AO424" i="1"/>
  <c r="AP425" i="1" s="1"/>
  <c r="AN424" i="1"/>
  <c r="AO425" i="1" s="1"/>
  <c r="AL424" i="1"/>
  <c r="AK424" i="1"/>
  <c r="AJ424" i="1"/>
  <c r="AI424" i="1"/>
  <c r="AG424" i="1"/>
  <c r="AF424" i="1"/>
  <c r="AG425" i="1" s="1"/>
  <c r="AE424" i="1"/>
  <c r="AF425" i="1" s="1"/>
  <c r="AD424" i="1"/>
  <c r="AB424" i="1"/>
  <c r="AA424" i="1"/>
  <c r="AB425" i="1" s="1"/>
  <c r="AB426" i="1" s="1"/>
  <c r="Z424" i="1"/>
  <c r="AA425" i="1" s="1"/>
  <c r="Y424" i="1"/>
  <c r="W424" i="1"/>
  <c r="V424" i="1"/>
  <c r="U424" i="1"/>
  <c r="T424" i="1"/>
  <c r="R424" i="1"/>
  <c r="Q424" i="1"/>
  <c r="P424" i="1"/>
  <c r="O424" i="1"/>
  <c r="M424" i="1"/>
  <c r="L424" i="1"/>
  <c r="K424" i="1"/>
  <c r="J424" i="1"/>
  <c r="H424" i="1"/>
  <c r="G424" i="1"/>
  <c r="H425" i="1" s="1"/>
  <c r="F424" i="1"/>
  <c r="E424" i="1"/>
  <c r="D424" i="1"/>
  <c r="C424" i="1"/>
  <c r="C425" i="1" s="1"/>
  <c r="BA423" i="1"/>
  <c r="AZ423" i="1"/>
  <c r="AZ459" i="1" s="1"/>
  <c r="AY423" i="1"/>
  <c r="AY427" i="1" s="1"/>
  <c r="AX423" i="1"/>
  <c r="AX427" i="1" s="1"/>
  <c r="AV423" i="1"/>
  <c r="AU423" i="1"/>
  <c r="AT423" i="1"/>
  <c r="AS423" i="1"/>
  <c r="AQ423" i="1"/>
  <c r="AP423" i="1"/>
  <c r="AP459" i="1" s="1"/>
  <c r="AN423" i="1"/>
  <c r="AL423" i="1"/>
  <c r="AK423" i="1"/>
  <c r="AK459" i="1" s="1"/>
  <c r="AJ423" i="1"/>
  <c r="AI423" i="1"/>
  <c r="AF423" i="1"/>
  <c r="AE423" i="1"/>
  <c r="AD423" i="1"/>
  <c r="AB423" i="1"/>
  <c r="AA423" i="1"/>
  <c r="Z423" i="1"/>
  <c r="Y423" i="1"/>
  <c r="V423" i="1"/>
  <c r="U423" i="1"/>
  <c r="T423" i="1"/>
  <c r="O423" i="1"/>
  <c r="J423" i="1"/>
  <c r="E423" i="1"/>
  <c r="D423" i="1"/>
  <c r="C423" i="1"/>
  <c r="C426" i="1" s="1"/>
  <c r="AX418" i="1"/>
  <c r="AT418" i="1"/>
  <c r="AS418" i="1"/>
  <c r="AQ418" i="1"/>
  <c r="AQ459" i="1" s="1"/>
  <c r="AP418" i="1"/>
  <c r="AO418" i="1"/>
  <c r="AN418" i="1"/>
  <c r="AL418" i="1"/>
  <c r="AL459" i="1" s="1"/>
  <c r="AK418" i="1"/>
  <c r="AJ418" i="1"/>
  <c r="AI418" i="1"/>
  <c r="AI459" i="1" s="1"/>
  <c r="AF418" i="1"/>
  <c r="AF459" i="1" s="1"/>
  <c r="AE418" i="1"/>
  <c r="AD418" i="1"/>
  <c r="AB418" i="1"/>
  <c r="AB459" i="1" s="1"/>
  <c r="AA418" i="1"/>
  <c r="AA459" i="1" s="1"/>
  <c r="Z418" i="1"/>
  <c r="W418" i="1"/>
  <c r="V418" i="1"/>
  <c r="U418" i="1"/>
  <c r="U459" i="1" s="1"/>
  <c r="T418" i="1"/>
  <c r="Q418" i="1"/>
  <c r="O418" i="1"/>
  <c r="J418" i="1"/>
  <c r="E418" i="1"/>
  <c r="D418" i="1"/>
  <c r="C418" i="1"/>
  <c r="BA415" i="1"/>
  <c r="AZ415" i="1"/>
  <c r="BA411" i="1" s="1"/>
  <c r="AY415" i="1"/>
  <c r="AZ411" i="1" s="1"/>
  <c r="AX415" i="1"/>
  <c r="AY411" i="1" s="1"/>
  <c r="AV415" i="1"/>
  <c r="AU415" i="1"/>
  <c r="AV411" i="1" s="1"/>
  <c r="AT415" i="1"/>
  <c r="AS415" i="1"/>
  <c r="AT411" i="1" s="1"/>
  <c r="AQ415" i="1"/>
  <c r="AP415" i="1"/>
  <c r="AQ411" i="1" s="1"/>
  <c r="AO415" i="1"/>
  <c r="AP411" i="1" s="1"/>
  <c r="AP413" i="1" s="1"/>
  <c r="AN415" i="1"/>
  <c r="AO411" i="1" s="1"/>
  <c r="AL415" i="1"/>
  <c r="AK415" i="1"/>
  <c r="AJ415" i="1"/>
  <c r="AK411" i="1" s="1"/>
  <c r="AK413" i="1" s="1"/>
  <c r="AI415" i="1"/>
  <c r="AJ411" i="1" s="1"/>
  <c r="AG415" i="1"/>
  <c r="AF415" i="1"/>
  <c r="AG411" i="1" s="1"/>
  <c r="AE415" i="1"/>
  <c r="AD415" i="1"/>
  <c r="AE411" i="1" s="1"/>
  <c r="AB415" i="1"/>
  <c r="AA415" i="1"/>
  <c r="Z415" i="1"/>
  <c r="AA411" i="1" s="1"/>
  <c r="AA413" i="1" s="1"/>
  <c r="Y415" i="1"/>
  <c r="Z411" i="1" s="1"/>
  <c r="W415" i="1"/>
  <c r="V415" i="1"/>
  <c r="U415" i="1"/>
  <c r="V411" i="1" s="1"/>
  <c r="T415" i="1"/>
  <c r="U411" i="1" s="1"/>
  <c r="R415" i="1"/>
  <c r="Q415" i="1"/>
  <c r="R411" i="1" s="1"/>
  <c r="P415" i="1"/>
  <c r="O415" i="1"/>
  <c r="P411" i="1" s="1"/>
  <c r="M415" i="1"/>
  <c r="L415" i="1"/>
  <c r="K415" i="1"/>
  <c r="L411" i="1" s="1"/>
  <c r="J415" i="1"/>
  <c r="K411" i="1" s="1"/>
  <c r="D415" i="1"/>
  <c r="I411" i="1" s="1"/>
  <c r="C415" i="1"/>
  <c r="D411" i="1" s="1"/>
  <c r="BG412" i="1"/>
  <c r="BA412" i="1"/>
  <c r="AZ412" i="1"/>
  <c r="AY412" i="1"/>
  <c r="AX412" i="1"/>
  <c r="AV412" i="1"/>
  <c r="AU412" i="1"/>
  <c r="AT412" i="1"/>
  <c r="AS412" i="1"/>
  <c r="AQ412" i="1"/>
  <c r="AP412" i="1"/>
  <c r="AO412" i="1"/>
  <c r="AN412" i="1"/>
  <c r="AL412" i="1"/>
  <c r="AK412" i="1"/>
  <c r="AJ412" i="1"/>
  <c r="AI412" i="1"/>
  <c r="AG412" i="1"/>
  <c r="AF412" i="1"/>
  <c r="AE412" i="1"/>
  <c r="AD412" i="1"/>
  <c r="AB412" i="1"/>
  <c r="AA412" i="1"/>
  <c r="Z412" i="1"/>
  <c r="Y412" i="1"/>
  <c r="W412" i="1"/>
  <c r="T412" i="1"/>
  <c r="R412" i="1"/>
  <c r="Q412" i="1"/>
  <c r="P412" i="1"/>
  <c r="O412" i="1"/>
  <c r="J412" i="1"/>
  <c r="D412" i="1"/>
  <c r="BA408" i="1"/>
  <c r="AZ408" i="1"/>
  <c r="BA404" i="1" s="1"/>
  <c r="AY408" i="1"/>
  <c r="AZ404" i="1" s="1"/>
  <c r="AX408" i="1"/>
  <c r="AY404" i="1" s="1"/>
  <c r="AV408" i="1"/>
  <c r="AU408" i="1"/>
  <c r="AV404" i="1" s="1"/>
  <c r="AT408" i="1"/>
  <c r="AU404" i="1" s="1"/>
  <c r="AS408" i="1"/>
  <c r="AT404" i="1" s="1"/>
  <c r="AQ408" i="1"/>
  <c r="AP408" i="1"/>
  <c r="AQ404" i="1" s="1"/>
  <c r="AO408" i="1"/>
  <c r="AP404" i="1" s="1"/>
  <c r="AN408" i="1"/>
  <c r="AL408" i="1"/>
  <c r="AK408" i="1"/>
  <c r="AL404" i="1" s="1"/>
  <c r="AJ408" i="1"/>
  <c r="AK404" i="1" s="1"/>
  <c r="AI408" i="1"/>
  <c r="AJ404" i="1" s="1"/>
  <c r="AG408" i="1"/>
  <c r="AF408" i="1"/>
  <c r="AG404" i="1" s="1"/>
  <c r="AE408" i="1"/>
  <c r="AF404" i="1" s="1"/>
  <c r="AD408" i="1"/>
  <c r="AE404" i="1" s="1"/>
  <c r="AB408" i="1"/>
  <c r="AA408" i="1"/>
  <c r="AB404" i="1" s="1"/>
  <c r="Z408" i="1"/>
  <c r="AA404" i="1" s="1"/>
  <c r="Y408" i="1"/>
  <c r="Z404" i="1" s="1"/>
  <c r="W408" i="1"/>
  <c r="V408" i="1"/>
  <c r="W404" i="1" s="1"/>
  <c r="U408" i="1"/>
  <c r="V404" i="1" s="1"/>
  <c r="T408" i="1"/>
  <c r="U404" i="1" s="1"/>
  <c r="R408" i="1"/>
  <c r="Q408" i="1"/>
  <c r="R404" i="1" s="1"/>
  <c r="P408" i="1"/>
  <c r="O408" i="1"/>
  <c r="P404" i="1" s="1"/>
  <c r="M408" i="1"/>
  <c r="L408" i="1"/>
  <c r="M404" i="1" s="1"/>
  <c r="K408" i="1"/>
  <c r="L404" i="1" s="1"/>
  <c r="J408" i="1"/>
  <c r="K404" i="1" s="1"/>
  <c r="D408" i="1"/>
  <c r="I404" i="1" s="1"/>
  <c r="C408" i="1"/>
  <c r="D404" i="1" s="1"/>
  <c r="AX405" i="1"/>
  <c r="AS405" i="1"/>
  <c r="T405" i="1"/>
  <c r="O405" i="1"/>
  <c r="J405" i="1"/>
  <c r="I405" i="1"/>
  <c r="D405" i="1"/>
  <c r="AO404" i="1"/>
  <c r="BA401" i="1"/>
  <c r="AZ401" i="1"/>
  <c r="BA396" i="1" s="1"/>
  <c r="AY401" i="1"/>
  <c r="AZ396" i="1" s="1"/>
  <c r="AX401" i="1"/>
  <c r="AY396" i="1" s="1"/>
  <c r="AV401" i="1"/>
  <c r="AU401" i="1"/>
  <c r="AT401" i="1"/>
  <c r="AU396" i="1" s="1"/>
  <c r="AS401" i="1"/>
  <c r="AT396" i="1" s="1"/>
  <c r="AQ401" i="1"/>
  <c r="AP401" i="1"/>
  <c r="AQ396" i="1" s="1"/>
  <c r="AO401" i="1"/>
  <c r="AP396" i="1" s="1"/>
  <c r="AN401" i="1"/>
  <c r="AO396" i="1" s="1"/>
  <c r="AL401" i="1"/>
  <c r="AK401" i="1"/>
  <c r="AL396" i="1" s="1"/>
  <c r="AJ401" i="1"/>
  <c r="AK396" i="1" s="1"/>
  <c r="AI401" i="1"/>
  <c r="AJ396" i="1" s="1"/>
  <c r="AG401" i="1"/>
  <c r="AF401" i="1"/>
  <c r="AG396" i="1" s="1"/>
  <c r="AE401" i="1"/>
  <c r="AF396" i="1" s="1"/>
  <c r="AD401" i="1"/>
  <c r="AE396" i="1" s="1"/>
  <c r="AB401" i="1"/>
  <c r="AA401" i="1"/>
  <c r="AB396" i="1" s="1"/>
  <c r="Z401" i="1"/>
  <c r="AA396" i="1" s="1"/>
  <c r="Y401" i="1"/>
  <c r="Z396" i="1" s="1"/>
  <c r="W401" i="1"/>
  <c r="V401" i="1"/>
  <c r="W396" i="1" s="1"/>
  <c r="U401" i="1"/>
  <c r="V396" i="1" s="1"/>
  <c r="T401" i="1"/>
  <c r="U396" i="1" s="1"/>
  <c r="R401" i="1"/>
  <c r="Q401" i="1"/>
  <c r="R396" i="1" s="1"/>
  <c r="P401" i="1"/>
  <c r="Q396" i="1" s="1"/>
  <c r="O401" i="1"/>
  <c r="P396" i="1" s="1"/>
  <c r="M401" i="1"/>
  <c r="L401" i="1"/>
  <c r="M396" i="1" s="1"/>
  <c r="K401" i="1"/>
  <c r="L396" i="1" s="1"/>
  <c r="J401" i="1"/>
  <c r="K396" i="1" s="1"/>
  <c r="D401" i="1"/>
  <c r="I396" i="1" s="1"/>
  <c r="C401" i="1"/>
  <c r="D396" i="1" s="1"/>
  <c r="AX398" i="1"/>
  <c r="AS398" i="1"/>
  <c r="T398" i="1"/>
  <c r="O398" i="1"/>
  <c r="J398" i="1"/>
  <c r="I398" i="1"/>
  <c r="D398" i="1"/>
  <c r="AX397" i="1"/>
  <c r="AN397" i="1"/>
  <c r="AI397" i="1"/>
  <c r="AD397" i="1"/>
  <c r="Y397" i="1"/>
  <c r="T397" i="1"/>
  <c r="O397" i="1"/>
  <c r="J397" i="1"/>
  <c r="I397" i="1"/>
  <c r="D397" i="1"/>
  <c r="AV396" i="1"/>
  <c r="AX383" i="1"/>
  <c r="AX500" i="1" s="1"/>
  <c r="AX526" i="1" s="1"/>
  <c r="AN383" i="1"/>
  <c r="AI383" i="1"/>
  <c r="AI500" i="1" s="1"/>
  <c r="AI522" i="1" s="1"/>
  <c r="AD383" i="1"/>
  <c r="Y383" i="1"/>
  <c r="Y458" i="1" s="1"/>
  <c r="T383" i="1"/>
  <c r="T458" i="1" s="1"/>
  <c r="O383" i="1"/>
  <c r="O458" i="1" s="1"/>
  <c r="J383" i="1"/>
  <c r="J458" i="1" s="1"/>
  <c r="E383" i="1"/>
  <c r="E458" i="1" s="1"/>
  <c r="D383" i="1"/>
  <c r="CE383" i="1" s="1"/>
  <c r="C383" i="1"/>
  <c r="C458" i="1" s="1"/>
  <c r="AM378" i="1"/>
  <c r="AH378" i="1"/>
  <c r="X378" i="1"/>
  <c r="U378" i="1" s="1"/>
  <c r="R378" i="1"/>
  <c r="Q378" i="1"/>
  <c r="P378" i="1"/>
  <c r="O378" i="1"/>
  <c r="M378" i="1"/>
  <c r="L378" i="1"/>
  <c r="K378" i="1"/>
  <c r="J378" i="1"/>
  <c r="H378" i="1"/>
  <c r="G378" i="1"/>
  <c r="F378" i="1"/>
  <c r="E378" i="1"/>
  <c r="W377" i="1"/>
  <c r="V377" i="1"/>
  <c r="U377" i="1"/>
  <c r="T377" i="1"/>
  <c r="R377" i="1"/>
  <c r="Q377" i="1"/>
  <c r="P377" i="1"/>
  <c r="O377" i="1"/>
  <c r="M377" i="1"/>
  <c r="L377" i="1"/>
  <c r="K377" i="1"/>
  <c r="J377" i="1"/>
  <c r="H377" i="1"/>
  <c r="G377" i="1"/>
  <c r="F377" i="1"/>
  <c r="E377" i="1"/>
  <c r="W376" i="1"/>
  <c r="V376" i="1"/>
  <c r="U376" i="1"/>
  <c r="T376" i="1"/>
  <c r="R376" i="1"/>
  <c r="R375" i="1" s="1"/>
  <c r="Q376" i="1"/>
  <c r="Q375" i="1" s="1"/>
  <c r="P376" i="1"/>
  <c r="O376" i="1"/>
  <c r="N376" i="1"/>
  <c r="L376" i="1" s="1"/>
  <c r="L375" i="1" s="1"/>
  <c r="I376" i="1"/>
  <c r="F376" i="1" s="1"/>
  <c r="H376" i="1"/>
  <c r="D376" i="1"/>
  <c r="D375" i="1" s="1"/>
  <c r="S375" i="1"/>
  <c r="I375" i="1"/>
  <c r="C375" i="1"/>
  <c r="Q366" i="1"/>
  <c r="AX360" i="1"/>
  <c r="AS360" i="1"/>
  <c r="AN360" i="1"/>
  <c r="AI360" i="1"/>
  <c r="AD360" i="1"/>
  <c r="Y360" i="1"/>
  <c r="T360" i="1"/>
  <c r="O360" i="1"/>
  <c r="J360" i="1"/>
  <c r="E360" i="1"/>
  <c r="D360" i="1"/>
  <c r="C360" i="1"/>
  <c r="P357" i="1"/>
  <c r="K357" i="1"/>
  <c r="L357" i="1" s="1"/>
  <c r="M357" i="1" s="1"/>
  <c r="P356" i="1"/>
  <c r="K356" i="1"/>
  <c r="L356" i="1" s="1"/>
  <c r="M356" i="1" s="1"/>
  <c r="F356" i="1"/>
  <c r="P355" i="1"/>
  <c r="K355" i="1"/>
  <c r="F355" i="1"/>
  <c r="P354" i="1"/>
  <c r="K354" i="1"/>
  <c r="L354" i="1" s="1"/>
  <c r="M354" i="1" s="1"/>
  <c r="F354" i="1"/>
  <c r="G354" i="1" s="1"/>
  <c r="BA346" i="1"/>
  <c r="AV346" i="1"/>
  <c r="AW346" i="1" s="1"/>
  <c r="AQ346" i="1"/>
  <c r="AR346" i="1" s="1"/>
  <c r="AF346" i="1"/>
  <c r="AE346" i="1"/>
  <c r="AD346" i="1"/>
  <c r="AB346" i="1"/>
  <c r="AC346" i="1" s="1"/>
  <c r="V346" i="1"/>
  <c r="P346" i="1"/>
  <c r="K346" i="1"/>
  <c r="L346" i="1" s="1"/>
  <c r="F346" i="1"/>
  <c r="G346" i="1" s="1"/>
  <c r="H346" i="1" s="1"/>
  <c r="I346" i="1" s="1"/>
  <c r="BA345" i="1"/>
  <c r="BB345" i="1" s="1"/>
  <c r="AV345" i="1"/>
  <c r="AQ345" i="1"/>
  <c r="AR345" i="1" s="1"/>
  <c r="AF345" i="1"/>
  <c r="AF344" i="1" s="1"/>
  <c r="AE345" i="1"/>
  <c r="AE344" i="1"/>
  <c r="AD345" i="1"/>
  <c r="AB345" i="1"/>
  <c r="AC345" i="1" s="1"/>
  <c r="AC344" i="1" s="1"/>
  <c r="W345" i="1"/>
  <c r="X345" i="1" s="1"/>
  <c r="P345" i="1"/>
  <c r="P344" i="1" s="1"/>
  <c r="K345" i="1"/>
  <c r="K344" i="1" s="1"/>
  <c r="F345" i="1"/>
  <c r="G345" i="1" s="1"/>
  <c r="G344" i="1" s="1"/>
  <c r="AZ344" i="1"/>
  <c r="AY344" i="1"/>
  <c r="AX344" i="1"/>
  <c r="AU344" i="1"/>
  <c r="AT344" i="1"/>
  <c r="AS344" i="1"/>
  <c r="AP344" i="1"/>
  <c r="AO344" i="1"/>
  <c r="AN344" i="1"/>
  <c r="AK344" i="1"/>
  <c r="AJ344" i="1"/>
  <c r="AI344" i="1"/>
  <c r="AA344" i="1"/>
  <c r="Z344" i="1"/>
  <c r="Y344" i="1"/>
  <c r="U344" i="1"/>
  <c r="T344" i="1"/>
  <c r="O344" i="1"/>
  <c r="J344" i="1"/>
  <c r="E344" i="1"/>
  <c r="D344" i="1"/>
  <c r="C344" i="1"/>
  <c r="CD340" i="1"/>
  <c r="CD339" i="1"/>
  <c r="CD337" i="1"/>
  <c r="CD336" i="1"/>
  <c r="J335" i="1"/>
  <c r="CD334" i="1"/>
  <c r="CD332" i="1"/>
  <c r="CM331" i="1"/>
  <c r="CF331" i="1"/>
  <c r="CE331" i="1"/>
  <c r="CD331" i="1"/>
  <c r="BG331" i="1"/>
  <c r="CP331" i="1" s="1"/>
  <c r="BA331" i="1"/>
  <c r="BB331" i="1"/>
  <c r="CO331" i="1" s="1"/>
  <c r="AZ331" i="1"/>
  <c r="AT331" i="1"/>
  <c r="AW331" i="1" s="1"/>
  <c r="CN331" i="1" s="1"/>
  <c r="AM331" i="1"/>
  <c r="CL331" i="1" s="1"/>
  <c r="AH331" i="1"/>
  <c r="CK331" i="1" s="1"/>
  <c r="Z331" i="1"/>
  <c r="X331" i="1"/>
  <c r="P331" i="1"/>
  <c r="O331" i="1"/>
  <c r="N331" i="1"/>
  <c r="CG331" i="1" s="1"/>
  <c r="CD329" i="1"/>
  <c r="BA329" i="1"/>
  <c r="BA334" i="1" s="1"/>
  <c r="AZ329" i="1"/>
  <c r="AZ334" i="1" s="1"/>
  <c r="AY329" i="1"/>
  <c r="AY334" i="1" s="1"/>
  <c r="AX329" i="1"/>
  <c r="AX334" i="1" s="1"/>
  <c r="AV329" i="1"/>
  <c r="AV334" i="1" s="1"/>
  <c r="AU329" i="1"/>
  <c r="AU334" i="1" s="1"/>
  <c r="AT329" i="1"/>
  <c r="AT334" i="1" s="1"/>
  <c r="AP329" i="1"/>
  <c r="AP334" i="1" s="1"/>
  <c r="AO329" i="1"/>
  <c r="AO334" i="1" s="1"/>
  <c r="AN329" i="1"/>
  <c r="AN334" i="1" s="1"/>
  <c r="AK329" i="1"/>
  <c r="AK334" i="1" s="1"/>
  <c r="AJ329" i="1"/>
  <c r="AJ334" i="1" s="1"/>
  <c r="AI329" i="1"/>
  <c r="AI334" i="1" s="1"/>
  <c r="AA329" i="1"/>
  <c r="AA334" i="1" s="1"/>
  <c r="Y329" i="1"/>
  <c r="V329" i="1"/>
  <c r="V334" i="1" s="1"/>
  <c r="U329" i="1"/>
  <c r="U334" i="1" s="1"/>
  <c r="T329" i="1"/>
  <c r="T334" i="1" s="1"/>
  <c r="Q329" i="1"/>
  <c r="Q334" i="1" s="1"/>
  <c r="O329" i="1"/>
  <c r="J329" i="1"/>
  <c r="J334" i="1" s="1"/>
  <c r="E329" i="1"/>
  <c r="E334" i="1" s="1"/>
  <c r="D329" i="1"/>
  <c r="D334" i="1" s="1"/>
  <c r="CE334" i="1" s="1"/>
  <c r="C329" i="1"/>
  <c r="C334" i="1" s="1"/>
  <c r="CD324" i="1"/>
  <c r="CE323" i="1"/>
  <c r="CD323" i="1"/>
  <c r="BB323" i="1"/>
  <c r="AS323" i="1"/>
  <c r="AW323" i="1" s="1"/>
  <c r="CN323" i="1" s="1"/>
  <c r="AQ323" i="1"/>
  <c r="AF323" i="1"/>
  <c r="AF19" i="1" s="1"/>
  <c r="AE323" i="1"/>
  <c r="AG323" i="1" s="1"/>
  <c r="AD323" i="1"/>
  <c r="Z323" i="1"/>
  <c r="Z329" i="1" s="1"/>
  <c r="Z334" i="1" s="1"/>
  <c r="W323" i="1"/>
  <c r="P323" i="1"/>
  <c r="K323" i="1"/>
  <c r="F323" i="1"/>
  <c r="G323" i="1" s="1"/>
  <c r="CD318" i="1"/>
  <c r="CE317" i="1"/>
  <c r="CD317" i="1"/>
  <c r="BB317" i="1"/>
  <c r="AW317" i="1"/>
  <c r="CN317" i="1" s="1"/>
  <c r="AQ317" i="1"/>
  <c r="AR317" i="1" s="1"/>
  <c r="AR649" i="1" s="1"/>
  <c r="AF317" i="1"/>
  <c r="AE317" i="1"/>
  <c r="AE17" i="1" s="1"/>
  <c r="AD317" i="1"/>
  <c r="AD17" i="1" s="1"/>
  <c r="AB317" i="1"/>
  <c r="AC317" i="1" s="1"/>
  <c r="W317" i="1"/>
  <c r="X317" i="1" s="1"/>
  <c r="CI317" i="1" s="1"/>
  <c r="P317" i="1"/>
  <c r="R317" i="1" s="1"/>
  <c r="K317" i="1"/>
  <c r="L317" i="1" s="1"/>
  <c r="F317" i="1"/>
  <c r="G317" i="1" s="1"/>
  <c r="BB315" i="1"/>
  <c r="BA315" i="1"/>
  <c r="AZ315" i="1"/>
  <c r="AY315" i="1"/>
  <c r="AX315" i="1"/>
  <c r="AU315" i="1"/>
  <c r="AT315" i="1"/>
  <c r="AS315" i="1"/>
  <c r="AR315" i="1"/>
  <c r="AQ315" i="1"/>
  <c r="AP315" i="1"/>
  <c r="AO315" i="1"/>
  <c r="AN315" i="1"/>
  <c r="AL315" i="1"/>
  <c r="CD314" i="1"/>
  <c r="CD313" i="1"/>
  <c r="AF313" i="1"/>
  <c r="AF347" i="1" s="1"/>
  <c r="AA313" i="1"/>
  <c r="AA318" i="1" s="1"/>
  <c r="Z313" i="1"/>
  <c r="Z306" i="1" s="1"/>
  <c r="Y313" i="1"/>
  <c r="Y306" i="1" s="1"/>
  <c r="W313" i="1"/>
  <c r="W332" i="1" s="1"/>
  <c r="V313" i="1"/>
  <c r="V318" i="1" s="1"/>
  <c r="U313" i="1"/>
  <c r="U332" i="1" s="1"/>
  <c r="T313" i="1"/>
  <c r="T299" i="1" s="1"/>
  <c r="R313" i="1"/>
  <c r="R299" i="1" s="1"/>
  <c r="Q313" i="1"/>
  <c r="Q306" i="1" s="1"/>
  <c r="O313" i="1"/>
  <c r="J313" i="1"/>
  <c r="J299" i="1" s="1"/>
  <c r="E313" i="1"/>
  <c r="E318" i="1" s="1"/>
  <c r="D313" i="1"/>
  <c r="C313" i="1"/>
  <c r="C324" i="1" s="1"/>
  <c r="BB311" i="1"/>
  <c r="BA311" i="1"/>
  <c r="AZ311" i="1"/>
  <c r="AY311" i="1"/>
  <c r="AX311" i="1"/>
  <c r="AV311" i="1"/>
  <c r="AU311" i="1"/>
  <c r="AT311" i="1"/>
  <c r="AS311" i="1"/>
  <c r="AQ311" i="1"/>
  <c r="AP311" i="1"/>
  <c r="AO311" i="1"/>
  <c r="AN311" i="1"/>
  <c r="AL311" i="1"/>
  <c r="AK311" i="1"/>
  <c r="AJ311" i="1"/>
  <c r="AI311" i="1"/>
  <c r="AH311" i="1"/>
  <c r="AG311" i="1"/>
  <c r="AF311" i="1"/>
  <c r="AE311" i="1"/>
  <c r="AD311" i="1"/>
  <c r="A311" i="1"/>
  <c r="D127" i="4" s="1"/>
  <c r="AR310" i="1"/>
  <c r="AQ310" i="1"/>
  <c r="AP310" i="1"/>
  <c r="AO310" i="1"/>
  <c r="AN310" i="1"/>
  <c r="AM310" i="1"/>
  <c r="AL310" i="1"/>
  <c r="AK310" i="1"/>
  <c r="AJ310" i="1"/>
  <c r="AI310" i="1"/>
  <c r="AG310" i="1"/>
  <c r="AF310" i="1"/>
  <c r="AE310" i="1"/>
  <c r="AD310" i="1"/>
  <c r="A310" i="1"/>
  <c r="BA309" i="1"/>
  <c r="AZ309" i="1"/>
  <c r="AY309" i="1"/>
  <c r="AX309" i="1"/>
  <c r="AV309" i="1"/>
  <c r="AU309" i="1"/>
  <c r="AT309" i="1"/>
  <c r="AS309" i="1"/>
  <c r="AQ309" i="1"/>
  <c r="AP309" i="1"/>
  <c r="AO309" i="1"/>
  <c r="AN309" i="1"/>
  <c r="AK309" i="1"/>
  <c r="AJ309" i="1"/>
  <c r="AI309" i="1"/>
  <c r="AG309" i="1"/>
  <c r="AF309" i="1"/>
  <c r="AE309" i="1"/>
  <c r="AD309" i="1"/>
  <c r="A309" i="1"/>
  <c r="BA308" i="1"/>
  <c r="AZ308" i="1"/>
  <c r="AY308" i="1"/>
  <c r="AY313" i="1" s="1"/>
  <c r="AX308" i="1"/>
  <c r="AV308" i="1"/>
  <c r="AU308" i="1"/>
  <c r="AT308" i="1"/>
  <c r="AS308" i="1"/>
  <c r="AQ308" i="1"/>
  <c r="AP308" i="1"/>
  <c r="AO308" i="1"/>
  <c r="AN308" i="1"/>
  <c r="AL308" i="1"/>
  <c r="AK308" i="1"/>
  <c r="AJ308" i="1"/>
  <c r="AI308" i="1"/>
  <c r="AG308" i="1"/>
  <c r="AF308" i="1"/>
  <c r="AE308" i="1"/>
  <c r="AD308" i="1"/>
  <c r="A308" i="1"/>
  <c r="AB305" i="1"/>
  <c r="AB302" i="1"/>
  <c r="AB301" i="1" s="1"/>
  <c r="AC301" i="1" s="1"/>
  <c r="AB303" i="1"/>
  <c r="AA302" i="1"/>
  <c r="Z302" i="1"/>
  <c r="Y302" i="1"/>
  <c r="W302" i="1"/>
  <c r="V302" i="1"/>
  <c r="T302" i="1"/>
  <c r="O302" i="1"/>
  <c r="J302" i="1"/>
  <c r="X301" i="1"/>
  <c r="P301" i="1"/>
  <c r="U302" i="1" s="1"/>
  <c r="K301" i="1"/>
  <c r="F301" i="1"/>
  <c r="G301" i="1" s="1"/>
  <c r="H301" i="1" s="1"/>
  <c r="AB298" i="1"/>
  <c r="AB295" i="1"/>
  <c r="AB294" i="1" s="1"/>
  <c r="AB296" i="1"/>
  <c r="AA295" i="1"/>
  <c r="Z295" i="1"/>
  <c r="Y295" i="1"/>
  <c r="W295" i="1"/>
  <c r="V295" i="1"/>
  <c r="T295" i="1"/>
  <c r="O295" i="1"/>
  <c r="J295" i="1"/>
  <c r="D295" i="1"/>
  <c r="X294" i="1"/>
  <c r="P294" i="1"/>
  <c r="K294" i="1"/>
  <c r="F294" i="1"/>
  <c r="AB291" i="1"/>
  <c r="AB288" i="1"/>
  <c r="AB287" i="1" s="1"/>
  <c r="AB289" i="1"/>
  <c r="AA288" i="1"/>
  <c r="Z288" i="1"/>
  <c r="Y288" i="1"/>
  <c r="W288" i="1"/>
  <c r="V288" i="1"/>
  <c r="T288" i="1"/>
  <c r="O288" i="1"/>
  <c r="J288" i="1"/>
  <c r="D288" i="1"/>
  <c r="X287" i="1"/>
  <c r="P287" i="1"/>
  <c r="K287" i="1"/>
  <c r="F287" i="1"/>
  <c r="G287" i="1" s="1"/>
  <c r="H287" i="1" s="1"/>
  <c r="CD286" i="1"/>
  <c r="CD284" i="1"/>
  <c r="BG284" i="1"/>
  <c r="CP284" i="1" s="1"/>
  <c r="BF284" i="1"/>
  <c r="BE284" i="1"/>
  <c r="BD284" i="1"/>
  <c r="BC284" i="1"/>
  <c r="BB284" i="1"/>
  <c r="CO284" i="1" s="1"/>
  <c r="BA284" i="1"/>
  <c r="AZ284" i="1"/>
  <c r="AY284" i="1"/>
  <c r="AX284" i="1"/>
  <c r="AW284" i="1"/>
  <c r="CN284" i="1" s="1"/>
  <c r="AV284" i="1"/>
  <c r="AU284" i="1"/>
  <c r="AT284" i="1"/>
  <c r="AS284" i="1"/>
  <c r="AR284" i="1"/>
  <c r="CM284" i="1" s="1"/>
  <c r="AQ284" i="1"/>
  <c r="AP284" i="1"/>
  <c r="AO284" i="1"/>
  <c r="AN284" i="1"/>
  <c r="AM284" i="1"/>
  <c r="CL284" i="1" s="1"/>
  <c r="AL284" i="1"/>
  <c r="AK284" i="1"/>
  <c r="AJ284" i="1"/>
  <c r="AI284" i="1"/>
  <c r="AH284" i="1"/>
  <c r="CK284" i="1" s="1"/>
  <c r="AG284" i="1"/>
  <c r="AF284" i="1"/>
  <c r="AE284" i="1"/>
  <c r="AD284" i="1"/>
  <c r="AC284" i="1"/>
  <c r="CJ284" i="1" s="1"/>
  <c r="AB284" i="1"/>
  <c r="AA284" i="1"/>
  <c r="Z284" i="1"/>
  <c r="Y284" i="1"/>
  <c r="X284" i="1"/>
  <c r="CI284" i="1" s="1"/>
  <c r="W284" i="1"/>
  <c r="V284" i="1"/>
  <c r="U284" i="1"/>
  <c r="T284" i="1"/>
  <c r="S284" i="1"/>
  <c r="CH284" i="1" s="1"/>
  <c r="R284" i="1"/>
  <c r="Q284" i="1"/>
  <c r="P284" i="1"/>
  <c r="O284" i="1"/>
  <c r="N284" i="1"/>
  <c r="CG284" i="1" s="1"/>
  <c r="M284" i="1"/>
  <c r="L284" i="1"/>
  <c r="K284" i="1"/>
  <c r="J284" i="1"/>
  <c r="I284" i="1"/>
  <c r="CF284" i="1" s="1"/>
  <c r="H284" i="1"/>
  <c r="G284" i="1"/>
  <c r="F284" i="1"/>
  <c r="E284" i="1"/>
  <c r="D284" i="1"/>
  <c r="CE284" i="1" s="1"/>
  <c r="C284" i="1"/>
  <c r="CD282" i="1"/>
  <c r="CD281" i="1"/>
  <c r="BB280" i="1"/>
  <c r="AT280" i="1"/>
  <c r="AW280" i="1" s="1"/>
  <c r="BA279" i="1"/>
  <c r="BB279" i="1" s="1"/>
  <c r="AS279" i="1"/>
  <c r="AW279" i="1" s="1"/>
  <c r="AQ279" i="1"/>
  <c r="AQ39" i="1" s="1"/>
  <c r="AL279" i="1"/>
  <c r="AL346" i="1" s="1"/>
  <c r="AH279" i="1"/>
  <c r="AB279" i="1"/>
  <c r="AC279" i="1" s="1"/>
  <c r="W279" i="1"/>
  <c r="X279" i="1" s="1"/>
  <c r="P279" i="1"/>
  <c r="Q279" i="1" s="1"/>
  <c r="Q346" i="1" s="1"/>
  <c r="R346" i="1" s="1"/>
  <c r="K279" i="1"/>
  <c r="K39" i="1" s="1"/>
  <c r="F279" i="1"/>
  <c r="E278" i="1"/>
  <c r="BA277" i="1"/>
  <c r="AV277" i="1"/>
  <c r="AW277" i="1" s="1"/>
  <c r="AQ277" i="1"/>
  <c r="AR277" i="1" s="1"/>
  <c r="AL277" i="1"/>
  <c r="AM277" i="1" s="1"/>
  <c r="AG277" i="1"/>
  <c r="AB277" i="1"/>
  <c r="W277" i="1"/>
  <c r="P277" i="1"/>
  <c r="K277" i="1"/>
  <c r="F277" i="1"/>
  <c r="CD276" i="1"/>
  <c r="AZ276" i="1"/>
  <c r="AY276" i="1"/>
  <c r="AX276" i="1"/>
  <c r="AU276" i="1"/>
  <c r="AT276" i="1"/>
  <c r="AP276" i="1"/>
  <c r="AO276" i="1"/>
  <c r="AN276" i="1"/>
  <c r="AK276" i="1"/>
  <c r="AJ276" i="1"/>
  <c r="AI276" i="1"/>
  <c r="AF276" i="1"/>
  <c r="AE276" i="1"/>
  <c r="AD276" i="1"/>
  <c r="AA276" i="1"/>
  <c r="Z276" i="1"/>
  <c r="Y276" i="1"/>
  <c r="V276" i="1"/>
  <c r="U276" i="1"/>
  <c r="T276" i="1"/>
  <c r="O276" i="1"/>
  <c r="J276" i="1"/>
  <c r="E276" i="1"/>
  <c r="D276" i="1"/>
  <c r="CE276" i="1" s="1"/>
  <c r="C276" i="1"/>
  <c r="CD274" i="1"/>
  <c r="CD273" i="1"/>
  <c r="CD271" i="1"/>
  <c r="CD270" i="1"/>
  <c r="J269" i="1"/>
  <c r="CD268" i="1"/>
  <c r="CP266" i="1"/>
  <c r="CO266" i="1"/>
  <c r="CN266" i="1"/>
  <c r="CM266" i="1"/>
  <c r="CL266" i="1"/>
  <c r="CK266" i="1"/>
  <c r="CJ266" i="1"/>
  <c r="CD266" i="1"/>
  <c r="CJ265" i="1"/>
  <c r="CF265" i="1"/>
  <c r="CE265" i="1"/>
  <c r="CD265" i="1"/>
  <c r="BG265" i="1"/>
  <c r="BG24" i="1" s="1"/>
  <c r="CP24" i="1" s="1"/>
  <c r="BA265" i="1"/>
  <c r="BB265" i="1" s="1"/>
  <c r="CO265" i="1" s="1"/>
  <c r="AW265" i="1"/>
  <c r="CN265" i="1" s="1"/>
  <c r="AN265" i="1"/>
  <c r="X132" i="2" s="1"/>
  <c r="AL265" i="1"/>
  <c r="AM265" i="1" s="1"/>
  <c r="AG265" i="1"/>
  <c r="Q132" i="2" s="1"/>
  <c r="X265" i="1"/>
  <c r="CI265" i="1" s="1"/>
  <c r="P265" i="1"/>
  <c r="P24" i="1" s="1"/>
  <c r="O265" i="1"/>
  <c r="N265" i="1"/>
  <c r="CD263" i="1"/>
  <c r="BA263" i="1"/>
  <c r="BA268" i="1" s="1"/>
  <c r="AZ263" i="1"/>
  <c r="AZ268" i="1" s="1"/>
  <c r="AY263" i="1"/>
  <c r="AY268" i="1" s="1"/>
  <c r="AX263" i="1"/>
  <c r="AX268" i="1" s="1"/>
  <c r="AV263" i="1"/>
  <c r="AV268" i="1" s="1"/>
  <c r="AU263" i="1"/>
  <c r="AU268" i="1" s="1"/>
  <c r="AT263" i="1"/>
  <c r="AT268" i="1" s="1"/>
  <c r="AS263" i="1"/>
  <c r="AS268" i="1" s="1"/>
  <c r="AP263" i="1"/>
  <c r="AP268" i="1" s="1"/>
  <c r="AO263" i="1"/>
  <c r="AO268" i="1" s="1"/>
  <c r="AN263" i="1"/>
  <c r="AN268" i="1" s="1"/>
  <c r="AK263" i="1"/>
  <c r="AK268" i="1" s="1"/>
  <c r="AJ263" i="1"/>
  <c r="AI263" i="1"/>
  <c r="AI268" i="1" s="1"/>
  <c r="AF263" i="1"/>
  <c r="AF268" i="1" s="1"/>
  <c r="AD263" i="1"/>
  <c r="AD268" i="1" s="1"/>
  <c r="AA263" i="1"/>
  <c r="AA268" i="1" s="1"/>
  <c r="Z263" i="1"/>
  <c r="Z268" i="1" s="1"/>
  <c r="Y263" i="1"/>
  <c r="Y268" i="1" s="1"/>
  <c r="V263" i="1"/>
  <c r="V268" i="1" s="1"/>
  <c r="U263" i="1"/>
  <c r="U268" i="1" s="1"/>
  <c r="T263" i="1"/>
  <c r="T268" i="1" s="1"/>
  <c r="Q263" i="1"/>
  <c r="Q268" i="1" s="1"/>
  <c r="O263" i="1"/>
  <c r="J263" i="1"/>
  <c r="J268" i="1" s="1"/>
  <c r="E263" i="1"/>
  <c r="E268" i="1" s="1"/>
  <c r="D263" i="1"/>
  <c r="D268" i="1" s="1"/>
  <c r="CE268" i="1" s="1"/>
  <c r="C263" i="1"/>
  <c r="C268" i="1" s="1"/>
  <c r="CD258" i="1"/>
  <c r="E258" i="1"/>
  <c r="CE257" i="1"/>
  <c r="CD257" i="1"/>
  <c r="BB257" i="1"/>
  <c r="CO257" i="1" s="1"/>
  <c r="AW257" i="1"/>
  <c r="AQ257" i="1"/>
  <c r="AL257" i="1"/>
  <c r="V129" i="2" s="1"/>
  <c r="AE257" i="1"/>
  <c r="O129" i="2" s="1"/>
  <c r="AB257" i="1"/>
  <c r="AC257" i="1" s="1"/>
  <c r="M129" i="2" s="1"/>
  <c r="W257" i="1"/>
  <c r="P257" i="1"/>
  <c r="R257" i="1" s="1"/>
  <c r="K257" i="1"/>
  <c r="F257" i="1"/>
  <c r="CD252" i="1"/>
  <c r="E252" i="1"/>
  <c r="CE251" i="1"/>
  <c r="CD251" i="1"/>
  <c r="BB251" i="1"/>
  <c r="AW251" i="1"/>
  <c r="CN251" i="1" s="1"/>
  <c r="AQ251" i="1"/>
  <c r="AA126" i="2" s="1"/>
  <c r="AL251" i="1"/>
  <c r="AG251" i="1"/>
  <c r="Q126" i="2" s="1"/>
  <c r="AB251" i="1"/>
  <c r="L126" i="2" s="1"/>
  <c r="W251" i="1"/>
  <c r="P251" i="1"/>
  <c r="K251" i="1"/>
  <c r="F251" i="1"/>
  <c r="CD246" i="1"/>
  <c r="CD245" i="1"/>
  <c r="AN245" i="1"/>
  <c r="AL245" i="1"/>
  <c r="V16" i="2" s="1"/>
  <c r="V152" i="2" s="1"/>
  <c r="AK245" i="1"/>
  <c r="AK270" i="1" s="1"/>
  <c r="AK273" i="1" s="1"/>
  <c r="AK274" i="1" s="1"/>
  <c r="AJ245" i="1"/>
  <c r="AJ270" i="1" s="1"/>
  <c r="AI245" i="1"/>
  <c r="AG245" i="1"/>
  <c r="Q16" i="2" s="1"/>
  <c r="Q90" i="2" s="1"/>
  <c r="AA245" i="1"/>
  <c r="Z245" i="1"/>
  <c r="Z278" i="1" s="1"/>
  <c r="Y245" i="1"/>
  <c r="W245" i="1"/>
  <c r="V245" i="1"/>
  <c r="V270" i="1" s="1"/>
  <c r="U245" i="1"/>
  <c r="T245" i="1"/>
  <c r="T252" i="1" s="1"/>
  <c r="R245" i="1"/>
  <c r="Q245" i="1"/>
  <c r="Q266" i="1" s="1"/>
  <c r="P245" i="1"/>
  <c r="O245" i="1"/>
  <c r="M245" i="1"/>
  <c r="M266" i="1" s="1"/>
  <c r="L245" i="1"/>
  <c r="J245" i="1"/>
  <c r="F245" i="1"/>
  <c r="D245" i="1"/>
  <c r="D278" i="1" s="1"/>
  <c r="AA243" i="1"/>
  <c r="K14" i="2" s="1"/>
  <c r="Z243" i="1"/>
  <c r="J14" i="2" s="1"/>
  <c r="Y243" i="1"/>
  <c r="I14" i="2" s="1"/>
  <c r="W243" i="1"/>
  <c r="G14" i="2" s="1"/>
  <c r="V243" i="1"/>
  <c r="F14" i="2" s="1"/>
  <c r="U243" i="1"/>
  <c r="E14" i="2" s="1"/>
  <c r="T243" i="1"/>
  <c r="D14" i="2" s="1"/>
  <c r="R243" i="1"/>
  <c r="B14" i="2" s="1"/>
  <c r="Q243" i="1"/>
  <c r="O243" i="1"/>
  <c r="N243" i="1"/>
  <c r="I243" i="1"/>
  <c r="D243" i="1"/>
  <c r="AF242" i="1"/>
  <c r="AF243" i="1" s="1"/>
  <c r="AE242" i="1"/>
  <c r="AD242" i="1"/>
  <c r="AD243" i="1" s="1"/>
  <c r="AB242" i="1"/>
  <c r="AB243" i="1" s="1"/>
  <c r="X242" i="1"/>
  <c r="H13" i="2" s="1"/>
  <c r="S242" i="1"/>
  <c r="C13" i="2" s="1"/>
  <c r="K242" i="1"/>
  <c r="P243" i="1" s="1"/>
  <c r="H242" i="1"/>
  <c r="M243" i="1" s="1"/>
  <c r="G242" i="1"/>
  <c r="L243" i="1" s="1"/>
  <c r="CP240" i="1"/>
  <c r="CO240" i="1"/>
  <c r="CN240" i="1"/>
  <c r="CM240" i="1"/>
  <c r="CL240" i="1"/>
  <c r="CD240" i="1"/>
  <c r="AA240" i="1"/>
  <c r="K11" i="2" s="1"/>
  <c r="Z240" i="1"/>
  <c r="J11" i="2" s="1"/>
  <c r="Y240" i="1"/>
  <c r="I11" i="2" s="1"/>
  <c r="W240" i="1"/>
  <c r="G11" i="2" s="1"/>
  <c r="V240" i="1"/>
  <c r="F11" i="2" s="1"/>
  <c r="U240" i="1"/>
  <c r="E11" i="2" s="1"/>
  <c r="T240" i="1"/>
  <c r="D11" i="2" s="1"/>
  <c r="R240" i="1"/>
  <c r="B11" i="2" s="1"/>
  <c r="Q240" i="1"/>
  <c r="O240" i="1"/>
  <c r="N240" i="1"/>
  <c r="CG240" i="1" s="1"/>
  <c r="I240" i="1"/>
  <c r="CF240" i="1" s="1"/>
  <c r="D240" i="1"/>
  <c r="CE240" i="1" s="1"/>
  <c r="CP239" i="1"/>
  <c r="CO239" i="1"/>
  <c r="CN239" i="1"/>
  <c r="CM239" i="1"/>
  <c r="CL239" i="1"/>
  <c r="CG239" i="1"/>
  <c r="CF239" i="1"/>
  <c r="CE239" i="1"/>
  <c r="CD239" i="1"/>
  <c r="AF239" i="1"/>
  <c r="AE239" i="1"/>
  <c r="AE240" i="1" s="1"/>
  <c r="AD239" i="1"/>
  <c r="AD240" i="1" s="1"/>
  <c r="AB239" i="1"/>
  <c r="AB240" i="1" s="1"/>
  <c r="X239" i="1"/>
  <c r="S239" i="1"/>
  <c r="S240" i="1" s="1"/>
  <c r="C11" i="2" s="1"/>
  <c r="K239" i="1"/>
  <c r="P240" i="1" s="1"/>
  <c r="H239" i="1"/>
  <c r="M240" i="1" s="1"/>
  <c r="G239" i="1"/>
  <c r="L240" i="1" s="1"/>
  <c r="CM237" i="1"/>
  <c r="CK237" i="1"/>
  <c r="CD237" i="1"/>
  <c r="AN237" i="1"/>
  <c r="AL237" i="1"/>
  <c r="AK237" i="1"/>
  <c r="AJ237" i="1"/>
  <c r="AI237" i="1"/>
  <c r="AB237" i="1"/>
  <c r="AA237" i="1"/>
  <c r="K8" i="2" s="1"/>
  <c r="Z237" i="1"/>
  <c r="J8" i="2" s="1"/>
  <c r="Y237" i="1"/>
  <c r="I8" i="2" s="1"/>
  <c r="W237" i="1"/>
  <c r="G8" i="2" s="1"/>
  <c r="V237" i="1"/>
  <c r="F8" i="2" s="1"/>
  <c r="U237" i="1"/>
  <c r="E8" i="2" s="1"/>
  <c r="T237" i="1"/>
  <c r="D8" i="2" s="1"/>
  <c r="R237" i="1"/>
  <c r="B8" i="2" s="1"/>
  <c r="Q237" i="1"/>
  <c r="O237" i="1"/>
  <c r="N237" i="1"/>
  <c r="CG237" i="1" s="1"/>
  <c r="I237" i="1"/>
  <c r="CF237" i="1" s="1"/>
  <c r="D237" i="1"/>
  <c r="CE237" i="1" s="1"/>
  <c r="CG236" i="1"/>
  <c r="CF236" i="1"/>
  <c r="CE236" i="1"/>
  <c r="CD236" i="1"/>
  <c r="BA236" i="1"/>
  <c r="AZ236" i="1"/>
  <c r="AY236" i="1"/>
  <c r="AX236" i="1"/>
  <c r="AV236" i="1"/>
  <c r="AU236" i="1"/>
  <c r="AT236" i="1"/>
  <c r="AS236" i="1"/>
  <c r="AQ236" i="1"/>
  <c r="AP236" i="1"/>
  <c r="AO236" i="1"/>
  <c r="AO237" i="1" s="1"/>
  <c r="AM236" i="1"/>
  <c r="CL236" i="1" s="1"/>
  <c r="AH236" i="1"/>
  <c r="AC236" i="1"/>
  <c r="CJ236" i="1" s="1"/>
  <c r="X236" i="1"/>
  <c r="CI236" i="1" s="1"/>
  <c r="S236" i="1"/>
  <c r="CH236" i="1" s="1"/>
  <c r="K236" i="1"/>
  <c r="P237" i="1" s="1"/>
  <c r="H236" i="1"/>
  <c r="M237" i="1" s="1"/>
  <c r="G236" i="1"/>
  <c r="L237" i="1"/>
  <c r="CM234" i="1"/>
  <c r="CK234" i="1"/>
  <c r="CD234" i="1"/>
  <c r="AN234" i="1"/>
  <c r="AL234" i="1"/>
  <c r="AA234" i="1"/>
  <c r="K5" i="2" s="1"/>
  <c r="Z234" i="1"/>
  <c r="J5" i="2" s="1"/>
  <c r="Y234" i="1"/>
  <c r="I5" i="2" s="1"/>
  <c r="W234" i="1"/>
  <c r="G5" i="2" s="1"/>
  <c r="V234" i="1"/>
  <c r="F5" i="2" s="1"/>
  <c r="U234" i="1"/>
  <c r="E5" i="2" s="1"/>
  <c r="T234" i="1"/>
  <c r="D5" i="2" s="1"/>
  <c r="R234" i="1"/>
  <c r="B5" i="2" s="1"/>
  <c r="Q234" i="1"/>
  <c r="O234" i="1"/>
  <c r="N234" i="1"/>
  <c r="CG234" i="1" s="1"/>
  <c r="I234" i="1"/>
  <c r="CF234" i="1" s="1"/>
  <c r="CG233" i="1"/>
  <c r="CF233" i="1"/>
  <c r="CE233" i="1"/>
  <c r="CD233" i="1"/>
  <c r="BC233" i="1"/>
  <c r="BA233" i="1"/>
  <c r="AZ233" i="1"/>
  <c r="AY233" i="1"/>
  <c r="AX233" i="1"/>
  <c r="AV233" i="1"/>
  <c r="AU233" i="1"/>
  <c r="AT233" i="1"/>
  <c r="AS233" i="1"/>
  <c r="AS234" i="1" s="1"/>
  <c r="AQ233" i="1"/>
  <c r="AQ234" i="1" s="1"/>
  <c r="AP233" i="1"/>
  <c r="AP234" i="1" s="1"/>
  <c r="AO233" i="1"/>
  <c r="AO234" i="1" s="1"/>
  <c r="AM233" i="1"/>
  <c r="CL233" i="1" s="1"/>
  <c r="AH233" i="1"/>
  <c r="CK233" i="1" s="1"/>
  <c r="AB233" i="1"/>
  <c r="AB234" i="1" s="1"/>
  <c r="X233" i="1"/>
  <c r="H4" i="2" s="1"/>
  <c r="S233" i="1"/>
  <c r="K233" i="1"/>
  <c r="K245" i="1" s="1"/>
  <c r="K258" i="1" s="1"/>
  <c r="H233" i="1"/>
  <c r="G233" i="1"/>
  <c r="L234" i="1" s="1"/>
  <c r="C233" i="1"/>
  <c r="C245" i="1"/>
  <c r="CD232" i="1"/>
  <c r="CD230" i="1"/>
  <c r="BG230" i="1"/>
  <c r="CP230" i="1" s="1"/>
  <c r="BF230" i="1"/>
  <c r="BE230" i="1"/>
  <c r="BD230" i="1"/>
  <c r="BC230" i="1"/>
  <c r="BB230" i="1"/>
  <c r="CO230" i="1" s="1"/>
  <c r="BA230" i="1"/>
  <c r="AZ230" i="1"/>
  <c r="AY230" i="1"/>
  <c r="AX230" i="1"/>
  <c r="AW230" i="1"/>
  <c r="CN230" i="1" s="1"/>
  <c r="AV230" i="1"/>
  <c r="AU230" i="1"/>
  <c r="AT230" i="1"/>
  <c r="AS230" i="1"/>
  <c r="AR230" i="1"/>
  <c r="CM230" i="1" s="1"/>
  <c r="AQ230" i="1"/>
  <c r="AP230" i="1"/>
  <c r="AO230" i="1"/>
  <c r="AN230" i="1"/>
  <c r="AM230" i="1"/>
  <c r="CL230" i="1" s="1"/>
  <c r="AL230" i="1"/>
  <c r="AK230" i="1"/>
  <c r="AJ230" i="1"/>
  <c r="AI230" i="1"/>
  <c r="AH230" i="1"/>
  <c r="CK230" i="1" s="1"/>
  <c r="AG230" i="1"/>
  <c r="AF230" i="1"/>
  <c r="AE230" i="1"/>
  <c r="AD230" i="1"/>
  <c r="AC230" i="1"/>
  <c r="CJ230" i="1" s="1"/>
  <c r="AB230" i="1"/>
  <c r="AA230" i="1"/>
  <c r="Z230" i="1"/>
  <c r="Y230" i="1"/>
  <c r="X230" i="1"/>
  <c r="CI230" i="1" s="1"/>
  <c r="W230" i="1"/>
  <c r="V230" i="1"/>
  <c r="U230" i="1"/>
  <c r="T230" i="1"/>
  <c r="S230" i="1"/>
  <c r="CH230" i="1" s="1"/>
  <c r="R230" i="1"/>
  <c r="Q230" i="1"/>
  <c r="P230" i="1"/>
  <c r="O230" i="1"/>
  <c r="N230" i="1"/>
  <c r="CG230" i="1" s="1"/>
  <c r="M230" i="1"/>
  <c r="L230" i="1"/>
  <c r="K230" i="1"/>
  <c r="J230" i="1"/>
  <c r="I230" i="1"/>
  <c r="CF230" i="1" s="1"/>
  <c r="H230" i="1"/>
  <c r="G230" i="1"/>
  <c r="F230" i="1"/>
  <c r="E230" i="1"/>
  <c r="D230" i="1"/>
  <c r="CE230" i="1" s="1"/>
  <c r="C230" i="1"/>
  <c r="CD225" i="1"/>
  <c r="CD223" i="1"/>
  <c r="BA223" i="1"/>
  <c r="AZ223" i="1"/>
  <c r="AX223" i="1"/>
  <c r="AU223" i="1"/>
  <c r="AT223" i="1"/>
  <c r="AS223" i="1"/>
  <c r="AQ223" i="1"/>
  <c r="AP223" i="1"/>
  <c r="AO223" i="1"/>
  <c r="AK223" i="1"/>
  <c r="AF223" i="1"/>
  <c r="AE223" i="1"/>
  <c r="AB223" i="1"/>
  <c r="AA223" i="1"/>
  <c r="Z223" i="1"/>
  <c r="Q223" i="1"/>
  <c r="P223" i="1"/>
  <c r="O223" i="1"/>
  <c r="M223" i="1"/>
  <c r="L223" i="1"/>
  <c r="K223" i="1"/>
  <c r="J223" i="1"/>
  <c r="H223" i="1"/>
  <c r="G223" i="1"/>
  <c r="F223" i="1"/>
  <c r="E223" i="1"/>
  <c r="D223" i="1"/>
  <c r="CE223" i="1" s="1"/>
  <c r="C223" i="1"/>
  <c r="C452" i="1" s="1"/>
  <c r="CE221" i="1"/>
  <c r="CD221" i="1"/>
  <c r="BB221" i="1"/>
  <c r="CO221" i="1" s="1"/>
  <c r="AW221" i="1"/>
  <c r="CN221" i="1" s="1"/>
  <c r="AR221" i="1"/>
  <c r="AM221" i="1"/>
  <c r="CL221" i="1" s="1"/>
  <c r="AH221" i="1"/>
  <c r="CK221" i="1" s="1"/>
  <c r="AC221" i="1"/>
  <c r="W221" i="1"/>
  <c r="X221" i="1" s="1"/>
  <c r="S221" i="1"/>
  <c r="N221" i="1"/>
  <c r="I221" i="1"/>
  <c r="CF221" i="1" s="1"/>
  <c r="CE220" i="1"/>
  <c r="CD220" i="1"/>
  <c r="BB220" i="1"/>
  <c r="CO220" i="1" s="1"/>
  <c r="AW220" i="1"/>
  <c r="CN220" i="1" s="1"/>
  <c r="AR220" i="1"/>
  <c r="CM220" i="1" s="1"/>
  <c r="AM220" i="1"/>
  <c r="CL220" i="1" s="1"/>
  <c r="AH220" i="1"/>
  <c r="CK220" i="1" s="1"/>
  <c r="AC220" i="1"/>
  <c r="CJ220" i="1" s="1"/>
  <c r="X220" i="1"/>
  <c r="CI220" i="1" s="1"/>
  <c r="S220" i="1"/>
  <c r="CH220" i="1" s="1"/>
  <c r="N220" i="1"/>
  <c r="I220" i="1"/>
  <c r="CF220" i="1" s="1"/>
  <c r="CE219" i="1"/>
  <c r="CD219" i="1"/>
  <c r="BB219" i="1"/>
  <c r="BG219" i="1"/>
  <c r="CP219" i="1" s="1"/>
  <c r="AW219" i="1"/>
  <c r="CN219" i="1" s="1"/>
  <c r="AR219" i="1"/>
  <c r="AM219" i="1"/>
  <c r="CL219" i="1" s="1"/>
  <c r="AH219" i="1"/>
  <c r="CK219" i="1" s="1"/>
  <c r="AC219" i="1"/>
  <c r="CJ219" i="1" s="1"/>
  <c r="Y219" i="1"/>
  <c r="W219" i="1"/>
  <c r="X219" i="1"/>
  <c r="CI219" i="1" s="1"/>
  <c r="S219" i="1"/>
  <c r="CH219" i="1" s="1"/>
  <c r="N219" i="1"/>
  <c r="I219" i="1"/>
  <c r="CF219" i="1" s="1"/>
  <c r="CE218" i="1"/>
  <c r="CD218" i="1"/>
  <c r="BB218" i="1"/>
  <c r="BA449" i="1"/>
  <c r="AY218" i="1"/>
  <c r="AZ449" i="1" s="1"/>
  <c r="AV218" i="1"/>
  <c r="AV223" i="1" s="1"/>
  <c r="AR218" i="1"/>
  <c r="CM218" i="1" s="1"/>
  <c r="AL218" i="1"/>
  <c r="AL449" i="1" s="1"/>
  <c r="AH218" i="1"/>
  <c r="CK218" i="1" s="1"/>
  <c r="AC218" i="1"/>
  <c r="X218" i="1"/>
  <c r="CI218" i="1" s="1"/>
  <c r="R218" i="1"/>
  <c r="S218" i="1" s="1"/>
  <c r="N218" i="1"/>
  <c r="O449" i="1" s="1"/>
  <c r="I218" i="1"/>
  <c r="CF218" i="1" s="1"/>
  <c r="CE217" i="1"/>
  <c r="CD217" i="1"/>
  <c r="BB217" i="1"/>
  <c r="CO217" i="1" s="1"/>
  <c r="AW217" i="1"/>
  <c r="AR217" i="1"/>
  <c r="CM217" i="1" s="1"/>
  <c r="AM217" i="1"/>
  <c r="CL217" i="1" s="1"/>
  <c r="AH217" i="1"/>
  <c r="CK217" i="1" s="1"/>
  <c r="AC217" i="1"/>
  <c r="CJ217" i="1" s="1"/>
  <c r="X217" i="1"/>
  <c r="CI217" i="1" s="1"/>
  <c r="S217" i="1"/>
  <c r="CH217" i="1" s="1"/>
  <c r="N217" i="1"/>
  <c r="CG217" i="1" s="1"/>
  <c r="I217" i="1"/>
  <c r="CF217" i="1" s="1"/>
  <c r="CE216" i="1"/>
  <c r="CD216" i="1"/>
  <c r="BB216" i="1"/>
  <c r="AY216" i="1"/>
  <c r="AW216" i="1"/>
  <c r="CN216" i="1" s="1"/>
  <c r="AR216" i="1"/>
  <c r="CM216" i="1" s="1"/>
  <c r="AL216" i="1"/>
  <c r="AM216" i="1" s="1"/>
  <c r="CL216" i="1" s="1"/>
  <c r="AH216" i="1"/>
  <c r="AI216" i="1" s="1"/>
  <c r="AC216" i="1"/>
  <c r="AD216" i="1" s="1"/>
  <c r="Y216" i="1"/>
  <c r="Z446" i="1" s="1"/>
  <c r="W216" i="1"/>
  <c r="X216" i="1" s="1"/>
  <c r="V216" i="1"/>
  <c r="U216" i="1"/>
  <c r="U446" i="1" s="1"/>
  <c r="T216" i="1"/>
  <c r="T223" i="1" s="1"/>
  <c r="R216" i="1"/>
  <c r="S216" i="1" s="1"/>
  <c r="CH216" i="1" s="1"/>
  <c r="N216" i="1"/>
  <c r="CG216" i="1" s="1"/>
  <c r="I216" i="1"/>
  <c r="CE215" i="1"/>
  <c r="CD215" i="1"/>
  <c r="BB215" i="1"/>
  <c r="CO215" i="1" s="1"/>
  <c r="AW215" i="1"/>
  <c r="CN215" i="1" s="1"/>
  <c r="AR215" i="1"/>
  <c r="CM215" i="1" s="1"/>
  <c r="AM215" i="1"/>
  <c r="AG215" i="1"/>
  <c r="AG223" i="1" s="1"/>
  <c r="AH215" i="1"/>
  <c r="CK215" i="1" s="1"/>
  <c r="AC215" i="1"/>
  <c r="CJ215" i="1" s="1"/>
  <c r="W215" i="1"/>
  <c r="X215" i="1" s="1"/>
  <c r="CI215" i="1" s="1"/>
  <c r="R215" i="1"/>
  <c r="N215" i="1"/>
  <c r="CG215" i="1" s="1"/>
  <c r="I215" i="1"/>
  <c r="CF215" i="1" s="1"/>
  <c r="CE214" i="1"/>
  <c r="CD214" i="1"/>
  <c r="BB214" i="1"/>
  <c r="CO214" i="1" s="1"/>
  <c r="AW214" i="1"/>
  <c r="AR214" i="1"/>
  <c r="AM214" i="1"/>
  <c r="CL214" i="1" s="1"/>
  <c r="AH214" i="1"/>
  <c r="AC214" i="1"/>
  <c r="X214" i="1"/>
  <c r="S214" i="1"/>
  <c r="CH214" i="1" s="1"/>
  <c r="N214" i="1"/>
  <c r="I214" i="1"/>
  <c r="CF214" i="1" s="1"/>
  <c r="CD213" i="1"/>
  <c r="CD211" i="1"/>
  <c r="CE209" i="1"/>
  <c r="CD209" i="1"/>
  <c r="BA209" i="1"/>
  <c r="BB209" i="1"/>
  <c r="AZ209" i="1"/>
  <c r="AY209" i="1"/>
  <c r="AX209" i="1"/>
  <c r="AV209" i="1"/>
  <c r="AW209" i="1" s="1"/>
  <c r="CN209" i="1" s="1"/>
  <c r="AU209" i="1"/>
  <c r="AT209" i="1"/>
  <c r="AS209" i="1"/>
  <c r="AQ209" i="1"/>
  <c r="AR209" i="1"/>
  <c r="AP209" i="1"/>
  <c r="AO209" i="1"/>
  <c r="AN209" i="1"/>
  <c r="AL209" i="1"/>
  <c r="AM209" i="1" s="1"/>
  <c r="AK209" i="1"/>
  <c r="AJ209" i="1"/>
  <c r="AI209" i="1"/>
  <c r="AG209" i="1"/>
  <c r="AH209" i="1" s="1"/>
  <c r="AF209" i="1"/>
  <c r="AE209" i="1"/>
  <c r="AD209" i="1"/>
  <c r="AC209" i="1"/>
  <c r="X209" i="1"/>
  <c r="S209" i="1"/>
  <c r="N209" i="1"/>
  <c r="I209" i="1"/>
  <c r="CE208" i="1"/>
  <c r="CD208" i="1"/>
  <c r="BB208" i="1"/>
  <c r="CO208" i="1" s="1"/>
  <c r="AW208" i="1"/>
  <c r="CN208" i="1" s="1"/>
  <c r="AR208" i="1"/>
  <c r="CM208" i="1" s="1"/>
  <c r="AM208" i="1"/>
  <c r="CL208" i="1" s="1"/>
  <c r="AH208" i="1"/>
  <c r="CK208" i="1" s="1"/>
  <c r="AC208" i="1"/>
  <c r="CJ208" i="1" s="1"/>
  <c r="X208" i="1"/>
  <c r="CI208" i="1" s="1"/>
  <c r="S208" i="1"/>
  <c r="CH208" i="1" s="1"/>
  <c r="N208" i="1"/>
  <c r="CG208" i="1" s="1"/>
  <c r="I208" i="1"/>
  <c r="CF208" i="1" s="1"/>
  <c r="CE207" i="1"/>
  <c r="CD207" i="1"/>
  <c r="BB207" i="1"/>
  <c r="AW207" i="1"/>
  <c r="CN207" i="1" s="1"/>
  <c r="AR207" i="1"/>
  <c r="CM207" i="1" s="1"/>
  <c r="AM207" i="1"/>
  <c r="CL207" i="1" s="1"/>
  <c r="AH207" i="1"/>
  <c r="CK207" i="1" s="1"/>
  <c r="AC207" i="1"/>
  <c r="CJ207" i="1" s="1"/>
  <c r="X207" i="1"/>
  <c r="S207" i="1"/>
  <c r="CH207" i="1" s="1"/>
  <c r="N207" i="1"/>
  <c r="CG207" i="1" s="1"/>
  <c r="I207" i="1"/>
  <c r="CF207" i="1" s="1"/>
  <c r="CE206" i="1"/>
  <c r="CD206" i="1"/>
  <c r="BB206" i="1"/>
  <c r="AW206" i="1"/>
  <c r="AB60" i="7" s="1"/>
  <c r="AR206" i="1"/>
  <c r="W60" i="7" s="1"/>
  <c r="X61" i="7" s="1"/>
  <c r="AM206" i="1"/>
  <c r="AH206" i="1"/>
  <c r="AC206" i="1"/>
  <c r="CJ206" i="1" s="1"/>
  <c r="X206" i="1"/>
  <c r="CI206" i="1" s="1"/>
  <c r="S206" i="1"/>
  <c r="N206" i="1"/>
  <c r="I206" i="1"/>
  <c r="CD204" i="1"/>
  <c r="AZ204" i="1"/>
  <c r="AY204" i="1"/>
  <c r="AY211" i="1" s="1"/>
  <c r="AX204" i="1"/>
  <c r="AV204" i="1"/>
  <c r="AV211" i="1" s="1"/>
  <c r="AV225" i="1" s="1"/>
  <c r="AU204" i="1"/>
  <c r="AS204" i="1"/>
  <c r="AQ204" i="1"/>
  <c r="AQ211" i="1" s="1"/>
  <c r="AK204" i="1"/>
  <c r="AK211" i="1" s="1"/>
  <c r="AJ204" i="1"/>
  <c r="AI204" i="1"/>
  <c r="AF204" i="1"/>
  <c r="AF211" i="1" s="1"/>
  <c r="AE204" i="1"/>
  <c r="AD204" i="1"/>
  <c r="AA204" i="1"/>
  <c r="AA211" i="1" s="1"/>
  <c r="Z204" i="1"/>
  <c r="Z211" i="1" s="1"/>
  <c r="Y204" i="1"/>
  <c r="Y211" i="1" s="1"/>
  <c r="W204" i="1"/>
  <c r="W211" i="1" s="1"/>
  <c r="V204" i="1"/>
  <c r="V211" i="1" s="1"/>
  <c r="R204" i="1"/>
  <c r="R211" i="1" s="1"/>
  <c r="P204" i="1"/>
  <c r="P211" i="1" s="1"/>
  <c r="P225" i="1" s="1"/>
  <c r="O204" i="1"/>
  <c r="O211" i="1" s="1"/>
  <c r="M204" i="1"/>
  <c r="M211" i="1" s="1"/>
  <c r="L204" i="1"/>
  <c r="L211" i="1" s="1"/>
  <c r="K204" i="1"/>
  <c r="K211" i="1" s="1"/>
  <c r="J204" i="1"/>
  <c r="J211" i="1" s="1"/>
  <c r="H204" i="1"/>
  <c r="H211" i="1" s="1"/>
  <c r="G204" i="1"/>
  <c r="G211" i="1" s="1"/>
  <c r="F204" i="1"/>
  <c r="F211" i="1" s="1"/>
  <c r="F225" i="1" s="1"/>
  <c r="E204" i="1"/>
  <c r="E211" i="1" s="1"/>
  <c r="D204" i="1"/>
  <c r="D211" i="1" s="1"/>
  <c r="CE211" i="1" s="1"/>
  <c r="C204" i="1"/>
  <c r="C211" i="1" s="1"/>
  <c r="CE202" i="1"/>
  <c r="CD202" i="1"/>
  <c r="BA202" i="1"/>
  <c r="BB202" i="1" s="1"/>
  <c r="CO202" i="1" s="1"/>
  <c r="AW202" i="1"/>
  <c r="CN202" i="1" s="1"/>
  <c r="AR202" i="1"/>
  <c r="AM202" i="1"/>
  <c r="CL202" i="1" s="1"/>
  <c r="AG202" i="1"/>
  <c r="AH202" i="1" s="1"/>
  <c r="AB202" i="1"/>
  <c r="AC202" i="1" s="1"/>
  <c r="X202" i="1"/>
  <c r="CI202" i="1" s="1"/>
  <c r="U202" i="1"/>
  <c r="U204" i="1" s="1"/>
  <c r="U211" i="1" s="1"/>
  <c r="S202" i="1"/>
  <c r="CH202" i="1" s="1"/>
  <c r="N202" i="1"/>
  <c r="CG202" i="1" s="1"/>
  <c r="I202" i="1"/>
  <c r="CF202" i="1" s="1"/>
  <c r="CE201" i="1"/>
  <c r="CD201" i="1"/>
  <c r="BG201" i="1"/>
  <c r="CP201" i="1" s="1"/>
  <c r="BA201" i="1"/>
  <c r="BB201" i="1" s="1"/>
  <c r="CO201" i="1" s="1"/>
  <c r="AW201" i="1"/>
  <c r="CN201" i="1" s="1"/>
  <c r="AR201" i="1"/>
  <c r="AL201" i="1"/>
  <c r="AM201" i="1" s="1"/>
  <c r="AH201" i="1"/>
  <c r="AB201" i="1"/>
  <c r="X201" i="1"/>
  <c r="T201" i="1"/>
  <c r="T204" i="1"/>
  <c r="T211" i="1" s="1"/>
  <c r="S201" i="1"/>
  <c r="CH201" i="1" s="1"/>
  <c r="Q201" i="1"/>
  <c r="Q204" i="1" s="1"/>
  <c r="Q211" i="1" s="1"/>
  <c r="N201" i="1"/>
  <c r="CG201" i="1" s="1"/>
  <c r="I201" i="1"/>
  <c r="CF201" i="1" s="1"/>
  <c r="CE200" i="1"/>
  <c r="CD200" i="1"/>
  <c r="BB200" i="1"/>
  <c r="AW200" i="1"/>
  <c r="AR200" i="1"/>
  <c r="CM200" i="1" s="1"/>
  <c r="AM200" i="1"/>
  <c r="AH200" i="1"/>
  <c r="CK200" i="1" s="1"/>
  <c r="AC200" i="1"/>
  <c r="X200" i="1"/>
  <c r="S200" i="1"/>
  <c r="N200" i="1"/>
  <c r="CG200" i="1" s="1"/>
  <c r="I200" i="1"/>
  <c r="CF200" i="1" s="1"/>
  <c r="CE199" i="1"/>
  <c r="CD199" i="1"/>
  <c r="BB199" i="1"/>
  <c r="BG199" i="1"/>
  <c r="BH199" i="1" s="1"/>
  <c r="BI199" i="1" s="1"/>
  <c r="BJ199" i="1" s="1"/>
  <c r="BK199" i="1" s="1"/>
  <c r="BL199" i="1" s="1"/>
  <c r="AW199" i="1"/>
  <c r="AR199" i="1"/>
  <c r="AM199" i="1"/>
  <c r="CL199" i="1" s="1"/>
  <c r="AH199" i="1"/>
  <c r="AC199" i="1"/>
  <c r="X199" i="1"/>
  <c r="S199" i="1"/>
  <c r="CH199" i="1" s="1"/>
  <c r="N199" i="1"/>
  <c r="CG199" i="1" s="1"/>
  <c r="I199" i="1"/>
  <c r="CF199" i="1" s="1"/>
  <c r="CE198" i="1"/>
  <c r="CD198" i="1"/>
  <c r="BB198" i="1"/>
  <c r="AG20" i="7" s="1"/>
  <c r="AW198" i="1"/>
  <c r="CN198" i="1" s="1"/>
  <c r="AR198" i="1"/>
  <c r="CM198" i="1" s="1"/>
  <c r="AM198" i="1"/>
  <c r="AH198" i="1"/>
  <c r="AC198" i="1"/>
  <c r="H20" i="7" s="1"/>
  <c r="X198" i="1"/>
  <c r="S198" i="1"/>
  <c r="N198" i="1"/>
  <c r="I198" i="1"/>
  <c r="CE197" i="1"/>
  <c r="CD197" i="1"/>
  <c r="BB197" i="1"/>
  <c r="CO197" i="1" s="1"/>
  <c r="AW197" i="1"/>
  <c r="AT197" i="1"/>
  <c r="AT204" i="1" s="1"/>
  <c r="AR197" i="1"/>
  <c r="CM197" i="1" s="1"/>
  <c r="AL197" i="1"/>
  <c r="AG197" i="1"/>
  <c r="AH197" i="1" s="1"/>
  <c r="CK197" i="1" s="1"/>
  <c r="AC197" i="1"/>
  <c r="CJ197" i="1" s="1"/>
  <c r="X197" i="1"/>
  <c r="CI197" i="1" s="1"/>
  <c r="S197" i="1"/>
  <c r="N197" i="1"/>
  <c r="CG197" i="1" s="1"/>
  <c r="I197" i="1"/>
  <c r="CF197" i="1" s="1"/>
  <c r="CE196" i="1"/>
  <c r="CD196" i="1"/>
  <c r="BB196" i="1"/>
  <c r="AW196" i="1"/>
  <c r="CN196" i="1" s="1"/>
  <c r="AR196" i="1"/>
  <c r="AR204" i="1" s="1"/>
  <c r="AM196" i="1"/>
  <c r="AH196" i="1"/>
  <c r="AC196" i="1"/>
  <c r="CJ196" i="1" s="1"/>
  <c r="X196" i="1"/>
  <c r="S196" i="1"/>
  <c r="N196" i="1"/>
  <c r="I196" i="1"/>
  <c r="CD195" i="1"/>
  <c r="CD194" i="1"/>
  <c r="CD192" i="1"/>
  <c r="CE190" i="1"/>
  <c r="CD190" i="1"/>
  <c r="BA190" i="1"/>
  <c r="BB190" i="1" s="1"/>
  <c r="CO190" i="1" s="1"/>
  <c r="AZ190" i="1"/>
  <c r="AY190" i="1"/>
  <c r="AX190" i="1"/>
  <c r="AV190" i="1"/>
  <c r="AW190" i="1" s="1"/>
  <c r="CN190" i="1" s="1"/>
  <c r="AU190" i="1"/>
  <c r="AT190" i="1"/>
  <c r="AS190" i="1"/>
  <c r="AQ190" i="1"/>
  <c r="AR190" i="1"/>
  <c r="CM190" i="1" s="1"/>
  <c r="AP190" i="1"/>
  <c r="AO190" i="1"/>
  <c r="AN190" i="1"/>
  <c r="AL190" i="1"/>
  <c r="AM190" i="1" s="1"/>
  <c r="CL190" i="1" s="1"/>
  <c r="AH190" i="1"/>
  <c r="CK190" i="1" s="1"/>
  <c r="AC190" i="1"/>
  <c r="CJ190" i="1" s="1"/>
  <c r="X190" i="1"/>
  <c r="S190" i="1"/>
  <c r="CH190" i="1" s="1"/>
  <c r="N190" i="1"/>
  <c r="CG190" i="1" s="1"/>
  <c r="I190" i="1"/>
  <c r="CF190" i="1" s="1"/>
  <c r="CE189" i="1"/>
  <c r="CD189" i="1"/>
  <c r="BA189" i="1"/>
  <c r="BB189" i="1" s="1"/>
  <c r="CO189" i="1" s="1"/>
  <c r="AT189" i="1"/>
  <c r="AU189" i="1" s="1"/>
  <c r="AV189" i="1" s="1"/>
  <c r="AW189" i="1" s="1"/>
  <c r="CN189" i="1" s="1"/>
  <c r="AR189" i="1"/>
  <c r="CM189" i="1" s="1"/>
  <c r="AP189" i="1"/>
  <c r="AL189" i="1"/>
  <c r="AM189" i="1" s="1"/>
  <c r="CL189" i="1" s="1"/>
  <c r="AG189" i="1"/>
  <c r="AH189" i="1" s="1"/>
  <c r="AC189" i="1"/>
  <c r="CJ189" i="1" s="1"/>
  <c r="X189" i="1"/>
  <c r="CI189" i="1" s="1"/>
  <c r="S189" i="1"/>
  <c r="CH189" i="1" s="1"/>
  <c r="N189" i="1"/>
  <c r="CG189" i="1" s="1"/>
  <c r="I189" i="1"/>
  <c r="CF189" i="1" s="1"/>
  <c r="CE188" i="1"/>
  <c r="CD188" i="1"/>
  <c r="BB188" i="1"/>
  <c r="CO188" i="1" s="1"/>
  <c r="AT188" i="1"/>
  <c r="AU188" i="1" s="1"/>
  <c r="AV188" i="1" s="1"/>
  <c r="AW188" i="1" s="1"/>
  <c r="AX188" i="1" s="1"/>
  <c r="AR188" i="1"/>
  <c r="CM188" i="1" s="1"/>
  <c r="AP188" i="1"/>
  <c r="AL188" i="1"/>
  <c r="AM188" i="1" s="1"/>
  <c r="AG188" i="1"/>
  <c r="AH188" i="1" s="1"/>
  <c r="CK188" i="1" s="1"/>
  <c r="AC188" i="1"/>
  <c r="X188" i="1"/>
  <c r="CI188" i="1" s="1"/>
  <c r="S188" i="1"/>
  <c r="N188" i="1"/>
  <c r="CG188" i="1" s="1"/>
  <c r="I188" i="1"/>
  <c r="CF188" i="1" s="1"/>
  <c r="CE187" i="1"/>
  <c r="CD187" i="1"/>
  <c r="BB187" i="1"/>
  <c r="CO187" i="1" s="1"/>
  <c r="AT187" i="1"/>
  <c r="AU187" i="1" s="1"/>
  <c r="AV187" i="1" s="1"/>
  <c r="AW187" i="1" s="1"/>
  <c r="AR187" i="1"/>
  <c r="CM187" i="1" s="1"/>
  <c r="AP187" i="1"/>
  <c r="AQ141" i="1" s="1"/>
  <c r="AL187" i="1"/>
  <c r="AM187" i="1" s="1"/>
  <c r="AN187" i="1" s="1"/>
  <c r="AG187" i="1"/>
  <c r="AH187" i="1" s="1"/>
  <c r="AC187" i="1"/>
  <c r="CJ187" i="1" s="1"/>
  <c r="X187" i="1"/>
  <c r="R187" i="1"/>
  <c r="S187" i="1" s="1"/>
  <c r="N187" i="1"/>
  <c r="CG187" i="1" s="1"/>
  <c r="I187" i="1"/>
  <c r="CF187" i="1" s="1"/>
  <c r="CE186" i="1"/>
  <c r="CD186" i="1"/>
  <c r="BB186" i="1"/>
  <c r="CO186" i="1" s="1"/>
  <c r="AW186" i="1"/>
  <c r="CN186" i="1" s="1"/>
  <c r="AR186" i="1"/>
  <c r="CM186" i="1" s="1"/>
  <c r="AM186" i="1"/>
  <c r="CL186" i="1" s="1"/>
  <c r="AH186" i="1"/>
  <c r="CK186" i="1" s="1"/>
  <c r="AC186" i="1"/>
  <c r="CJ186" i="1" s="1"/>
  <c r="X186" i="1"/>
  <c r="CI186" i="1" s="1"/>
  <c r="S186" i="1"/>
  <c r="CH186" i="1" s="1"/>
  <c r="N186" i="1"/>
  <c r="CG186" i="1" s="1"/>
  <c r="I186" i="1"/>
  <c r="I408" i="1" s="1"/>
  <c r="J404" i="1" s="1"/>
  <c r="J406" i="1" s="1"/>
  <c r="CE185" i="1"/>
  <c r="CD185" i="1"/>
  <c r="BB185" i="1"/>
  <c r="CO185" i="1" s="1"/>
  <c r="AW185" i="1"/>
  <c r="CN185" i="1" s="1"/>
  <c r="AR185" i="1"/>
  <c r="CM185" i="1" s="1"/>
  <c r="AM185" i="1"/>
  <c r="CL185" i="1" s="1"/>
  <c r="AH185" i="1"/>
  <c r="CK185" i="1" s="1"/>
  <c r="AC185" i="1"/>
  <c r="X185" i="1"/>
  <c r="CI185" i="1" s="1"/>
  <c r="S185" i="1"/>
  <c r="CH185" i="1" s="1"/>
  <c r="N185" i="1"/>
  <c r="CG185" i="1" s="1"/>
  <c r="I185" i="1"/>
  <c r="CE184" i="1"/>
  <c r="CD184" i="1"/>
  <c r="AW184" i="1"/>
  <c r="CN184" i="1" s="1"/>
  <c r="AR184" i="1"/>
  <c r="AM184" i="1"/>
  <c r="CL184" i="1" s="1"/>
  <c r="AH184" i="1"/>
  <c r="AC184" i="1"/>
  <c r="CJ184" i="1" s="1"/>
  <c r="X184" i="1"/>
  <c r="S184" i="1"/>
  <c r="CH184" i="1" s="1"/>
  <c r="N184" i="1"/>
  <c r="I184" i="1"/>
  <c r="I401" i="1" s="1"/>
  <c r="J396" i="1" s="1"/>
  <c r="CD182" i="1"/>
  <c r="CE180" i="1"/>
  <c r="CD180" i="1"/>
  <c r="BB180" i="1"/>
  <c r="CO180" i="1" s="1"/>
  <c r="AX180" i="1"/>
  <c r="AW180" i="1"/>
  <c r="AR180" i="1"/>
  <c r="CM180" i="1" s="1"/>
  <c r="AL180" i="1"/>
  <c r="AM180" i="1" s="1"/>
  <c r="CL180" i="1" s="1"/>
  <c r="AG180" i="1"/>
  <c r="AH180" i="1" s="1"/>
  <c r="AC180" i="1"/>
  <c r="CJ180" i="1" s="1"/>
  <c r="X180" i="1"/>
  <c r="CI180" i="1" s="1"/>
  <c r="S180" i="1"/>
  <c r="Q180" i="1"/>
  <c r="N180" i="1"/>
  <c r="I180" i="1"/>
  <c r="CF180" i="1" s="1"/>
  <c r="CE179" i="1"/>
  <c r="CD179" i="1"/>
  <c r="BB179" i="1"/>
  <c r="CO179" i="1" s="1"/>
  <c r="AW179" i="1"/>
  <c r="CN179" i="1" s="1"/>
  <c r="AR179" i="1"/>
  <c r="AM179" i="1"/>
  <c r="CL179" i="1" s="1"/>
  <c r="AH179" i="1"/>
  <c r="CK179" i="1" s="1"/>
  <c r="AE179" i="1"/>
  <c r="AD179" i="1"/>
  <c r="AB179" i="1"/>
  <c r="AC179" i="1"/>
  <c r="CJ179" i="1" s="1"/>
  <c r="AA179" i="1"/>
  <c r="Z179" i="1"/>
  <c r="W179" i="1"/>
  <c r="X179" i="1" s="1"/>
  <c r="CI179" i="1" s="1"/>
  <c r="U179" i="1"/>
  <c r="R179" i="1"/>
  <c r="S179" i="1" s="1"/>
  <c r="CH179" i="1" s="1"/>
  <c r="Q179" i="1"/>
  <c r="P179" i="1"/>
  <c r="M179" i="1"/>
  <c r="N179" i="1" s="1"/>
  <c r="CG179" i="1" s="1"/>
  <c r="H179" i="1"/>
  <c r="I179" i="1" s="1"/>
  <c r="CF179" i="1" s="1"/>
  <c r="CE178" i="1"/>
  <c r="CD178" i="1"/>
  <c r="BB178" i="1"/>
  <c r="BF178" i="1"/>
  <c r="AW178" i="1"/>
  <c r="CN178" i="1" s="1"/>
  <c r="AR178" i="1"/>
  <c r="CM178" i="1" s="1"/>
  <c r="AM178" i="1"/>
  <c r="CL178" i="1" s="1"/>
  <c r="AH178" i="1"/>
  <c r="CK178" i="1" s="1"/>
  <c r="AC178" i="1"/>
  <c r="X178" i="1"/>
  <c r="S178" i="1"/>
  <c r="N178" i="1"/>
  <c r="I178" i="1"/>
  <c r="CF178" i="1" s="1"/>
  <c r="CE177" i="1"/>
  <c r="CD177" i="1"/>
  <c r="BB177" i="1"/>
  <c r="CO177" i="1" s="1"/>
  <c r="AW177" i="1"/>
  <c r="AR177" i="1"/>
  <c r="CM177" i="1" s="1"/>
  <c r="AM177" i="1"/>
  <c r="AH177" i="1"/>
  <c r="AC177" i="1"/>
  <c r="CJ177" i="1" s="1"/>
  <c r="X177" i="1"/>
  <c r="S177" i="1"/>
  <c r="N177" i="1"/>
  <c r="CG177" i="1" s="1"/>
  <c r="I177" i="1"/>
  <c r="CF177" i="1" s="1"/>
  <c r="CE176" i="1"/>
  <c r="CD176" i="1"/>
  <c r="BB176" i="1"/>
  <c r="CO176" i="1" s="1"/>
  <c r="AW176" i="1"/>
  <c r="CN176" i="1" s="1"/>
  <c r="AR176" i="1"/>
  <c r="AL176" i="1"/>
  <c r="AM176" i="1" s="1"/>
  <c r="AG176" i="1"/>
  <c r="AH176" i="1" s="1"/>
  <c r="AC176" i="1"/>
  <c r="X176" i="1"/>
  <c r="CI176" i="1" s="1"/>
  <c r="S176" i="1"/>
  <c r="CH176" i="1" s="1"/>
  <c r="N176" i="1"/>
  <c r="I176" i="1"/>
  <c r="CF176" i="1" s="1"/>
  <c r="CE175" i="1"/>
  <c r="CD175" i="1"/>
  <c r="BB175" i="1"/>
  <c r="CO175" i="1" s="1"/>
  <c r="AW175" i="1"/>
  <c r="AR175" i="1"/>
  <c r="CM175" i="1" s="1"/>
  <c r="AM175" i="1"/>
  <c r="AH175" i="1"/>
  <c r="AC175" i="1"/>
  <c r="X175" i="1"/>
  <c r="CI175" i="1" s="1"/>
  <c r="S175" i="1"/>
  <c r="N175" i="1"/>
  <c r="CG175" i="1" s="1"/>
  <c r="I175" i="1"/>
  <c r="CE174" i="1"/>
  <c r="CD174" i="1"/>
  <c r="BB174" i="1"/>
  <c r="CO174" i="1" s="1"/>
  <c r="BG174" i="1"/>
  <c r="CP174" i="1" s="1"/>
  <c r="AW174" i="1"/>
  <c r="AR174" i="1"/>
  <c r="AM174" i="1"/>
  <c r="AH174" i="1"/>
  <c r="AC174" i="1"/>
  <c r="X174" i="1"/>
  <c r="R174" i="1"/>
  <c r="S174" i="1" s="1"/>
  <c r="N174" i="1"/>
  <c r="CG174" i="1" s="1"/>
  <c r="I174" i="1"/>
  <c r="CF174" i="1" s="1"/>
  <c r="CD173" i="1"/>
  <c r="AM173" i="1"/>
  <c r="CL173" i="1" s="1"/>
  <c r="CD172" i="1"/>
  <c r="CD171" i="1"/>
  <c r="CD170" i="1"/>
  <c r="BG170" i="1"/>
  <c r="CP170" i="1" s="1"/>
  <c r="BF170" i="1"/>
  <c r="BE170" i="1"/>
  <c r="BD170" i="1"/>
  <c r="BC170" i="1"/>
  <c r="BB170" i="1"/>
  <c r="CO170" i="1" s="1"/>
  <c r="BA170" i="1"/>
  <c r="AZ170" i="1"/>
  <c r="AY170" i="1"/>
  <c r="AX170" i="1"/>
  <c r="AW170" i="1"/>
  <c r="CN170" i="1" s="1"/>
  <c r="AV170" i="1"/>
  <c r="AU170" i="1"/>
  <c r="AT170" i="1"/>
  <c r="AS170" i="1"/>
  <c r="AR170" i="1"/>
  <c r="CM170" i="1" s="1"/>
  <c r="AQ170" i="1"/>
  <c r="AP170" i="1"/>
  <c r="AO170" i="1"/>
  <c r="AN170" i="1"/>
  <c r="AM170" i="1"/>
  <c r="CL170" i="1" s="1"/>
  <c r="AL170" i="1"/>
  <c r="AK170" i="1"/>
  <c r="AJ170" i="1"/>
  <c r="AI170" i="1"/>
  <c r="AH170" i="1"/>
  <c r="CK170" i="1" s="1"/>
  <c r="AG170" i="1"/>
  <c r="AF170" i="1"/>
  <c r="AE170" i="1"/>
  <c r="AD170" i="1"/>
  <c r="AC170" i="1"/>
  <c r="CJ170" i="1" s="1"/>
  <c r="AB170" i="1"/>
  <c r="AA170" i="1"/>
  <c r="Z170" i="1"/>
  <c r="Y170" i="1"/>
  <c r="X170" i="1"/>
  <c r="CI170" i="1" s="1"/>
  <c r="W170" i="1"/>
  <c r="V170" i="1"/>
  <c r="U170" i="1"/>
  <c r="T170" i="1"/>
  <c r="S170" i="1"/>
  <c r="CH170" i="1" s="1"/>
  <c r="R170" i="1"/>
  <c r="Q170" i="1"/>
  <c r="P170" i="1"/>
  <c r="O170" i="1"/>
  <c r="N170" i="1"/>
  <c r="CG170" i="1" s="1"/>
  <c r="M170" i="1"/>
  <c r="L170" i="1"/>
  <c r="K170" i="1"/>
  <c r="J170" i="1"/>
  <c r="I170" i="1"/>
  <c r="CF170" i="1" s="1"/>
  <c r="H170" i="1"/>
  <c r="G170" i="1"/>
  <c r="F170" i="1"/>
  <c r="E170" i="1"/>
  <c r="D170" i="1"/>
  <c r="CE170" i="1" s="1"/>
  <c r="C170" i="1"/>
  <c r="CL164" i="1"/>
  <c r="CD164" i="1"/>
  <c r="CE162" i="1"/>
  <c r="CD162" i="1"/>
  <c r="AR162" i="1"/>
  <c r="CM162" i="1" s="1"/>
  <c r="AN162" i="1"/>
  <c r="CD161" i="1"/>
  <c r="CE159" i="1"/>
  <c r="CD159" i="1"/>
  <c r="BG159" i="1"/>
  <c r="CP159" i="1" s="1"/>
  <c r="AY159" i="1"/>
  <c r="AZ159" i="1" s="1"/>
  <c r="AT159" i="1"/>
  <c r="AO159" i="1"/>
  <c r="AJ159" i="1"/>
  <c r="AK159" i="1" s="1"/>
  <c r="AL159" i="1" s="1"/>
  <c r="AM159" i="1" s="1"/>
  <c r="CL159" i="1" s="1"/>
  <c r="AE159" i="1"/>
  <c r="AF159" i="1" s="1"/>
  <c r="AG159" i="1" s="1"/>
  <c r="AH159" i="1" s="1"/>
  <c r="CK159" i="1" s="1"/>
  <c r="Z159" i="1"/>
  <c r="U159" i="1"/>
  <c r="V159" i="1" s="1"/>
  <c r="P159" i="1"/>
  <c r="K159" i="1"/>
  <c r="L159" i="1" s="1"/>
  <c r="M159" i="1" s="1"/>
  <c r="F159" i="1"/>
  <c r="CD157" i="1"/>
  <c r="AX157" i="1"/>
  <c r="AN157" i="1"/>
  <c r="AI157" i="1"/>
  <c r="AD157" i="1"/>
  <c r="Y157" i="1"/>
  <c r="T157" i="1"/>
  <c r="O157" i="1"/>
  <c r="CE155" i="1"/>
  <c r="CD155" i="1"/>
  <c r="AY155" i="1"/>
  <c r="AS155" i="1"/>
  <c r="AO155" i="1"/>
  <c r="AP155" i="1" s="1"/>
  <c r="AJ155" i="1"/>
  <c r="AK155" i="1" s="1"/>
  <c r="AL155" i="1" s="1"/>
  <c r="AM155" i="1" s="1"/>
  <c r="CL155" i="1" s="1"/>
  <c r="AE155" i="1"/>
  <c r="AF155" i="1" s="1"/>
  <c r="AG155" i="1" s="1"/>
  <c r="Z155" i="1"/>
  <c r="V155" i="1"/>
  <c r="P155" i="1"/>
  <c r="R155" i="1" s="1"/>
  <c r="S155" i="1" s="1"/>
  <c r="CH155" i="1" s="1"/>
  <c r="K155" i="1"/>
  <c r="F155" i="1"/>
  <c r="G155" i="1" s="1"/>
  <c r="CE154" i="1"/>
  <c r="CD154" i="1"/>
  <c r="BB154" i="1"/>
  <c r="CO154" i="1" s="1"/>
  <c r="AW154" i="1"/>
  <c r="AR154" i="1"/>
  <c r="CM154" i="1" s="1"/>
  <c r="AM154" i="1"/>
  <c r="CL154" i="1" s="1"/>
  <c r="AH154" i="1"/>
  <c r="CK154" i="1" s="1"/>
  <c r="AC154" i="1"/>
  <c r="AC486" i="1" s="1"/>
  <c r="W154" i="1"/>
  <c r="W486" i="1" s="1"/>
  <c r="S154" i="1"/>
  <c r="CH154" i="1" s="1"/>
  <c r="N154" i="1"/>
  <c r="I154" i="1"/>
  <c r="CF154" i="1" s="1"/>
  <c r="CE153" i="1"/>
  <c r="CD153" i="1"/>
  <c r="AY153" i="1"/>
  <c r="AT153" i="1"/>
  <c r="AU153" i="1" s="1"/>
  <c r="AV153" i="1" s="1"/>
  <c r="AO153" i="1"/>
  <c r="AJ153" i="1"/>
  <c r="AE153" i="1"/>
  <c r="AF153" i="1" s="1"/>
  <c r="AG153" i="1" s="1"/>
  <c r="AH153" i="1" s="1"/>
  <c r="CK153" i="1" s="1"/>
  <c r="Z153" i="1"/>
  <c r="AA153" i="1" s="1"/>
  <c r="AB153" i="1" s="1"/>
  <c r="AC153" i="1" s="1"/>
  <c r="CJ153" i="1" s="1"/>
  <c r="U153" i="1"/>
  <c r="P153" i="1"/>
  <c r="Q153" i="1" s="1"/>
  <c r="K153" i="1"/>
  <c r="F153" i="1"/>
  <c r="G153" i="1" s="1"/>
  <c r="CE152" i="1"/>
  <c r="CD152" i="1"/>
  <c r="AY152" i="1"/>
  <c r="AT152" i="1"/>
  <c r="AO152" i="1"/>
  <c r="AP152" i="1" s="1"/>
  <c r="AJ152" i="1"/>
  <c r="AE152" i="1"/>
  <c r="Z152" i="1"/>
  <c r="U152" i="1"/>
  <c r="V152" i="1" s="1"/>
  <c r="P152" i="1"/>
  <c r="Q152" i="1" s="1"/>
  <c r="K152" i="1"/>
  <c r="F152" i="1"/>
  <c r="G152" i="1" s="1"/>
  <c r="CD151" i="1"/>
  <c r="AY151" i="1"/>
  <c r="AZ151" i="1" s="1"/>
  <c r="AV151" i="1"/>
  <c r="AO151" i="1"/>
  <c r="AO485" i="1" s="1"/>
  <c r="AJ151" i="1"/>
  <c r="AK151" i="1" s="1"/>
  <c r="AK485" i="1" s="1"/>
  <c r="AE151" i="1"/>
  <c r="AF151" i="1" s="1"/>
  <c r="Z151" i="1"/>
  <c r="U151" i="1"/>
  <c r="V151" i="1" s="1"/>
  <c r="P151" i="1"/>
  <c r="Q151" i="1" s="1"/>
  <c r="J151" i="1"/>
  <c r="J485" i="1" s="1"/>
  <c r="E151" i="1"/>
  <c r="E157" i="1"/>
  <c r="D151" i="1"/>
  <c r="CE151" i="1" s="1"/>
  <c r="C151" i="1"/>
  <c r="C157" i="1" s="1"/>
  <c r="CE150" i="1"/>
  <c r="CD150" i="1"/>
  <c r="BG150" i="1"/>
  <c r="CP150" i="1" s="1"/>
  <c r="BB150" i="1"/>
  <c r="CO150" i="1" s="1"/>
  <c r="AT150" i="1"/>
  <c r="AU150" i="1" s="1"/>
  <c r="AW150" i="1" s="1"/>
  <c r="CN150" i="1" s="1"/>
  <c r="AR150" i="1"/>
  <c r="CM150" i="1" s="1"/>
  <c r="AM150" i="1"/>
  <c r="CL150" i="1" s="1"/>
  <c r="AH150" i="1"/>
  <c r="CK150" i="1" s="1"/>
  <c r="AC150" i="1"/>
  <c r="CJ150" i="1" s="1"/>
  <c r="V150" i="1"/>
  <c r="W150" i="1" s="1"/>
  <c r="X150" i="1" s="1"/>
  <c r="CI150" i="1" s="1"/>
  <c r="S150" i="1"/>
  <c r="CH150" i="1" s="1"/>
  <c r="K150" i="1"/>
  <c r="L150" i="1" s="1"/>
  <c r="F150" i="1"/>
  <c r="G150" i="1" s="1"/>
  <c r="CE149" i="1"/>
  <c r="CD149" i="1"/>
  <c r="BG149" i="1"/>
  <c r="CP149" i="1" s="1"/>
  <c r="BB149" i="1"/>
  <c r="CO149" i="1" s="1"/>
  <c r="AT149" i="1"/>
  <c r="AR149" i="1"/>
  <c r="CM149" i="1" s="1"/>
  <c r="AM149" i="1"/>
  <c r="CL149" i="1" s="1"/>
  <c r="AG149" i="1"/>
  <c r="AH149" i="1" s="1"/>
  <c r="CK149" i="1" s="1"/>
  <c r="Z149" i="1"/>
  <c r="V149" i="1"/>
  <c r="W149" i="1" s="1"/>
  <c r="P149" i="1"/>
  <c r="Q149" i="1" s="1"/>
  <c r="K149" i="1"/>
  <c r="L149" i="1" s="1"/>
  <c r="F149" i="1"/>
  <c r="CE148" i="1"/>
  <c r="CD148" i="1"/>
  <c r="BG148" i="1"/>
  <c r="CP148" i="1" s="1"/>
  <c r="BB148" i="1"/>
  <c r="CO148" i="1" s="1"/>
  <c r="AS148" i="1"/>
  <c r="AS157" i="1" s="1"/>
  <c r="AR148" i="1"/>
  <c r="CM148" i="1" s="1"/>
  <c r="AJ148" i="1"/>
  <c r="AK148" i="1" s="1"/>
  <c r="AG148" i="1"/>
  <c r="AH148" i="1" s="1"/>
  <c r="CK148" i="1" s="1"/>
  <c r="Z148" i="1"/>
  <c r="AA148" i="1" s="1"/>
  <c r="U148" i="1"/>
  <c r="P148" i="1"/>
  <c r="K148" i="1"/>
  <c r="F148" i="1"/>
  <c r="G148" i="1" s="1"/>
  <c r="H148" i="1" s="1"/>
  <c r="I148" i="1" s="1"/>
  <c r="CF148" i="1" s="1"/>
  <c r="CE147" i="1"/>
  <c r="CD147" i="1"/>
  <c r="AY147" i="1"/>
  <c r="AT147" i="1"/>
  <c r="AU147" i="1" s="1"/>
  <c r="AW147" i="1" s="1"/>
  <c r="CN147" i="1" s="1"/>
  <c r="AQ147" i="1"/>
  <c r="AR147" i="1" s="1"/>
  <c r="CM147" i="1" s="1"/>
  <c r="AJ147" i="1"/>
  <c r="AE147" i="1"/>
  <c r="AF147" i="1" s="1"/>
  <c r="Z147" i="1"/>
  <c r="AA147" i="1" s="1"/>
  <c r="AB147" i="1" s="1"/>
  <c r="AC147" i="1" s="1"/>
  <c r="CJ147" i="1" s="1"/>
  <c r="V147" i="1"/>
  <c r="P147" i="1"/>
  <c r="K147" i="1"/>
  <c r="L147" i="1" s="1"/>
  <c r="F147" i="1"/>
  <c r="G147" i="1" s="1"/>
  <c r="CD146" i="1"/>
  <c r="CD144" i="1"/>
  <c r="AX144" i="1"/>
  <c r="AI144" i="1"/>
  <c r="Y144" i="1"/>
  <c r="J144" i="1"/>
  <c r="CE142" i="1"/>
  <c r="CD142" i="1"/>
  <c r="AY142" i="1"/>
  <c r="AT142" i="1"/>
  <c r="AU142" i="1" s="1"/>
  <c r="AN142" i="1"/>
  <c r="AJ142" i="1"/>
  <c r="AK142" i="1" s="1"/>
  <c r="AE142" i="1"/>
  <c r="AB142" i="1"/>
  <c r="AC142" i="1" s="1"/>
  <c r="CJ142" i="1" s="1"/>
  <c r="U142" i="1"/>
  <c r="P142" i="1"/>
  <c r="K142" i="1"/>
  <c r="L142" i="1" s="1"/>
  <c r="F142" i="1"/>
  <c r="G142" i="1" s="1"/>
  <c r="CE141" i="1"/>
  <c r="CD141" i="1"/>
  <c r="BA141" i="1"/>
  <c r="BB141" i="1" s="1"/>
  <c r="AW141" i="1"/>
  <c r="CN141" i="1" s="1"/>
  <c r="AK141" i="1"/>
  <c r="AL141" i="1" s="1"/>
  <c r="AM141" i="1" s="1"/>
  <c r="CL141" i="1" s="1"/>
  <c r="AE141" i="1"/>
  <c r="AG141" i="1" s="1"/>
  <c r="AH141" i="1" s="1"/>
  <c r="CK141" i="1" s="1"/>
  <c r="AB141" i="1"/>
  <c r="AC141" i="1" s="1"/>
  <c r="CJ141" i="1" s="1"/>
  <c r="U141" i="1"/>
  <c r="S141" i="1"/>
  <c r="CH141" i="1" s="1"/>
  <c r="K141" i="1"/>
  <c r="L141" i="1" s="1"/>
  <c r="M141" i="1" s="1"/>
  <c r="E141" i="1"/>
  <c r="E144" i="1" s="1"/>
  <c r="C141" i="1"/>
  <c r="CE140" i="1"/>
  <c r="CD140" i="1"/>
  <c r="BG140" i="1"/>
  <c r="CP140" i="1" s="1"/>
  <c r="AY140" i="1"/>
  <c r="AZ140" i="1" s="1"/>
  <c r="BA140" i="1" s="1"/>
  <c r="AS140" i="1"/>
  <c r="AT140" i="1" s="1"/>
  <c r="AO140" i="1"/>
  <c r="AP140" i="1" s="1"/>
  <c r="AQ140" i="1" s="1"/>
  <c r="AR140" i="1" s="1"/>
  <c r="AJ140" i="1"/>
  <c r="AD140" i="1"/>
  <c r="AE140" i="1"/>
  <c r="AF140" i="1" s="1"/>
  <c r="Z140" i="1"/>
  <c r="AA140" i="1" s="1"/>
  <c r="U140" i="1"/>
  <c r="V140" i="1" s="1"/>
  <c r="W140" i="1" s="1"/>
  <c r="X140" i="1" s="1"/>
  <c r="CI140" i="1" s="1"/>
  <c r="P140" i="1"/>
  <c r="Q140" i="1" s="1"/>
  <c r="R140" i="1" s="1"/>
  <c r="S140" i="1" s="1"/>
  <c r="CH140" i="1" s="1"/>
  <c r="K140" i="1"/>
  <c r="F140" i="1"/>
  <c r="G140" i="1" s="1"/>
  <c r="CD139" i="1"/>
  <c r="BG139" i="1"/>
  <c r="CP139" i="1" s="1"/>
  <c r="AY139" i="1"/>
  <c r="AS139" i="1"/>
  <c r="AT139" i="1" s="1"/>
  <c r="AO139" i="1"/>
  <c r="AP139" i="1" s="1"/>
  <c r="AJ139" i="1"/>
  <c r="AK139" i="1" s="1"/>
  <c r="AE139" i="1"/>
  <c r="AF139" i="1" s="1"/>
  <c r="Z139" i="1"/>
  <c r="U139" i="1"/>
  <c r="P139" i="1"/>
  <c r="Q139" i="1" s="1"/>
  <c r="K139" i="1"/>
  <c r="F139" i="1"/>
  <c r="G139" i="1" s="1"/>
  <c r="H139" i="1" s="1"/>
  <c r="D139" i="1"/>
  <c r="CE139" i="1" s="1"/>
  <c r="CD138" i="1"/>
  <c r="BG138" i="1"/>
  <c r="CP138" i="1" s="1"/>
  <c r="AY138" i="1"/>
  <c r="AZ138" i="1" s="1"/>
  <c r="BA138" i="1" s="1"/>
  <c r="BB138" i="1" s="1"/>
  <c r="CO138" i="1" s="1"/>
  <c r="AT138" i="1"/>
  <c r="AU138" i="1" s="1"/>
  <c r="AN138" i="1"/>
  <c r="AO138" i="1" s="1"/>
  <c r="AK138" i="1"/>
  <c r="AD138" i="1"/>
  <c r="AE138" i="1" s="1"/>
  <c r="Z138" i="1"/>
  <c r="Z539" i="1" s="1"/>
  <c r="Z541" i="1" s="1"/>
  <c r="T138" i="1"/>
  <c r="T144" i="1" s="1"/>
  <c r="O138" i="1"/>
  <c r="K138" i="1"/>
  <c r="L138" i="1" s="1"/>
  <c r="F138" i="1"/>
  <c r="D138" i="1"/>
  <c r="CE138" i="1" s="1"/>
  <c r="C138" i="1"/>
  <c r="CE137" i="1"/>
  <c r="CD137" i="1"/>
  <c r="AY137" i="1"/>
  <c r="AY383" i="1" s="1"/>
  <c r="AS137" i="1"/>
  <c r="AS144" i="1" s="1"/>
  <c r="AO137" i="1"/>
  <c r="AO397" i="1" s="1"/>
  <c r="AJ137" i="1"/>
  <c r="AJ144" i="1" s="1"/>
  <c r="AE137" i="1"/>
  <c r="Z137" i="1"/>
  <c r="U137" i="1"/>
  <c r="U475" i="1" s="1"/>
  <c r="P137" i="1"/>
  <c r="P397" i="1" s="1"/>
  <c r="K137" i="1"/>
  <c r="F137" i="1"/>
  <c r="F383" i="1" s="1"/>
  <c r="F458" i="1" s="1"/>
  <c r="CD136" i="1"/>
  <c r="CD134" i="1"/>
  <c r="CD132" i="1"/>
  <c r="AX132" i="1"/>
  <c r="AY132" i="1" s="1"/>
  <c r="AS132" i="1"/>
  <c r="AS476" i="1" s="1"/>
  <c r="AN132" i="1"/>
  <c r="AO132" i="1" s="1"/>
  <c r="AI132" i="1"/>
  <c r="AI476" i="1" s="1"/>
  <c r="AJ132" i="1"/>
  <c r="AD132" i="1"/>
  <c r="AE132" i="1" s="1"/>
  <c r="AF132" i="1" s="1"/>
  <c r="AG132" i="1" s="1"/>
  <c r="Z132" i="1"/>
  <c r="AA132" i="1" s="1"/>
  <c r="U132" i="1"/>
  <c r="V132" i="1" s="1"/>
  <c r="O132" i="1"/>
  <c r="K132" i="1"/>
  <c r="L132" i="1" s="1"/>
  <c r="F132" i="1"/>
  <c r="G132" i="1" s="1"/>
  <c r="D132" i="1"/>
  <c r="CE132" i="1"/>
  <c r="CE131" i="1"/>
  <c r="CD131" i="1"/>
  <c r="BB131" i="1"/>
  <c r="CO131" i="1" s="1"/>
  <c r="AV131" i="1"/>
  <c r="AW131" i="1" s="1"/>
  <c r="CN131" i="1" s="1"/>
  <c r="AK131" i="1"/>
  <c r="AG131" i="1"/>
  <c r="AE131" i="1"/>
  <c r="AF131" i="1" s="1"/>
  <c r="Z131" i="1"/>
  <c r="AA131" i="1" s="1"/>
  <c r="AC131" i="1" s="1"/>
  <c r="CJ131" i="1" s="1"/>
  <c r="U131" i="1"/>
  <c r="P131" i="1"/>
  <c r="Q131" i="1" s="1"/>
  <c r="K131" i="1"/>
  <c r="L131" i="1" s="1"/>
  <c r="M131" i="1" s="1"/>
  <c r="N131" i="1" s="1"/>
  <c r="CG131" i="1" s="1"/>
  <c r="F131" i="1"/>
  <c r="G131" i="1" s="1"/>
  <c r="CE130" i="1"/>
  <c r="CD130" i="1"/>
  <c r="AY130" i="1"/>
  <c r="AZ130" i="1" s="1"/>
  <c r="BA130" i="1" s="1"/>
  <c r="BB130" i="1" s="1"/>
  <c r="CO130" i="1" s="1"/>
  <c r="AT130" i="1"/>
  <c r="AU130" i="1" s="1"/>
  <c r="AO130" i="1"/>
  <c r="AJ130" i="1"/>
  <c r="AE130" i="1"/>
  <c r="AF130" i="1" s="1"/>
  <c r="AG130" i="1" s="1"/>
  <c r="AH130" i="1" s="1"/>
  <c r="CK130" i="1" s="1"/>
  <c r="Z130" i="1"/>
  <c r="AA130" i="1" s="1"/>
  <c r="U130" i="1"/>
  <c r="P130" i="1"/>
  <c r="K130" i="1"/>
  <c r="F130" i="1"/>
  <c r="G130" i="1" s="1"/>
  <c r="CE129" i="1"/>
  <c r="CD129" i="1"/>
  <c r="AY129" i="1"/>
  <c r="AZ129" i="1" s="1"/>
  <c r="AT129" i="1"/>
  <c r="AU129" i="1" s="1"/>
  <c r="AO129" i="1"/>
  <c r="AP129" i="1" s="1"/>
  <c r="AQ129" i="1" s="1"/>
  <c r="AJ129" i="1"/>
  <c r="AK129" i="1" s="1"/>
  <c r="AD129" i="1"/>
  <c r="Z129" i="1"/>
  <c r="AA129" i="1" s="1"/>
  <c r="U129" i="1"/>
  <c r="V129" i="1" s="1"/>
  <c r="W129" i="1" s="1"/>
  <c r="X129" i="1" s="1"/>
  <c r="CI129" i="1" s="1"/>
  <c r="P129" i="1"/>
  <c r="K129" i="1"/>
  <c r="L129" i="1" s="1"/>
  <c r="F129" i="1"/>
  <c r="G129" i="1" s="1"/>
  <c r="CE128" i="1"/>
  <c r="CD128" i="1"/>
  <c r="AY128" i="1"/>
  <c r="AT128" i="1"/>
  <c r="AO128" i="1"/>
  <c r="AP128" i="1" s="1"/>
  <c r="AJ128" i="1"/>
  <c r="AK128" i="1" s="1"/>
  <c r="AD128" i="1"/>
  <c r="Z128" i="1"/>
  <c r="AA128" i="1" s="1"/>
  <c r="AB128" i="1" s="1"/>
  <c r="U128" i="1"/>
  <c r="P128" i="1"/>
  <c r="K128" i="1"/>
  <c r="L128" i="1" s="1"/>
  <c r="M128" i="1" s="1"/>
  <c r="N128" i="1" s="1"/>
  <c r="CG128" i="1" s="1"/>
  <c r="F128" i="1"/>
  <c r="G128" i="1" s="1"/>
  <c r="CD127" i="1"/>
  <c r="AY127" i="1"/>
  <c r="AZ127" i="1" s="1"/>
  <c r="AT127" i="1"/>
  <c r="AU127" i="1" s="1"/>
  <c r="AO127" i="1"/>
  <c r="AP127" i="1" s="1"/>
  <c r="AJ127" i="1"/>
  <c r="AD127" i="1"/>
  <c r="Y127" i="1"/>
  <c r="Y476" i="1" s="1"/>
  <c r="T127" i="1"/>
  <c r="U127" i="1" s="1"/>
  <c r="O127" i="1"/>
  <c r="P127" i="1" s="1"/>
  <c r="Q127" i="1" s="1"/>
  <c r="R127" i="1" s="1"/>
  <c r="S127" i="1" s="1"/>
  <c r="CH127" i="1" s="1"/>
  <c r="J127" i="1"/>
  <c r="J460" i="1" s="1"/>
  <c r="E127" i="1"/>
  <c r="E460" i="1" s="1"/>
  <c r="D127" i="1"/>
  <c r="CE126" i="1"/>
  <c r="CD126" i="1"/>
  <c r="AY126" i="1"/>
  <c r="AZ126" i="1" s="1"/>
  <c r="BA126" i="1" s="1"/>
  <c r="BB126" i="1" s="1"/>
  <c r="CO126" i="1" s="1"/>
  <c r="AT126" i="1"/>
  <c r="AO126" i="1"/>
  <c r="AP126" i="1" s="1"/>
  <c r="AQ126" i="1" s="1"/>
  <c r="AR126" i="1" s="1"/>
  <c r="CM126" i="1" s="1"/>
  <c r="AJ126" i="1"/>
  <c r="AK126" i="1" s="1"/>
  <c r="AE126" i="1"/>
  <c r="AF126" i="1" s="1"/>
  <c r="AG126" i="1" s="1"/>
  <c r="AH126" i="1" s="1"/>
  <c r="CK126" i="1" s="1"/>
  <c r="Z126" i="1"/>
  <c r="U126" i="1"/>
  <c r="V126" i="1" s="1"/>
  <c r="P126" i="1"/>
  <c r="Q126" i="1" s="1"/>
  <c r="K126" i="1"/>
  <c r="L126" i="1" s="1"/>
  <c r="F126" i="1"/>
  <c r="G126" i="1" s="1"/>
  <c r="CP125" i="1"/>
  <c r="CO125" i="1"/>
  <c r="CN125" i="1"/>
  <c r="CM125" i="1"/>
  <c r="CL125" i="1"/>
  <c r="CK125" i="1"/>
  <c r="CJ125" i="1"/>
  <c r="CI125" i="1"/>
  <c r="CH125" i="1"/>
  <c r="CG125" i="1"/>
  <c r="CF125" i="1"/>
  <c r="CE125" i="1"/>
  <c r="CD125" i="1"/>
  <c r="CD124" i="1"/>
  <c r="AX124" i="1"/>
  <c r="AX473" i="1" s="1"/>
  <c r="AS124" i="1"/>
  <c r="AS473" i="1" s="1"/>
  <c r="AS474" i="1" s="1"/>
  <c r="AD124" i="1"/>
  <c r="AE124" i="1"/>
  <c r="AF124" i="1" s="1"/>
  <c r="Y124" i="1"/>
  <c r="Z124" i="1" s="1"/>
  <c r="Y473" i="1"/>
  <c r="T124" i="1"/>
  <c r="O124" i="1"/>
  <c r="P124" i="1"/>
  <c r="Q124" i="1" s="1"/>
  <c r="O473" i="1"/>
  <c r="J124" i="1"/>
  <c r="J473" i="1"/>
  <c r="E124" i="1"/>
  <c r="F124" i="1"/>
  <c r="D124" i="1"/>
  <c r="CE124" i="1"/>
  <c r="C124" i="1"/>
  <c r="CE123" i="1"/>
  <c r="CD123" i="1"/>
  <c r="BG123" i="1"/>
  <c r="CP123" i="1" s="1"/>
  <c r="BB123" i="1"/>
  <c r="CO123" i="1" s="1"/>
  <c r="AW123" i="1"/>
  <c r="CN123" i="1" s="1"/>
  <c r="AR123" i="1"/>
  <c r="CM123" i="1" s="1"/>
  <c r="AM123" i="1"/>
  <c r="CL123" i="1" s="1"/>
  <c r="AH123" i="1"/>
  <c r="CK123" i="1" s="1"/>
  <c r="AC123" i="1"/>
  <c r="AC412" i="1" s="1"/>
  <c r="U123" i="1"/>
  <c r="S123" i="1"/>
  <c r="CH123" i="1" s="1"/>
  <c r="K123" i="1"/>
  <c r="G123" i="1"/>
  <c r="H123" i="1" s="1"/>
  <c r="I123" i="1" s="1"/>
  <c r="I412" i="1" s="1"/>
  <c r="CE122" i="1"/>
  <c r="CD122" i="1"/>
  <c r="BG122" i="1"/>
  <c r="CP122" i="1" s="1"/>
  <c r="AY122" i="1"/>
  <c r="AZ122" i="1" s="1"/>
  <c r="BB122" i="1" s="1"/>
  <c r="CO122" i="1" s="1"/>
  <c r="AT122" i="1"/>
  <c r="AW122" i="1" s="1"/>
  <c r="CN122" i="1" s="1"/>
  <c r="AO122" i="1"/>
  <c r="AP122" i="1" s="1"/>
  <c r="AJ122" i="1"/>
  <c r="AK122" i="1" s="1"/>
  <c r="AD122" i="1"/>
  <c r="AE122" i="1" s="1"/>
  <c r="Y122" i="1"/>
  <c r="Z122" i="1"/>
  <c r="AA122" i="1" s="1"/>
  <c r="T122" i="1"/>
  <c r="P122" i="1"/>
  <c r="Q122" i="1" s="1"/>
  <c r="R122" i="1" s="1"/>
  <c r="S122" i="1" s="1"/>
  <c r="CH122" i="1" s="1"/>
  <c r="K122" i="1"/>
  <c r="L122" i="1" s="1"/>
  <c r="F122" i="1"/>
  <c r="G122" i="1" s="1"/>
  <c r="CE121" i="1"/>
  <c r="CD121" i="1"/>
  <c r="BG121" i="1"/>
  <c r="CP121" i="1" s="1"/>
  <c r="AY121" i="1"/>
  <c r="AZ121" i="1" s="1"/>
  <c r="AT121" i="1"/>
  <c r="AU121" i="1" s="1"/>
  <c r="AN121" i="1"/>
  <c r="AJ121" i="1"/>
  <c r="AK121" i="1" s="1"/>
  <c r="AL121" i="1" s="1"/>
  <c r="AM121" i="1" s="1"/>
  <c r="AD121" i="1"/>
  <c r="Z121" i="1"/>
  <c r="AA121" i="1" s="1"/>
  <c r="T121" i="1"/>
  <c r="P121" i="1"/>
  <c r="K121" i="1"/>
  <c r="F121" i="1"/>
  <c r="G121" i="1" s="1"/>
  <c r="H121" i="1" s="1"/>
  <c r="CE120" i="1"/>
  <c r="CD120" i="1"/>
  <c r="AY120" i="1"/>
  <c r="AZ120" i="1" s="1"/>
  <c r="AU120" i="1"/>
  <c r="AV120" i="1" s="1"/>
  <c r="AW120" i="1" s="1"/>
  <c r="CN120" i="1" s="1"/>
  <c r="AO120" i="1"/>
  <c r="AP120" i="1" s="1"/>
  <c r="AJ120" i="1"/>
  <c r="AK120" i="1" s="1"/>
  <c r="AE120" i="1"/>
  <c r="AF120" i="1" s="1"/>
  <c r="Z120" i="1"/>
  <c r="AA120" i="1" s="1"/>
  <c r="AB120" i="1" s="1"/>
  <c r="U120" i="1"/>
  <c r="V120" i="1" s="1"/>
  <c r="W120" i="1" s="1"/>
  <c r="P120" i="1"/>
  <c r="Q120" i="1" s="1"/>
  <c r="R120" i="1" s="1"/>
  <c r="S120" i="1" s="1"/>
  <c r="CH120" i="1" s="1"/>
  <c r="K120" i="1"/>
  <c r="F120" i="1"/>
  <c r="G120" i="1" s="1"/>
  <c r="H120" i="1" s="1"/>
  <c r="I120" i="1" s="1"/>
  <c r="CF120" i="1" s="1"/>
  <c r="CE119" i="1"/>
  <c r="CD119" i="1"/>
  <c r="AY119" i="1"/>
  <c r="AZ119" i="1" s="1"/>
  <c r="AT119" i="1"/>
  <c r="AU119" i="1" s="1"/>
  <c r="AO119" i="1"/>
  <c r="AP119" i="1" s="1"/>
  <c r="AQ119" i="1" s="1"/>
  <c r="AR119" i="1" s="1"/>
  <c r="CM119" i="1" s="1"/>
  <c r="AJ119" i="1"/>
  <c r="AE119" i="1"/>
  <c r="AF119" i="1" s="1"/>
  <c r="Z119" i="1"/>
  <c r="AA119" i="1" s="1"/>
  <c r="AB119" i="1" s="1"/>
  <c r="AC119" i="1" s="1"/>
  <c r="CJ119" i="1" s="1"/>
  <c r="T119" i="1"/>
  <c r="P119" i="1"/>
  <c r="K119" i="1"/>
  <c r="F119" i="1"/>
  <c r="G119" i="1" s="1"/>
  <c r="CE118" i="1"/>
  <c r="CD118" i="1"/>
  <c r="BG118" i="1"/>
  <c r="CP118" i="1" s="1"/>
  <c r="BB118" i="1"/>
  <c r="CO118" i="1" s="1"/>
  <c r="AW118" i="1"/>
  <c r="CN118" i="1" s="1"/>
  <c r="AR118" i="1"/>
  <c r="CM118" i="1" s="1"/>
  <c r="AM118" i="1"/>
  <c r="CL118" i="1" s="1"/>
  <c r="AF118" i="1"/>
  <c r="AH118" i="1" s="1"/>
  <c r="CK118" i="1" s="1"/>
  <c r="Y118" i="1"/>
  <c r="Z118" i="1" s="1"/>
  <c r="U118" i="1"/>
  <c r="P118" i="1"/>
  <c r="Q118" i="1" s="1"/>
  <c r="K118" i="1"/>
  <c r="L118" i="1" s="1"/>
  <c r="M118" i="1" s="1"/>
  <c r="F118" i="1"/>
  <c r="CE117" i="1"/>
  <c r="CD117" i="1"/>
  <c r="AY117" i="1"/>
  <c r="AT117" i="1"/>
  <c r="AO117" i="1"/>
  <c r="AJ117" i="1"/>
  <c r="AJ360" i="1" s="1"/>
  <c r="AE117" i="1"/>
  <c r="AE360" i="1" s="1"/>
  <c r="Z117" i="1"/>
  <c r="U117" i="1"/>
  <c r="P117" i="1"/>
  <c r="P360" i="1" s="1"/>
  <c r="K117" i="1"/>
  <c r="F117" i="1"/>
  <c r="CE116" i="1"/>
  <c r="CD116" i="1"/>
  <c r="AY116" i="1"/>
  <c r="AZ116" i="1" s="1"/>
  <c r="AT116" i="1"/>
  <c r="AU116" i="1" s="1"/>
  <c r="AV116" i="1" s="1"/>
  <c r="AW116" i="1" s="1"/>
  <c r="CN116" i="1" s="1"/>
  <c r="AO116" i="1"/>
  <c r="AJ116" i="1"/>
  <c r="AE116" i="1"/>
  <c r="AF116" i="1" s="1"/>
  <c r="Z116" i="1"/>
  <c r="AA116" i="1" s="1"/>
  <c r="U116" i="1"/>
  <c r="P116" i="1"/>
  <c r="Q116" i="1" s="1"/>
  <c r="R116" i="1" s="1"/>
  <c r="K116" i="1"/>
  <c r="F116" i="1"/>
  <c r="G116" i="1" s="1"/>
  <c r="CE115" i="1"/>
  <c r="CD115" i="1"/>
  <c r="AY115" i="1"/>
  <c r="P115" i="1"/>
  <c r="P405" i="1" s="1"/>
  <c r="K115" i="1"/>
  <c r="K405" i="1" s="1"/>
  <c r="F115" i="1"/>
  <c r="G115" i="1" s="1"/>
  <c r="CE114" i="1"/>
  <c r="CD114" i="1"/>
  <c r="AY114" i="1"/>
  <c r="P114" i="1"/>
  <c r="P501" i="1" s="1"/>
  <c r="K114" i="1"/>
  <c r="F114" i="1"/>
  <c r="G114" i="1" s="1"/>
  <c r="G501" i="1" s="1"/>
  <c r="CD113" i="1"/>
  <c r="CD112" i="1"/>
  <c r="CD111" i="1"/>
  <c r="BG111" i="1"/>
  <c r="CP111" i="1" s="1"/>
  <c r="BB111" i="1"/>
  <c r="CO111" i="1" s="1"/>
  <c r="AW111" i="1"/>
  <c r="CN111" i="1" s="1"/>
  <c r="AR111" i="1"/>
  <c r="CM111" i="1" s="1"/>
  <c r="AM111" i="1"/>
  <c r="CL111" i="1" s="1"/>
  <c r="AL111" i="1"/>
  <c r="AK111" i="1"/>
  <c r="AJ111" i="1"/>
  <c r="AI111" i="1"/>
  <c r="AH111" i="1"/>
  <c r="CK111" i="1" s="1"/>
  <c r="AG111" i="1"/>
  <c r="AF111" i="1"/>
  <c r="AE111" i="1"/>
  <c r="AD111" i="1"/>
  <c r="AC111" i="1"/>
  <c r="CJ111" i="1" s="1"/>
  <c r="AB111" i="1"/>
  <c r="AA111" i="1"/>
  <c r="Z111" i="1"/>
  <c r="Y111" i="1"/>
  <c r="X111" i="1"/>
  <c r="CI111" i="1" s="1"/>
  <c r="W111" i="1"/>
  <c r="V111" i="1"/>
  <c r="U111" i="1"/>
  <c r="T111" i="1"/>
  <c r="S111" i="1"/>
  <c r="CH111" i="1" s="1"/>
  <c r="R111" i="1"/>
  <c r="Q111" i="1"/>
  <c r="P111" i="1"/>
  <c r="O111" i="1"/>
  <c r="N111" i="1"/>
  <c r="CG111" i="1" s="1"/>
  <c r="M111" i="1"/>
  <c r="L111" i="1"/>
  <c r="K111" i="1"/>
  <c r="J111" i="1"/>
  <c r="I111" i="1"/>
  <c r="CF111" i="1" s="1"/>
  <c r="H111" i="1"/>
  <c r="G111" i="1"/>
  <c r="F111" i="1"/>
  <c r="E111" i="1"/>
  <c r="D111" i="1"/>
  <c r="CE111" i="1" s="1"/>
  <c r="C111" i="1"/>
  <c r="AL74" i="1"/>
  <c r="AK74" i="1"/>
  <c r="AJ74" i="1"/>
  <c r="AI74" i="1"/>
  <c r="AH74" i="1"/>
  <c r="AG74" i="1"/>
  <c r="AF74" i="1"/>
  <c r="AE74" i="1"/>
  <c r="AD74" i="1"/>
  <c r="AC74" i="1"/>
  <c r="AB74" i="1"/>
  <c r="AA74" i="1"/>
  <c r="Z74" i="1"/>
  <c r="Y74" i="1"/>
  <c r="X74" i="1"/>
  <c r="W74" i="1"/>
  <c r="V74" i="1"/>
  <c r="U74" i="1"/>
  <c r="T74" i="1"/>
  <c r="S74" i="1"/>
  <c r="R74" i="1"/>
  <c r="Q74" i="1"/>
  <c r="P74" i="1"/>
  <c r="O74" i="1"/>
  <c r="N74" i="1"/>
  <c r="M74" i="1"/>
  <c r="L74" i="1"/>
  <c r="K74" i="1"/>
  <c r="J74" i="1"/>
  <c r="I74" i="1"/>
  <c r="H74" i="1"/>
  <c r="G74" i="1"/>
  <c r="F74" i="1"/>
  <c r="E74" i="1"/>
  <c r="D74" i="1"/>
  <c r="C74" i="1"/>
  <c r="CI72" i="1"/>
  <c r="CH72" i="1"/>
  <c r="CG72" i="1"/>
  <c r="CF72" i="1"/>
  <c r="CE72" i="1"/>
  <c r="CD72" i="1"/>
  <c r="AM72" i="1"/>
  <c r="CL72" i="1" s="1"/>
  <c r="AH72" i="1"/>
  <c r="CK72" i="1" s="1"/>
  <c r="CD71" i="1"/>
  <c r="CD70" i="1"/>
  <c r="CD69" i="1"/>
  <c r="CD68" i="1"/>
  <c r="CD67" i="1"/>
  <c r="BB67" i="1"/>
  <c r="CO67" i="1" s="1"/>
  <c r="H31" i="5" s="1"/>
  <c r="BA67" i="1"/>
  <c r="BA629" i="1" s="1"/>
  <c r="BA631" i="1" s="1"/>
  <c r="AZ67" i="1"/>
  <c r="AZ629" i="1" s="1"/>
  <c r="AZ631" i="1" s="1"/>
  <c r="AY67" i="1"/>
  <c r="AY629" i="1" s="1"/>
  <c r="AY631" i="1" s="1"/>
  <c r="AX67" i="1"/>
  <c r="AX629" i="1" s="1"/>
  <c r="AX631" i="1" s="1"/>
  <c r="AR67" i="1"/>
  <c r="AQ67" i="1"/>
  <c r="AP67" i="1"/>
  <c r="AN67" i="1"/>
  <c r="AM67" i="1"/>
  <c r="AL67" i="1"/>
  <c r="AK67" i="1"/>
  <c r="AK71" i="1" s="1"/>
  <c r="AK544" i="1" s="1"/>
  <c r="AJ67" i="1"/>
  <c r="AJ71" i="1" s="1"/>
  <c r="AJ544" i="1" s="1"/>
  <c r="AI67" i="1"/>
  <c r="AG67" i="1"/>
  <c r="AF67" i="1"/>
  <c r="AE67" i="1"/>
  <c r="AD67" i="1"/>
  <c r="AB67" i="1"/>
  <c r="AC67" i="1" s="1"/>
  <c r="AA67" i="1"/>
  <c r="Z67" i="1"/>
  <c r="Y67" i="1"/>
  <c r="X67" i="1"/>
  <c r="W67" i="1"/>
  <c r="V67" i="1"/>
  <c r="U67" i="1"/>
  <c r="T67" i="1"/>
  <c r="S67" i="1"/>
  <c r="R67" i="1"/>
  <c r="Q67" i="1"/>
  <c r="P67" i="1"/>
  <c r="O67" i="1"/>
  <c r="CP66" i="1"/>
  <c r="CO66" i="1"/>
  <c r="CN66" i="1"/>
  <c r="CM66" i="1"/>
  <c r="CL66" i="1"/>
  <c r="CK66" i="1"/>
  <c r="CJ66" i="1"/>
  <c r="CE66" i="1"/>
  <c r="CD66" i="1"/>
  <c r="X66" i="1"/>
  <c r="X448" i="1" s="1"/>
  <c r="S66" i="1"/>
  <c r="CH66" i="1" s="1"/>
  <c r="N66" i="1"/>
  <c r="I66" i="1"/>
  <c r="I448" i="1" s="1"/>
  <c r="CM65" i="1"/>
  <c r="CI65" i="1"/>
  <c r="CH65" i="1"/>
  <c r="CD65" i="1"/>
  <c r="BB65" i="1"/>
  <c r="CO65" i="1" s="1"/>
  <c r="AT65" i="1"/>
  <c r="AU65" i="1" s="1"/>
  <c r="AV65" i="1" s="1"/>
  <c r="AO65" i="1"/>
  <c r="AO67" i="1" s="1"/>
  <c r="AM65" i="1"/>
  <c r="CL65" i="1" s="1"/>
  <c r="AH65" i="1"/>
  <c r="CK65" i="1" s="1"/>
  <c r="AC65" i="1"/>
  <c r="CJ65" i="1" s="1"/>
  <c r="N65" i="1"/>
  <c r="N67" i="1" s="1"/>
  <c r="CG67" i="1" s="1"/>
  <c r="J65" i="1"/>
  <c r="J67" i="1" s="1"/>
  <c r="I65" i="1"/>
  <c r="CF65" i="1" s="1"/>
  <c r="H65" i="1"/>
  <c r="H67" i="1" s="1"/>
  <c r="G65" i="1"/>
  <c r="G67" i="1" s="1"/>
  <c r="F65" i="1"/>
  <c r="F67" i="1" s="1"/>
  <c r="E65" i="1"/>
  <c r="E67" i="1"/>
  <c r="D65" i="1"/>
  <c r="D67" i="1" s="1"/>
  <c r="CE67" i="1" s="1"/>
  <c r="C65" i="1"/>
  <c r="C67" i="1" s="1"/>
  <c r="CM64" i="1"/>
  <c r="CI64" i="1"/>
  <c r="CH64" i="1"/>
  <c r="CG64" i="1"/>
  <c r="CD64" i="1"/>
  <c r="AW64" i="1"/>
  <c r="CN64" i="1" s="1"/>
  <c r="AM64" i="1"/>
  <c r="AA64" i="1"/>
  <c r="L64" i="1"/>
  <c r="K64" i="1"/>
  <c r="J64" i="1"/>
  <c r="I64" i="1"/>
  <c r="CF64" i="1" s="1"/>
  <c r="H64" i="1"/>
  <c r="G64" i="1"/>
  <c r="F64" i="1"/>
  <c r="E64" i="1"/>
  <c r="D64" i="1"/>
  <c r="CE64" i="1" s="1"/>
  <c r="C64" i="1"/>
  <c r="CD63" i="1"/>
  <c r="AX63" i="1"/>
  <c r="AX436" i="1" s="1"/>
  <c r="AW63" i="1"/>
  <c r="CN63" i="1" s="1"/>
  <c r="AR63" i="1"/>
  <c r="CM63" i="1" s="1"/>
  <c r="AP63" i="1"/>
  <c r="Z63" i="1"/>
  <c r="Z436" i="1" s="1"/>
  <c r="Y63" i="1"/>
  <c r="Y436" i="1"/>
  <c r="W63" i="1"/>
  <c r="W436" i="1" s="1"/>
  <c r="V63" i="1"/>
  <c r="V436" i="1" s="1"/>
  <c r="U63" i="1"/>
  <c r="U436" i="1" s="1"/>
  <c r="T63" i="1"/>
  <c r="T436" i="1" s="1"/>
  <c r="R63" i="1"/>
  <c r="R436" i="1" s="1"/>
  <c r="P63" i="1"/>
  <c r="P436" i="1" s="1"/>
  <c r="O63" i="1"/>
  <c r="O436" i="1" s="1"/>
  <c r="M63" i="1"/>
  <c r="N63" i="1"/>
  <c r="N436" i="1" s="1"/>
  <c r="L63" i="1"/>
  <c r="L436" i="1" s="1"/>
  <c r="K63" i="1"/>
  <c r="K436" i="1" s="1"/>
  <c r="K437" i="1" s="1"/>
  <c r="H63" i="1"/>
  <c r="I63" i="1" s="1"/>
  <c r="D63" i="1"/>
  <c r="CE63" i="1" s="1"/>
  <c r="CD61" i="1"/>
  <c r="CD60" i="1"/>
  <c r="BA60" i="1"/>
  <c r="BB60" i="1"/>
  <c r="CO60" i="1" s="1"/>
  <c r="AT60" i="1"/>
  <c r="CD59" i="1"/>
  <c r="CD58" i="1"/>
  <c r="CE56" i="1"/>
  <c r="CD56" i="1"/>
  <c r="BG56" i="1"/>
  <c r="CP56" i="1" s="1"/>
  <c r="BB56" i="1"/>
  <c r="CO56" i="1" s="1"/>
  <c r="AT56" i="1"/>
  <c r="AT450" i="1" s="1"/>
  <c r="AW450" i="1" s="1"/>
  <c r="AR56" i="1"/>
  <c r="AM56" i="1"/>
  <c r="AH56" i="1"/>
  <c r="CK56" i="1" s="1"/>
  <c r="X56" i="1"/>
  <c r="CI56" i="1" s="1"/>
  <c r="S56" i="1"/>
  <c r="N56" i="1"/>
  <c r="CG56" i="1" s="1"/>
  <c r="F56" i="1"/>
  <c r="I56" i="1" s="1"/>
  <c r="CF56" i="1" s="1"/>
  <c r="CE55" i="1"/>
  <c r="CD55" i="1"/>
  <c r="BG55" i="1"/>
  <c r="CP55" i="1" s="1"/>
  <c r="AX55" i="1"/>
  <c r="BB55" i="1" s="1"/>
  <c r="CO55" i="1" s="1"/>
  <c r="AW55" i="1"/>
  <c r="CN55" i="1" s="1"/>
  <c r="AR55" i="1"/>
  <c r="CM55" i="1" s="1"/>
  <c r="AM55" i="1"/>
  <c r="CL55" i="1" s="1"/>
  <c r="AH55" i="1"/>
  <c r="CK55" i="1" s="1"/>
  <c r="AC55" i="1"/>
  <c r="CJ55" i="1" s="1"/>
  <c r="X55" i="1"/>
  <c r="CI55" i="1" s="1"/>
  <c r="S55" i="1"/>
  <c r="CH55" i="1" s="1"/>
  <c r="N55" i="1"/>
  <c r="CG55" i="1" s="1"/>
  <c r="F55" i="1"/>
  <c r="G55" i="1" s="1"/>
  <c r="H55" i="1" s="1"/>
  <c r="I55" i="1" s="1"/>
  <c r="CF55" i="1" s="1"/>
  <c r="CD54" i="1"/>
  <c r="CD52" i="1"/>
  <c r="BA52" i="1"/>
  <c r="BA461" i="1" s="1"/>
  <c r="AZ52" i="1"/>
  <c r="AY52" i="1"/>
  <c r="AY461" i="1" s="1"/>
  <c r="AX52" i="1"/>
  <c r="AV52" i="1"/>
  <c r="AU52" i="1"/>
  <c r="AU461" i="1" s="1"/>
  <c r="AT52" i="1"/>
  <c r="AQ52" i="1"/>
  <c r="AQ461" i="1" s="1"/>
  <c r="AO52" i="1"/>
  <c r="AN52" i="1"/>
  <c r="AN461" i="1" s="1"/>
  <c r="AL52" i="1"/>
  <c r="AL461" i="1" s="1"/>
  <c r="AK52" i="1"/>
  <c r="AK461" i="1" s="1"/>
  <c r="AJ52" i="1"/>
  <c r="AJ461" i="1" s="1"/>
  <c r="AI52" i="1"/>
  <c r="AI461" i="1" s="1"/>
  <c r="AF52" i="1"/>
  <c r="AF461" i="1" s="1"/>
  <c r="AE52" i="1"/>
  <c r="AE461" i="1" s="1"/>
  <c r="AD52" i="1"/>
  <c r="AD461" i="1" s="1"/>
  <c r="AB52" i="1"/>
  <c r="AB461" i="1" s="1"/>
  <c r="AA52" i="1"/>
  <c r="AA461" i="1" s="1"/>
  <c r="Z52" i="1"/>
  <c r="Z461" i="1" s="1"/>
  <c r="Y52" i="1"/>
  <c r="Y461" i="1" s="1"/>
  <c r="W52" i="1"/>
  <c r="W461" i="1" s="1"/>
  <c r="V52" i="1"/>
  <c r="V461" i="1" s="1"/>
  <c r="U52" i="1"/>
  <c r="U461" i="1" s="1"/>
  <c r="T52" i="1"/>
  <c r="T461" i="1" s="1"/>
  <c r="Q52" i="1"/>
  <c r="Q461" i="1" s="1"/>
  <c r="O52" i="1"/>
  <c r="J52" i="1"/>
  <c r="E52" i="1"/>
  <c r="D52" i="1"/>
  <c r="CE52" i="1" s="1"/>
  <c r="C52" i="1"/>
  <c r="BG51" i="1"/>
  <c r="BB51" i="1"/>
  <c r="AW51" i="1"/>
  <c r="AR51" i="1"/>
  <c r="AM51" i="1"/>
  <c r="AH51" i="1"/>
  <c r="AC51" i="1"/>
  <c r="X51" i="1"/>
  <c r="S51" i="1"/>
  <c r="K51" i="1"/>
  <c r="F51" i="1"/>
  <c r="H51" i="1" s="1"/>
  <c r="BB50" i="1"/>
  <c r="AM50" i="1"/>
  <c r="AG50" i="1"/>
  <c r="AG52" i="1" s="1"/>
  <c r="AG461" i="1" s="1"/>
  <c r="AC50" i="1"/>
  <c r="AC52" i="1" s="1"/>
  <c r="CJ52" i="1" s="1"/>
  <c r="X50" i="1"/>
  <c r="P50" i="1"/>
  <c r="R50" i="1" s="1"/>
  <c r="R52" i="1" s="1"/>
  <c r="R461" i="1" s="1"/>
  <c r="K50" i="1"/>
  <c r="F50" i="1"/>
  <c r="G50" i="1" s="1"/>
  <c r="G52" i="1" s="1"/>
  <c r="CD49" i="1"/>
  <c r="CD47" i="1"/>
  <c r="BG47" i="1"/>
  <c r="CP47" i="1" s="1"/>
  <c r="BB47" i="1"/>
  <c r="CO47" i="1" s="1"/>
  <c r="AW47" i="1"/>
  <c r="CN47" i="1" s="1"/>
  <c r="AR47" i="1"/>
  <c r="CM47" i="1" s="1"/>
  <c r="AM47" i="1"/>
  <c r="CL47" i="1" s="1"/>
  <c r="AG47" i="1"/>
  <c r="AH47" i="1" s="1"/>
  <c r="CK47" i="1" s="1"/>
  <c r="AC47" i="1"/>
  <c r="CJ47" i="1" s="1"/>
  <c r="W47" i="1"/>
  <c r="X47" i="1"/>
  <c r="CI47" i="1" s="1"/>
  <c r="Q47" i="1"/>
  <c r="P47" i="1"/>
  <c r="K47" i="1"/>
  <c r="L47" i="1" s="1"/>
  <c r="E47" i="1"/>
  <c r="F47" i="1" s="1"/>
  <c r="G47" i="1" s="1"/>
  <c r="H47" i="1" s="1"/>
  <c r="I47" i="1" s="1"/>
  <c r="CF47" i="1" s="1"/>
  <c r="D47" i="1"/>
  <c r="CE47" i="1" s="1"/>
  <c r="C47" i="1"/>
  <c r="CE46" i="1"/>
  <c r="CD46" i="1"/>
  <c r="BB46" i="1"/>
  <c r="AG105" i="7" s="1"/>
  <c r="AW46" i="1"/>
  <c r="AB105" i="7" s="1"/>
  <c r="AO46" i="1"/>
  <c r="AR46" i="1" s="1"/>
  <c r="AM46" i="1"/>
  <c r="R105" i="7" s="1"/>
  <c r="AG46" i="1"/>
  <c r="AH46" i="1" s="1"/>
  <c r="AC46" i="1"/>
  <c r="CJ46" i="1" s="1"/>
  <c r="W46" i="1"/>
  <c r="W423" i="1" s="1"/>
  <c r="W459" i="1" s="1"/>
  <c r="X46" i="1"/>
  <c r="CI46" i="1" s="1"/>
  <c r="Q46" i="1"/>
  <c r="Q423" i="1" s="1"/>
  <c r="Q459" i="1" s="1"/>
  <c r="P46" i="1"/>
  <c r="K46" i="1"/>
  <c r="K423" i="1" s="1"/>
  <c r="F46" i="1"/>
  <c r="G46" i="1" s="1"/>
  <c r="G423" i="1" s="1"/>
  <c r="CK45" i="1"/>
  <c r="CJ45" i="1"/>
  <c r="CE45" i="1"/>
  <c r="CD45" i="1"/>
  <c r="BB45" i="1"/>
  <c r="CO45" i="1" s="1"/>
  <c r="AW45" i="1"/>
  <c r="AR45" i="1"/>
  <c r="CM45" i="1" s="1"/>
  <c r="AM45" i="1"/>
  <c r="CL45" i="1" s="1"/>
  <c r="AG45" i="1"/>
  <c r="AG418" i="1" s="1"/>
  <c r="Y45" i="1"/>
  <c r="Y418" i="1" s="1"/>
  <c r="X45" i="1"/>
  <c r="P45" i="1"/>
  <c r="P418" i="1" s="1"/>
  <c r="K45" i="1"/>
  <c r="K418" i="1" s="1"/>
  <c r="F45" i="1"/>
  <c r="CD43" i="1"/>
  <c r="CD42" i="1"/>
  <c r="CD40" i="1"/>
  <c r="CD39" i="1"/>
  <c r="BB39" i="1"/>
  <c r="CO39" i="1" s="1"/>
  <c r="AU39" i="1"/>
  <c r="AU115" i="1" s="1"/>
  <c r="AU405" i="1" s="1"/>
  <c r="AU406" i="1" s="1"/>
  <c r="AT39" i="1"/>
  <c r="AT115" i="1" s="1"/>
  <c r="AT405" i="1" s="1"/>
  <c r="AP39" i="1"/>
  <c r="AP115" i="1" s="1"/>
  <c r="AP405" i="1" s="1"/>
  <c r="AO39" i="1"/>
  <c r="AO115" i="1" s="1"/>
  <c r="AO405" i="1" s="1"/>
  <c r="AN39" i="1"/>
  <c r="AK39" i="1"/>
  <c r="AK115" i="1" s="1"/>
  <c r="AK405" i="1" s="1"/>
  <c r="AJ39" i="1"/>
  <c r="AJ115" i="1" s="1"/>
  <c r="AI39" i="1"/>
  <c r="AI115" i="1" s="1"/>
  <c r="AI405" i="1" s="1"/>
  <c r="AF39" i="1"/>
  <c r="AF115" i="1" s="1"/>
  <c r="AF405" i="1" s="1"/>
  <c r="AE39" i="1"/>
  <c r="AE115" i="1" s="1"/>
  <c r="AE405" i="1" s="1"/>
  <c r="AD39" i="1"/>
  <c r="AD115" i="1" s="1"/>
  <c r="AD405" i="1" s="1"/>
  <c r="AA39" i="1"/>
  <c r="AA115" i="1" s="1"/>
  <c r="AA405" i="1" s="1"/>
  <c r="AA406" i="1" s="1"/>
  <c r="Z39" i="1"/>
  <c r="Y39" i="1"/>
  <c r="V39" i="1"/>
  <c r="U39" i="1"/>
  <c r="U115" i="1" s="1"/>
  <c r="U405" i="1" s="1"/>
  <c r="T39" i="1"/>
  <c r="O39" i="1"/>
  <c r="J39" i="1"/>
  <c r="E39" i="1"/>
  <c r="D39" i="1"/>
  <c r="CE39" i="1" s="1"/>
  <c r="C39" i="1"/>
  <c r="CD38" i="1"/>
  <c r="BB38" i="1"/>
  <c r="CO38" i="1" s="1"/>
  <c r="AU38" i="1"/>
  <c r="AT38" i="1"/>
  <c r="AS38" i="1"/>
  <c r="AP38" i="1"/>
  <c r="AP37" i="1" s="1"/>
  <c r="AO38" i="1"/>
  <c r="AN38" i="1"/>
  <c r="AN114" i="1" s="1"/>
  <c r="AN398" i="1" s="1"/>
  <c r="AK38" i="1"/>
  <c r="AK114" i="1" s="1"/>
  <c r="AJ38" i="1"/>
  <c r="AJ114" i="1" s="1"/>
  <c r="AJ398" i="1" s="1"/>
  <c r="AI38" i="1"/>
  <c r="AE38" i="1"/>
  <c r="AE37" i="1" s="1"/>
  <c r="AD38" i="1"/>
  <c r="AD37" i="1" s="1"/>
  <c r="AA38" i="1"/>
  <c r="AA114" i="1" s="1"/>
  <c r="AA398" i="1" s="1"/>
  <c r="Z38" i="1"/>
  <c r="Y38" i="1"/>
  <c r="Y114" i="1" s="1"/>
  <c r="Y398" i="1" s="1"/>
  <c r="V38" i="1"/>
  <c r="V114" i="1" s="1"/>
  <c r="V501" i="1" s="1"/>
  <c r="U38" i="1"/>
  <c r="U37" i="1" s="1"/>
  <c r="T38" i="1"/>
  <c r="O38" i="1"/>
  <c r="J38" i="1"/>
  <c r="J37" i="1" s="1"/>
  <c r="E38" i="1"/>
  <c r="D38" i="1"/>
  <c r="C38" i="1"/>
  <c r="C37" i="1" s="1"/>
  <c r="CD37" i="1"/>
  <c r="BA37" i="1"/>
  <c r="AZ37" i="1"/>
  <c r="AY37" i="1"/>
  <c r="AX37" i="1"/>
  <c r="Q37" i="1"/>
  <c r="CD35" i="1"/>
  <c r="CD34" i="1"/>
  <c r="CD33" i="1"/>
  <c r="CD31" i="1"/>
  <c r="CD30" i="1"/>
  <c r="CD29" i="1"/>
  <c r="CD27" i="1"/>
  <c r="CD25" i="1"/>
  <c r="CD24" i="1"/>
  <c r="BC24" i="1"/>
  <c r="BA24" i="1"/>
  <c r="BB24" i="1" s="1"/>
  <c r="CO24" i="1" s="1"/>
  <c r="AZ24" i="1"/>
  <c r="AY24" i="1"/>
  <c r="AX24" i="1"/>
  <c r="AV24" i="1"/>
  <c r="AU24" i="1"/>
  <c r="AT24" i="1"/>
  <c r="AS24" i="1"/>
  <c r="AP24" i="1"/>
  <c r="AO24" i="1"/>
  <c r="AN24" i="1"/>
  <c r="AK24" i="1"/>
  <c r="AJ24" i="1"/>
  <c r="AI24" i="1"/>
  <c r="AF24" i="1"/>
  <c r="AE24" i="1"/>
  <c r="AD24" i="1"/>
  <c r="AA24" i="1"/>
  <c r="Z24" i="1"/>
  <c r="Z56" i="1" s="1"/>
  <c r="AC56" i="1" s="1"/>
  <c r="Y24" i="1"/>
  <c r="Q24" i="1"/>
  <c r="M24" i="1"/>
  <c r="L24" i="1"/>
  <c r="K24" i="1"/>
  <c r="J24" i="1"/>
  <c r="I24" i="1"/>
  <c r="CF24" i="1" s="1"/>
  <c r="D24" i="1"/>
  <c r="CE24" i="1" s="1"/>
  <c r="CD22" i="1"/>
  <c r="CD20" i="1"/>
  <c r="CD19" i="1"/>
  <c r="BA19" i="1"/>
  <c r="AZ19" i="1"/>
  <c r="AY19" i="1"/>
  <c r="AX19" i="1"/>
  <c r="BB19" i="1" s="1"/>
  <c r="CO19" i="1" s="1"/>
  <c r="AV19" i="1"/>
  <c r="AU19" i="1"/>
  <c r="AT19" i="1"/>
  <c r="AS19" i="1"/>
  <c r="AW19" i="1" s="1"/>
  <c r="AP19" i="1"/>
  <c r="AO19" i="1"/>
  <c r="AN19" i="1"/>
  <c r="AK19" i="1"/>
  <c r="AJ19" i="1"/>
  <c r="AI19" i="1"/>
  <c r="AD19" i="1"/>
  <c r="AA19" i="1"/>
  <c r="Z19" i="1"/>
  <c r="Y19" i="1"/>
  <c r="V19" i="1"/>
  <c r="U19" i="1"/>
  <c r="T19" i="1"/>
  <c r="Q19" i="1"/>
  <c r="Q22" i="1"/>
  <c r="O19" i="1"/>
  <c r="J19" i="1"/>
  <c r="E19" i="1"/>
  <c r="D19" i="1"/>
  <c r="CE19" i="1" s="1"/>
  <c r="C19" i="1"/>
  <c r="CD18" i="1"/>
  <c r="CD17" i="1"/>
  <c r="BA17" i="1"/>
  <c r="BA366" i="1" s="1"/>
  <c r="BK366" i="1" s="1"/>
  <c r="BP366" i="1" s="1"/>
  <c r="BU366" i="1" s="1"/>
  <c r="BZ366" i="1" s="1"/>
  <c r="AZ17" i="1"/>
  <c r="AZ366" i="1" s="1"/>
  <c r="AY17" i="1"/>
  <c r="AX17" i="1"/>
  <c r="AX366" i="1" s="1"/>
  <c r="AV17" i="1"/>
  <c r="AV366" i="1" s="1"/>
  <c r="AU17" i="1"/>
  <c r="AU366" i="1" s="1"/>
  <c r="AT17" i="1"/>
  <c r="AT366" i="1" s="1"/>
  <c r="AS17" i="1"/>
  <c r="AS366" i="1" s="1"/>
  <c r="AP17" i="1"/>
  <c r="AO17" i="1"/>
  <c r="AO366" i="1" s="1"/>
  <c r="AN17" i="1"/>
  <c r="AN22" i="1" s="1"/>
  <c r="AN431" i="1" s="1"/>
  <c r="AK17" i="1"/>
  <c r="AJ17" i="1"/>
  <c r="AJ22" i="1" s="1"/>
  <c r="AI17" i="1"/>
  <c r="AF17" i="1"/>
  <c r="AF366" i="1" s="1"/>
  <c r="AA17" i="1"/>
  <c r="AA366" i="1" s="1"/>
  <c r="Z17" i="1"/>
  <c r="Z366" i="1" s="1"/>
  <c r="Y17" i="1"/>
  <c r="V17" i="1"/>
  <c r="V366" i="1" s="1"/>
  <c r="U17" i="1"/>
  <c r="T17" i="1"/>
  <c r="T366" i="1" s="1"/>
  <c r="O17" i="1"/>
  <c r="J17" i="1"/>
  <c r="J366" i="1" s="1"/>
  <c r="F17" i="1"/>
  <c r="F366" i="1" s="1"/>
  <c r="E17" i="1"/>
  <c r="D17" i="1"/>
  <c r="D366" i="1" s="1"/>
  <c r="C17" i="1"/>
  <c r="C366" i="1" s="1"/>
  <c r="CK16" i="1"/>
  <c r="CJ16" i="1"/>
  <c r="CI16" i="1"/>
  <c r="CH16" i="1"/>
  <c r="CG16" i="1"/>
  <c r="CF16" i="1"/>
  <c r="CD16" i="1"/>
  <c r="BB16" i="1"/>
  <c r="CO16" i="1" s="1"/>
  <c r="BA16" i="1"/>
  <c r="AZ16" i="1"/>
  <c r="AW16" i="1"/>
  <c r="CN16" i="1" s="1"/>
  <c r="AV16" i="1"/>
  <c r="AU16" i="1"/>
  <c r="AT16" i="1"/>
  <c r="AS16" i="1"/>
  <c r="AR16" i="1"/>
  <c r="CM16" i="1" s="1"/>
  <c r="AQ16" i="1"/>
  <c r="AM16" i="1"/>
  <c r="CL16" i="1" s="1"/>
  <c r="AL16" i="1"/>
  <c r="AK16" i="1"/>
  <c r="AJ16" i="1"/>
  <c r="AI16" i="1"/>
  <c r="CI15" i="1"/>
  <c r="CH15" i="1"/>
  <c r="CG15" i="1"/>
  <c r="CF15" i="1"/>
  <c r="CD15" i="1"/>
  <c r="CP14" i="1"/>
  <c r="CO14" i="1"/>
  <c r="CN14" i="1"/>
  <c r="CM14" i="1"/>
  <c r="CH14" i="1"/>
  <c r="CG14" i="1"/>
  <c r="CF14" i="1"/>
  <c r="CD14" i="1"/>
  <c r="CD13" i="1"/>
  <c r="CD12" i="1"/>
  <c r="CD11" i="1"/>
  <c r="BG11" i="1"/>
  <c r="CP11" i="1" s="1"/>
  <c r="BF11" i="1"/>
  <c r="BF111" i="1" s="1"/>
  <c r="AK112" i="7" s="1"/>
  <c r="BE11" i="1"/>
  <c r="BE111" i="1" s="1"/>
  <c r="AJ112" i="7" s="1"/>
  <c r="BD11" i="1"/>
  <c r="BD111" i="1" s="1"/>
  <c r="AI112" i="7" s="1"/>
  <c r="BC11" i="1"/>
  <c r="BC111" i="1" s="1"/>
  <c r="AH112" i="7" s="1"/>
  <c r="BB11" i="1"/>
  <c r="CO11" i="1" s="1"/>
  <c r="BA11" i="1"/>
  <c r="BA111" i="1" s="1"/>
  <c r="AF112" i="7" s="1"/>
  <c r="AZ11" i="1"/>
  <c r="AZ111" i="1" s="1"/>
  <c r="AE112" i="7" s="1"/>
  <c r="AY11" i="1"/>
  <c r="AY111" i="1" s="1"/>
  <c r="AD112" i="7" s="1"/>
  <c r="AX11" i="1"/>
  <c r="AX111" i="1" s="1"/>
  <c r="AC112" i="7" s="1"/>
  <c r="AW11" i="1"/>
  <c r="CN11" i="1" s="1"/>
  <c r="AV11" i="1"/>
  <c r="AV111" i="1" s="1"/>
  <c r="AA112" i="7" s="1"/>
  <c r="AU11" i="1"/>
  <c r="AU111" i="1" s="1"/>
  <c r="Z112" i="7" s="1"/>
  <c r="AT11" i="1"/>
  <c r="AT111" i="1" s="1"/>
  <c r="Y112" i="7" s="1"/>
  <c r="AS11" i="1"/>
  <c r="AS111" i="1" s="1"/>
  <c r="X112" i="7" s="1"/>
  <c r="AR11" i="1"/>
  <c r="CM11" i="1" s="1"/>
  <c r="AQ11" i="1"/>
  <c r="AQ111" i="1" s="1"/>
  <c r="V112" i="7" s="1"/>
  <c r="AP11" i="1"/>
  <c r="AP111" i="1" s="1"/>
  <c r="U112" i="7" s="1"/>
  <c r="AO11" i="1"/>
  <c r="AO111" i="1" s="1"/>
  <c r="T112" i="7" s="1"/>
  <c r="AN11" i="1"/>
  <c r="AN111" i="1" s="1"/>
  <c r="S112" i="7" s="1"/>
  <c r="AM11" i="1"/>
  <c r="CL11" i="1" s="1"/>
  <c r="AL11" i="1"/>
  <c r="AK11" i="1"/>
  <c r="AJ11" i="1"/>
  <c r="AI11" i="1"/>
  <c r="AH11" i="1"/>
  <c r="CK11" i="1" s="1"/>
  <c r="AG11" i="1"/>
  <c r="AF11" i="1"/>
  <c r="AE11" i="1"/>
  <c r="AD11" i="1"/>
  <c r="AC11" i="1"/>
  <c r="CJ11" i="1" s="1"/>
  <c r="AB11" i="1"/>
  <c r="AA11" i="1"/>
  <c r="Z11" i="1"/>
  <c r="Y11" i="1"/>
  <c r="X11" i="1"/>
  <c r="CI11" i="1" s="1"/>
  <c r="W11" i="1"/>
  <c r="V11" i="1"/>
  <c r="U11" i="1"/>
  <c r="T11" i="1"/>
  <c r="S11" i="1"/>
  <c r="CH11" i="1" s="1"/>
  <c r="R11" i="1"/>
  <c r="Q11" i="1"/>
  <c r="P11" i="1"/>
  <c r="O11" i="1"/>
  <c r="N11" i="1"/>
  <c r="CG11" i="1" s="1"/>
  <c r="M11" i="1"/>
  <c r="L11" i="1"/>
  <c r="K11" i="1"/>
  <c r="J11" i="1"/>
  <c r="I11" i="1"/>
  <c r="CF11" i="1" s="1"/>
  <c r="H11" i="1"/>
  <c r="G11" i="1"/>
  <c r="F11" i="1"/>
  <c r="E11" i="1"/>
  <c r="D11" i="1"/>
  <c r="CE11" i="1" s="1"/>
  <c r="C11" i="1"/>
  <c r="CP1" i="1"/>
  <c r="CO1" i="1"/>
  <c r="CN1" i="1"/>
  <c r="CM1" i="1"/>
  <c r="CL1" i="1"/>
  <c r="CK1" i="1"/>
  <c r="CJ1" i="1"/>
  <c r="CM56" i="1"/>
  <c r="AO121" i="1"/>
  <c r="K124" i="1"/>
  <c r="AY124" i="1"/>
  <c r="D460" i="1"/>
  <c r="CE127" i="1"/>
  <c r="AE128" i="1"/>
  <c r="AF128" i="1" s="1"/>
  <c r="AG128" i="1" s="1"/>
  <c r="AI460" i="1"/>
  <c r="AS460" i="1"/>
  <c r="AT132" i="1"/>
  <c r="AU132" i="1" s="1"/>
  <c r="AV132" i="1" s="1"/>
  <c r="L137" i="1"/>
  <c r="L383" i="1" s="1"/>
  <c r="L458" i="1" s="1"/>
  <c r="K383" i="1"/>
  <c r="K458" i="1" s="1"/>
  <c r="AE383" i="1"/>
  <c r="AE458" i="1" s="1"/>
  <c r="V153" i="1"/>
  <c r="W153" i="1" s="1"/>
  <c r="X153" i="1" s="1"/>
  <c r="CI153" i="1" s="1"/>
  <c r="AP153" i="1"/>
  <c r="AQ153" i="1" s="1"/>
  <c r="AR153" i="1" s="1"/>
  <c r="CM153" i="1" s="1"/>
  <c r="AP159" i="1"/>
  <c r="CM176" i="1"/>
  <c r="N396" i="1"/>
  <c r="CI221" i="1"/>
  <c r="C278" i="1"/>
  <c r="K398" i="1"/>
  <c r="AY398" i="1"/>
  <c r="Y460" i="1"/>
  <c r="AJ383" i="1"/>
  <c r="AJ500" i="1" s="1"/>
  <c r="AJ522" i="1" s="1"/>
  <c r="P485" i="1"/>
  <c r="AJ485" i="1"/>
  <c r="AA159" i="1"/>
  <c r="AB159" i="1" s="1"/>
  <c r="CL201" i="1"/>
  <c r="AN201" i="1"/>
  <c r="AO201" i="1" s="1"/>
  <c r="CN45" i="1"/>
  <c r="T105" i="7"/>
  <c r="AO423" i="1"/>
  <c r="AO459" i="1" s="1"/>
  <c r="L114" i="1"/>
  <c r="Q114" i="1"/>
  <c r="Q398" i="1" s="1"/>
  <c r="AZ114" i="1"/>
  <c r="L115" i="1"/>
  <c r="L405" i="1" s="1"/>
  <c r="AZ115" i="1"/>
  <c r="AZ405" i="1" s="1"/>
  <c r="V116" i="1"/>
  <c r="W116" i="1" s="1"/>
  <c r="AK116" i="1"/>
  <c r="AP116" i="1"/>
  <c r="AQ116" i="1" s="1"/>
  <c r="AR116" i="1" s="1"/>
  <c r="CM116" i="1" s="1"/>
  <c r="AK117" i="1"/>
  <c r="AK360" i="1" s="1"/>
  <c r="G118" i="1"/>
  <c r="V118" i="1"/>
  <c r="W118" i="1" s="1"/>
  <c r="X118" i="1" s="1"/>
  <c r="CI118" i="1" s="1"/>
  <c r="L119" i="1"/>
  <c r="M119" i="1" s="1"/>
  <c r="U119" i="1"/>
  <c r="V119" i="1" s="1"/>
  <c r="L121" i="1"/>
  <c r="M121" i="1" s="1"/>
  <c r="Q121" i="1"/>
  <c r="R121" i="1" s="1"/>
  <c r="S121" i="1" s="1"/>
  <c r="U121" i="1"/>
  <c r="U122" i="1"/>
  <c r="V122" i="1" s="1"/>
  <c r="U412" i="1"/>
  <c r="U413" i="1" s="1"/>
  <c r="U124" i="1"/>
  <c r="F127" i="1"/>
  <c r="J476" i="1"/>
  <c r="AD460" i="1"/>
  <c r="L130" i="1"/>
  <c r="Q130" i="1"/>
  <c r="R130" i="1" s="1"/>
  <c r="S130" i="1" s="1"/>
  <c r="CH130" i="1" s="1"/>
  <c r="V130" i="1"/>
  <c r="AK130" i="1"/>
  <c r="AL130" i="1" s="1"/>
  <c r="AM130" i="1" s="1"/>
  <c r="CL130" i="1" s="1"/>
  <c r="AP130" i="1"/>
  <c r="V131" i="1"/>
  <c r="W131" i="1" s="1"/>
  <c r="X131" i="1" s="1"/>
  <c r="CI131" i="1" s="1"/>
  <c r="U383" i="1"/>
  <c r="U458" i="1" s="1"/>
  <c r="V137" i="1"/>
  <c r="V397" i="1" s="1"/>
  <c r="AO383" i="1"/>
  <c r="AO458" i="1" s="1"/>
  <c r="AP137" i="1"/>
  <c r="AQ137" i="1" s="1"/>
  <c r="AQ397" i="1" s="1"/>
  <c r="AN475" i="1"/>
  <c r="AO142" i="1"/>
  <c r="AZ147" i="1"/>
  <c r="BA147" i="1" s="1"/>
  <c r="AT148" i="1"/>
  <c r="AU148" i="1" s="1"/>
  <c r="AV148" i="1" s="1"/>
  <c r="U485" i="1"/>
  <c r="AP151" i="1"/>
  <c r="AQ151" i="1" s="1"/>
  <c r="AQ485" i="1" s="1"/>
  <c r="W155" i="1"/>
  <c r="X155" i="1" s="1"/>
  <c r="CI155" i="1" s="1"/>
  <c r="AG423" i="1"/>
  <c r="AV461" i="1"/>
  <c r="AZ461" i="1"/>
  <c r="CH56" i="1"/>
  <c r="CE65" i="1"/>
  <c r="CI66" i="1"/>
  <c r="BA114" i="1"/>
  <c r="BA398" i="1" s="1"/>
  <c r="M115" i="1"/>
  <c r="M405" i="1" s="1"/>
  <c r="V123" i="1"/>
  <c r="AD473" i="1"/>
  <c r="AT124" i="1"/>
  <c r="AU124" i="1" s="1"/>
  <c r="AE127" i="1"/>
  <c r="AF127" i="1" s="1"/>
  <c r="Z475" i="1"/>
  <c r="Z397" i="1"/>
  <c r="AS383" i="1"/>
  <c r="AS500" i="1" s="1"/>
  <c r="AS526" i="1" s="1"/>
  <c r="AT137" i="1"/>
  <c r="AS475" i="1"/>
  <c r="AS397" i="1"/>
  <c r="AK153" i="1"/>
  <c r="AL153" i="1" s="1"/>
  <c r="Q159" i="1"/>
  <c r="R159" i="1" s="1"/>
  <c r="AD144" i="1"/>
  <c r="AB148" i="1"/>
  <c r="AC148" i="1" s="1"/>
  <c r="CJ148" i="1" s="1"/>
  <c r="CF175" i="1"/>
  <c r="CN177" i="1"/>
  <c r="CF184" i="1"/>
  <c r="CN197" i="1"/>
  <c r="CI199" i="1"/>
  <c r="CM199" i="1"/>
  <c r="CO200" i="1"/>
  <c r="CO207" i="1"/>
  <c r="CG209" i="1"/>
  <c r="CJ221" i="1"/>
  <c r="D234" i="1"/>
  <c r="CE234" i="1" s="1"/>
  <c r="F16" i="2"/>
  <c r="F90" i="2" s="1"/>
  <c r="R246" i="1"/>
  <c r="D258" i="1"/>
  <c r="CE258" i="1" s="1"/>
  <c r="T258" i="1"/>
  <c r="AN258" i="1"/>
  <c r="T266" i="1"/>
  <c r="AV276" i="1"/>
  <c r="AN278" i="1"/>
  <c r="AQ649" i="1"/>
  <c r="AA141" i="2"/>
  <c r="G376" i="1"/>
  <c r="V459" i="1"/>
  <c r="AD459" i="1"/>
  <c r="AT459" i="1"/>
  <c r="AX460" i="1"/>
  <c r="AW481" i="1"/>
  <c r="AR524" i="1"/>
  <c r="CI178" i="1"/>
  <c r="CG184" i="1"/>
  <c r="CK184" i="1"/>
  <c r="CG196" i="1"/>
  <c r="CK196" i="1"/>
  <c r="CO196" i="1"/>
  <c r="W20" i="7"/>
  <c r="CI198" i="1"/>
  <c r="CJ199" i="1"/>
  <c r="CN199" i="1"/>
  <c r="CH200" i="1"/>
  <c r="CL200" i="1"/>
  <c r="X204" i="1"/>
  <c r="CI204" i="1" s="1"/>
  <c r="CE204" i="1"/>
  <c r="M60" i="7"/>
  <c r="N61" i="7" s="1"/>
  <c r="CG206" i="1"/>
  <c r="CK206" i="1"/>
  <c r="CF216" i="1"/>
  <c r="CI233" i="1"/>
  <c r="G16" i="2"/>
  <c r="G90" i="2" s="1"/>
  <c r="CN257" i="1"/>
  <c r="CM317" i="1"/>
  <c r="AA144" i="2"/>
  <c r="AQ652" i="1"/>
  <c r="CO323" i="1"/>
  <c r="W449" i="1"/>
  <c r="AX458" i="1"/>
  <c r="AZ485" i="1"/>
  <c r="S486" i="1"/>
  <c r="BC578" i="1"/>
  <c r="CN174" i="1"/>
  <c r="CJ176" i="1"/>
  <c r="CJ178" i="1"/>
  <c r="CH196" i="1"/>
  <c r="CL196" i="1"/>
  <c r="AM197" i="1"/>
  <c r="CH197" i="1"/>
  <c r="AB20" i="7"/>
  <c r="CF198" i="1"/>
  <c r="CJ198" i="1"/>
  <c r="CO199" i="1"/>
  <c r="CI200" i="1"/>
  <c r="CI207" i="1"/>
  <c r="CJ214" i="1"/>
  <c r="CN214" i="1"/>
  <c r="CK216" i="1"/>
  <c r="CG220" i="1"/>
  <c r="CH221" i="1"/>
  <c r="U223" i="1"/>
  <c r="Y223" i="1"/>
  <c r="X234" i="1"/>
  <c r="H5" i="2" s="1"/>
  <c r="BS5" i="2" s="1"/>
  <c r="S237" i="1"/>
  <c r="C8" i="2" s="1"/>
  <c r="D16" i="2"/>
  <c r="G251" i="1"/>
  <c r="L251" i="1"/>
  <c r="M251" i="1" s="1"/>
  <c r="R251" i="1"/>
  <c r="Y252" i="1"/>
  <c r="AG252" i="1"/>
  <c r="AM257" i="1"/>
  <c r="AL258" i="1"/>
  <c r="AH265" i="1"/>
  <c r="AH24" i="1" s="1"/>
  <c r="CK24" i="1" s="1"/>
  <c r="AA270" i="1"/>
  <c r="AA273" i="1" s="1"/>
  <c r="AA274" i="1" s="1"/>
  <c r="AI270" i="1"/>
  <c r="AI271" i="1" s="1"/>
  <c r="S301" i="1"/>
  <c r="X323" i="1"/>
  <c r="CI323" i="1" s="1"/>
  <c r="AR323" i="1"/>
  <c r="CM323" i="1" s="1"/>
  <c r="F329" i="1"/>
  <c r="F334" i="1" s="1"/>
  <c r="AB331" i="1"/>
  <c r="AB24" i="1" s="1"/>
  <c r="Z332" i="1"/>
  <c r="W346" i="1"/>
  <c r="AY397" i="1"/>
  <c r="BB418" i="1"/>
  <c r="I446" i="1"/>
  <c r="AI458" i="1"/>
  <c r="T459" i="1"/>
  <c r="G461" i="1"/>
  <c r="H461" i="1" s="1"/>
  <c r="AX476" i="1"/>
  <c r="AR486" i="1"/>
  <c r="Y500" i="1"/>
  <c r="Y520" i="1" s="1"/>
  <c r="Z520" i="1" s="1"/>
  <c r="AA520" i="1" s="1"/>
  <c r="V148" i="1"/>
  <c r="CK174" i="1"/>
  <c r="AD176" i="1"/>
  <c r="CG176" i="1"/>
  <c r="CI177" i="1"/>
  <c r="CG178" i="1"/>
  <c r="CG180" i="1"/>
  <c r="CM184" i="1"/>
  <c r="CI187" i="1"/>
  <c r="CI190" i="1"/>
  <c r="CM196" i="1"/>
  <c r="M20" i="7"/>
  <c r="CG198" i="1"/>
  <c r="CK198" i="1"/>
  <c r="CO198" i="1"/>
  <c r="CJ200" i="1"/>
  <c r="CI201" i="1"/>
  <c r="CM201" i="1"/>
  <c r="CF209" i="1"/>
  <c r="CJ209" i="1"/>
  <c r="CG214" i="1"/>
  <c r="CM221" i="1"/>
  <c r="N223" i="1"/>
  <c r="CG223" i="1" s="1"/>
  <c r="CH239" i="1"/>
  <c r="S243" i="1"/>
  <c r="C14" i="2" s="1"/>
  <c r="CE245" i="1"/>
  <c r="AC251" i="1"/>
  <c r="M126" i="2" s="1"/>
  <c r="CO251" i="1"/>
  <c r="X257" i="1"/>
  <c r="CI257" i="1" s="1"/>
  <c r="AG257" i="1"/>
  <c r="Q129" i="2" s="1"/>
  <c r="AE263" i="1"/>
  <c r="AE268" i="1" s="1"/>
  <c r="W266" i="1"/>
  <c r="CO317" i="1"/>
  <c r="Z318" i="1"/>
  <c r="AL323" i="1"/>
  <c r="AL19" i="1" s="1"/>
  <c r="AA332" i="1"/>
  <c r="V344" i="1"/>
  <c r="AH423" i="1"/>
  <c r="AH459" i="1" s="1"/>
  <c r="AH424" i="1"/>
  <c r="BA427" i="1"/>
  <c r="AN458" i="1"/>
  <c r="E503" i="1"/>
  <c r="F503" i="1" s="1"/>
  <c r="H506" i="1"/>
  <c r="O511" i="1"/>
  <c r="P511" i="1" s="1"/>
  <c r="H25" i="2"/>
  <c r="BS25" i="2" s="1"/>
  <c r="BS46" i="2"/>
  <c r="AF47" i="2"/>
  <c r="BS53" i="2"/>
  <c r="BU61" i="2"/>
  <c r="BY61" i="2"/>
  <c r="AD96" i="2"/>
  <c r="AC97" i="2"/>
  <c r="P99" i="2"/>
  <c r="M121" i="2"/>
  <c r="Z138" i="2"/>
  <c r="Z142" i="2" s="1"/>
  <c r="W5" i="7"/>
  <c r="AG72" i="7"/>
  <c r="AE32" i="7"/>
  <c r="AE78" i="7" s="1"/>
  <c r="AF32" i="7"/>
  <c r="AF78" i="7" s="1"/>
  <c r="AD78" i="7"/>
  <c r="AL53" i="7"/>
  <c r="AM53" i="7" s="1"/>
  <c r="AI98" i="7"/>
  <c r="AA138" i="2"/>
  <c r="AA145" i="2" s="1"/>
  <c r="AH166" i="2"/>
  <c r="AH175" i="2" s="1"/>
  <c r="AE205" i="2"/>
  <c r="O90" i="7"/>
  <c r="M95" i="2"/>
  <c r="BT95" i="2" s="1"/>
  <c r="AC95" i="2"/>
  <c r="P96" i="2"/>
  <c r="R165" i="2"/>
  <c r="T171" i="2"/>
  <c r="T172" i="2" s="1"/>
  <c r="AI97" i="7"/>
  <c r="AH97" i="7"/>
  <c r="BS31" i="2"/>
  <c r="BW31" i="2"/>
  <c r="H32" i="2"/>
  <c r="BS32" i="2" s="1"/>
  <c r="P77" i="7"/>
  <c r="G57" i="7"/>
  <c r="G58" i="7" s="1"/>
  <c r="AG71" i="7"/>
  <c r="AL117" i="7"/>
  <c r="AH72" i="7"/>
  <c r="AH257" i="1"/>
  <c r="CK257" i="1" s="1"/>
  <c r="L252" i="1"/>
  <c r="AH60" i="7"/>
  <c r="AJ60" i="7"/>
  <c r="AM204" i="1"/>
  <c r="BG221" i="1"/>
  <c r="BH221" i="1" s="1"/>
  <c r="BI221" i="1" s="1"/>
  <c r="L501" i="1"/>
  <c r="L398" i="1"/>
  <c r="L397" i="1"/>
  <c r="L399" i="1" s="1"/>
  <c r="L124" i="1"/>
  <c r="R131" i="1"/>
  <c r="S131" i="1" s="1"/>
  <c r="CH131" i="1" s="1"/>
  <c r="M122" i="1"/>
  <c r="N122" i="1" s="1"/>
  <c r="CG122" i="1" s="1"/>
  <c r="AI71" i="7"/>
  <c r="AH71" i="7"/>
  <c r="AJ216" i="1"/>
  <c r="AJ223" i="1" s="1"/>
  <c r="AI223" i="1"/>
  <c r="AS458" i="1"/>
  <c r="AZ398" i="1"/>
  <c r="BG202" i="1"/>
  <c r="CP202" i="1" s="1"/>
  <c r="BB114" i="1"/>
  <c r="CO114" i="1" s="1"/>
  <c r="AM5" i="7"/>
  <c r="AO5" i="7" s="1"/>
  <c r="AR652" i="1"/>
  <c r="AR655" i="1" s="1"/>
  <c r="CL197" i="1"/>
  <c r="AT475" i="1"/>
  <c r="N115" i="1"/>
  <c r="CG115" i="1" s="1"/>
  <c r="J506" i="1"/>
  <c r="X302" i="1"/>
  <c r="AY500" i="1"/>
  <c r="AY526" i="1" s="1"/>
  <c r="AY458" i="1"/>
  <c r="AP397" i="1"/>
  <c r="AL151" i="1"/>
  <c r="AL485" i="1" s="1"/>
  <c r="M137" i="1"/>
  <c r="M397" i="1" s="1"/>
  <c r="AY473" i="1"/>
  <c r="AZ124" i="1"/>
  <c r="BA124" i="1" s="1"/>
  <c r="AI60" i="7"/>
  <c r="AH19" i="7"/>
  <c r="AH67" i="7"/>
  <c r="BC308" i="1"/>
  <c r="Q98" i="2"/>
  <c r="AA99" i="2"/>
  <c r="Q171" i="2"/>
  <c r="Q172" i="2" s="1"/>
  <c r="BE570" i="1"/>
  <c r="BF578" i="1"/>
  <c r="BG120" i="1"/>
  <c r="CP120" i="1" s="1"/>
  <c r="AC159" i="1"/>
  <c r="CJ159" i="1" s="1"/>
  <c r="L46" i="1"/>
  <c r="L50" i="1"/>
  <c r="AK140" i="1"/>
  <c r="AA149" i="1"/>
  <c r="AB149" i="1" s="1"/>
  <c r="AC149" i="1" s="1"/>
  <c r="CJ149" i="1" s="1"/>
  <c r="M150" i="1"/>
  <c r="N150" i="1" s="1"/>
  <c r="CG150" i="1" s="1"/>
  <c r="P52" i="1"/>
  <c r="G138" i="1"/>
  <c r="H138" i="1" s="1"/>
  <c r="I138" i="1" s="1"/>
  <c r="CF138" i="1" s="1"/>
  <c r="V139" i="1"/>
  <c r="W139" i="1" s="1"/>
  <c r="CJ216" i="1"/>
  <c r="CG221" i="1"/>
  <c r="CO178" i="1"/>
  <c r="AW218" i="1"/>
  <c r="CO218" i="1"/>
  <c r="AV449" i="1"/>
  <c r="H10" i="2"/>
  <c r="AG278" i="1"/>
  <c r="Z326" i="1"/>
  <c r="U16" i="2"/>
  <c r="U152" i="2" s="1"/>
  <c r="X16" i="2"/>
  <c r="X110" i="2" s="1"/>
  <c r="W329" i="1"/>
  <c r="W334" i="1" s="1"/>
  <c r="AH251" i="1"/>
  <c r="G294" i="1"/>
  <c r="T278" i="1"/>
  <c r="G356" i="1"/>
  <c r="H356" i="1" s="1"/>
  <c r="AH436" i="1"/>
  <c r="BH594" i="1"/>
  <c r="BC568" i="1"/>
  <c r="AI20" i="7"/>
  <c r="AH20" i="7"/>
  <c r="BC556" i="1"/>
  <c r="BC594" i="1"/>
  <c r="AL140" i="1"/>
  <c r="AM140" i="1" s="1"/>
  <c r="BC309" i="1"/>
  <c r="AI366" i="1"/>
  <c r="CG66" i="1"/>
  <c r="N448" i="1"/>
  <c r="AK127" i="1"/>
  <c r="AL127" i="1" s="1"/>
  <c r="V128" i="1"/>
  <c r="W128" i="1" s="1"/>
  <c r="O366" i="1"/>
  <c r="AA22" i="1"/>
  <c r="AA431" i="1" s="1"/>
  <c r="Z115" i="1"/>
  <c r="Z405" i="1" s="1"/>
  <c r="AK119" i="1"/>
  <c r="AL119" i="1" s="1"/>
  <c r="AM119" i="1" s="1"/>
  <c r="CL119" i="1" s="1"/>
  <c r="AL138" i="1"/>
  <c r="N446" i="1"/>
  <c r="CO209" i="1"/>
  <c r="V141" i="1"/>
  <c r="AQ155" i="1"/>
  <c r="AR155" i="1" s="1"/>
  <c r="CM155" i="1" s="1"/>
  <c r="AM218" i="1"/>
  <c r="CG218" i="1"/>
  <c r="CJ218" i="1"/>
  <c r="R223" i="1"/>
  <c r="R449" i="1"/>
  <c r="CM219" i="1"/>
  <c r="CO219" i="1"/>
  <c r="S234" i="1"/>
  <c r="C5" i="2" s="1"/>
  <c r="L277" i="1"/>
  <c r="C10" i="2"/>
  <c r="BC564" i="1"/>
  <c r="BC427" i="1"/>
  <c r="AW52" i="1"/>
  <c r="AT461" i="1"/>
  <c r="BC157" i="1"/>
  <c r="BC570" i="1"/>
  <c r="BF570" i="1"/>
  <c r="BD570" i="1"/>
  <c r="U515" i="1"/>
  <c r="AK313" i="1"/>
  <c r="AK318" i="1" s="1"/>
  <c r="AQ313" i="1"/>
  <c r="AQ318" i="1" s="1"/>
  <c r="AX580" i="1"/>
  <c r="AG313" i="1"/>
  <c r="AE96" i="2"/>
  <c r="AR257" i="1"/>
  <c r="CM257" i="1" s="1"/>
  <c r="BE578" i="1"/>
  <c r="AQ66" i="2"/>
  <c r="BD578" i="1"/>
  <c r="R279" i="1"/>
  <c r="S279" i="1" s="1"/>
  <c r="AM279" i="1"/>
  <c r="AR279" i="1" s="1"/>
  <c r="AV39" i="1"/>
  <c r="AV115" i="1" s="1"/>
  <c r="BD564" i="1"/>
  <c r="AQ128" i="1"/>
  <c r="AR128" i="1" s="1"/>
  <c r="CM128" i="1" s="1"/>
  <c r="N137" i="1"/>
  <c r="CG137" i="1" s="1"/>
  <c r="AJ460" i="1"/>
  <c r="AE459" i="1"/>
  <c r="CJ154" i="1"/>
  <c r="U360" i="1"/>
  <c r="V117" i="1"/>
  <c r="V360" i="1" s="1"/>
  <c r="AO360" i="1"/>
  <c r="AP117" i="1"/>
  <c r="AU22" i="1"/>
  <c r="AU431" i="1" s="1"/>
  <c r="CI45" i="1"/>
  <c r="P398" i="1"/>
  <c r="P472" i="1"/>
  <c r="CO46" i="1"/>
  <c r="Q119" i="1"/>
  <c r="AW17" i="1"/>
  <c r="AW366" i="1" s="1"/>
  <c r="AZ128" i="1"/>
  <c r="BA128" i="1" s="1"/>
  <c r="BB128" i="1" s="1"/>
  <c r="CO128" i="1" s="1"/>
  <c r="G425" i="1"/>
  <c r="H294" i="1"/>
  <c r="I294" i="1" s="1"/>
  <c r="AR449" i="1"/>
  <c r="W141" i="1"/>
  <c r="AM138" i="1"/>
  <c r="CL138" i="1" s="1"/>
  <c r="AJ20" i="7"/>
  <c r="BB124" i="1"/>
  <c r="CO124" i="1" s="1"/>
  <c r="G17" i="1"/>
  <c r="G366" i="1" s="1"/>
  <c r="H251" i="1"/>
  <c r="I251" i="1" s="1"/>
  <c r="H317" i="1"/>
  <c r="G329" i="1"/>
  <c r="G334" i="1" s="1"/>
  <c r="W119" i="1"/>
  <c r="X119" i="1" s="1"/>
  <c r="CI119" i="1" s="1"/>
  <c r="AO22" i="1"/>
  <c r="AO431" i="1" s="1"/>
  <c r="AY366" i="1"/>
  <c r="H132" i="1"/>
  <c r="I132" i="1" s="1"/>
  <c r="CF132" i="1" s="1"/>
  <c r="AZ137" i="1"/>
  <c r="BA137" i="1" s="1"/>
  <c r="AK152" i="1"/>
  <c r="X154" i="1"/>
  <c r="X486" i="1" s="1"/>
  <c r="CH174" i="1"/>
  <c r="CJ175" i="1"/>
  <c r="CN175" i="1"/>
  <c r="CH188" i="1"/>
  <c r="AL204" i="1"/>
  <c r="AL131" i="1"/>
  <c r="AM131" i="1" s="1"/>
  <c r="CL131" i="1" s="1"/>
  <c r="CL215" i="1"/>
  <c r="CG219" i="1"/>
  <c r="AM412" i="1"/>
  <c r="AW24" i="1"/>
  <c r="CN24" i="1" s="1"/>
  <c r="AU149" i="1"/>
  <c r="AW149" i="1" s="1"/>
  <c r="CN149" i="1" s="1"/>
  <c r="AI481" i="1"/>
  <c r="CN217" i="1"/>
  <c r="AX446" i="1"/>
  <c r="W263" i="1"/>
  <c r="W268" i="1" s="1"/>
  <c r="AC201" i="1"/>
  <c r="AS449" i="1"/>
  <c r="BD594" i="1"/>
  <c r="F263" i="1"/>
  <c r="F268" i="1" s="1"/>
  <c r="P375" i="1"/>
  <c r="AL411" i="1"/>
  <c r="AG437" i="1"/>
  <c r="S412" i="1"/>
  <c r="T80" i="2"/>
  <c r="AP366" i="1"/>
  <c r="AP22" i="1"/>
  <c r="AP431" i="1" s="1"/>
  <c r="AB122" i="1"/>
  <c r="AC122" i="1" s="1"/>
  <c r="CJ122" i="1" s="1"/>
  <c r="BA119" i="1"/>
  <c r="BB119" i="1" s="1"/>
  <c r="CO119" i="1" s="1"/>
  <c r="AQ127" i="1"/>
  <c r="AR127" i="1" s="1"/>
  <c r="CM127" i="1" s="1"/>
  <c r="Z542" i="1"/>
  <c r="AJ366" i="1"/>
  <c r="AC120" i="1"/>
  <c r="CJ120" i="1" s="1"/>
  <c r="H152" i="1"/>
  <c r="I152" i="1" s="1"/>
  <c r="CF152" i="1" s="1"/>
  <c r="L152" i="1"/>
  <c r="M152" i="1" s="1"/>
  <c r="N152" i="1" s="1"/>
  <c r="CG152" i="1" s="1"/>
  <c r="AA152" i="1"/>
  <c r="AB152" i="1" s="1"/>
  <c r="AC152" i="1" s="1"/>
  <c r="CJ152" i="1" s="1"/>
  <c r="AQ152" i="1"/>
  <c r="AU152" i="1"/>
  <c r="AV152" i="1" s="1"/>
  <c r="M47" i="1"/>
  <c r="N47" i="1" s="1"/>
  <c r="CG47" i="1" s="1"/>
  <c r="AR251" i="1"/>
  <c r="CM251" i="1" s="1"/>
  <c r="L257" i="1"/>
  <c r="BC449" i="1"/>
  <c r="AW418" i="1"/>
  <c r="H354" i="1"/>
  <c r="BD556" i="1"/>
  <c r="BG197" i="1"/>
  <c r="BG187" i="1"/>
  <c r="BG179" i="1"/>
  <c r="CH67" i="1"/>
  <c r="CF66" i="1"/>
  <c r="BI279" i="1"/>
  <c r="BN279" i="1" s="1"/>
  <c r="BS279" i="1" s="1"/>
  <c r="G277" i="1"/>
  <c r="H277" i="1" s="1"/>
  <c r="BC315" i="1"/>
  <c r="BD233" i="1"/>
  <c r="BD234" i="1" s="1"/>
  <c r="AM100" i="2"/>
  <c r="BD315" i="1"/>
  <c r="BC16" i="1"/>
  <c r="AM88" i="2"/>
  <c r="X141" i="1"/>
  <c r="CI141" i="1" s="1"/>
  <c r="W117" i="1"/>
  <c r="X117" i="1" s="1"/>
  <c r="X360" i="1" s="1"/>
  <c r="CF123" i="1"/>
  <c r="H17" i="1"/>
  <c r="H366" i="1" s="1"/>
  <c r="I139" i="1"/>
  <c r="CF139" i="1" s="1"/>
  <c r="AZ383" i="1"/>
  <c r="AZ475" i="1"/>
  <c r="AZ397" i="1"/>
  <c r="I317" i="1"/>
  <c r="CF317" i="1" s="1"/>
  <c r="AM8" i="2"/>
  <c r="BC236" i="1"/>
  <c r="BC311" i="1"/>
  <c r="BC576" i="1"/>
  <c r="AM81" i="2"/>
  <c r="BC276" i="1"/>
  <c r="BC344" i="1"/>
  <c r="BC19" i="1"/>
  <c r="BC37" i="1"/>
  <c r="BC263" i="1"/>
  <c r="BC268" i="1" s="1"/>
  <c r="BC472" i="1"/>
  <c r="BC473" i="1"/>
  <c r="BC475" i="1"/>
  <c r="BC67" i="1"/>
  <c r="BC629" i="1" s="1"/>
  <c r="BC631" i="1" s="1"/>
  <c r="BC17" i="1"/>
  <c r="BC366" i="1" s="1"/>
  <c r="BH366" i="1" s="1"/>
  <c r="BM366" i="1" s="1"/>
  <c r="BR366" i="1" s="1"/>
  <c r="BW366" i="1" s="1"/>
  <c r="BC204" i="1"/>
  <c r="BC211" i="1" s="1"/>
  <c r="BC329" i="1"/>
  <c r="BC460" i="1"/>
  <c r="BC476" i="1"/>
  <c r="BC52" i="1"/>
  <c r="BC461" i="1" s="1"/>
  <c r="BC223" i="1"/>
  <c r="BC436" i="1"/>
  <c r="BW115" i="1"/>
  <c r="BW405" i="1" s="1"/>
  <c r="CA152" i="1"/>
  <c r="CT152" i="1" s="1"/>
  <c r="CA39" i="1"/>
  <c r="CT39" i="1" s="1"/>
  <c r="BX115" i="1"/>
  <c r="BX405" i="1" s="1"/>
  <c r="BY485" i="1"/>
  <c r="BZ485" i="1"/>
  <c r="BY115" i="1"/>
  <c r="BY405" i="1" s="1"/>
  <c r="BW485" i="1"/>
  <c r="BY615" i="1"/>
  <c r="BY617" i="1" s="1"/>
  <c r="BZ615" i="1"/>
  <c r="BZ617" i="1" s="1"/>
  <c r="BB25" i="2"/>
  <c r="BR565" i="1" s="1"/>
  <c r="BH28" i="2"/>
  <c r="BW53" i="2"/>
  <c r="BJ17" i="2"/>
  <c r="BZ586" i="1" s="1"/>
  <c r="BH95" i="2"/>
  <c r="BI95" i="2"/>
  <c r="BJ95" i="2"/>
  <c r="BB79" i="7"/>
  <c r="BD30" i="7"/>
  <c r="BD76" i="7" s="1"/>
  <c r="Q77" i="7"/>
  <c r="R77" i="7" s="1"/>
  <c r="H19" i="7"/>
  <c r="V9" i="7"/>
  <c r="W9" i="7" s="1"/>
  <c r="X9" i="7" s="1"/>
  <c r="X19" i="7" s="1"/>
  <c r="X67" i="7" s="1"/>
  <c r="O76" i="7"/>
  <c r="N137" i="7"/>
  <c r="N138" i="7" s="1"/>
  <c r="AJ137" i="7"/>
  <c r="R122" i="7"/>
  <c r="R132" i="7"/>
  <c r="AU137" i="7"/>
  <c r="AX50" i="7"/>
  <c r="AY50" i="7" s="1"/>
  <c r="AX137" i="7"/>
  <c r="M95" i="7"/>
  <c r="AH137" i="7"/>
  <c r="AL119" i="7"/>
  <c r="AB128" i="7"/>
  <c r="AL133" i="7"/>
  <c r="AS30" i="7"/>
  <c r="AS76" i="7" s="1"/>
  <c r="AX46" i="7"/>
  <c r="AX92" i="7" s="1"/>
  <c r="F63" i="7"/>
  <c r="AI137" i="7"/>
  <c r="W127" i="7"/>
  <c r="AG133" i="7"/>
  <c r="AV127" i="7"/>
  <c r="AV133" i="7"/>
  <c r="AX29" i="7"/>
  <c r="AY29" i="7" s="1"/>
  <c r="BA80" i="7"/>
  <c r="BD309" i="1"/>
  <c r="O324" i="1"/>
  <c r="R126" i="1"/>
  <c r="S126" i="1" s="1"/>
  <c r="CH126" i="1" s="1"/>
  <c r="AH131" i="1"/>
  <c r="CK131" i="1" s="1"/>
  <c r="R258" i="1"/>
  <c r="S257" i="1"/>
  <c r="CH257" i="1" s="1"/>
  <c r="L17" i="1"/>
  <c r="C144" i="1"/>
  <c r="O334" i="1"/>
  <c r="AG446" i="1"/>
  <c r="D436" i="1"/>
  <c r="I67" i="1"/>
  <c r="CF67" i="1" s="1"/>
  <c r="W223" i="1"/>
  <c r="N375" i="1"/>
  <c r="E376" i="1"/>
  <c r="E375" i="1" s="1"/>
  <c r="T378" i="1"/>
  <c r="T375" i="1" s="1"/>
  <c r="AU139" i="1"/>
  <c r="J141" i="2"/>
  <c r="I141" i="2"/>
  <c r="K141" i="2"/>
  <c r="CJ317" i="1"/>
  <c r="D157" i="1"/>
  <c r="CE157" i="1" s="1"/>
  <c r="AS276" i="1"/>
  <c r="K376" i="1"/>
  <c r="K375" i="1" s="1"/>
  <c r="AS329" i="1"/>
  <c r="AS334" i="1" s="1"/>
  <c r="AG346" i="1"/>
  <c r="AG39" i="1" s="1"/>
  <c r="K65" i="1"/>
  <c r="K67" i="1" s="1"/>
  <c r="F151" i="1"/>
  <c r="O268" i="1"/>
  <c r="AG317" i="1"/>
  <c r="AG17" i="1" s="1"/>
  <c r="AX95" i="7"/>
  <c r="AW137" i="7"/>
  <c r="AX75" i="7"/>
  <c r="AX39" i="7"/>
  <c r="AU50" i="7"/>
  <c r="AU95" i="7" s="1"/>
  <c r="AS90" i="7"/>
  <c r="AS95" i="7"/>
  <c r="AS39" i="7"/>
  <c r="AS85" i="7" s="1"/>
  <c r="BT615" i="1"/>
  <c r="BT617" i="1" s="1"/>
  <c r="BU615" i="1"/>
  <c r="BU617" i="1" s="1"/>
  <c r="BS615" i="1"/>
  <c r="BS617" i="1" s="1"/>
  <c r="AN44" i="7"/>
  <c r="AN90" i="7" s="1"/>
  <c r="G63" i="7"/>
  <c r="BT115" i="1"/>
  <c r="BV39" i="1"/>
  <c r="CS39" i="1" s="1"/>
  <c r="BR115" i="1"/>
  <c r="BR405" i="1" s="1"/>
  <c r="BS115" i="1"/>
  <c r="BS405" i="1" s="1"/>
  <c r="BV154" i="1"/>
  <c r="BV486" i="1" s="1"/>
  <c r="BB62" i="2"/>
  <c r="BR577" i="1" s="1"/>
  <c r="BD25" i="2"/>
  <c r="BT565" i="1" s="1"/>
  <c r="BD95" i="2"/>
  <c r="BE95" i="2"/>
  <c r="BB95" i="2"/>
  <c r="X115" i="2"/>
  <c r="AN565" i="1"/>
  <c r="M13" i="2"/>
  <c r="M14" i="2" s="1"/>
  <c r="AD151" i="2"/>
  <c r="E99" i="2"/>
  <c r="AC47" i="2"/>
  <c r="X98" i="2"/>
  <c r="F99" i="2"/>
  <c r="AV437" i="1"/>
  <c r="AW153" i="1"/>
  <c r="CN153" i="1" s="1"/>
  <c r="M138" i="1"/>
  <c r="H142" i="1"/>
  <c r="I142" i="1" s="1"/>
  <c r="CF142" i="1" s="1"/>
  <c r="W132" i="1"/>
  <c r="X132" i="1" s="1"/>
  <c r="CI132" i="1" s="1"/>
  <c r="AJ476" i="1"/>
  <c r="CG63" i="1"/>
  <c r="R118" i="1"/>
  <c r="S118" i="1" s="1"/>
  <c r="CH118" i="1" s="1"/>
  <c r="AL126" i="1"/>
  <c r="AM126" i="1" s="1"/>
  <c r="M436" i="1"/>
  <c r="CG65" i="1"/>
  <c r="D144" i="1"/>
  <c r="CE144" i="1" s="1"/>
  <c r="O144" i="1"/>
  <c r="AD344" i="1"/>
  <c r="AT155" i="1"/>
  <c r="AQ225" i="1"/>
  <c r="AX211" i="1"/>
  <c r="AX225" i="1" s="1"/>
  <c r="AS652" i="1"/>
  <c r="AS655" i="1" s="1"/>
  <c r="J376" i="1"/>
  <c r="J375" i="1" s="1"/>
  <c r="M376" i="1"/>
  <c r="U157" i="1"/>
  <c r="AT211" i="1"/>
  <c r="AT225" i="1" s="1"/>
  <c r="AD211" i="1"/>
  <c r="K263" i="1"/>
  <c r="K268" i="1" s="1"/>
  <c r="Z292" i="1"/>
  <c r="O375" i="1"/>
  <c r="AN459" i="1"/>
  <c r="C531" i="1"/>
  <c r="AM419" i="1"/>
  <c r="Y95" i="2"/>
  <c r="AF95" i="2"/>
  <c r="Y121" i="2"/>
  <c r="U95" i="2"/>
  <c r="U121" i="2"/>
  <c r="J336" i="1"/>
  <c r="AG95" i="2"/>
  <c r="BX95" i="2" s="1"/>
  <c r="Q95" i="2"/>
  <c r="Q121" i="2"/>
  <c r="M61" i="7"/>
  <c r="Q425" i="1"/>
  <c r="V425" i="1"/>
  <c r="V426" i="1" s="1"/>
  <c r="L8" i="2"/>
  <c r="C270" i="1"/>
  <c r="C271" i="1" s="1"/>
  <c r="CN17" i="1"/>
  <c r="S95" i="2"/>
  <c r="Z314" i="1"/>
  <c r="AH412" i="1"/>
  <c r="R425" i="1"/>
  <c r="BC141" i="1"/>
  <c r="BC144" i="1" s="1"/>
  <c r="AY459" i="1"/>
  <c r="CH237" i="1"/>
  <c r="U318" i="1"/>
  <c r="O318" i="1"/>
  <c r="O292" i="1"/>
  <c r="J474" i="1"/>
  <c r="BQ153" i="1"/>
  <c r="CR153" i="1" s="1"/>
  <c r="O306" i="1"/>
  <c r="O299" i="1"/>
  <c r="U324" i="1"/>
  <c r="C318" i="1"/>
  <c r="C22" i="1"/>
  <c r="C27" i="1" s="1"/>
  <c r="AZ22" i="1"/>
  <c r="AZ431" i="1" s="1"/>
  <c r="BB17" i="1"/>
  <c r="BB366" i="1" s="1"/>
  <c r="CI234" i="1"/>
  <c r="AX189" i="1"/>
  <c r="BG153" i="1"/>
  <c r="CP153" i="1" s="1"/>
  <c r="AO461" i="1"/>
  <c r="W151" i="2"/>
  <c r="J225" i="1"/>
  <c r="J270" i="1"/>
  <c r="J281" i="1" s="1"/>
  <c r="J282" i="1" s="1"/>
  <c r="AA281" i="1"/>
  <c r="AA282" i="1" s="1"/>
  <c r="AA271" i="1"/>
  <c r="BN115" i="1"/>
  <c r="BN405" i="1" s="1"/>
  <c r="BO485" i="1"/>
  <c r="BO115" i="1"/>
  <c r="BP115" i="1"/>
  <c r="BP405" i="1" s="1"/>
  <c r="BQ39" i="1"/>
  <c r="CR39" i="1" s="1"/>
  <c r="BM115" i="1"/>
  <c r="BM405" i="1" s="1"/>
  <c r="BP485" i="1"/>
  <c r="BQ154" i="1"/>
  <c r="BO615" i="1"/>
  <c r="BO617" i="1" s="1"/>
  <c r="BP615" i="1"/>
  <c r="BP617" i="1" s="1"/>
  <c r="K225" i="1"/>
  <c r="D425" i="1"/>
  <c r="D426" i="1" s="1"/>
  <c r="W425" i="1"/>
  <c r="BL154" i="1"/>
  <c r="CQ154" i="1" s="1"/>
  <c r="AF225" i="1"/>
  <c r="Q8" i="2"/>
  <c r="BH486" i="1"/>
  <c r="S151" i="2"/>
  <c r="AE95" i="2"/>
  <c r="M7" i="2"/>
  <c r="BT7" i="2" s="1"/>
  <c r="U306" i="1"/>
  <c r="O151" i="2"/>
  <c r="AQ95" i="2"/>
  <c r="BZ95" i="2" s="1"/>
  <c r="J318" i="1"/>
  <c r="M225" i="1"/>
  <c r="D22" i="1"/>
  <c r="D431" i="1" s="1"/>
  <c r="J306" i="1"/>
  <c r="AA151" i="2"/>
  <c r="CH240" i="1"/>
  <c r="E270" i="1"/>
  <c r="E281" i="1" s="1"/>
  <c r="E282" i="1" s="1"/>
  <c r="BG154" i="1"/>
  <c r="BG486" i="1" s="1"/>
  <c r="W225" i="1"/>
  <c r="AO655" i="1"/>
  <c r="BG152" i="1"/>
  <c r="D318" i="1"/>
  <c r="CE318" i="1" s="1"/>
  <c r="AF318" i="1"/>
  <c r="AA27" i="1"/>
  <c r="CN188" i="1"/>
  <c r="L225" i="1"/>
  <c r="D270" i="1"/>
  <c r="AJ268" i="1"/>
  <c r="BG381" i="1"/>
  <c r="AN585" i="1"/>
  <c r="AQ655" i="1"/>
  <c r="E366" i="1"/>
  <c r="E22" i="1"/>
  <c r="E431" i="1" s="1"/>
  <c r="CE329" i="1"/>
  <c r="Y334" i="1"/>
  <c r="N121" i="2"/>
  <c r="V121" i="2"/>
  <c r="Z151" i="2"/>
  <c r="AL95" i="2"/>
  <c r="BY95" i="2" s="1"/>
  <c r="AL151" i="2"/>
  <c r="AS459" i="1"/>
  <c r="AW63" i="2"/>
  <c r="AZ33" i="2"/>
  <c r="AX95" i="2"/>
  <c r="AZ95" i="2"/>
  <c r="AW95" i="2"/>
  <c r="BA95" i="2"/>
  <c r="CB95" i="2" s="1"/>
  <c r="AI72" i="7"/>
  <c r="AN46" i="7"/>
  <c r="AN92" i="7" s="1"/>
  <c r="AN32" i="7"/>
  <c r="AN78" i="7" s="1"/>
  <c r="AN30" i="7"/>
  <c r="AN76" i="7" s="1"/>
  <c r="AN29" i="7"/>
  <c r="AN75" i="7" s="1"/>
  <c r="V8" i="2"/>
  <c r="L82" i="2"/>
  <c r="L121" i="2"/>
  <c r="L151" i="2"/>
  <c r="L95" i="2"/>
  <c r="P151" i="2"/>
  <c r="T121" i="2"/>
  <c r="T95" i="2"/>
  <c r="X151" i="2"/>
  <c r="X95" i="2"/>
  <c r="AB151" i="2"/>
  <c r="AJ151" i="2"/>
  <c r="AJ95" i="2"/>
  <c r="AN151" i="2"/>
  <c r="AN95" i="2"/>
  <c r="S5" i="2"/>
  <c r="AB4" i="2"/>
  <c r="BW4" i="2" s="1"/>
  <c r="N8" i="2"/>
  <c r="S182" i="2"/>
  <c r="AI569" i="1"/>
  <c r="F98" i="2"/>
  <c r="F86" i="2"/>
  <c r="F107" i="2" s="1"/>
  <c r="K99" i="2"/>
  <c r="K171" i="2"/>
  <c r="K77" i="2"/>
  <c r="K97" i="2"/>
  <c r="AK97" i="2"/>
  <c r="BK594" i="1"/>
  <c r="BA639" i="1"/>
  <c r="AM79" i="7"/>
  <c r="AO46" i="7"/>
  <c r="AP46" i="7" s="1"/>
  <c r="AP92" i="7" s="1"/>
  <c r="AQ117" i="7"/>
  <c r="AJ97" i="7"/>
  <c r="AZ614" i="1"/>
  <c r="AZ615" i="1" s="1"/>
  <c r="AZ617" i="1" s="1"/>
  <c r="G67" i="7"/>
  <c r="AB31" i="7"/>
  <c r="AE50" i="7"/>
  <c r="L79" i="7"/>
  <c r="M79" i="7" s="1"/>
  <c r="AB119" i="7"/>
  <c r="AJ98" i="7"/>
  <c r="J58" i="7"/>
  <c r="Z101" i="7"/>
  <c r="AE77" i="7"/>
  <c r="M50" i="7"/>
  <c r="N50" i="7" s="1"/>
  <c r="Q33" i="7"/>
  <c r="Q79" i="7" s="1"/>
  <c r="H57" i="7"/>
  <c r="H58" i="7" s="1"/>
  <c r="AE76" i="7"/>
  <c r="AF30" i="7"/>
  <c r="AF76" i="7" s="1"/>
  <c r="AD79" i="7"/>
  <c r="AE46" i="7"/>
  <c r="AF46" i="7" s="1"/>
  <c r="AI19" i="7"/>
  <c r="AI67" i="7" s="1"/>
  <c r="AD76" i="7"/>
  <c r="G64" i="7"/>
  <c r="AD75" i="7"/>
  <c r="AE45" i="7"/>
  <c r="AE91" i="7" s="1"/>
  <c r="AF45" i="7"/>
  <c r="J63" i="7"/>
  <c r="J64" i="7" s="1"/>
  <c r="AJ72" i="7"/>
  <c r="AL25" i="7"/>
  <c r="AK97" i="7"/>
  <c r="AJ70" i="7"/>
  <c r="AJ19" i="7"/>
  <c r="AJ67" i="7" s="1"/>
  <c r="K58" i="7"/>
  <c r="R34" i="7"/>
  <c r="S34" i="7" s="1"/>
  <c r="S80" i="7" s="1"/>
  <c r="AD90" i="7"/>
  <c r="AE44" i="7"/>
  <c r="AE90" i="7" s="1"/>
  <c r="AB68" i="7"/>
  <c r="M75" i="7"/>
  <c r="AF33" i="7"/>
  <c r="AG33" i="7" s="1"/>
  <c r="AH33" i="7" s="1"/>
  <c r="AE79" i="7"/>
  <c r="L85" i="7"/>
  <c r="M85" i="7" s="1"/>
  <c r="Y91" i="7"/>
  <c r="Z45" i="7"/>
  <c r="AA45" i="7" s="1"/>
  <c r="BK485" i="1"/>
  <c r="CM140" i="1"/>
  <c r="AW148" i="1"/>
  <c r="W122" i="1"/>
  <c r="X122" i="1" s="1"/>
  <c r="CI122" i="1" s="1"/>
  <c r="BB147" i="1"/>
  <c r="CO147" i="1" s="1"/>
  <c r="AR129" i="1"/>
  <c r="N121" i="1"/>
  <c r="CG121" i="1" s="1"/>
  <c r="X116" i="1"/>
  <c r="CI116" i="1" s="1"/>
  <c r="H153" i="1"/>
  <c r="I153" i="1" s="1"/>
  <c r="CF153" i="1" s="1"/>
  <c r="G159" i="1"/>
  <c r="AU159" i="1"/>
  <c r="AV159" i="1" s="1"/>
  <c r="AC277" i="1"/>
  <c r="H459" i="1"/>
  <c r="I459" i="1" s="1"/>
  <c r="BL537" i="1"/>
  <c r="BQ537" i="1" s="1"/>
  <c r="BV537" i="1" s="1"/>
  <c r="CA537" i="1" s="1"/>
  <c r="Q129" i="1"/>
  <c r="R129" i="1" s="1"/>
  <c r="AF142" i="1"/>
  <c r="AG142" i="1" s="1"/>
  <c r="AA155" i="1"/>
  <c r="CK176" i="1"/>
  <c r="H114" i="1"/>
  <c r="H501" i="1" s="1"/>
  <c r="Q128" i="1"/>
  <c r="Q142" i="1"/>
  <c r="R142" i="1" s="1"/>
  <c r="S142" i="1" s="1"/>
  <c r="AM182" i="1"/>
  <c r="CL182" i="1" s="1"/>
  <c r="V142" i="1"/>
  <c r="X142" i="1" s="1"/>
  <c r="CI142" i="1" s="1"/>
  <c r="G151" i="1"/>
  <c r="H151" i="1" s="1"/>
  <c r="I151" i="1" s="1"/>
  <c r="CF151" i="1" s="1"/>
  <c r="Z324" i="1"/>
  <c r="Z299" i="1"/>
  <c r="AW263" i="1"/>
  <c r="L279" i="1"/>
  <c r="L276" i="1" s="1"/>
  <c r="D502" i="1"/>
  <c r="J507" i="1"/>
  <c r="K507" i="1" s="1"/>
  <c r="L507" i="1" s="1"/>
  <c r="M507" i="1" s="1"/>
  <c r="BK115" i="1"/>
  <c r="BK405" i="1" s="1"/>
  <c r="BI115" i="1"/>
  <c r="BJ115" i="1"/>
  <c r="BJ405" i="1" s="1"/>
  <c r="BC334" i="1"/>
  <c r="U292" i="1"/>
  <c r="U12" i="1"/>
  <c r="U371" i="1" s="1"/>
  <c r="T336" i="1"/>
  <c r="T337" i="1" s="1"/>
  <c r="AI425" i="1"/>
  <c r="AI426" i="1" s="1"/>
  <c r="AI61" i="7"/>
  <c r="AK225" i="1"/>
  <c r="M425" i="1"/>
  <c r="CN187" i="1"/>
  <c r="AX187" i="1"/>
  <c r="AS26" i="2"/>
  <c r="AR28" i="2"/>
  <c r="AT28" i="2"/>
  <c r="AR95" i="2"/>
  <c r="AS20" i="2"/>
  <c r="AS95" i="2"/>
  <c r="AU95" i="2"/>
  <c r="U97" i="2"/>
  <c r="AK580" i="1"/>
  <c r="AQ580" i="1"/>
  <c r="AA171" i="2"/>
  <c r="M156" i="2"/>
  <c r="AC311" i="1"/>
  <c r="R62" i="2"/>
  <c r="BU62" i="2" s="1"/>
  <c r="Q77" i="2"/>
  <c r="Q187" i="2" s="1"/>
  <c r="AF98" i="2"/>
  <c r="AU237" i="1"/>
  <c r="T186" i="2"/>
  <c r="AJ577" i="1"/>
  <c r="B97" i="2"/>
  <c r="B98" i="2"/>
  <c r="C77" i="2"/>
  <c r="AM582" i="1"/>
  <c r="P82" i="2"/>
  <c r="AF82" i="2"/>
  <c r="T44" i="2"/>
  <c r="Y32" i="2"/>
  <c r="AV95" i="2"/>
  <c r="CA95" i="2" s="1"/>
  <c r="AK585" i="1"/>
  <c r="BD311" i="1"/>
  <c r="AY234" i="1"/>
  <c r="O8" i="2"/>
  <c r="BE30" i="7"/>
  <c r="BE76" i="7" s="1"/>
  <c r="CS154" i="1"/>
  <c r="D437" i="1"/>
  <c r="L366" i="1"/>
  <c r="AV139" i="1"/>
  <c r="AX85" i="7"/>
  <c r="AY39" i="7"/>
  <c r="AY85" i="7" s="1"/>
  <c r="AT39" i="7"/>
  <c r="AT85" i="7" s="1"/>
  <c r="AU155" i="1"/>
  <c r="C431" i="1"/>
  <c r="CO17" i="1"/>
  <c r="D27" i="1"/>
  <c r="CE27" i="1" s="1"/>
  <c r="CP152" i="1"/>
  <c r="AO92" i="7"/>
  <c r="F104" i="2"/>
  <c r="AJ71" i="7"/>
  <c r="AL26" i="7"/>
  <c r="AE95" i="7"/>
  <c r="AF50" i="7"/>
  <c r="AF95" i="7" s="1"/>
  <c r="R33" i="7"/>
  <c r="S33" i="7" s="1"/>
  <c r="S79" i="7" s="1"/>
  <c r="AG30" i="7"/>
  <c r="AH30" i="7" s="1"/>
  <c r="AF79" i="7"/>
  <c r="AG79" i="7" s="1"/>
  <c r="AG45" i="7"/>
  <c r="AF91" i="7"/>
  <c r="AL16" i="7"/>
  <c r="AM16" i="7" s="1"/>
  <c r="Z91" i="7"/>
  <c r="CN263" i="1"/>
  <c r="AW268" i="1"/>
  <c r="CN268" i="1" s="1"/>
  <c r="CM129" i="1"/>
  <c r="CN148" i="1"/>
  <c r="V475" i="1"/>
  <c r="E502" i="1"/>
  <c r="R128" i="1"/>
  <c r="S128" i="1" s="1"/>
  <c r="H159" i="1"/>
  <c r="I159" i="1" s="1"/>
  <c r="CF159" i="1" s="1"/>
  <c r="AN88" i="2"/>
  <c r="AK71" i="7"/>
  <c r="AW139" i="1"/>
  <c r="CN139" i="1" s="1"/>
  <c r="AG50" i="7"/>
  <c r="AG95" i="7" s="1"/>
  <c r="AH45" i="7"/>
  <c r="AH91" i="7" s="1"/>
  <c r="BD16" i="1"/>
  <c r="AW35" i="2"/>
  <c r="BD614" i="1"/>
  <c r="BD615" i="1" s="1"/>
  <c r="BD617" i="1" s="1"/>
  <c r="BE614" i="1"/>
  <c r="BE615" i="1" s="1"/>
  <c r="BE617" i="1" s="1"/>
  <c r="AI45" i="7"/>
  <c r="AI91" i="7" s="1"/>
  <c r="BF614" i="1"/>
  <c r="BF615" i="1" s="1"/>
  <c r="BF617" i="1" s="1"/>
  <c r="AJ45" i="7"/>
  <c r="AJ91" i="7" s="1"/>
  <c r="BD459" i="1"/>
  <c r="BD568" i="1"/>
  <c r="BD576" i="1"/>
  <c r="AN81" i="2"/>
  <c r="AN97" i="2" s="1"/>
  <c r="AS52" i="2"/>
  <c r="L263" i="1"/>
  <c r="L268" i="1" s="1"/>
  <c r="BE449" i="1"/>
  <c r="AR137" i="1"/>
  <c r="CM137" i="1" s="1"/>
  <c r="E16" i="5" s="1"/>
  <c r="W130" i="1"/>
  <c r="X130" i="1" s="1"/>
  <c r="AL128" i="1"/>
  <c r="AM128" i="1" s="1"/>
  <c r="CL128" i="1" s="1"/>
  <c r="AA126" i="1"/>
  <c r="AZ132" i="1"/>
  <c r="BA132" i="1" s="1"/>
  <c r="AV121" i="1"/>
  <c r="AW121" i="1" s="1"/>
  <c r="BE594" i="1"/>
  <c r="S317" i="1"/>
  <c r="BQ24" i="1"/>
  <c r="CR24" i="1" s="1"/>
  <c r="BK151" i="2"/>
  <c r="BD308" i="1"/>
  <c r="BI594" i="1"/>
  <c r="BJ594" i="1"/>
  <c r="BM594" i="1"/>
  <c r="BP594" i="1"/>
  <c r="BD67" i="1"/>
  <c r="BD629" i="1" s="1"/>
  <c r="BD631" i="1" s="1"/>
  <c r="BD236" i="1"/>
  <c r="BZ594" i="1"/>
  <c r="BU594" i="1"/>
  <c r="BR594" i="1"/>
  <c r="BO594" i="1"/>
  <c r="BN594" i="1"/>
  <c r="BX594" i="1"/>
  <c r="BS594" i="1"/>
  <c r="BY594" i="1"/>
  <c r="BT594" i="1"/>
  <c r="BW594" i="1"/>
  <c r="BD473" i="1"/>
  <c r="BD475" i="1"/>
  <c r="AN100" i="2"/>
  <c r="BD263" i="1"/>
  <c r="AL55" i="7"/>
  <c r="AM55" i="7" s="1"/>
  <c r="AN55" i="7" s="1"/>
  <c r="AO55" i="7" s="1"/>
  <c r="AP55" i="7" s="1"/>
  <c r="AQ55" i="7" s="1"/>
  <c r="AR55" i="7" s="1"/>
  <c r="AK98" i="7"/>
  <c r="AL98" i="7" s="1"/>
  <c r="AV614" i="1"/>
  <c r="AV615" i="1" s="1"/>
  <c r="AV617" i="1" s="1"/>
  <c r="AL9" i="7"/>
  <c r="AM9" i="7" s="1"/>
  <c r="AN9" i="7" s="1"/>
  <c r="AO9" i="7" s="1"/>
  <c r="BG216" i="1"/>
  <c r="BH202" i="1"/>
  <c r="BI202" i="1" s="1"/>
  <c r="BJ202" i="1" s="1"/>
  <c r="BK202" i="1" s="1"/>
  <c r="BL202" i="1" s="1"/>
  <c r="BM202" i="1" s="1"/>
  <c r="BN202" i="1" s="1"/>
  <c r="BO202" i="1" s="1"/>
  <c r="BP202" i="1" s="1"/>
  <c r="BQ202" i="1" s="1"/>
  <c r="BR202" i="1" s="1"/>
  <c r="BS202" i="1" s="1"/>
  <c r="BT202" i="1" s="1"/>
  <c r="BU202" i="1" s="1"/>
  <c r="BV202" i="1" s="1"/>
  <c r="CN206" i="1"/>
  <c r="CL206" i="1"/>
  <c r="BG206" i="1"/>
  <c r="CK202" i="1"/>
  <c r="BB556" i="1"/>
  <c r="AC424" i="1"/>
  <c r="AD425" i="1" s="1"/>
  <c r="AD426" i="1" s="1"/>
  <c r="CF206" i="1"/>
  <c r="H60" i="7"/>
  <c r="AE61" i="7"/>
  <c r="AG204" i="1"/>
  <c r="AG211" i="1" s="1"/>
  <c r="CO206" i="1"/>
  <c r="BB204" i="1"/>
  <c r="BB211" i="1" s="1"/>
  <c r="CO211" i="1" s="1"/>
  <c r="BH197" i="1"/>
  <c r="BI197" i="1" s="1"/>
  <c r="CP197" i="1"/>
  <c r="CL187" i="1"/>
  <c r="AN188" i="1"/>
  <c r="BH179" i="1"/>
  <c r="BI179" i="1" s="1"/>
  <c r="BJ179" i="1" s="1"/>
  <c r="BK179" i="1" s="1"/>
  <c r="BL179" i="1" s="1"/>
  <c r="CP179" i="1"/>
  <c r="K406" i="1"/>
  <c r="P399" i="1"/>
  <c r="CO141" i="1"/>
  <c r="AB411" i="1"/>
  <c r="AB413" i="1" s="1"/>
  <c r="CL188" i="1"/>
  <c r="AP141" i="1"/>
  <c r="BG176" i="1"/>
  <c r="AK20" i="7"/>
  <c r="BE556" i="1"/>
  <c r="AC461" i="1"/>
  <c r="AX461" i="1"/>
  <c r="X52" i="1"/>
  <c r="X461" i="1" s="1"/>
  <c r="S50" i="1"/>
  <c r="S52" i="1" s="1"/>
  <c r="BR345" i="1"/>
  <c r="BW345" i="1" s="1"/>
  <c r="D37" i="1"/>
  <c r="CE37" i="1" s="1"/>
  <c r="CE38" i="1"/>
  <c r="BB277" i="1"/>
  <c r="K276" i="1"/>
  <c r="M279" i="1"/>
  <c r="AL39" i="1"/>
  <c r="AL115" i="1" s="1"/>
  <c r="AL405" i="1" s="1"/>
  <c r="AM346" i="1"/>
  <c r="V398" i="1"/>
  <c r="AT114" i="1"/>
  <c r="AT398" i="1" s="1"/>
  <c r="AN115" i="1"/>
  <c r="AH277" i="1"/>
  <c r="AG276" i="1"/>
  <c r="O278" i="1"/>
  <c r="O12" i="1"/>
  <c r="O368" i="1" s="1"/>
  <c r="O252" i="1"/>
  <c r="O258" i="1"/>
  <c r="T246" i="1"/>
  <c r="D17" i="2" s="1"/>
  <c r="O270" i="1"/>
  <c r="AK278" i="1"/>
  <c r="AK252" i="1"/>
  <c r="U86" i="2"/>
  <c r="U104" i="2" s="1"/>
  <c r="P234" i="1"/>
  <c r="AC237" i="1"/>
  <c r="CJ237" i="1" s="1"/>
  <c r="X237" i="1"/>
  <c r="H8" i="2" s="1"/>
  <c r="BS8" i="2" s="1"/>
  <c r="H7" i="2"/>
  <c r="AI273" i="1"/>
  <c r="AI274" i="1" s="1"/>
  <c r="AL585" i="1"/>
  <c r="V123" i="2"/>
  <c r="Q277" i="1"/>
  <c r="Q345" i="1" s="1"/>
  <c r="V246" i="1"/>
  <c r="F17" i="2" s="1"/>
  <c r="Q252" i="1"/>
  <c r="Y258" i="1"/>
  <c r="Y246" i="1"/>
  <c r="I17" i="2" s="1"/>
  <c r="Y278" i="1"/>
  <c r="I16" i="2"/>
  <c r="S16" i="2"/>
  <c r="S86" i="2" s="1"/>
  <c r="AI252" i="1"/>
  <c r="AN246" i="1"/>
  <c r="AI258" i="1"/>
  <c r="AI278" i="1"/>
  <c r="Z8" i="2"/>
  <c r="P5" i="2"/>
  <c r="U5" i="2"/>
  <c r="BS4" i="2"/>
  <c r="V17" i="2"/>
  <c r="AL586" i="1" s="1"/>
  <c r="Q86" i="2"/>
  <c r="Q105" i="2" s="1"/>
  <c r="Q123" i="2"/>
  <c r="Q127" i="2" s="1"/>
  <c r="AN252" i="1"/>
  <c r="Z145" i="2"/>
  <c r="AP574" i="1"/>
  <c r="AY666" i="1"/>
  <c r="BC18" i="2"/>
  <c r="BJ18" i="2"/>
  <c r="BH216" i="1"/>
  <c r="BI216" i="1" s="1"/>
  <c r="BJ216" i="1" s="1"/>
  <c r="BK216" i="1" s="1"/>
  <c r="BL216" i="1" s="1"/>
  <c r="CP216" i="1"/>
  <c r="H61" i="7"/>
  <c r="AH425" i="1"/>
  <c r="AH426" i="1" s="1"/>
  <c r="O20" i="1"/>
  <c r="I123" i="2"/>
  <c r="I127" i="2" s="1"/>
  <c r="I152" i="2"/>
  <c r="BD329" i="1"/>
  <c r="BD334" i="1" s="1"/>
  <c r="BD204" i="1"/>
  <c r="BD476" i="1"/>
  <c r="BN345" i="1"/>
  <c r="BD52" i="1"/>
  <c r="BD461" i="1" s="1"/>
  <c r="BD223" i="1"/>
  <c r="BD481" i="1"/>
  <c r="CH128" i="1"/>
  <c r="S129" i="1"/>
  <c r="V515" i="1"/>
  <c r="W515" i="1" s="1"/>
  <c r="R126" i="2"/>
  <c r="G503" i="1"/>
  <c r="H140" i="1"/>
  <c r="I140" i="1" s="1"/>
  <c r="AL116" i="1"/>
  <c r="AM116" i="1" s="1"/>
  <c r="CL116" i="1" s="1"/>
  <c r="AG116" i="1"/>
  <c r="AH116" i="1" s="1"/>
  <c r="CK116" i="1" s="1"/>
  <c r="AQ120" i="1"/>
  <c r="AR120" i="1" s="1"/>
  <c r="CM120" i="1" s="1"/>
  <c r="N119" i="1"/>
  <c r="CG119" i="1" s="1"/>
  <c r="L120" i="1"/>
  <c r="M120" i="1" s="1"/>
  <c r="N120" i="1" s="1"/>
  <c r="CG120" i="1" s="1"/>
  <c r="CA406" i="1"/>
  <c r="BF151" i="2"/>
  <c r="BD383" i="1"/>
  <c r="BD458" i="1" s="1"/>
  <c r="AT4" i="2"/>
  <c r="AY4" i="2" s="1"/>
  <c r="BD4" i="2" s="1"/>
  <c r="BT233" i="1" s="1"/>
  <c r="BE233" i="1"/>
  <c r="AU585" i="1"/>
  <c r="AU245" i="1"/>
  <c r="AU258" i="1" s="1"/>
  <c r="AU260" i="1" s="1"/>
  <c r="AI90" i="2"/>
  <c r="AI103" i="2" s="1"/>
  <c r="AM68" i="7"/>
  <c r="AN68" i="7" s="1"/>
  <c r="AO68" i="7" s="1"/>
  <c r="AP68" i="7" s="1"/>
  <c r="AQ68" i="7" s="1"/>
  <c r="AR68" i="7" s="1"/>
  <c r="AS68" i="7" s="1"/>
  <c r="AT68" i="7" s="1"/>
  <c r="AU68" i="7" s="1"/>
  <c r="AV68" i="7" s="1"/>
  <c r="AW68" i="7" s="1"/>
  <c r="AX68" i="7" s="1"/>
  <c r="AY68" i="7" s="1"/>
  <c r="AZ68" i="7" s="1"/>
  <c r="BA68" i="7" s="1"/>
  <c r="BB68" i="7" s="1"/>
  <c r="BC68" i="7" s="1"/>
  <c r="BD68" i="7" s="1"/>
  <c r="BE68" i="7" s="1"/>
  <c r="BF68" i="7" s="1"/>
  <c r="AB98" i="7"/>
  <c r="BH60" i="1"/>
  <c r="F105" i="2"/>
  <c r="F106" i="2"/>
  <c r="AT65" i="2"/>
  <c r="AX65" i="2"/>
  <c r="AT63" i="2"/>
  <c r="AT62" i="2" s="1"/>
  <c r="BI65" i="2"/>
  <c r="BK279" i="1"/>
  <c r="BP279" i="1" s="1"/>
  <c r="BU279" i="1" s="1"/>
  <c r="M411" i="1"/>
  <c r="W411" i="1"/>
  <c r="BC458" i="1"/>
  <c r="BD405" i="1"/>
  <c r="BG178" i="1"/>
  <c r="BH178" i="1" s="1"/>
  <c r="BI178" i="1" s="1"/>
  <c r="BJ178" i="1" s="1"/>
  <c r="BK178" i="1" s="1"/>
  <c r="BL178" i="1" s="1"/>
  <c r="BM178" i="1" s="1"/>
  <c r="CH187" i="1"/>
  <c r="AD481" i="1"/>
  <c r="BC481" i="1"/>
  <c r="AG60" i="7"/>
  <c r="AG61" i="7" s="1"/>
  <c r="BI60" i="1"/>
  <c r="BK346" i="1"/>
  <c r="BJ60" i="1"/>
  <c r="BL381" i="1"/>
  <c r="BK60" i="1"/>
  <c r="BM60" i="1"/>
  <c r="BN60" i="1"/>
  <c r="BO60" i="1"/>
  <c r="BP60" i="1"/>
  <c r="BQ381" i="1"/>
  <c r="BR60" i="1"/>
  <c r="BS60" i="1"/>
  <c r="BT60" i="1"/>
  <c r="BU60" i="1"/>
  <c r="BV381" i="1"/>
  <c r="BW60" i="1"/>
  <c r="BX60" i="1"/>
  <c r="BY60" i="1"/>
  <c r="BZ60" i="1"/>
  <c r="CA381" i="1"/>
  <c r="BI380" i="1"/>
  <c r="Y12" i="1" l="1"/>
  <c r="T306" i="1"/>
  <c r="Y314" i="1"/>
  <c r="T324" i="1"/>
  <c r="O314" i="1"/>
  <c r="V299" i="1"/>
  <c r="T292" i="1"/>
  <c r="Y336" i="1"/>
  <c r="Y339" i="1" s="1"/>
  <c r="Y340" i="1" s="1"/>
  <c r="Y324" i="1"/>
  <c r="Y299" i="1"/>
  <c r="U299" i="1"/>
  <c r="T332" i="1"/>
  <c r="J324" i="1"/>
  <c r="Y332" i="1"/>
  <c r="Y292" i="1"/>
  <c r="Y318" i="1"/>
  <c r="U114" i="1"/>
  <c r="U501" i="1" s="1"/>
  <c r="W517" i="1" s="1"/>
  <c r="F276" i="1"/>
  <c r="AQ115" i="1"/>
  <c r="AQ405" i="1" s="1"/>
  <c r="L39" i="1"/>
  <c r="S448" i="1"/>
  <c r="CI67" i="1"/>
  <c r="B31" i="5" s="1"/>
  <c r="R39" i="1"/>
  <c r="S346" i="1"/>
  <c r="BA585" i="1"/>
  <c r="AP17" i="2"/>
  <c r="AU28" i="2"/>
  <c r="AU26" i="2"/>
  <c r="AQ38" i="1"/>
  <c r="AN37" i="1"/>
  <c r="D281" i="1"/>
  <c r="CE281" i="1" s="1"/>
  <c r="AH39" i="1"/>
  <c r="CK39" i="1" s="1"/>
  <c r="N16" i="2"/>
  <c r="N17" i="2" s="1"/>
  <c r="N178" i="2" s="1"/>
  <c r="C12" i="1"/>
  <c r="C384" i="1" s="1"/>
  <c r="K288" i="1"/>
  <c r="K295" i="1"/>
  <c r="Y348" i="1"/>
  <c r="Y349" i="1" s="1"/>
  <c r="J314" i="1"/>
  <c r="L287" i="1"/>
  <c r="M287" i="1" s="1"/>
  <c r="R288" i="1" s="1"/>
  <c r="P288" i="1"/>
  <c r="P295" i="1"/>
  <c r="W324" i="1"/>
  <c r="R306" i="1"/>
  <c r="E12" i="1"/>
  <c r="E372" i="1" s="1"/>
  <c r="E324" i="1"/>
  <c r="BF577" i="1"/>
  <c r="A80" i="5"/>
  <c r="A76" i="5"/>
  <c r="BG115" i="1"/>
  <c r="CP115" i="1" s="1"/>
  <c r="AG115" i="1"/>
  <c r="AX638" i="1"/>
  <c r="M375" i="1"/>
  <c r="H375" i="1"/>
  <c r="AX605" i="1"/>
  <c r="AX652" i="1" s="1"/>
  <c r="AT599" i="1"/>
  <c r="AT649" i="1" s="1"/>
  <c r="CK180" i="1"/>
  <c r="AY75" i="7"/>
  <c r="AZ29" i="7"/>
  <c r="AZ75" i="7" s="1"/>
  <c r="BA75" i="7" s="1"/>
  <c r="BC79" i="7"/>
  <c r="BD33" i="7"/>
  <c r="O22" i="1"/>
  <c r="L437" i="1"/>
  <c r="AL152" i="1"/>
  <c r="AM152" i="1" s="1"/>
  <c r="CL152" i="1" s="1"/>
  <c r="AM153" i="1"/>
  <c r="CL153" i="1" s="1"/>
  <c r="S159" i="1"/>
  <c r="CH159" i="1" s="1"/>
  <c r="R446" i="1"/>
  <c r="J446" i="1"/>
  <c r="G245" i="1"/>
  <c r="W246" i="1"/>
  <c r="G17" i="2" s="1"/>
  <c r="F252" i="1"/>
  <c r="R263" i="1"/>
  <c r="F278" i="1"/>
  <c r="R318" i="1"/>
  <c r="AC331" i="1"/>
  <c r="U375" i="1"/>
  <c r="AN500" i="1"/>
  <c r="AN526" i="1" s="1"/>
  <c r="AY399" i="1"/>
  <c r="AG426" i="1"/>
  <c r="AQ426" i="1"/>
  <c r="AH542" i="1"/>
  <c r="AM542" i="1" s="1"/>
  <c r="AR542" i="1" s="1"/>
  <c r="AW542" i="1" s="1"/>
  <c r="BB542" i="1" s="1"/>
  <c r="BG542" i="1" s="1"/>
  <c r="BL542" i="1" s="1"/>
  <c r="BQ542" i="1" s="1"/>
  <c r="BV542" i="1" s="1"/>
  <c r="CA542" i="1" s="1"/>
  <c r="U82" i="2"/>
  <c r="I58" i="7"/>
  <c r="BL152" i="1"/>
  <c r="CQ152" i="1" s="1"/>
  <c r="AQ127" i="7"/>
  <c r="L472" i="1"/>
  <c r="V22" i="1"/>
  <c r="H118" i="1"/>
  <c r="I118" i="1" s="1"/>
  <c r="CF118" i="1" s="1"/>
  <c r="V121" i="1"/>
  <c r="W121" i="1" s="1"/>
  <c r="X121" i="1" s="1"/>
  <c r="AP121" i="1"/>
  <c r="AQ121" i="1" s="1"/>
  <c r="AR121" i="1" s="1"/>
  <c r="AH128" i="1"/>
  <c r="CK128" i="1" s="1"/>
  <c r="AY476" i="1"/>
  <c r="M130" i="1"/>
  <c r="N130" i="1" s="1"/>
  <c r="CG130" i="1" s="1"/>
  <c r="K144" i="1"/>
  <c r="AQ159" i="1"/>
  <c r="AR159" i="1" s="1"/>
  <c r="CM159" i="1" s="1"/>
  <c r="AZ399" i="1"/>
  <c r="M406" i="1"/>
  <c r="I63" i="7"/>
  <c r="I64" i="7" s="1"/>
  <c r="R71" i="7"/>
  <c r="M76" i="7"/>
  <c r="M78" i="7"/>
  <c r="R85" i="7"/>
  <c r="M90" i="7"/>
  <c r="R90" i="7"/>
  <c r="R91" i="7"/>
  <c r="M92" i="7"/>
  <c r="AG97" i="7"/>
  <c r="P137" i="7"/>
  <c r="P138" i="7" s="1"/>
  <c r="P139" i="7" s="1"/>
  <c r="Q138" i="7"/>
  <c r="AG117" i="7"/>
  <c r="AB131" i="7"/>
  <c r="AG131" i="7"/>
  <c r="AL131" i="7"/>
  <c r="AG132" i="7"/>
  <c r="BC500" i="1"/>
  <c r="BC526" i="1" s="1"/>
  <c r="BL413" i="1"/>
  <c r="BL153" i="1"/>
  <c r="CQ153" i="1" s="1"/>
  <c r="AP137" i="7"/>
  <c r="AQ128" i="7"/>
  <c r="AG76" i="7"/>
  <c r="AW56" i="1"/>
  <c r="CN56" i="1" s="1"/>
  <c r="M114" i="1"/>
  <c r="M501" i="1" s="1"/>
  <c r="AT460" i="1"/>
  <c r="BB481" i="1"/>
  <c r="AC204" i="1"/>
  <c r="AC449" i="1"/>
  <c r="AV237" i="1"/>
  <c r="S245" i="1"/>
  <c r="AM276" i="1"/>
  <c r="CL276" i="1" s="1"/>
  <c r="P329" i="1"/>
  <c r="P334" i="1" s="1"/>
  <c r="BB329" i="1"/>
  <c r="AR344" i="1"/>
  <c r="F375" i="1"/>
  <c r="AR412" i="1"/>
  <c r="BB412" i="1"/>
  <c r="R413" i="1"/>
  <c r="AQ413" i="1"/>
  <c r="BA413" i="1"/>
  <c r="F425" i="1"/>
  <c r="AO426" i="1"/>
  <c r="AT426" i="1"/>
  <c r="E437" i="1"/>
  <c r="AE437" i="1"/>
  <c r="AJ437" i="1"/>
  <c r="AX474" i="1"/>
  <c r="W7" i="2"/>
  <c r="BV7" i="2" s="1"/>
  <c r="AV599" i="1"/>
  <c r="AV649" i="1" s="1"/>
  <c r="AJ68" i="2"/>
  <c r="P19" i="7"/>
  <c r="K104" i="7"/>
  <c r="R19" i="7"/>
  <c r="M70" i="7"/>
  <c r="R70" i="7"/>
  <c r="AG70" i="7"/>
  <c r="M72" i="7"/>
  <c r="R72" i="7"/>
  <c r="M91" i="7"/>
  <c r="AB97" i="7"/>
  <c r="R117" i="7"/>
  <c r="R118" i="7"/>
  <c r="AG127" i="7"/>
  <c r="R128" i="7"/>
  <c r="R131" i="7"/>
  <c r="W131" i="7"/>
  <c r="AQ118" i="7"/>
  <c r="AQ131" i="7"/>
  <c r="BV152" i="1"/>
  <c r="CS152" i="1" s="1"/>
  <c r="BA118" i="7"/>
  <c r="CA153" i="1"/>
  <c r="CT153" i="1" s="1"/>
  <c r="I134" i="2"/>
  <c r="I135" i="2" s="1"/>
  <c r="AO30" i="7"/>
  <c r="AO76" i="7" s="1"/>
  <c r="AT30" i="7"/>
  <c r="AT76" i="7" s="1"/>
  <c r="BC22" i="1"/>
  <c r="BC431" i="1" s="1"/>
  <c r="AZ500" i="1"/>
  <c r="AZ526" i="1" s="1"/>
  <c r="AJ446" i="1"/>
  <c r="AV22" i="1"/>
  <c r="AV431" i="1" s="1"/>
  <c r="BA22" i="1"/>
  <c r="BA431" i="1" s="1"/>
  <c r="G426" i="1"/>
  <c r="P437" i="1"/>
  <c r="X139" i="1"/>
  <c r="CI139" i="1" s="1"/>
  <c r="AE475" i="1"/>
  <c r="N424" i="1"/>
  <c r="O425" i="1" s="1"/>
  <c r="BB424" i="1"/>
  <c r="H225" i="1"/>
  <c r="Z225" i="1"/>
  <c r="AX237" i="1"/>
  <c r="AA246" i="1"/>
  <c r="K17" i="2" s="1"/>
  <c r="W252" i="1"/>
  <c r="O266" i="1"/>
  <c r="W19" i="1"/>
  <c r="X19" i="1" s="1"/>
  <c r="O336" i="1"/>
  <c r="O337" i="1" s="1"/>
  <c r="AG345" i="1"/>
  <c r="AG38" i="1" s="1"/>
  <c r="AG114" i="1" s="1"/>
  <c r="AG398" i="1" s="1"/>
  <c r="AH346" i="1"/>
  <c r="L406" i="1"/>
  <c r="AW412" i="1"/>
  <c r="AO413" i="1"/>
  <c r="AR418" i="1"/>
  <c r="X423" i="1"/>
  <c r="L425" i="1"/>
  <c r="AA426" i="1"/>
  <c r="AF426" i="1"/>
  <c r="AP426" i="1"/>
  <c r="AF437" i="1"/>
  <c r="AT437" i="1"/>
  <c r="AT628" i="1" s="1"/>
  <c r="O474" i="1"/>
  <c r="R4" i="2"/>
  <c r="BU4" i="2" s="1"/>
  <c r="X5" i="2"/>
  <c r="I139" i="4"/>
  <c r="L77" i="7"/>
  <c r="Y57" i="7"/>
  <c r="Y63" i="7" s="1"/>
  <c r="Q61" i="7"/>
  <c r="V61" i="7"/>
  <c r="AA61" i="7"/>
  <c r="AF61" i="7"/>
  <c r="M77" i="7"/>
  <c r="T137" i="7"/>
  <c r="AB127" i="7"/>
  <c r="BL399" i="1"/>
  <c r="AQ80" i="7"/>
  <c r="AQ132" i="7"/>
  <c r="AS33" i="7"/>
  <c r="AT137" i="7"/>
  <c r="AV131" i="7"/>
  <c r="AV132" i="7"/>
  <c r="BC44" i="7"/>
  <c r="AA91" i="7"/>
  <c r="AB45" i="7"/>
  <c r="AI33" i="7"/>
  <c r="AH79" i="7"/>
  <c r="Z437" i="1"/>
  <c r="AA437" i="1"/>
  <c r="AG119" i="1"/>
  <c r="AH119" i="1"/>
  <c r="CK119" i="1" s="1"/>
  <c r="AG120" i="1"/>
  <c r="AH120" i="1" s="1"/>
  <c r="CK120" i="1" s="1"/>
  <c r="AQ139" i="1"/>
  <c r="AR139" i="1"/>
  <c r="CM139" i="1" s="1"/>
  <c r="CL209" i="1"/>
  <c r="T225" i="1"/>
  <c r="S449" i="1"/>
  <c r="CH218" i="1"/>
  <c r="T449" i="1"/>
  <c r="V281" i="1"/>
  <c r="V282" i="1" s="1"/>
  <c r="V273" i="1"/>
  <c r="V274" i="1" s="1"/>
  <c r="V271" i="1"/>
  <c r="CL265" i="1"/>
  <c r="AM24" i="1"/>
  <c r="CL24" i="1" s="1"/>
  <c r="AD366" i="1"/>
  <c r="AD22" i="1"/>
  <c r="AE75" i="7"/>
  <c r="AF29" i="7"/>
  <c r="AI77" i="7"/>
  <c r="AJ31" i="7"/>
  <c r="AD101" i="7"/>
  <c r="AE102" i="7"/>
  <c r="Q511" i="1"/>
  <c r="R511" i="1" s="1"/>
  <c r="M252" i="1"/>
  <c r="CN19" i="1"/>
  <c r="W105" i="7"/>
  <c r="AR423" i="1"/>
  <c r="X436" i="1"/>
  <c r="W437" i="1"/>
  <c r="AE446" i="1"/>
  <c r="AD223" i="1"/>
  <c r="G252" i="1"/>
  <c r="G278" i="1"/>
  <c r="R270" i="1"/>
  <c r="CJ331" i="1"/>
  <c r="AC24" i="1"/>
  <c r="CJ24" i="1" s="1"/>
  <c r="AL166" i="2"/>
  <c r="AI175" i="2"/>
  <c r="AL175" i="2" s="1"/>
  <c r="AX76" i="7"/>
  <c r="AY30" i="7"/>
  <c r="AJ27" i="1"/>
  <c r="AJ431" i="1"/>
  <c r="V431" i="1"/>
  <c r="V27" i="1"/>
  <c r="AK398" i="1"/>
  <c r="AK472" i="1"/>
  <c r="I436" i="1"/>
  <c r="I437" i="1" s="1"/>
  <c r="CF63" i="1"/>
  <c r="O437" i="1"/>
  <c r="U437" i="1"/>
  <c r="V437" i="1"/>
  <c r="AA118" i="1"/>
  <c r="AB118" i="1" s="1"/>
  <c r="AC118" i="1"/>
  <c r="CJ118" i="1" s="1"/>
  <c r="AG140" i="1"/>
  <c r="AH140" i="1" s="1"/>
  <c r="CK140" i="1" s="1"/>
  <c r="W159" i="1"/>
  <c r="X159" i="1" s="1"/>
  <c r="CI159" i="1" s="1"/>
  <c r="W31" i="7"/>
  <c r="W77" i="7" s="1"/>
  <c r="S31" i="7"/>
  <c r="S138" i="7"/>
  <c r="Q139" i="7"/>
  <c r="AH76" i="7"/>
  <c r="AI30" i="7"/>
  <c r="AM26" i="7"/>
  <c r="AN26" i="7" s="1"/>
  <c r="AL71" i="7"/>
  <c r="AH17" i="1"/>
  <c r="AH366" i="1" s="1"/>
  <c r="AR397" i="1"/>
  <c r="R437" i="1"/>
  <c r="S436" i="1"/>
  <c r="AV119" i="1"/>
  <c r="AW119" i="1"/>
  <c r="CN119" i="1" s="1"/>
  <c r="Z473" i="1"/>
  <c r="AA124" i="1"/>
  <c r="AB124" i="1" s="1"/>
  <c r="AC124" i="1" s="1"/>
  <c r="CJ124" i="1" s="1"/>
  <c r="AO460" i="1"/>
  <c r="CI216" i="1"/>
  <c r="AC446" i="1"/>
  <c r="AJ271" i="1"/>
  <c r="AJ281" i="1"/>
  <c r="AJ282" i="1" s="1"/>
  <c r="AJ273" i="1"/>
  <c r="AJ274" i="1" s="1"/>
  <c r="AG329" i="1"/>
  <c r="AG19" i="1"/>
  <c r="BB334" i="1"/>
  <c r="CO334" i="1" s="1"/>
  <c r="CO329" i="1"/>
  <c r="O426" i="1"/>
  <c r="W14" i="7"/>
  <c r="W19" i="7" s="1"/>
  <c r="V19" i="7"/>
  <c r="V67" i="7" s="1"/>
  <c r="V104" i="7" s="1"/>
  <c r="K63" i="7"/>
  <c r="K64" i="7" s="1"/>
  <c r="AG68" i="7"/>
  <c r="BA614" i="1"/>
  <c r="BA615" i="1" s="1"/>
  <c r="BA617" i="1" s="1"/>
  <c r="AG78" i="7"/>
  <c r="O137" i="7"/>
  <c r="O138" i="7" s="1"/>
  <c r="O139" i="7" s="1"/>
  <c r="R114" i="7"/>
  <c r="AS78" i="7"/>
  <c r="AT32" i="7"/>
  <c r="AU44" i="7"/>
  <c r="AU90" i="7" s="1"/>
  <c r="AT90" i="7"/>
  <c r="AV137" i="7"/>
  <c r="CL175" i="1"/>
  <c r="BB446" i="1"/>
  <c r="C281" i="1"/>
  <c r="C282" i="1" s="1"/>
  <c r="AW276" i="1"/>
  <c r="CN276" i="1" s="1"/>
  <c r="P278" i="1"/>
  <c r="P406" i="1"/>
  <c r="AZ406" i="1"/>
  <c r="I82" i="2"/>
  <c r="AD82" i="2"/>
  <c r="BD485" i="1"/>
  <c r="BE151" i="1"/>
  <c r="W413" i="1"/>
  <c r="I406" i="1"/>
  <c r="Q512" i="1"/>
  <c r="R512" i="1" s="1"/>
  <c r="T512" i="1" s="1"/>
  <c r="U512" i="1" s="1"/>
  <c r="BD460" i="1"/>
  <c r="O369" i="1"/>
  <c r="R7" i="2"/>
  <c r="BU7" i="2" s="1"/>
  <c r="W4" i="2"/>
  <c r="BV4" i="2" s="1"/>
  <c r="Y270" i="1"/>
  <c r="AI281" i="1"/>
  <c r="AI282" i="1" s="1"/>
  <c r="O246" i="1"/>
  <c r="G38" i="1"/>
  <c r="AT406" i="1"/>
  <c r="N404" i="1"/>
  <c r="S424" i="1"/>
  <c r="T425" i="1" s="1"/>
  <c r="T426" i="1" s="1"/>
  <c r="BD245" i="1"/>
  <c r="BD258" i="1" s="1"/>
  <c r="BD260" i="1" s="1"/>
  <c r="H116" i="1"/>
  <c r="I116" i="1" s="1"/>
  <c r="CF116" i="1" s="1"/>
  <c r="AH50" i="7"/>
  <c r="BG209" i="1"/>
  <c r="AU39" i="7"/>
  <c r="AU85" i="7" s="1"/>
  <c r="AZ39" i="7"/>
  <c r="AZ85" i="7" s="1"/>
  <c r="T348" i="1"/>
  <c r="T349" i="1" s="1"/>
  <c r="E531" i="1"/>
  <c r="AL52" i="7"/>
  <c r="AM52" i="7" s="1"/>
  <c r="AF44" i="7"/>
  <c r="E432" i="1"/>
  <c r="E434" i="1" s="1"/>
  <c r="F430" i="1" s="1"/>
  <c r="D432" i="1"/>
  <c r="E271" i="1"/>
  <c r="BB22" i="1"/>
  <c r="BB27" i="1" s="1"/>
  <c r="CO27" i="1" s="1"/>
  <c r="L65" i="1"/>
  <c r="L67" i="1" s="1"/>
  <c r="AH317" i="1"/>
  <c r="Q141" i="2" s="1"/>
  <c r="AQ347" i="1"/>
  <c r="F501" i="1"/>
  <c r="AB38" i="1"/>
  <c r="BA159" i="1"/>
  <c r="BB159" i="1" s="1"/>
  <c r="CO159" i="1" s="1"/>
  <c r="AH77" i="7"/>
  <c r="L9" i="7"/>
  <c r="O19" i="7"/>
  <c r="O67" i="7" s="1"/>
  <c r="Z121" i="2"/>
  <c r="V95" i="2"/>
  <c r="N95" i="2"/>
  <c r="CH234" i="1"/>
  <c r="CE263" i="1"/>
  <c r="D332" i="1"/>
  <c r="CE332" i="1" s="1"/>
  <c r="J12" i="1"/>
  <c r="J371" i="1" s="1"/>
  <c r="BQ151" i="1"/>
  <c r="M10" i="2"/>
  <c r="M11" i="2" s="1"/>
  <c r="Q336" i="1"/>
  <c r="Q339" i="1" s="1"/>
  <c r="Q340" i="1" s="1"/>
  <c r="W270" i="1"/>
  <c r="Q426" i="1"/>
  <c r="AX22" i="1"/>
  <c r="AX431" i="1" s="1"/>
  <c r="AO95" i="2"/>
  <c r="M437" i="1"/>
  <c r="AE144" i="1"/>
  <c r="BE17" i="2"/>
  <c r="BU586" i="1" s="1"/>
  <c r="BV151" i="1"/>
  <c r="AR137" i="7"/>
  <c r="P132" i="1"/>
  <c r="CM209" i="1"/>
  <c r="S63" i="1"/>
  <c r="CH63" i="1" s="1"/>
  <c r="M317" i="1"/>
  <c r="N317" i="1" s="1"/>
  <c r="AA137" i="7"/>
  <c r="X137" i="7"/>
  <c r="W117" i="7"/>
  <c r="V137" i="7"/>
  <c r="AR78" i="7"/>
  <c r="I67" i="7"/>
  <c r="BC39" i="7"/>
  <c r="BI20" i="2"/>
  <c r="CI154" i="1"/>
  <c r="AK437" i="1"/>
  <c r="AQ157" i="1"/>
  <c r="H46" i="1"/>
  <c r="H423" i="1" s="1"/>
  <c r="AN366" i="1"/>
  <c r="F38" i="1"/>
  <c r="AQ344" i="1"/>
  <c r="AS446" i="1"/>
  <c r="N204" i="1"/>
  <c r="Z22" i="1"/>
  <c r="O446" i="1"/>
  <c r="AL211" i="1"/>
  <c r="AU128" i="1"/>
  <c r="AV128" i="1" s="1"/>
  <c r="AW128" i="1" s="1"/>
  <c r="CN128" i="1" s="1"/>
  <c r="AM449" i="1"/>
  <c r="U476" i="1"/>
  <c r="AF22" i="1"/>
  <c r="AF431" i="1" s="1"/>
  <c r="BA204" i="1"/>
  <c r="BA211" i="1" s="1"/>
  <c r="BA225" i="1" s="1"/>
  <c r="AX449" i="1"/>
  <c r="K329" i="1"/>
  <c r="K334" i="1" s="1"/>
  <c r="F423" i="1"/>
  <c r="I423" i="1" s="1"/>
  <c r="AK446" i="1"/>
  <c r="V383" i="1"/>
  <c r="V458" i="1" s="1"/>
  <c r="AV129" i="1"/>
  <c r="AW129" i="1" s="1"/>
  <c r="CN129" i="1" s="1"/>
  <c r="AZ472" i="1"/>
  <c r="CK265" i="1"/>
  <c r="AG258" i="1"/>
  <c r="V57" i="7"/>
  <c r="Y85" i="7"/>
  <c r="L80" i="7"/>
  <c r="M80" i="7" s="1"/>
  <c r="AE329" i="1"/>
  <c r="AE334" i="1" s="1"/>
  <c r="CI196" i="1"/>
  <c r="F141" i="1"/>
  <c r="AD329" i="1"/>
  <c r="AD334" i="1" s="1"/>
  <c r="CO216" i="1"/>
  <c r="AW204" i="1"/>
  <c r="CL177" i="1"/>
  <c r="AY449" i="1"/>
  <c r="X243" i="1"/>
  <c r="H14" i="2" s="1"/>
  <c r="O460" i="1"/>
  <c r="L105" i="7"/>
  <c r="AD476" i="1"/>
  <c r="Q115" i="1"/>
  <c r="Q405" i="1" s="1"/>
  <c r="Q137" i="1"/>
  <c r="T473" i="1"/>
  <c r="T474" i="1" s="1"/>
  <c r="AE19" i="1"/>
  <c r="Q437" i="1"/>
  <c r="K151" i="1"/>
  <c r="AC423" i="1"/>
  <c r="AC459" i="1" s="1"/>
  <c r="AV459" i="1"/>
  <c r="P425" i="1"/>
  <c r="S425" i="1" s="1"/>
  <c r="AX614" i="1"/>
  <c r="AX615" i="1" s="1"/>
  <c r="AX617" i="1" s="1"/>
  <c r="J67" i="7"/>
  <c r="J104" i="7" s="1"/>
  <c r="AG98" i="7"/>
  <c r="R116" i="7"/>
  <c r="AB117" i="7"/>
  <c r="AC137" i="7"/>
  <c r="S137" i="7"/>
  <c r="R127" i="7"/>
  <c r="BV399" i="1"/>
  <c r="BA132" i="7"/>
  <c r="BA133" i="7"/>
  <c r="BF127" i="7"/>
  <c r="BD398" i="1"/>
  <c r="BE114" i="1"/>
  <c r="BE398" i="1" s="1"/>
  <c r="AB204" i="1"/>
  <c r="AB211" i="1" s="1"/>
  <c r="AB225" i="1" s="1"/>
  <c r="AS481" i="1"/>
  <c r="BD437" i="1"/>
  <c r="BD436" i="1" s="1"/>
  <c r="BG405" i="1"/>
  <c r="AX62" i="2"/>
  <c r="BN577" i="1" s="1"/>
  <c r="BH62" i="2"/>
  <c r="BX577" i="1" s="1"/>
  <c r="F103" i="2"/>
  <c r="D458" i="1"/>
  <c r="AL122" i="1"/>
  <c r="AM122" i="1" s="1"/>
  <c r="CL122" i="1" s="1"/>
  <c r="AB129" i="1"/>
  <c r="AC129" i="1" s="1"/>
  <c r="CJ129" i="1" s="1"/>
  <c r="J271" i="1"/>
  <c r="AH132" i="1"/>
  <c r="CK132" i="1" s="1"/>
  <c r="BD472" i="1"/>
  <c r="BD474" i="1" s="1"/>
  <c r="BD211" i="1"/>
  <c r="Q104" i="2"/>
  <c r="O372" i="1"/>
  <c r="CI52" i="1"/>
  <c r="S152" i="2"/>
  <c r="Y384" i="1"/>
  <c r="Q12" i="1"/>
  <c r="Q365" i="1" s="1"/>
  <c r="Q270" i="1"/>
  <c r="Q273" i="1" s="1"/>
  <c r="Q274" i="1" s="1"/>
  <c r="U90" i="2"/>
  <c r="AK258" i="1"/>
  <c r="BM279" i="1"/>
  <c r="AE114" i="1"/>
  <c r="AE398" i="1" s="1"/>
  <c r="H345" i="1"/>
  <c r="I345" i="1" s="1"/>
  <c r="I344" i="1" s="1"/>
  <c r="BH219" i="1"/>
  <c r="BI219" i="1" s="1"/>
  <c r="BJ219" i="1" s="1"/>
  <c r="BK219" i="1" s="1"/>
  <c r="BL219" i="1" s="1"/>
  <c r="CQ219" i="1" s="1"/>
  <c r="CP199" i="1"/>
  <c r="AG225" i="1"/>
  <c r="AC481" i="1"/>
  <c r="AH204" i="1"/>
  <c r="BH201" i="1"/>
  <c r="BI201" i="1" s="1"/>
  <c r="BJ201" i="1" s="1"/>
  <c r="BK201" i="1" s="1"/>
  <c r="BL201" i="1" s="1"/>
  <c r="AW556" i="1"/>
  <c r="AW424" i="1"/>
  <c r="AY425" i="1" s="1"/>
  <c r="AY426" i="1" s="1"/>
  <c r="I277" i="1"/>
  <c r="BD585" i="1"/>
  <c r="AQ383" i="1"/>
  <c r="CJ67" i="1"/>
  <c r="C31" i="5" s="1"/>
  <c r="AK45" i="7"/>
  <c r="U20" i="1"/>
  <c r="T339" i="1"/>
  <c r="T340" i="1" s="1"/>
  <c r="W126" i="1"/>
  <c r="X126" i="1" s="1"/>
  <c r="CI126" i="1" s="1"/>
  <c r="W34" i="7"/>
  <c r="AP30" i="7"/>
  <c r="AP76" i="7" s="1"/>
  <c r="AQ76" i="7" s="1"/>
  <c r="E27" i="1"/>
  <c r="CE22" i="1"/>
  <c r="E273" i="1"/>
  <c r="E274" i="1" s="1"/>
  <c r="C273" i="1"/>
  <c r="C274" i="1" s="1"/>
  <c r="AT157" i="1"/>
  <c r="AU30" i="7"/>
  <c r="AU76" i="7" s="1"/>
  <c r="AV76" i="7" s="1"/>
  <c r="AH323" i="1"/>
  <c r="AH345" i="1"/>
  <c r="AH344" i="1" s="1"/>
  <c r="AO44" i="7"/>
  <c r="BF76" i="7"/>
  <c r="O186" i="2"/>
  <c r="U123" i="2"/>
  <c r="AO577" i="1"/>
  <c r="J98" i="2"/>
  <c r="BT61" i="2"/>
  <c r="Q513" i="1"/>
  <c r="R513" i="1" s="1"/>
  <c r="Q292" i="1"/>
  <c r="U460" i="1"/>
  <c r="AC276" i="1"/>
  <c r="CJ276" i="1" s="1"/>
  <c r="AY460" i="1"/>
  <c r="H119" i="1"/>
  <c r="I119" i="1" s="1"/>
  <c r="CF119" i="1" s="1"/>
  <c r="BA129" i="1"/>
  <c r="BB129" i="1" s="1"/>
  <c r="CO129" i="1" s="1"/>
  <c r="I461" i="1"/>
  <c r="AE92" i="7"/>
  <c r="Z46" i="7"/>
  <c r="AD57" i="7"/>
  <c r="AD58" i="7" s="1"/>
  <c r="P80" i="7"/>
  <c r="M29" i="7"/>
  <c r="N29" i="7" s="1"/>
  <c r="AF77" i="7"/>
  <c r="M46" i="7"/>
  <c r="AG32" i="7"/>
  <c r="AH32" i="7" s="1"/>
  <c r="W118" i="7"/>
  <c r="M45" i="7"/>
  <c r="AO39" i="7"/>
  <c r="AO33" i="7"/>
  <c r="AC5" i="2"/>
  <c r="N5" i="2"/>
  <c r="AP151" i="2"/>
  <c r="AH151" i="2"/>
  <c r="R151" i="2"/>
  <c r="BB423" i="1"/>
  <c r="BB427" i="1" s="1"/>
  <c r="V324" i="1"/>
  <c r="W95" i="2"/>
  <c r="BV95" i="2" s="1"/>
  <c r="V5" i="2"/>
  <c r="C336" i="1"/>
  <c r="C339" i="1" s="1"/>
  <c r="C340" i="1" s="1"/>
  <c r="C432" i="1"/>
  <c r="F270" i="1"/>
  <c r="F273" i="1" s="1"/>
  <c r="F274" i="1" s="1"/>
  <c r="U336" i="1"/>
  <c r="U348" i="1" s="1"/>
  <c r="U349" i="1" s="1"/>
  <c r="AW22" i="1"/>
  <c r="W378" i="1"/>
  <c r="W375" i="1" s="1"/>
  <c r="AW329" i="1"/>
  <c r="AW334" i="1" s="1"/>
  <c r="CN334" i="1" s="1"/>
  <c r="H436" i="1"/>
  <c r="H437" i="1" s="1"/>
  <c r="H128" i="1"/>
  <c r="I128" i="1" s="1"/>
  <c r="CF128" i="1" s="1"/>
  <c r="J171" i="2"/>
  <c r="AW79" i="7"/>
  <c r="AY44" i="7"/>
  <c r="AY33" i="7"/>
  <c r="F157" i="1"/>
  <c r="W446" i="1"/>
  <c r="AI449" i="1"/>
  <c r="AH223" i="1"/>
  <c r="CK223" i="1" s="1"/>
  <c r="AW132" i="1"/>
  <c r="CN132" i="1" s="1"/>
  <c r="X329" i="1"/>
  <c r="AF541" i="1"/>
  <c r="AE534" i="1"/>
  <c r="AS46" i="7"/>
  <c r="AE39" i="7"/>
  <c r="AW90" i="7"/>
  <c r="AS29" i="7"/>
  <c r="G101" i="7"/>
  <c r="G104" i="7" s="1"/>
  <c r="BB137" i="7"/>
  <c r="BE29" i="7"/>
  <c r="BE75" i="7" s="1"/>
  <c r="BK95" i="2"/>
  <c r="CD95" i="2" s="1"/>
  <c r="BC446" i="1"/>
  <c r="C7" i="2"/>
  <c r="Z540" i="1"/>
  <c r="BB223" i="1"/>
  <c r="O481" i="1"/>
  <c r="Q148" i="1"/>
  <c r="R148" i="1" s="1"/>
  <c r="S148" i="1" s="1"/>
  <c r="CH148" i="1" s="1"/>
  <c r="AM223" i="1"/>
  <c r="CL223" i="1" s="1"/>
  <c r="AO476" i="1"/>
  <c r="AH50" i="1"/>
  <c r="AH52" i="1" s="1"/>
  <c r="AH461" i="1" s="1"/>
  <c r="AL446" i="1"/>
  <c r="AG324" i="1"/>
  <c r="F52" i="1"/>
  <c r="I223" i="1"/>
  <c r="N141" i="1"/>
  <c r="CG141" i="1" s="1"/>
  <c r="AT22" i="1"/>
  <c r="AT431" i="1" s="1"/>
  <c r="BC592" i="1"/>
  <c r="BC605" i="1" s="1"/>
  <c r="BC652" i="1" s="1"/>
  <c r="W137" i="1"/>
  <c r="AR329" i="1"/>
  <c r="N114" i="1"/>
  <c r="CG114" i="1" s="1"/>
  <c r="AG151" i="1"/>
  <c r="AG485" i="1" s="1"/>
  <c r="BA116" i="1"/>
  <c r="BB116" i="1" s="1"/>
  <c r="CO116" i="1" s="1"/>
  <c r="AJ61" i="7"/>
  <c r="R132" i="2"/>
  <c r="AG263" i="1"/>
  <c r="AG268" i="1" s="1"/>
  <c r="T77" i="2"/>
  <c r="T187" i="2" s="1"/>
  <c r="Z99" i="2"/>
  <c r="F344" i="1"/>
  <c r="V278" i="1"/>
  <c r="AA258" i="1"/>
  <c r="V252" i="1"/>
  <c r="S215" i="1"/>
  <c r="CH215" i="1" s="1"/>
  <c r="AA138" i="1"/>
  <c r="AB138" i="1" s="1"/>
  <c r="AC138" i="1" s="1"/>
  <c r="CJ138" i="1" s="1"/>
  <c r="V266" i="1"/>
  <c r="V258" i="1"/>
  <c r="CI209" i="1"/>
  <c r="CJ174" i="1"/>
  <c r="R149" i="1"/>
  <c r="S149" i="1" s="1"/>
  <c r="CH149" i="1" s="1"/>
  <c r="N481" i="1"/>
  <c r="AF329" i="1"/>
  <c r="AF334" i="1" s="1"/>
  <c r="L266" i="1"/>
  <c r="CL198" i="1"/>
  <c r="U138" i="1"/>
  <c r="V138" i="1" s="1"/>
  <c r="O476" i="1"/>
  <c r="CL46" i="1"/>
  <c r="AS22" i="1"/>
  <c r="AS431" i="1" s="1"/>
  <c r="AM486" i="1"/>
  <c r="U397" i="1"/>
  <c r="Z127" i="1"/>
  <c r="AF117" i="1"/>
  <c r="AF360" i="1" s="1"/>
  <c r="X63" i="1"/>
  <c r="CI63" i="1" s="1"/>
  <c r="P383" i="1"/>
  <c r="P458" i="1" s="1"/>
  <c r="AE485" i="1"/>
  <c r="T476" i="1"/>
  <c r="K17" i="1"/>
  <c r="O24" i="1"/>
  <c r="O27" i="1" s="1"/>
  <c r="AF38" i="1"/>
  <c r="AH38" i="1" s="1"/>
  <c r="AS39" i="1"/>
  <c r="AS37" i="1" s="1"/>
  <c r="Y459" i="1"/>
  <c r="V446" i="1"/>
  <c r="BA313" i="1"/>
  <c r="BA327" i="1" s="1"/>
  <c r="AP313" i="1"/>
  <c r="AP336" i="1" s="1"/>
  <c r="X375" i="1"/>
  <c r="AD500" i="1"/>
  <c r="AD520" i="1" s="1"/>
  <c r="P413" i="1"/>
  <c r="AE413" i="1"/>
  <c r="AT413" i="1"/>
  <c r="AS611" i="1"/>
  <c r="AS612" i="1" s="1"/>
  <c r="AV638" i="1"/>
  <c r="AU638" i="1" s="1"/>
  <c r="AT638" i="1" s="1"/>
  <c r="AT639" i="1" s="1"/>
  <c r="O16" i="2"/>
  <c r="O90" i="2" s="1"/>
  <c r="AO17" i="2"/>
  <c r="U19" i="7"/>
  <c r="U67" i="7" s="1"/>
  <c r="W67" i="7" s="1"/>
  <c r="R115" i="7"/>
  <c r="AL127" i="7"/>
  <c r="AG128" i="7"/>
  <c r="AG137" i="7" s="1"/>
  <c r="AL128" i="7"/>
  <c r="BH485" i="1"/>
  <c r="AQ119" i="7"/>
  <c r="AQ137" i="7" s="1"/>
  <c r="AM137" i="7"/>
  <c r="AQ133" i="7"/>
  <c r="BA131" i="7"/>
  <c r="BA137" i="7" s="1"/>
  <c r="BC46" i="7"/>
  <c r="BC50" i="7"/>
  <c r="BF133" i="7"/>
  <c r="AV34" i="2"/>
  <c r="BD397" i="1"/>
  <c r="BE137" i="1"/>
  <c r="AH61" i="7"/>
  <c r="BD500" i="1"/>
  <c r="BD526" i="1" s="1"/>
  <c r="AR424" i="1"/>
  <c r="BD157" i="1"/>
  <c r="AK314" i="1"/>
  <c r="AR65" i="2"/>
  <c r="AJ17" i="2"/>
  <c r="AQ151" i="2"/>
  <c r="AB116" i="1"/>
  <c r="AC116" i="1" s="1"/>
  <c r="CJ116" i="1" s="1"/>
  <c r="X128" i="1"/>
  <c r="CI128" i="1" s="1"/>
  <c r="AQ122" i="1"/>
  <c r="AR122" i="1" s="1"/>
  <c r="CM122" i="1" s="1"/>
  <c r="O365" i="1"/>
  <c r="CO204" i="1"/>
  <c r="Z185" i="2"/>
  <c r="Q152" i="2"/>
  <c r="Q258" i="1"/>
  <c r="Q246" i="1"/>
  <c r="AH276" i="1"/>
  <c r="CK276" i="1" s="1"/>
  <c r="BA276" i="1"/>
  <c r="M346" i="1"/>
  <c r="N346" i="1" s="1"/>
  <c r="H50" i="1"/>
  <c r="BH174" i="1"/>
  <c r="BI174" i="1" s="1"/>
  <c r="BJ174" i="1" s="1"/>
  <c r="BK174" i="1" s="1"/>
  <c r="BL174" i="1" s="1"/>
  <c r="CQ174" i="1" s="1"/>
  <c r="BC189" i="1"/>
  <c r="I424" i="1"/>
  <c r="J425" i="1" s="1"/>
  <c r="J426" i="1" s="1"/>
  <c r="AX481" i="1"/>
  <c r="AK19" i="7"/>
  <c r="AK67" i="7" s="1"/>
  <c r="BD144" i="1"/>
  <c r="L270" i="1"/>
  <c r="L273" i="1" s="1"/>
  <c r="L274" i="1" s="1"/>
  <c r="Y518" i="1"/>
  <c r="Z518" i="1" s="1"/>
  <c r="BA127" i="1"/>
  <c r="BB127" i="1" s="1"/>
  <c r="CO127" i="1" s="1"/>
  <c r="AB130" i="1"/>
  <c r="AC130" i="1" s="1"/>
  <c r="CJ130" i="1" s="1"/>
  <c r="I114" i="1"/>
  <c r="CF114" i="1" s="1"/>
  <c r="CP154" i="1"/>
  <c r="N138" i="1"/>
  <c r="CG138" i="1" s="1"/>
  <c r="Y337" i="1"/>
  <c r="O5" i="2"/>
  <c r="B96" i="2"/>
  <c r="AK77" i="2"/>
  <c r="BA581" i="1" s="1"/>
  <c r="AT565" i="1"/>
  <c r="AA97" i="2"/>
  <c r="AT95" i="2"/>
  <c r="J292" i="1"/>
  <c r="AH536" i="1"/>
  <c r="AI536" i="1" s="1"/>
  <c r="R225" i="1"/>
  <c r="BA151" i="1"/>
  <c r="P475" i="1"/>
  <c r="H129" i="1"/>
  <c r="I129" i="1" s="1"/>
  <c r="CF129" i="1" s="1"/>
  <c r="I121" i="1"/>
  <c r="CF121" i="1" s="1"/>
  <c r="H130" i="1"/>
  <c r="I130" i="1" s="1"/>
  <c r="CF130" i="1" s="1"/>
  <c r="L57" i="7"/>
  <c r="Z44" i="7"/>
  <c r="AD77" i="7"/>
  <c r="AG77" i="7" s="1"/>
  <c r="AA12" i="7"/>
  <c r="O80" i="7"/>
  <c r="AO29" i="7"/>
  <c r="K96" i="2"/>
  <c r="F97" i="2"/>
  <c r="X8" i="2"/>
  <c r="P121" i="2"/>
  <c r="AY95" i="2"/>
  <c r="R95" i="2"/>
  <c r="BU95" i="2" s="1"/>
  <c r="X152" i="2"/>
  <c r="J273" i="1"/>
  <c r="J274" i="1" s="1"/>
  <c r="Q332" i="1"/>
  <c r="T12" i="1"/>
  <c r="T384" i="1" s="1"/>
  <c r="T314" i="1"/>
  <c r="AM95" i="2"/>
  <c r="T318" i="1"/>
  <c r="AA95" i="2"/>
  <c r="CE17" i="1"/>
  <c r="O95" i="2"/>
  <c r="AI95" i="2"/>
  <c r="I17" i="1"/>
  <c r="CF17" i="1" s="1"/>
  <c r="D225" i="1"/>
  <c r="CE225" i="1" s="1"/>
  <c r="AZ427" i="1"/>
  <c r="E425" i="1"/>
  <c r="E426" i="1" s="1"/>
  <c r="AK95" i="2"/>
  <c r="W299" i="1"/>
  <c r="T8" i="2"/>
  <c r="BL24" i="1"/>
  <c r="CQ24" i="1" s="1"/>
  <c r="Z270" i="1"/>
  <c r="AK132" i="1"/>
  <c r="AK460" i="1" s="1"/>
  <c r="V127" i="1"/>
  <c r="W127" i="1" s="1"/>
  <c r="AJ97" i="2"/>
  <c r="BF95" i="2"/>
  <c r="CC95" i="2" s="1"/>
  <c r="BC95" i="2"/>
  <c r="BB65" i="2"/>
  <c r="AY46" i="7"/>
  <c r="P473" i="1"/>
  <c r="P474" i="1" s="1"/>
  <c r="AP132" i="1"/>
  <c r="AQ132" i="1" s="1"/>
  <c r="V378" i="1"/>
  <c r="V375" i="1" s="1"/>
  <c r="X211" i="1"/>
  <c r="AN137" i="7"/>
  <c r="R76" i="7"/>
  <c r="BC75" i="7"/>
  <c r="BG95" i="2"/>
  <c r="CA154" i="1"/>
  <c r="CT154" i="1" s="1"/>
  <c r="W360" i="1"/>
  <c r="CJ201" i="1"/>
  <c r="AM234" i="1"/>
  <c r="CL234" i="1" s="1"/>
  <c r="AH486" i="1"/>
  <c r="W152" i="1"/>
  <c r="X152" i="1" s="1"/>
  <c r="CI152" i="1" s="1"/>
  <c r="H131" i="1"/>
  <c r="I131" i="1" s="1"/>
  <c r="CF131" i="1" s="1"/>
  <c r="AB121" i="1"/>
  <c r="X418" i="1"/>
  <c r="X459" i="1" s="1"/>
  <c r="AL413" i="1"/>
  <c r="R139" i="1"/>
  <c r="S139" i="1" s="1"/>
  <c r="CH139" i="1" s="1"/>
  <c r="Y481" i="1"/>
  <c r="AM446" i="1"/>
  <c r="AC128" i="1"/>
  <c r="CJ128" i="1" s="1"/>
  <c r="X137" i="1"/>
  <c r="CL218" i="1"/>
  <c r="AV127" i="1"/>
  <c r="AW127" i="1" s="1"/>
  <c r="CN127" i="1" s="1"/>
  <c r="T22" i="1"/>
  <c r="AB344" i="1"/>
  <c r="BB140" i="1"/>
  <c r="CO140" i="1" s="1"/>
  <c r="Z66" i="2"/>
  <c r="Z186" i="2" s="1"/>
  <c r="N159" i="1"/>
  <c r="CG159" i="1" s="1"/>
  <c r="AL5" i="7"/>
  <c r="D252" i="1"/>
  <c r="CE252" i="1" s="1"/>
  <c r="AH446" i="1"/>
  <c r="BB486" i="1"/>
  <c r="R153" i="1"/>
  <c r="S153" i="1" s="1"/>
  <c r="CH153" i="1" s="1"/>
  <c r="AY614" i="1"/>
  <c r="AY615" i="1" s="1"/>
  <c r="AY617" i="1" s="1"/>
  <c r="N251" i="1"/>
  <c r="CG251" i="1" s="1"/>
  <c r="AP383" i="1"/>
  <c r="AP458" i="1" s="1"/>
  <c r="AL129" i="1"/>
  <c r="AM129" i="1" s="1"/>
  <c r="CL129" i="1" s="1"/>
  <c r="H122" i="1"/>
  <c r="I122" i="1" s="1"/>
  <c r="CF122" i="1" s="1"/>
  <c r="AJ458" i="1"/>
  <c r="AT473" i="1"/>
  <c r="V144" i="2"/>
  <c r="AE47" i="2"/>
  <c r="T96" i="2"/>
  <c r="AE77" i="2"/>
  <c r="AU581" i="1" s="1"/>
  <c r="AA101" i="7"/>
  <c r="Z336" i="1"/>
  <c r="R323" i="1"/>
  <c r="T270" i="1"/>
  <c r="W258" i="1"/>
  <c r="V223" i="1"/>
  <c r="CK214" i="1"/>
  <c r="CN200" i="1"/>
  <c r="Y446" i="1"/>
  <c r="J332" i="1"/>
  <c r="AA324" i="1"/>
  <c r="AQ265" i="1"/>
  <c r="AQ24" i="1" s="1"/>
  <c r="J481" i="1"/>
  <c r="CF186" i="1"/>
  <c r="AY485" i="1"/>
  <c r="J449" i="1"/>
  <c r="D266" i="1"/>
  <c r="CE266" i="1" s="1"/>
  <c r="AL246" i="1"/>
  <c r="J157" i="1"/>
  <c r="G137" i="1"/>
  <c r="K127" i="1"/>
  <c r="CJ123" i="1"/>
  <c r="Q117" i="1"/>
  <c r="M459" i="1"/>
  <c r="N459" i="1" s="1"/>
  <c r="T460" i="1"/>
  <c r="Y22" i="1"/>
  <c r="Y29" i="1" s="1"/>
  <c r="AQ17" i="1"/>
  <c r="P19" i="1"/>
  <c r="R47" i="1"/>
  <c r="S47" i="1" s="1"/>
  <c r="CH47" i="1" s="1"/>
  <c r="BG147" i="1"/>
  <c r="CP147" i="1" s="1"/>
  <c r="E225" i="1"/>
  <c r="AJ211" i="1"/>
  <c r="AJ225" i="1" s="1"/>
  <c r="AU211" i="1"/>
  <c r="AZ211" i="1"/>
  <c r="AZ225" i="1" s="1"/>
  <c r="AN481" i="1"/>
  <c r="AW309" i="1"/>
  <c r="K19" i="1"/>
  <c r="AU565" i="1"/>
  <c r="AT569" i="1"/>
  <c r="AU599" i="1"/>
  <c r="AU649" i="1" s="1"/>
  <c r="AT614" i="1"/>
  <c r="AG54" i="2"/>
  <c r="AW573" i="1" s="1"/>
  <c r="O8" i="4"/>
  <c r="I189" i="4"/>
  <c r="AB101" i="7"/>
  <c r="AL80" i="7"/>
  <c r="R92" i="7"/>
  <c r="F104" i="7"/>
  <c r="U137" i="7"/>
  <c r="Z137" i="7"/>
  <c r="AE137" i="7"/>
  <c r="W132" i="7"/>
  <c r="AB132" i="7"/>
  <c r="AU25" i="2"/>
  <c r="BK565" i="1" s="1"/>
  <c r="AN50" i="7"/>
  <c r="AX32" i="7"/>
  <c r="BB75" i="7"/>
  <c r="BC32" i="7"/>
  <c r="BF80" i="7"/>
  <c r="BF118" i="7"/>
  <c r="BD137" i="7"/>
  <c r="BD360" i="1"/>
  <c r="BE117" i="1"/>
  <c r="BE360" i="1" s="1"/>
  <c r="BE406" i="1"/>
  <c r="BS346" i="1"/>
  <c r="BX279" i="1"/>
  <c r="BX346" i="1" s="1"/>
  <c r="Y281" i="1"/>
  <c r="Y282" i="1" s="1"/>
  <c r="P38" i="1"/>
  <c r="AP114" i="1"/>
  <c r="AP398" i="1" s="1"/>
  <c r="AP399" i="1" s="1"/>
  <c r="BB276" i="1"/>
  <c r="CO276" i="1" s="1"/>
  <c r="BN346" i="1"/>
  <c r="BN344" i="1" s="1"/>
  <c r="BG279" i="1"/>
  <c r="AM39" i="1"/>
  <c r="AQ276" i="1"/>
  <c r="P276" i="1"/>
  <c r="AR39" i="1"/>
  <c r="CM39" i="1" s="1"/>
  <c r="BI346" i="1"/>
  <c r="BI344" i="1" s="1"/>
  <c r="AG37" i="1"/>
  <c r="AA37" i="1"/>
  <c r="AD114" i="1"/>
  <c r="AD472" i="1" s="1"/>
  <c r="AD474" i="1" s="1"/>
  <c r="AK281" i="1"/>
  <c r="AK282" i="1" s="1"/>
  <c r="D90" i="2"/>
  <c r="AQ324" i="1"/>
  <c r="Y171" i="2"/>
  <c r="AQ646" i="1"/>
  <c r="AQ653" i="1" s="1"/>
  <c r="AV234" i="1"/>
  <c r="BA234" i="1"/>
  <c r="AH47" i="2"/>
  <c r="AN405" i="1"/>
  <c r="AR405" i="1" s="1"/>
  <c r="CA115" i="1"/>
  <c r="CT115" i="1" s="1"/>
  <c r="AM501" i="1"/>
  <c r="AR501" i="1" s="1"/>
  <c r="AW501" i="1" s="1"/>
  <c r="BB501" i="1" s="1"/>
  <c r="BG501" i="1" s="1"/>
  <c r="BL501" i="1" s="1"/>
  <c r="BQ501" i="1" s="1"/>
  <c r="BV501" i="1" s="1"/>
  <c r="CA501" i="1" s="1"/>
  <c r="AI501" i="1"/>
  <c r="AN501" i="1" s="1"/>
  <c r="AS501" i="1" s="1"/>
  <c r="AX501" i="1" s="1"/>
  <c r="BC501" i="1" s="1"/>
  <c r="BH501" i="1" s="1"/>
  <c r="BM501" i="1" s="1"/>
  <c r="BR501" i="1" s="1"/>
  <c r="BW501" i="1" s="1"/>
  <c r="W501" i="1"/>
  <c r="Y501" i="1" s="1"/>
  <c r="Z501" i="1" s="1"/>
  <c r="AA501" i="1" s="1"/>
  <c r="AB501" i="1" s="1"/>
  <c r="AD501" i="1" s="1"/>
  <c r="AE501" i="1" s="1"/>
  <c r="AF501" i="1" s="1"/>
  <c r="AG501" i="1" s="1"/>
  <c r="AN472" i="1"/>
  <c r="U472" i="1"/>
  <c r="U474" i="1" s="1"/>
  <c r="V115" i="1"/>
  <c r="V405" i="1" s="1"/>
  <c r="V406" i="1" s="1"/>
  <c r="AA472" i="1"/>
  <c r="AN124" i="1"/>
  <c r="AN473" i="1" s="1"/>
  <c r="V292" i="1"/>
  <c r="V336" i="1"/>
  <c r="Q318" i="1"/>
  <c r="CE313" i="1"/>
  <c r="D12" i="1"/>
  <c r="V332" i="1"/>
  <c r="Q288" i="1"/>
  <c r="E20" i="1"/>
  <c r="V306" i="1"/>
  <c r="V12" i="1"/>
  <c r="V384" i="1" s="1"/>
  <c r="V314" i="1"/>
  <c r="Q324" i="1"/>
  <c r="D324" i="1"/>
  <c r="CE324" i="1" s="1"/>
  <c r="Q299" i="1"/>
  <c r="N287" i="1"/>
  <c r="AA306" i="1"/>
  <c r="AA292" i="1"/>
  <c r="D314" i="1"/>
  <c r="CE314" i="1" s="1"/>
  <c r="D336" i="1"/>
  <c r="AA299" i="1"/>
  <c r="AM115" i="1"/>
  <c r="CL115" i="1" s="1"/>
  <c r="AP406" i="1"/>
  <c r="AN17" i="2"/>
  <c r="BD586" i="1" s="1"/>
  <c r="AY245" i="1"/>
  <c r="AY278" i="1" s="1"/>
  <c r="AX245" i="1"/>
  <c r="AX252" i="1" s="1"/>
  <c r="AX254" i="1" s="1"/>
  <c r="AN52" i="2"/>
  <c r="AC242" i="1"/>
  <c r="AC243" i="1" s="1"/>
  <c r="AB245" i="1"/>
  <c r="L16" i="2" s="1"/>
  <c r="L123" i="2" s="1"/>
  <c r="BC237" i="1"/>
  <c r="AL5" i="2"/>
  <c r="BY5" i="2" s="1"/>
  <c r="AI86" i="2"/>
  <c r="AI108" i="2" s="1"/>
  <c r="AI17" i="2"/>
  <c r="AY586" i="1" s="1"/>
  <c r="AR233" i="1"/>
  <c r="CM233" i="1" s="1"/>
  <c r="AP347" i="1"/>
  <c r="AD245" i="1"/>
  <c r="AD278" i="1" s="1"/>
  <c r="AU270" i="1"/>
  <c r="AU281" i="1" s="1"/>
  <c r="AJ234" i="1"/>
  <c r="AZ234" i="1"/>
  <c r="AQ245" i="1"/>
  <c r="AQ278" i="1" s="1"/>
  <c r="BA237" i="1"/>
  <c r="AY347" i="1"/>
  <c r="AY318" i="1"/>
  <c r="AY320" i="1" s="1"/>
  <c r="BE234" i="1"/>
  <c r="AQ237" i="1"/>
  <c r="AZ313" i="1"/>
  <c r="AZ350" i="1" s="1"/>
  <c r="BC313" i="1"/>
  <c r="BC336" i="1" s="1"/>
  <c r="AK234" i="1"/>
  <c r="AC239" i="1"/>
  <c r="AC240" i="1" s="1"/>
  <c r="CJ240" i="1" s="1"/>
  <c r="AF245" i="1"/>
  <c r="AF270" i="1" s="1"/>
  <c r="AF271" i="1" s="1"/>
  <c r="AK17" i="2"/>
  <c r="BA586" i="1" s="1"/>
  <c r="AA142" i="2"/>
  <c r="BC234" i="1"/>
  <c r="AH242" i="1"/>
  <c r="AH243" i="1" s="1"/>
  <c r="AW308" i="1"/>
  <c r="R47" i="2"/>
  <c r="BU47" i="2" s="1"/>
  <c r="BJ233" i="1"/>
  <c r="BJ234" i="1" s="1"/>
  <c r="BJ65" i="2"/>
  <c r="AK324" i="1"/>
  <c r="AR62" i="2"/>
  <c r="AR61" i="2" s="1"/>
  <c r="BH311" i="1" s="1"/>
  <c r="AS245" i="1"/>
  <c r="BD237" i="1"/>
  <c r="AG336" i="1"/>
  <c r="AG339" i="1" s="1"/>
  <c r="AG340" i="1" s="1"/>
  <c r="AC308" i="1"/>
  <c r="Y82" i="2"/>
  <c r="AP52" i="2"/>
  <c r="BY4" i="2"/>
  <c r="S138" i="2"/>
  <c r="AI234" i="1"/>
  <c r="O157" i="2"/>
  <c r="Z163" i="2"/>
  <c r="H188" i="4"/>
  <c r="AV64" i="2"/>
  <c r="S82" i="2"/>
  <c r="AI92" i="2"/>
  <c r="AY16" i="1" s="1"/>
  <c r="I90" i="2"/>
  <c r="AW233" i="1"/>
  <c r="CN233" i="1" s="1"/>
  <c r="AH239" i="1"/>
  <c r="CK239" i="1" s="1"/>
  <c r="AK332" i="1"/>
  <c r="AR236" i="1"/>
  <c r="CM236" i="1" s="1"/>
  <c r="I86" i="2"/>
  <c r="I104" i="2" s="1"/>
  <c r="AK12" i="1"/>
  <c r="AK368" i="1" s="1"/>
  <c r="X66" i="2"/>
  <c r="X186" i="2" s="1"/>
  <c r="AI565" i="1"/>
  <c r="AX565" i="1"/>
  <c r="X157" i="2"/>
  <c r="R162" i="2"/>
  <c r="R163" i="2" s="1"/>
  <c r="AN53" i="7"/>
  <c r="AM98" i="7"/>
  <c r="H63" i="7"/>
  <c r="H64" i="7" s="1"/>
  <c r="R101" i="7"/>
  <c r="F64" i="7"/>
  <c r="M101" i="7"/>
  <c r="AL97" i="7"/>
  <c r="BC614" i="1" s="1"/>
  <c r="AU614" i="1"/>
  <c r="AU615" i="1" s="1"/>
  <c r="AU617" i="1" s="1"/>
  <c r="AO26" i="7"/>
  <c r="AN71" i="7"/>
  <c r="AK72" i="7"/>
  <c r="AL72" i="7"/>
  <c r="AM25" i="7"/>
  <c r="AN16" i="7"/>
  <c r="AO16" i="7" s="1"/>
  <c r="AP16" i="7" s="1"/>
  <c r="AQ16" i="7" s="1"/>
  <c r="AR16" i="7" s="1"/>
  <c r="AS16" i="7" s="1"/>
  <c r="AT16" i="7" s="1"/>
  <c r="AU16" i="7" s="1"/>
  <c r="AV16" i="7" s="1"/>
  <c r="AW16" i="7" s="1"/>
  <c r="AX16" i="7" s="1"/>
  <c r="AY16" i="7" s="1"/>
  <c r="AZ16" i="7" s="1"/>
  <c r="BA16" i="7" s="1"/>
  <c r="BB16" i="7" s="1"/>
  <c r="BC16" i="7" s="1"/>
  <c r="BD16" i="7" s="1"/>
  <c r="BE16" i="7" s="1"/>
  <c r="BF16" i="7" s="1"/>
  <c r="AM19" i="7"/>
  <c r="AM67" i="7" s="1"/>
  <c r="AL67" i="7"/>
  <c r="G61" i="7"/>
  <c r="AR556" i="1"/>
  <c r="AR481" i="1"/>
  <c r="AB61" i="7"/>
  <c r="L61" i="7"/>
  <c r="CM206" i="1"/>
  <c r="U61" i="7"/>
  <c r="AC61" i="7"/>
  <c r="X481" i="1"/>
  <c r="AL425" i="1"/>
  <c r="AL426" i="1" s="1"/>
  <c r="J61" i="7"/>
  <c r="O61" i="7"/>
  <c r="T61" i="7"/>
  <c r="Y61" i="7"/>
  <c r="T481" i="1"/>
  <c r="AM424" i="1"/>
  <c r="AM481" i="1"/>
  <c r="AM555" i="1"/>
  <c r="AM556" i="1"/>
  <c r="AD61" i="7"/>
  <c r="Y64" i="7"/>
  <c r="K61" i="7"/>
  <c r="S481" i="1"/>
  <c r="P61" i="7"/>
  <c r="R60" i="7"/>
  <c r="W61" i="7" s="1"/>
  <c r="E28" i="5"/>
  <c r="Z61" i="7"/>
  <c r="CK189" i="1"/>
  <c r="Q411" i="1"/>
  <c r="Q413" i="1" s="1"/>
  <c r="Z413" i="1"/>
  <c r="U406" i="1"/>
  <c r="AF406" i="1"/>
  <c r="Q404" i="1"/>
  <c r="Q406" i="1" s="1"/>
  <c r="CK187" i="1"/>
  <c r="AM192" i="1"/>
  <c r="AM491" i="1" s="1"/>
  <c r="AU411" i="1"/>
  <c r="AU413" i="1" s="1"/>
  <c r="AK406" i="1"/>
  <c r="AO406" i="1"/>
  <c r="Z406" i="1"/>
  <c r="AJ413" i="1"/>
  <c r="D399" i="1"/>
  <c r="AE406" i="1"/>
  <c r="AF411" i="1"/>
  <c r="AF413" i="1" s="1"/>
  <c r="AN189" i="1"/>
  <c r="AP337" i="1"/>
  <c r="AP348" i="1"/>
  <c r="AP349" i="1" s="1"/>
  <c r="AP339" i="1"/>
  <c r="AP340" i="1" s="1"/>
  <c r="AJ205" i="2"/>
  <c r="AJ100" i="2"/>
  <c r="AU278" i="1"/>
  <c r="AI107" i="2"/>
  <c r="AQ5" i="2"/>
  <c r="BZ5" i="2" s="1"/>
  <c r="BJ62" i="2"/>
  <c r="BZ577" i="1" s="1"/>
  <c r="AP324" i="1"/>
  <c r="BK64" i="2"/>
  <c r="BF64" i="2"/>
  <c r="AE245" i="1"/>
  <c r="AE258" i="1" s="1"/>
  <c r="AL16" i="2"/>
  <c r="AE86" i="2"/>
  <c r="AE108" i="2" s="1"/>
  <c r="Z147" i="2"/>
  <c r="Z148" i="2" s="1"/>
  <c r="AS83" i="2"/>
  <c r="BI315" i="1" s="1"/>
  <c r="X185" i="2"/>
  <c r="O41" i="2"/>
  <c r="O138" i="2" s="1"/>
  <c r="AT17" i="2"/>
  <c r="BJ586" i="1" s="1"/>
  <c r="AN573" i="1"/>
  <c r="Y29" i="2"/>
  <c r="AO566" i="1" s="1"/>
  <c r="AI573" i="1"/>
  <c r="AC17" i="2"/>
  <c r="AC21" i="2" s="1"/>
  <c r="AS587" i="1" s="1"/>
  <c r="J77" i="2"/>
  <c r="BB35" i="2"/>
  <c r="BG17" i="2"/>
  <c r="BW586" i="1" s="1"/>
  <c r="BI233" i="1"/>
  <c r="BI234" i="1" s="1"/>
  <c r="H62" i="2"/>
  <c r="BS62" i="2" s="1"/>
  <c r="AE99" i="2"/>
  <c r="AK36" i="2"/>
  <c r="BA570" i="1" s="1"/>
  <c r="AJ77" i="2"/>
  <c r="AZ581" i="1" s="1"/>
  <c r="Z97" i="2"/>
  <c r="AG68" i="2"/>
  <c r="BX68" i="2" s="1"/>
  <c r="Y43" i="2"/>
  <c r="T97" i="2"/>
  <c r="AF205" i="2"/>
  <c r="O97" i="2"/>
  <c r="T99" i="2"/>
  <c r="AH96" i="2"/>
  <c r="AF240" i="1"/>
  <c r="AJ313" i="1"/>
  <c r="AJ332" i="1" s="1"/>
  <c r="AM89" i="2"/>
  <c r="AS25" i="2"/>
  <c r="BI565" i="1" s="1"/>
  <c r="AS28" i="2"/>
  <c r="AQ24" i="2"/>
  <c r="AQ27" i="2"/>
  <c r="AU252" i="1"/>
  <c r="AU254" i="1" s="1"/>
  <c r="AI106" i="2"/>
  <c r="BG233" i="1"/>
  <c r="CP233" i="1" s="1"/>
  <c r="BA64" i="2"/>
  <c r="AP318" i="1"/>
  <c r="BE63" i="2"/>
  <c r="BE62" i="2" s="1"/>
  <c r="BU577" i="1" s="1"/>
  <c r="AO245" i="1"/>
  <c r="AO258" i="1" s="1"/>
  <c r="BG18" i="2"/>
  <c r="BZ29" i="2"/>
  <c r="BD313" i="1"/>
  <c r="BD350" i="1" s="1"/>
  <c r="BA332" i="1"/>
  <c r="R29" i="2"/>
  <c r="BU29" i="2" s="1"/>
  <c r="O77" i="2"/>
  <c r="O187" i="2" s="1"/>
  <c r="AN577" i="1"/>
  <c r="AP332" i="1"/>
  <c r="E96" i="2"/>
  <c r="E98" i="2"/>
  <c r="BB17" i="2"/>
  <c r="BR586" i="1" s="1"/>
  <c r="AH97" i="2"/>
  <c r="AE98" i="2"/>
  <c r="AH17" i="2"/>
  <c r="AX586" i="1" s="1"/>
  <c r="Z98" i="2"/>
  <c r="BW61" i="2"/>
  <c r="O171" i="2"/>
  <c r="O172" i="2" s="1"/>
  <c r="Z96" i="2"/>
  <c r="AR311" i="1"/>
  <c r="AE313" i="1"/>
  <c r="AE324" i="1" s="1"/>
  <c r="AP580" i="1"/>
  <c r="AI104" i="2"/>
  <c r="AP646" i="1"/>
  <c r="AP650" i="1" s="1"/>
  <c r="AE243" i="1"/>
  <c r="V21" i="2"/>
  <c r="AL587" i="1" s="1"/>
  <c r="AY18" i="2"/>
  <c r="AB42" i="2"/>
  <c r="AB44" i="2" s="1"/>
  <c r="BW44" i="2" s="1"/>
  <c r="J96" i="2"/>
  <c r="AJ581" i="1"/>
  <c r="AV19" i="2"/>
  <c r="Y172" i="2"/>
  <c r="J97" i="2"/>
  <c r="AY20" i="2"/>
  <c r="O99" i="2"/>
  <c r="O98" i="2"/>
  <c r="AE97" i="2"/>
  <c r="AE100" i="2"/>
  <c r="AH664" i="1"/>
  <c r="H139" i="4"/>
  <c r="CP265" i="1"/>
  <c r="BG186" i="1"/>
  <c r="CP186" i="1" s="1"/>
  <c r="R345" i="1"/>
  <c r="S345" i="1" s="1"/>
  <c r="S344" i="1" s="1"/>
  <c r="Q344" i="1"/>
  <c r="Q348" i="1" s="1"/>
  <c r="Q349" i="1" s="1"/>
  <c r="CJ202" i="1"/>
  <c r="AK271" i="1"/>
  <c r="R277" i="1"/>
  <c r="S277" i="1" s="1"/>
  <c r="S278" i="1" s="1"/>
  <c r="H38" i="1"/>
  <c r="AR276" i="1"/>
  <c r="CM276" i="1" s="1"/>
  <c r="W426" i="1"/>
  <c r="M46" i="1"/>
  <c r="N46" i="1" s="1"/>
  <c r="CG46" i="1" s="1"/>
  <c r="L423" i="1"/>
  <c r="L426" i="1" s="1"/>
  <c r="AM323" i="1"/>
  <c r="X144" i="2" s="1"/>
  <c r="W148" i="1"/>
  <c r="X148" i="1"/>
  <c r="CI148" i="1" s="1"/>
  <c r="AP157" i="1"/>
  <c r="AF485" i="1"/>
  <c r="AF122" i="1"/>
  <c r="AG122" i="1" s="1"/>
  <c r="AH122" i="1" s="1"/>
  <c r="CK122" i="1" s="1"/>
  <c r="AW423" i="1"/>
  <c r="AW459" i="1" s="1"/>
  <c r="AJ397" i="1"/>
  <c r="AJ399" i="1" s="1"/>
  <c r="AJ475" i="1"/>
  <c r="AK137" i="1"/>
  <c r="AW449" i="1"/>
  <c r="BB449" i="1"/>
  <c r="CN218" i="1"/>
  <c r="AW223" i="1"/>
  <c r="CN223" i="1" s="1"/>
  <c r="U144" i="1"/>
  <c r="AT383" i="1"/>
  <c r="AU137" i="1"/>
  <c r="AU475" i="1" s="1"/>
  <c r="AT397" i="1"/>
  <c r="AT399" i="1" s="1"/>
  <c r="L45" i="1"/>
  <c r="R114" i="1"/>
  <c r="R398" i="1" s="1"/>
  <c r="S398" i="1" s="1"/>
  <c r="Q472" i="1"/>
  <c r="Q501" i="1"/>
  <c r="BA115" i="1"/>
  <c r="BB115" i="1" s="1"/>
  <c r="K360" i="1"/>
  <c r="L117" i="1"/>
  <c r="L360" i="1" s="1"/>
  <c r="K412" i="1"/>
  <c r="L123" i="1"/>
  <c r="AU126" i="1"/>
  <c r="AT476" i="1"/>
  <c r="CI237" i="1"/>
  <c r="Q276" i="1"/>
  <c r="Q281" i="1" s="1"/>
  <c r="Q282" i="1" s="1"/>
  <c r="W114" i="1"/>
  <c r="X114" i="1" s="1"/>
  <c r="S90" i="2"/>
  <c r="AG270" i="1"/>
  <c r="AA147" i="2"/>
  <c r="AA148" i="2" s="1"/>
  <c r="G383" i="1"/>
  <c r="G458" i="1" s="1"/>
  <c r="M472" i="1"/>
  <c r="M398" i="1"/>
  <c r="CM46" i="1"/>
  <c r="V124" i="1"/>
  <c r="U473" i="1"/>
  <c r="AT37" i="1"/>
  <c r="P423" i="1"/>
  <c r="P426" i="1" s="1"/>
  <c r="R46" i="1"/>
  <c r="R423" i="1" s="1"/>
  <c r="U398" i="1"/>
  <c r="H344" i="1"/>
  <c r="X17" i="2"/>
  <c r="AN586" i="1" s="1"/>
  <c r="M65" i="1"/>
  <c r="M67" i="1" s="1"/>
  <c r="N141" i="2"/>
  <c r="AE366" i="1"/>
  <c r="AE22" i="1"/>
  <c r="AK366" i="1"/>
  <c r="AK22" i="1"/>
  <c r="AK431" i="1" s="1"/>
  <c r="AM19" i="1"/>
  <c r="CL19" i="1" s="1"/>
  <c r="AI22" i="1"/>
  <c r="AA139" i="1"/>
  <c r="AB139" i="1" s="1"/>
  <c r="G149" i="1"/>
  <c r="H149" i="1" s="1"/>
  <c r="I149" i="1" s="1"/>
  <c r="CF149" i="1" s="1"/>
  <c r="W151" i="1"/>
  <c r="X151" i="1" s="1"/>
  <c r="V485" i="1"/>
  <c r="AW486" i="1"/>
  <c r="CN154" i="1"/>
  <c r="CL174" i="1"/>
  <c r="CM179" i="1"/>
  <c r="CJ188" i="1"/>
  <c r="CF196" i="1"/>
  <c r="I204" i="1"/>
  <c r="CH198" i="1"/>
  <c r="S204" i="1"/>
  <c r="CK199" i="1"/>
  <c r="CM202" i="1"/>
  <c r="I449" i="1"/>
  <c r="AQ329" i="1"/>
  <c r="L323" i="1"/>
  <c r="L19" i="1" s="1"/>
  <c r="L22" i="1" s="1"/>
  <c r="AW446" i="1"/>
  <c r="AN216" i="1"/>
  <c r="AD458" i="1"/>
  <c r="X424" i="1"/>
  <c r="CH209" i="1"/>
  <c r="N449" i="1"/>
  <c r="AY223" i="1"/>
  <c r="K473" i="1"/>
  <c r="AH481" i="1"/>
  <c r="AA336" i="1"/>
  <c r="AA348" i="1" s="1"/>
  <c r="Z425" i="1"/>
  <c r="Z426" i="1" s="1"/>
  <c r="AE425" i="1"/>
  <c r="AE426" i="1" s="1"/>
  <c r="AJ425" i="1"/>
  <c r="AJ426" i="1" s="1"/>
  <c r="G225" i="1"/>
  <c r="AL437" i="1"/>
  <c r="AI446" i="1"/>
  <c r="L141" i="2"/>
  <c r="AL223" i="1"/>
  <c r="P313" i="1"/>
  <c r="AC223" i="1"/>
  <c r="CJ223" i="1" s="1"/>
  <c r="AB17" i="1"/>
  <c r="AB366" i="1" s="1"/>
  <c r="I399" i="1"/>
  <c r="Z459" i="1"/>
  <c r="BJ197" i="1"/>
  <c r="BJ131" i="1" s="1"/>
  <c r="BI131" i="1"/>
  <c r="AQ37" i="1"/>
  <c r="AR38" i="1"/>
  <c r="CM38" i="1" s="1"/>
  <c r="CO22" i="1"/>
  <c r="AM536" i="1"/>
  <c r="C42" i="1"/>
  <c r="C40" i="1"/>
  <c r="C370" i="1"/>
  <c r="BI405" i="1"/>
  <c r="BL405" i="1" s="1"/>
  <c r="BL115" i="1"/>
  <c r="CQ115" i="1" s="1"/>
  <c r="V460" i="1"/>
  <c r="V476" i="1"/>
  <c r="AB155" i="1"/>
  <c r="AC155" i="1" s="1"/>
  <c r="CJ155" i="1" s="1"/>
  <c r="AG5" i="2"/>
  <c r="BX5" i="2" s="1"/>
  <c r="N90" i="2"/>
  <c r="S91" i="2" s="1"/>
  <c r="N123" i="2"/>
  <c r="N152" i="2"/>
  <c r="N153" i="2" s="1"/>
  <c r="J369" i="1"/>
  <c r="J20" i="1"/>
  <c r="J372" i="1"/>
  <c r="J384" i="1"/>
  <c r="J361" i="1"/>
  <c r="J25" i="1"/>
  <c r="J370" i="1"/>
  <c r="J368" i="1"/>
  <c r="BQ486" i="1"/>
  <c r="CR154" i="1"/>
  <c r="BO405" i="1"/>
  <c r="BQ405" i="1" s="1"/>
  <c r="BQ115" i="1"/>
  <c r="CR115" i="1" s="1"/>
  <c r="F271" i="1"/>
  <c r="AW27" i="1"/>
  <c r="CN27" i="1" s="1"/>
  <c r="CP178" i="1"/>
  <c r="AD246" i="1"/>
  <c r="K278" i="1"/>
  <c r="CP221" i="1"/>
  <c r="BH131" i="1"/>
  <c r="BF556" i="1"/>
  <c r="BG198" i="1"/>
  <c r="BG556" i="1" s="1"/>
  <c r="BH176" i="1"/>
  <c r="BI176" i="1" s="1"/>
  <c r="BJ176" i="1" s="1"/>
  <c r="BK176" i="1" s="1"/>
  <c r="BL176" i="1" s="1"/>
  <c r="BM176" i="1" s="1"/>
  <c r="BN176" i="1" s="1"/>
  <c r="CP176" i="1"/>
  <c r="AB126" i="1"/>
  <c r="AC126" i="1" s="1"/>
  <c r="CJ126" i="1" s="1"/>
  <c r="U367" i="1"/>
  <c r="U365" i="1"/>
  <c r="U40" i="1"/>
  <c r="AD258" i="1"/>
  <c r="AT472" i="1"/>
  <c r="AT474" i="1" s="1"/>
  <c r="AU157" i="1"/>
  <c r="AV155" i="1"/>
  <c r="AW155" i="1" s="1"/>
  <c r="CN155" i="1" s="1"/>
  <c r="AI246" i="1"/>
  <c r="N279" i="1"/>
  <c r="Y361" i="1"/>
  <c r="I425" i="1"/>
  <c r="O510" i="1"/>
  <c r="N86" i="2"/>
  <c r="N104" i="2" s="1"/>
  <c r="J365" i="1"/>
  <c r="BL486" i="1"/>
  <c r="BB459" i="1"/>
  <c r="CK46" i="1"/>
  <c r="M105" i="7"/>
  <c r="S153" i="2"/>
  <c r="V514" i="1"/>
  <c r="W514" i="1" s="1"/>
  <c r="Y514" i="1" s="1"/>
  <c r="AG334" i="1"/>
  <c r="G157" i="1"/>
  <c r="CE12" i="1"/>
  <c r="M383" i="1"/>
  <c r="M458" i="1" s="1"/>
  <c r="N458" i="1" s="1"/>
  <c r="AY22" i="1"/>
  <c r="AY431" i="1" s="1"/>
  <c r="AH67" i="1"/>
  <c r="F313" i="1"/>
  <c r="AW524" i="1"/>
  <c r="AW39" i="1"/>
  <c r="CN39" i="1" s="1"/>
  <c r="AU437" i="1"/>
  <c r="BG142" i="1"/>
  <c r="CP142" i="1" s="1"/>
  <c r="AV413" i="1"/>
  <c r="AM418" i="1"/>
  <c r="AX459" i="1"/>
  <c r="CJ204" i="1"/>
  <c r="AC211" i="1"/>
  <c r="CJ211" i="1" s="1"/>
  <c r="AR115" i="1"/>
  <c r="CM115" i="1" s="1"/>
  <c r="D40" i="1"/>
  <c r="CE40" i="1" s="1"/>
  <c r="CN121" i="1"/>
  <c r="AD270" i="1"/>
  <c r="R61" i="7"/>
  <c r="Y371" i="1"/>
  <c r="Y367" i="1"/>
  <c r="Y368" i="1"/>
  <c r="BC425" i="1"/>
  <c r="BC426" i="1" s="1"/>
  <c r="AX425" i="1"/>
  <c r="AX426" i="1" s="1"/>
  <c r="BB425" i="1"/>
  <c r="BB426" i="1" s="1"/>
  <c r="BD268" i="1"/>
  <c r="AQ458" i="1"/>
  <c r="CH121" i="1"/>
  <c r="AL20" i="7"/>
  <c r="AE472" i="1"/>
  <c r="C16" i="2"/>
  <c r="S258" i="1"/>
  <c r="CH258" i="1" s="1"/>
  <c r="I61" i="7"/>
  <c r="AK60" i="7"/>
  <c r="AK61" i="7" s="1"/>
  <c r="AZ476" i="1"/>
  <c r="CK17" i="1"/>
  <c r="O144" i="2"/>
  <c r="AG366" i="1"/>
  <c r="AC263" i="1"/>
  <c r="CJ257" i="1"/>
  <c r="R129" i="2"/>
  <c r="AV138" i="1"/>
  <c r="AW138" i="1" s="1"/>
  <c r="CJ251" i="1"/>
  <c r="N472" i="1"/>
  <c r="V412" i="1"/>
  <c r="X123" i="1"/>
  <c r="CI123" i="1" s="1"/>
  <c r="V473" i="1"/>
  <c r="AL142" i="1"/>
  <c r="AM142" i="1" s="1"/>
  <c r="CL142" i="1" s="1"/>
  <c r="AK475" i="1"/>
  <c r="L278" i="1"/>
  <c r="AG127" i="1"/>
  <c r="AH127" i="1" s="1"/>
  <c r="CK127" i="1" s="1"/>
  <c r="AM211" i="1"/>
  <c r="CL204" i="1"/>
  <c r="AP142" i="1"/>
  <c r="AO475" i="1"/>
  <c r="BA120" i="1"/>
  <c r="BB120" i="1" s="1"/>
  <c r="CO120" i="1" s="1"/>
  <c r="S46" i="1"/>
  <c r="CH46" i="1" s="1"/>
  <c r="L139" i="1"/>
  <c r="M139" i="1" s="1"/>
  <c r="N139" i="1" s="1"/>
  <c r="CG139" i="1" s="1"/>
  <c r="AZ139" i="1"/>
  <c r="BA139" i="1" s="1"/>
  <c r="AY144" i="1"/>
  <c r="L140" i="1"/>
  <c r="M140" i="1" s="1"/>
  <c r="N140" i="1" s="1"/>
  <c r="CG140" i="1" s="1"/>
  <c r="BA142" i="1"/>
  <c r="BB142" i="1" s="1"/>
  <c r="CO142" i="1" s="1"/>
  <c r="AY475" i="1"/>
  <c r="W147" i="1"/>
  <c r="X147" i="1" s="1"/>
  <c r="CI147" i="1" s="1"/>
  <c r="V157" i="1"/>
  <c r="AA151" i="1"/>
  <c r="Z485" i="1"/>
  <c r="Z157" i="1"/>
  <c r="AW151" i="1"/>
  <c r="AV485" i="1"/>
  <c r="AE157" i="1"/>
  <c r="AF152" i="1"/>
  <c r="AZ152" i="1"/>
  <c r="BA152" i="1" s="1"/>
  <c r="AY157" i="1"/>
  <c r="L153" i="1"/>
  <c r="M153" i="1" s="1"/>
  <c r="AY437" i="1"/>
  <c r="AY436" i="1" s="1"/>
  <c r="AZ153" i="1"/>
  <c r="AZ437" i="1" s="1"/>
  <c r="N486" i="1"/>
  <c r="CG154" i="1"/>
  <c r="L155" i="1"/>
  <c r="M155" i="1" s="1"/>
  <c r="N155" i="1" s="1"/>
  <c r="CG155" i="1" s="1"/>
  <c r="AZ155" i="1"/>
  <c r="BA155" i="1" s="1"/>
  <c r="BB155" i="1" s="1"/>
  <c r="CO155" i="1" s="1"/>
  <c r="CI174" i="1"/>
  <c r="CM174" i="1"/>
  <c r="CH175" i="1"/>
  <c r="CL176" i="1"/>
  <c r="AN176" i="1"/>
  <c r="CH177" i="1"/>
  <c r="CH178" i="1"/>
  <c r="CH180" i="1"/>
  <c r="CI184" i="1"/>
  <c r="CF185" i="1"/>
  <c r="I415" i="1"/>
  <c r="CJ185" i="1"/>
  <c r="J246" i="1"/>
  <c r="J278" i="1"/>
  <c r="J258" i="1"/>
  <c r="J252" i="1"/>
  <c r="J266" i="1"/>
  <c r="P252" i="1"/>
  <c r="P17" i="1"/>
  <c r="S251" i="1"/>
  <c r="P263" i="1"/>
  <c r="P268" i="1" s="1"/>
  <c r="V126" i="2"/>
  <c r="V127" i="2" s="1"/>
  <c r="AL263" i="1"/>
  <c r="AL317" i="1"/>
  <c r="AM251" i="1"/>
  <c r="AL252" i="1"/>
  <c r="F19" i="1"/>
  <c r="F258" i="1"/>
  <c r="G257" i="1"/>
  <c r="L129" i="2"/>
  <c r="AB263" i="1"/>
  <c r="AB268" i="1" s="1"/>
  <c r="AA129" i="2"/>
  <c r="AQ19" i="1"/>
  <c r="AQ263" i="1"/>
  <c r="CG265" i="1"/>
  <c r="N24" i="1"/>
  <c r="CG24" i="1" s="1"/>
  <c r="AL345" i="1"/>
  <c r="AL38" i="1" s="1"/>
  <c r="AL278" i="1"/>
  <c r="AL276" i="1"/>
  <c r="U288" i="1"/>
  <c r="S287" i="1"/>
  <c r="P144" i="2"/>
  <c r="AG22" i="1"/>
  <c r="AD446" i="1"/>
  <c r="AB473" i="1"/>
  <c r="AC121" i="1"/>
  <c r="M423" i="1"/>
  <c r="M426" i="1" s="1"/>
  <c r="AR265" i="1"/>
  <c r="AA132" i="2"/>
  <c r="AK27" i="1"/>
  <c r="AP485" i="1"/>
  <c r="AP437" i="1"/>
  <c r="Z114" i="1"/>
  <c r="Z37" i="1"/>
  <c r="Y115" i="1"/>
  <c r="Y37" i="1"/>
  <c r="Y42" i="1" s="1"/>
  <c r="F418" i="1"/>
  <c r="G45" i="1"/>
  <c r="H45" i="1" s="1"/>
  <c r="H418" i="1" s="1"/>
  <c r="AZ458" i="1"/>
  <c r="AQ117" i="1"/>
  <c r="AR117" i="1" s="1"/>
  <c r="CM117" i="1" s="1"/>
  <c r="AP360" i="1"/>
  <c r="M124" i="1"/>
  <c r="L473" i="1"/>
  <c r="L474" i="1" s="1"/>
  <c r="W129" i="2"/>
  <c r="CL257" i="1"/>
  <c r="R252" i="1"/>
  <c r="R17" i="1"/>
  <c r="AN197" i="1"/>
  <c r="AO197" i="1" s="1"/>
  <c r="AO204" i="1" s="1"/>
  <c r="AO211" i="1" s="1"/>
  <c r="AO225" i="1" s="1"/>
  <c r="CM204" i="1"/>
  <c r="AR211" i="1"/>
  <c r="U22" i="1"/>
  <c r="U366" i="1"/>
  <c r="W132" i="2"/>
  <c r="F460" i="1"/>
  <c r="G127" i="1"/>
  <c r="AK37" i="1"/>
  <c r="Q147" i="1"/>
  <c r="P157" i="1"/>
  <c r="AK147" i="1"/>
  <c r="AM147" i="1" s="1"/>
  <c r="CL147" i="1" s="1"/>
  <c r="AJ157" i="1"/>
  <c r="K157" i="1"/>
  <c r="AO157" i="1"/>
  <c r="AO437" i="1"/>
  <c r="CK175" i="1"/>
  <c r="CK177" i="1"/>
  <c r="CN180" i="1"/>
  <c r="R20" i="7"/>
  <c r="CK201" i="1"/>
  <c r="CK209" i="1"/>
  <c r="AZ446" i="1"/>
  <c r="AY446" i="1"/>
  <c r="AH449" i="1"/>
  <c r="AD449" i="1"/>
  <c r="Y449" i="1"/>
  <c r="L294" i="1"/>
  <c r="K313" i="1"/>
  <c r="K12" i="1" s="1"/>
  <c r="AR459" i="1"/>
  <c r="R45" i="1"/>
  <c r="Q431" i="1"/>
  <c r="Q27" i="1"/>
  <c r="F360" i="1"/>
  <c r="G117" i="1"/>
  <c r="Z360" i="1"/>
  <c r="AA117" i="1"/>
  <c r="AA360" i="1" s="1"/>
  <c r="AT360" i="1"/>
  <c r="AU117" i="1"/>
  <c r="AA137" i="1"/>
  <c r="Z144" i="1"/>
  <c r="Z383" i="1"/>
  <c r="AA278" i="1"/>
  <c r="AA12" i="1"/>
  <c r="AA367" i="1" s="1"/>
  <c r="AA252" i="1"/>
  <c r="K16" i="2"/>
  <c r="X251" i="1"/>
  <c r="W17" i="1"/>
  <c r="X17" i="1" s="1"/>
  <c r="V132" i="2"/>
  <c r="AL24" i="1"/>
  <c r="AF27" i="1"/>
  <c r="AF534" i="1"/>
  <c r="Y366" i="1"/>
  <c r="CN46" i="1"/>
  <c r="CL56" i="1"/>
  <c r="K501" i="1"/>
  <c r="K472" i="1"/>
  <c r="AY405" i="1"/>
  <c r="AY406" i="1" s="1"/>
  <c r="AY472" i="1"/>
  <c r="AY474" i="1" s="1"/>
  <c r="L116" i="1"/>
  <c r="AY360" i="1"/>
  <c r="AZ117" i="1"/>
  <c r="BA117" i="1" s="1"/>
  <c r="BA360" i="1" s="1"/>
  <c r="K397" i="1"/>
  <c r="K399" i="1" s="1"/>
  <c r="K475" i="1"/>
  <c r="AF137" i="1"/>
  <c r="AE397" i="1"/>
  <c r="CH206" i="1"/>
  <c r="CI214" i="1"/>
  <c r="X223" i="1"/>
  <c r="CM214" i="1"/>
  <c r="AR223" i="1"/>
  <c r="AR446" i="1"/>
  <c r="C4" i="2"/>
  <c r="CH233" i="1"/>
  <c r="CI331" i="1"/>
  <c r="X24" i="1"/>
  <c r="CI24" i="1" s="1"/>
  <c r="L345" i="1"/>
  <c r="K38" i="1"/>
  <c r="K37" i="1" s="1"/>
  <c r="L246" i="1"/>
  <c r="J399" i="1"/>
  <c r="AA225" i="1"/>
  <c r="BA459" i="1"/>
  <c r="AG24" i="1"/>
  <c r="G124" i="1"/>
  <c r="H124" i="1" s="1"/>
  <c r="I124" i="1" s="1"/>
  <c r="CF124" i="1" s="1"/>
  <c r="AU459" i="1"/>
  <c r="P16" i="2"/>
  <c r="AV151" i="2"/>
  <c r="BL406" i="1"/>
  <c r="BV24" i="1"/>
  <c r="CS24" i="1" s="1"/>
  <c r="CR202" i="1"/>
  <c r="W157" i="1"/>
  <c r="X149" i="1"/>
  <c r="CI149" i="1" s="1"/>
  <c r="BG214" i="1"/>
  <c r="BH214" i="1" s="1"/>
  <c r="BH155" i="1" s="1"/>
  <c r="CG317" i="1"/>
  <c r="AU425" i="1"/>
  <c r="AU426" i="1" s="1"/>
  <c r="AS425" i="1"/>
  <c r="AS426" i="1" s="1"/>
  <c r="AV425" i="1"/>
  <c r="AV426" i="1" s="1"/>
  <c r="L475" i="1"/>
  <c r="M142" i="1"/>
  <c r="M475" i="1" s="1"/>
  <c r="CH142" i="1"/>
  <c r="V399" i="1"/>
  <c r="AK157" i="1"/>
  <c r="O37" i="1"/>
  <c r="O42" i="1" s="1"/>
  <c r="X240" i="1"/>
  <c r="CI240" i="1" s="1"/>
  <c r="P39" i="1"/>
  <c r="P37" i="1" s="1"/>
  <c r="CA413" i="1"/>
  <c r="R278" i="1"/>
  <c r="Y25" i="1"/>
  <c r="Y20" i="1"/>
  <c r="Y373" i="1"/>
  <c r="X449" i="1"/>
  <c r="Y369" i="1"/>
  <c r="Y365" i="1"/>
  <c r="Y18" i="1"/>
  <c r="BC474" i="1"/>
  <c r="Y225" i="1"/>
  <c r="BD22" i="1"/>
  <c r="BD431" i="1" s="1"/>
  <c r="Y372" i="1"/>
  <c r="Y370" i="1"/>
  <c r="AR263" i="1"/>
  <c r="BB37" i="1"/>
  <c r="CO37" i="1" s="1"/>
  <c r="G12" i="5" s="1"/>
  <c r="E37" i="1"/>
  <c r="T37" i="1"/>
  <c r="V37" i="1"/>
  <c r="AL360" i="1"/>
  <c r="AM360" i="1" s="1"/>
  <c r="AN270" i="1"/>
  <c r="BB263" i="1"/>
  <c r="F502" i="1"/>
  <c r="D531" i="1"/>
  <c r="G313" i="1"/>
  <c r="L288" i="1"/>
  <c r="E370" i="1"/>
  <c r="E369" i="1"/>
  <c r="O339" i="1"/>
  <c r="BT405" i="1"/>
  <c r="BV405" i="1" s="1"/>
  <c r="BV115" i="1"/>
  <c r="CS115" i="1" s="1"/>
  <c r="U42" i="1"/>
  <c r="U373" i="1"/>
  <c r="U361" i="1"/>
  <c r="U18" i="1"/>
  <c r="U384" i="1"/>
  <c r="U370" i="1"/>
  <c r="U25" i="1"/>
  <c r="U372" i="1"/>
  <c r="U368" i="1"/>
  <c r="U369" i="1"/>
  <c r="C369" i="1"/>
  <c r="C368" i="1"/>
  <c r="C371" i="1"/>
  <c r="C20" i="1"/>
  <c r="C18" i="1"/>
  <c r="C29" i="1"/>
  <c r="C372" i="1"/>
  <c r="C365" i="1"/>
  <c r="C367" i="1"/>
  <c r="C361" i="1"/>
  <c r="CE270" i="1"/>
  <c r="D271" i="1"/>
  <c r="CE271" i="1" s="1"/>
  <c r="D273" i="1"/>
  <c r="I287" i="1"/>
  <c r="I288" i="1" s="1"/>
  <c r="M288" i="1"/>
  <c r="C373" i="1"/>
  <c r="V370" i="1"/>
  <c r="T371" i="1"/>
  <c r="BG346" i="1"/>
  <c r="BJ279" i="1"/>
  <c r="S39" i="1"/>
  <c r="CH39" i="1" s="1"/>
  <c r="L52" i="1"/>
  <c r="M50" i="1"/>
  <c r="N50" i="1" s="1"/>
  <c r="AI114" i="1"/>
  <c r="AI37" i="1"/>
  <c r="AO114" i="1"/>
  <c r="AO37" i="1"/>
  <c r="AU114" i="1"/>
  <c r="AU37" i="1"/>
  <c r="H245" i="1"/>
  <c r="H278" i="1" s="1"/>
  <c r="M234" i="1"/>
  <c r="AM237" i="1"/>
  <c r="CL237" i="1" s="1"/>
  <c r="CK236" i="1"/>
  <c r="P258" i="1"/>
  <c r="P270" i="1"/>
  <c r="U266" i="1"/>
  <c r="U278" i="1"/>
  <c r="U270" i="1"/>
  <c r="U252" i="1"/>
  <c r="E16" i="2"/>
  <c r="E90" i="2" s="1"/>
  <c r="U246" i="1"/>
  <c r="E17" i="2" s="1"/>
  <c r="U258" i="1"/>
  <c r="X245" i="1"/>
  <c r="Z246" i="1"/>
  <c r="J17" i="2" s="1"/>
  <c r="Z258" i="1"/>
  <c r="Z12" i="1"/>
  <c r="Z252" i="1"/>
  <c r="T16" i="2"/>
  <c r="W16" i="2" s="1"/>
  <c r="AJ278" i="1"/>
  <c r="AJ252" i="1"/>
  <c r="AJ258" i="1"/>
  <c r="X277" i="1"/>
  <c r="W38" i="1"/>
  <c r="W276" i="1"/>
  <c r="W281" i="1" s="1"/>
  <c r="W282" i="1" s="1"/>
  <c r="G279" i="1"/>
  <c r="G39" i="1" s="1"/>
  <c r="F39" i="1"/>
  <c r="F37" i="1" s="1"/>
  <c r="X288" i="1"/>
  <c r="X313" i="1"/>
  <c r="S294" i="1"/>
  <c r="U295" i="1"/>
  <c r="K302" i="1"/>
  <c r="L301" i="1"/>
  <c r="M301" i="1" s="1"/>
  <c r="P302" i="1"/>
  <c r="E336" i="1"/>
  <c r="R292" i="1"/>
  <c r="R12" i="1"/>
  <c r="W336" i="1"/>
  <c r="W318" i="1"/>
  <c r="W292" i="1"/>
  <c r="W12" i="1"/>
  <c r="W314" i="1"/>
  <c r="W306" i="1"/>
  <c r="AW345" i="1"/>
  <c r="AW344" i="1" s="1"/>
  <c r="AV38" i="1"/>
  <c r="AV344" i="1"/>
  <c r="BA344" i="1"/>
  <c r="BB346" i="1"/>
  <c r="BB344" i="1" s="1"/>
  <c r="G355" i="1"/>
  <c r="H355" i="1" s="1"/>
  <c r="AC436" i="1"/>
  <c r="AC437" i="1" s="1"/>
  <c r="AB437" i="1"/>
  <c r="K508" i="1"/>
  <c r="V516" i="1"/>
  <c r="W516" i="1" s="1"/>
  <c r="AV524" i="1"/>
  <c r="AT524" i="1"/>
  <c r="AS524" i="1"/>
  <c r="AU524" i="1"/>
  <c r="BC597" i="1"/>
  <c r="BB597" i="1"/>
  <c r="S8" i="2"/>
  <c r="J337" i="1"/>
  <c r="J348" i="1"/>
  <c r="J349" i="1" s="1"/>
  <c r="CI239" i="1"/>
  <c r="CL64" i="1"/>
  <c r="CL67" i="1"/>
  <c r="E31" i="5" s="1"/>
  <c r="CM67" i="1"/>
  <c r="F31" i="5" s="1"/>
  <c r="D246" i="1"/>
  <c r="CE246" i="1" s="1"/>
  <c r="C258" i="1"/>
  <c r="C252" i="1"/>
  <c r="X90" i="2"/>
  <c r="X91" i="2" s="1"/>
  <c r="X123" i="2"/>
  <c r="J339" i="1"/>
  <c r="J340" i="1" s="1"/>
  <c r="AH63" i="1"/>
  <c r="CK63" i="1" s="1"/>
  <c r="AI437" i="1"/>
  <c r="AA339" i="1"/>
  <c r="AA340" i="1" s="1"/>
  <c r="W39" i="1"/>
  <c r="X39" i="1" s="1"/>
  <c r="CI39" i="1" s="1"/>
  <c r="X346" i="1"/>
  <c r="X344" i="1" s="1"/>
  <c r="W344" i="1"/>
  <c r="AB276" i="1"/>
  <c r="J16" i="2"/>
  <c r="AB39" i="1"/>
  <c r="AW461" i="1"/>
  <c r="CN52" i="1"/>
  <c r="G375" i="1"/>
  <c r="AV436" i="1"/>
  <c r="AF314" i="1"/>
  <c r="Z348" i="1"/>
  <c r="Z349" i="1" s="1"/>
  <c r="BM199" i="1"/>
  <c r="BN199" i="1" s="1"/>
  <c r="BO199" i="1" s="1"/>
  <c r="BP199" i="1" s="1"/>
  <c r="BQ199" i="1" s="1"/>
  <c r="CQ199" i="1"/>
  <c r="AZ425" i="1"/>
  <c r="AZ426" i="1" s="1"/>
  <c r="I301" i="1"/>
  <c r="I313" i="1" s="1"/>
  <c r="I299" i="1" s="1"/>
  <c r="H313" i="1"/>
  <c r="S114" i="1"/>
  <c r="CH114" i="1" s="1"/>
  <c r="AL120" i="1"/>
  <c r="AM120" i="1" s="1"/>
  <c r="CL120" i="1" s="1"/>
  <c r="AL139" i="1"/>
  <c r="AK144" i="1"/>
  <c r="D444" i="1"/>
  <c r="C453" i="1"/>
  <c r="N406" i="1"/>
  <c r="AJ405" i="1"/>
  <c r="AJ406" i="1" s="1"/>
  <c r="AJ472" i="1"/>
  <c r="BD225" i="1"/>
  <c r="Q473" i="1"/>
  <c r="R124" i="1"/>
  <c r="R473" i="1" s="1"/>
  <c r="CF251" i="1"/>
  <c r="AR152" i="1"/>
  <c r="CM152" i="1" s="1"/>
  <c r="AG459" i="1"/>
  <c r="AM52" i="1"/>
  <c r="BB52" i="1"/>
  <c r="AA473" i="1"/>
  <c r="W278" i="1"/>
  <c r="AU639" i="1"/>
  <c r="AG344" i="1"/>
  <c r="CA405" i="1"/>
  <c r="AC302" i="1"/>
  <c r="K425" i="1"/>
  <c r="AK425" i="1"/>
  <c r="AK426" i="1" s="1"/>
  <c r="BC459" i="1"/>
  <c r="W58" i="2"/>
  <c r="BV58" i="2" s="1"/>
  <c r="N157" i="2"/>
  <c r="O166" i="2"/>
  <c r="AU234" i="1"/>
  <c r="AF77" i="2"/>
  <c r="AV581" i="1" s="1"/>
  <c r="BB20" i="2"/>
  <c r="BE20" i="2"/>
  <c r="BI33" i="2"/>
  <c r="BI32" i="2" s="1"/>
  <c r="BY569" i="1" s="1"/>
  <c r="AD318" i="1"/>
  <c r="AD12" i="1"/>
  <c r="AH313" i="1"/>
  <c r="AN23" i="2"/>
  <c r="I106" i="2"/>
  <c r="I130" i="2"/>
  <c r="Q174" i="2"/>
  <c r="Q106" i="2"/>
  <c r="U174" i="2"/>
  <c r="AN82" i="2"/>
  <c r="BD314" i="1" s="1"/>
  <c r="AN98" i="2"/>
  <c r="AN99" i="2"/>
  <c r="AD83" i="2"/>
  <c r="BU31" i="2"/>
  <c r="AH309" i="1"/>
  <c r="R159" i="2"/>
  <c r="R160" i="2" s="1"/>
  <c r="U182" i="2"/>
  <c r="AK569" i="1"/>
  <c r="AU20" i="2"/>
  <c r="AU17" i="2"/>
  <c r="BK586" i="1" s="1"/>
  <c r="BG35" i="2"/>
  <c r="BG33" i="2"/>
  <c r="BG32" i="2" s="1"/>
  <c r="BW569" i="1" s="1"/>
  <c r="Q107" i="2"/>
  <c r="AO52" i="2"/>
  <c r="AZ245" i="1"/>
  <c r="AJ86" i="2"/>
  <c r="AJ108" i="2" s="1"/>
  <c r="AZ585" i="1"/>
  <c r="AM308" i="1"/>
  <c r="BV24" i="2"/>
  <c r="U181" i="2"/>
  <c r="AK565" i="1"/>
  <c r="Z29" i="2"/>
  <c r="AP565" i="1"/>
  <c r="U138" i="2"/>
  <c r="AS65" i="2"/>
  <c r="Q103" i="2"/>
  <c r="AG337" i="1"/>
  <c r="AN574" i="1"/>
  <c r="X163" i="2"/>
  <c r="AX28" i="2"/>
  <c r="BA34" i="2"/>
  <c r="AW33" i="2"/>
  <c r="AW32" i="2" s="1"/>
  <c r="BM569" i="1" s="1"/>
  <c r="AW62" i="2"/>
  <c r="BM577" i="1" s="1"/>
  <c r="AW65" i="2"/>
  <c r="BC25" i="2"/>
  <c r="BS565" i="1" s="1"/>
  <c r="BC28" i="2"/>
  <c r="BD35" i="2"/>
  <c r="BD32" i="2"/>
  <c r="BT569" i="1" s="1"/>
  <c r="BG26" i="2"/>
  <c r="BG28" i="2"/>
  <c r="U103" i="2"/>
  <c r="U106" i="2"/>
  <c r="U105" i="2"/>
  <c r="U107" i="2"/>
  <c r="AY324" i="1"/>
  <c r="AY326" i="1" s="1"/>
  <c r="AY332" i="1"/>
  <c r="M162" i="2"/>
  <c r="AC310" i="1"/>
  <c r="AA66" i="2"/>
  <c r="AQ578" i="1" s="1"/>
  <c r="AQ577" i="1"/>
  <c r="N40" i="2"/>
  <c r="AI313" i="1"/>
  <c r="AI314" i="1" s="1"/>
  <c r="S98" i="2"/>
  <c r="AD77" i="2"/>
  <c r="AT581" i="1" s="1"/>
  <c r="Y138" i="2"/>
  <c r="Y96" i="2"/>
  <c r="Y77" i="2"/>
  <c r="AO580" i="1"/>
  <c r="Y97" i="2"/>
  <c r="AO313" i="1"/>
  <c r="AO324" i="1" s="1"/>
  <c r="Y99" i="2"/>
  <c r="AD97" i="2"/>
  <c r="AD100" i="2"/>
  <c r="AT580" i="1"/>
  <c r="AN77" i="2"/>
  <c r="BD581" i="1" s="1"/>
  <c r="AI77" i="2"/>
  <c r="AY581" i="1" s="1"/>
  <c r="AY580" i="1"/>
  <c r="Q82" i="2"/>
  <c r="AC82" i="2"/>
  <c r="AH82" i="2"/>
  <c r="AX314" i="1" s="1"/>
  <c r="AC90" i="2"/>
  <c r="AK98" i="2"/>
  <c r="AK96" i="2"/>
  <c r="BF315" i="1"/>
  <c r="AK99" i="2"/>
  <c r="AK82" i="2"/>
  <c r="BA314" i="1" s="1"/>
  <c r="H187" i="4"/>
  <c r="I187" i="4"/>
  <c r="H190" i="4"/>
  <c r="I190" i="4"/>
  <c r="AW4" i="2"/>
  <c r="BM233" i="1" s="1"/>
  <c r="BH233" i="1"/>
  <c r="BH234" i="1" s="1"/>
  <c r="BJ35" i="2"/>
  <c r="BJ33" i="2"/>
  <c r="BJ32" i="2" s="1"/>
  <c r="BZ569" i="1" s="1"/>
  <c r="BD569" i="1"/>
  <c r="AT25" i="2"/>
  <c r="BJ565" i="1" s="1"/>
  <c r="AT26" i="2"/>
  <c r="AR26" i="2"/>
  <c r="AR25" i="2"/>
  <c r="BH565" i="1" s="1"/>
  <c r="AQ326" i="1"/>
  <c r="AF324" i="1"/>
  <c r="D123" i="4"/>
  <c r="AS565" i="1"/>
  <c r="AF336" i="1"/>
  <c r="AF348" i="1" s="1"/>
  <c r="AF349" i="1" s="1"/>
  <c r="U99" i="2"/>
  <c r="U98" i="2"/>
  <c r="AA98" i="2"/>
  <c r="U96" i="2"/>
  <c r="P77" i="2"/>
  <c r="P187" i="2" s="1"/>
  <c r="P171" i="2"/>
  <c r="P172" i="2" s="1"/>
  <c r="AH90" i="2"/>
  <c r="AM93" i="2" s="1"/>
  <c r="BX24" i="2"/>
  <c r="P98" i="2"/>
  <c r="U77" i="2"/>
  <c r="AC233" i="1"/>
  <c r="AW564" i="1"/>
  <c r="Z166" i="2"/>
  <c r="AR20" i="2"/>
  <c r="AQ332" i="1"/>
  <c r="AF332" i="1"/>
  <c r="X181" i="2"/>
  <c r="U171" i="2"/>
  <c r="U172" i="2" s="1"/>
  <c r="BV46" i="2"/>
  <c r="O82" i="2"/>
  <c r="AX313" i="1"/>
  <c r="AX350" i="1" s="1"/>
  <c r="W25" i="2"/>
  <c r="AM565" i="1" s="1"/>
  <c r="M32" i="2"/>
  <c r="BT32" i="2" s="1"/>
  <c r="W38" i="2"/>
  <c r="BV38" i="2" s="1"/>
  <c r="BC4" i="2"/>
  <c r="BN233" i="1"/>
  <c r="AV245" i="1"/>
  <c r="AV278" i="1" s="1"/>
  <c r="AV585" i="1"/>
  <c r="AK21" i="2"/>
  <c r="AF86" i="2"/>
  <c r="AK90" i="2"/>
  <c r="BA245" i="1"/>
  <c r="BA258" i="1" s="1"/>
  <c r="AK86" i="2"/>
  <c r="BE586" i="1"/>
  <c r="M25" i="2"/>
  <c r="BT25" i="2" s="1"/>
  <c r="H81" i="2"/>
  <c r="H82" i="2" s="1"/>
  <c r="BS82" i="2" s="1"/>
  <c r="BS24" i="2"/>
  <c r="H80" i="2"/>
  <c r="AB25" i="2"/>
  <c r="AG25" i="2"/>
  <c r="AB81" i="2"/>
  <c r="BW81" i="2" s="1"/>
  <c r="AR564" i="1"/>
  <c r="BW24" i="2"/>
  <c r="AR308" i="1"/>
  <c r="V29" i="2"/>
  <c r="V181" i="2" s="1"/>
  <c r="AL565" i="1"/>
  <c r="AR568" i="1"/>
  <c r="AR309" i="1"/>
  <c r="AG32" i="2"/>
  <c r="AC36" i="2"/>
  <c r="AS570" i="1" s="1"/>
  <c r="AS569" i="1"/>
  <c r="AH36" i="2"/>
  <c r="AX570" i="1" s="1"/>
  <c r="AX569" i="1"/>
  <c r="J40" i="2"/>
  <c r="O80" i="2"/>
  <c r="O75" i="2"/>
  <c r="O85" i="2" s="1"/>
  <c r="AE14" i="1" s="1"/>
  <c r="S75" i="2"/>
  <c r="X77" i="2" s="1"/>
  <c r="X43" i="2"/>
  <c r="S44" i="2"/>
  <c r="S80" i="2"/>
  <c r="X82" i="2" s="1"/>
  <c r="AH310" i="1"/>
  <c r="BU46" i="2"/>
  <c r="W47" i="2"/>
  <c r="AT310" i="1"/>
  <c r="AT313" i="1" s="1"/>
  <c r="AD98" i="2"/>
  <c r="AY28" i="2"/>
  <c r="BE35" i="2"/>
  <c r="BE32" i="2"/>
  <c r="BU569" i="1" s="1"/>
  <c r="BE565" i="1"/>
  <c r="AM98" i="2"/>
  <c r="AM82" i="2"/>
  <c r="BC314" i="1" s="1"/>
  <c r="AG318" i="1"/>
  <c r="AG12" i="1"/>
  <c r="AG370" i="1" s="1"/>
  <c r="AG332" i="1"/>
  <c r="AF97" i="2"/>
  <c r="AF99" i="2"/>
  <c r="AF100" i="2"/>
  <c r="AF96" i="2"/>
  <c r="AV580" i="1"/>
  <c r="T82" i="2"/>
  <c r="AE82" i="2"/>
  <c r="AE90" i="2"/>
  <c r="AE206" i="2" s="1"/>
  <c r="AI97" i="2"/>
  <c r="AI99" i="2"/>
  <c r="AI96" i="2"/>
  <c r="AI82" i="2"/>
  <c r="AY314" i="1" s="1"/>
  <c r="AI98" i="2"/>
  <c r="BC20" i="2"/>
  <c r="BF19" i="2"/>
  <c r="BC17" i="2"/>
  <c r="BS586" i="1" s="1"/>
  <c r="AI100" i="2"/>
  <c r="AI205" i="2"/>
  <c r="AI206" i="2" s="1"/>
  <c r="C96" i="2"/>
  <c r="C97" i="2"/>
  <c r="C98" i="2"/>
  <c r="C99" i="2"/>
  <c r="G99" i="2"/>
  <c r="G86" i="2"/>
  <c r="G97" i="2"/>
  <c r="G98" i="2"/>
  <c r="G96" i="2"/>
  <c r="L97" i="2"/>
  <c r="L98" i="2"/>
  <c r="L99" i="2"/>
  <c r="L77" i="2"/>
  <c r="L96" i="2"/>
  <c r="AB313" i="1"/>
  <c r="AG314" i="1" s="1"/>
  <c r="L171" i="2"/>
  <c r="Q96" i="2"/>
  <c r="Q97" i="2"/>
  <c r="Q99" i="2"/>
  <c r="X97" i="2"/>
  <c r="X138" i="2"/>
  <c r="AN313" i="1"/>
  <c r="X86" i="2"/>
  <c r="X99" i="2"/>
  <c r="X171" i="2"/>
  <c r="X172" i="2" s="1"/>
  <c r="X96" i="2"/>
  <c r="Y115" i="2"/>
  <c r="AN580" i="1"/>
  <c r="AC99" i="2"/>
  <c r="AC77" i="2"/>
  <c r="AS581" i="1" s="1"/>
  <c r="AC86" i="2"/>
  <c r="AS313" i="1"/>
  <c r="AS324" i="1" s="1"/>
  <c r="AS326" i="1" s="1"/>
  <c r="AC96" i="2"/>
  <c r="AC98" i="2"/>
  <c r="AS580" i="1"/>
  <c r="AC166" i="2"/>
  <c r="AC175" i="2" s="1"/>
  <c r="AS32" i="2"/>
  <c r="BI569" i="1" s="1"/>
  <c r="AS33" i="2"/>
  <c r="AS35" i="2"/>
  <c r="AZ20" i="2"/>
  <c r="AZ17" i="2"/>
  <c r="BP586" i="1" s="1"/>
  <c r="BJ28" i="2"/>
  <c r="BJ25" i="2"/>
  <c r="BZ565" i="1" s="1"/>
  <c r="AX234" i="1"/>
  <c r="AT237" i="1"/>
  <c r="AY237" i="1"/>
  <c r="AJ12" i="1"/>
  <c r="AJ324" i="1"/>
  <c r="V51" i="2"/>
  <c r="AL573" i="1"/>
  <c r="AA51" i="2"/>
  <c r="AQ574" i="1" s="1"/>
  <c r="AQ573" i="1"/>
  <c r="BT53" i="2"/>
  <c r="AC664" i="1"/>
  <c r="M54" i="2"/>
  <c r="BT54" i="2" s="1"/>
  <c r="R54" i="2"/>
  <c r="BU54" i="2" s="1"/>
  <c r="AW664" i="1"/>
  <c r="AW665" i="1" s="1"/>
  <c r="AW666" i="1" s="1"/>
  <c r="BX53" i="2"/>
  <c r="AG46" i="2"/>
  <c r="AW572" i="1"/>
  <c r="W62" i="2"/>
  <c r="AM576" i="1"/>
  <c r="AB62" i="2"/>
  <c r="AM311" i="1"/>
  <c r="Q66" i="2"/>
  <c r="R66" i="2" s="1"/>
  <c r="R166" i="2" s="1"/>
  <c r="V66" i="2"/>
  <c r="AL577" i="1"/>
  <c r="AR52" i="2"/>
  <c r="AM17" i="2"/>
  <c r="AM86" i="2"/>
  <c r="AM108" i="2" s="1"/>
  <c r="BC245" i="1"/>
  <c r="BC278" i="1" s="1"/>
  <c r="AR16" i="2"/>
  <c r="BH585" i="1" s="1"/>
  <c r="BC585" i="1"/>
  <c r="AY35" i="2"/>
  <c r="AY33" i="2"/>
  <c r="AY32" i="2" s="1"/>
  <c r="BO569" i="1" s="1"/>
  <c r="AI71" i="2"/>
  <c r="AF90" i="2"/>
  <c r="H189" i="4"/>
  <c r="M38" i="2"/>
  <c r="BT38" i="2" s="1"/>
  <c r="H75" i="2"/>
  <c r="BS75" i="2" s="1"/>
  <c r="AZ32" i="2"/>
  <c r="BP569" i="1" s="1"/>
  <c r="BD63" i="2"/>
  <c r="BD62" i="2" s="1"/>
  <c r="BT577" i="1" s="1"/>
  <c r="AV313" i="1"/>
  <c r="AU313" i="1"/>
  <c r="L134" i="2"/>
  <c r="L135" i="2" s="1"/>
  <c r="L127" i="2"/>
  <c r="AO569" i="1"/>
  <c r="Y36" i="2"/>
  <c r="Y166" i="2"/>
  <c r="AO578" i="1"/>
  <c r="AY350" i="1"/>
  <c r="AY336" i="1"/>
  <c r="AK336" i="1"/>
  <c r="AP314" i="1"/>
  <c r="AP647" i="1" s="1"/>
  <c r="AK347" i="1"/>
  <c r="AW28" i="2"/>
  <c r="AW26" i="2"/>
  <c r="AW25" i="2" s="1"/>
  <c r="BM565" i="1" s="1"/>
  <c r="AZ63" i="2"/>
  <c r="AZ62" i="2"/>
  <c r="BP577" i="1" s="1"/>
  <c r="AZ65" i="2"/>
  <c r="AN90" i="2"/>
  <c r="AN96" i="2"/>
  <c r="AU33" i="2"/>
  <c r="AU32" i="2" s="1"/>
  <c r="BK569" i="1" s="1"/>
  <c r="AW20" i="2"/>
  <c r="AW17" i="2"/>
  <c r="BM586" i="1" s="1"/>
  <c r="BA19" i="2"/>
  <c r="AB252" i="1"/>
  <c r="AG246" i="1"/>
  <c r="AB246" i="1"/>
  <c r="L17" i="2" s="1"/>
  <c r="L21" i="2" s="1"/>
  <c r="AU35" i="2"/>
  <c r="L152" i="2"/>
  <c r="AK23" i="2"/>
  <c r="BU81" i="2"/>
  <c r="W54" i="2"/>
  <c r="BV54" i="2" s="1"/>
  <c r="R76" i="2"/>
  <c r="R99" i="2" s="1"/>
  <c r="BU99" i="2" s="1"/>
  <c r="BU24" i="2"/>
  <c r="AT234" i="1"/>
  <c r="AP237" i="1"/>
  <c r="AP245" i="1"/>
  <c r="AZ237" i="1"/>
  <c r="D125" i="4"/>
  <c r="T181" i="2"/>
  <c r="Y51" i="2"/>
  <c r="BV53" i="2"/>
  <c r="AH92" i="2"/>
  <c r="AX16" i="1" s="1"/>
  <c r="AH104" i="2"/>
  <c r="AH107" i="2"/>
  <c r="AH103" i="2"/>
  <c r="AD324" i="1"/>
  <c r="AD336" i="1"/>
  <c r="AD314" i="1"/>
  <c r="AD347" i="1"/>
  <c r="AD332" i="1"/>
  <c r="AI577" i="1"/>
  <c r="S186" i="2"/>
  <c r="D97" i="2"/>
  <c r="D99" i="2"/>
  <c r="D96" i="2"/>
  <c r="D98" i="2"/>
  <c r="I98" i="2"/>
  <c r="I97" i="2"/>
  <c r="I77" i="2"/>
  <c r="I99" i="2"/>
  <c r="I171" i="2"/>
  <c r="N96" i="2"/>
  <c r="N171" i="2"/>
  <c r="N172" i="2" s="1"/>
  <c r="N99" i="2"/>
  <c r="N97" i="2"/>
  <c r="N98" i="2"/>
  <c r="N77" i="2"/>
  <c r="N187" i="2" s="1"/>
  <c r="S99" i="2"/>
  <c r="AI580" i="1"/>
  <c r="S97" i="2"/>
  <c r="S115" i="2"/>
  <c r="T115" i="2" s="1"/>
  <c r="S96" i="2"/>
  <c r="S77" i="2"/>
  <c r="S171" i="2"/>
  <c r="S172" i="2" s="1"/>
  <c r="AM77" i="2"/>
  <c r="BC581" i="1" s="1"/>
  <c r="AH77" i="2"/>
  <c r="AX581" i="1" s="1"/>
  <c r="AH86" i="2"/>
  <c r="AJ98" i="2"/>
  <c r="AJ90" i="2"/>
  <c r="AJ99" i="2"/>
  <c r="AJ82" i="2"/>
  <c r="AZ314" i="1" s="1"/>
  <c r="AJ96" i="2"/>
  <c r="V157" i="2"/>
  <c r="AU65" i="2"/>
  <c r="AU63" i="2"/>
  <c r="AU62" i="2" s="1"/>
  <c r="BK577" i="1" s="1"/>
  <c r="AX32" i="2"/>
  <c r="BN569" i="1" s="1"/>
  <c r="AX33" i="2"/>
  <c r="AX35" i="2"/>
  <c r="BC32" i="2"/>
  <c r="BS569" i="1" s="1"/>
  <c r="BC35" i="2"/>
  <c r="BZ66" i="2"/>
  <c r="BG578" i="1"/>
  <c r="BF233" i="1"/>
  <c r="BF234" i="1" s="1"/>
  <c r="AU4" i="2"/>
  <c r="AT245" i="1"/>
  <c r="AD90" i="2"/>
  <c r="AG16" i="2"/>
  <c r="AD86" i="2"/>
  <c r="AT585" i="1"/>
  <c r="R156" i="2"/>
  <c r="R25" i="2"/>
  <c r="BU25" i="2" s="1"/>
  <c r="W29" i="2"/>
  <c r="AH308" i="1"/>
  <c r="AL76" i="2"/>
  <c r="BB308" i="1"/>
  <c r="BB313" i="1" s="1"/>
  <c r="BB564" i="1"/>
  <c r="AL25" i="2"/>
  <c r="AL81" i="2"/>
  <c r="BY24" i="2"/>
  <c r="BT31" i="2"/>
  <c r="AC309" i="1"/>
  <c r="R32" i="2"/>
  <c r="BU32" i="2" s="1"/>
  <c r="M76" i="2"/>
  <c r="M97" i="2" s="1"/>
  <c r="BT97" i="2" s="1"/>
  <c r="M81" i="2"/>
  <c r="M159" i="2"/>
  <c r="BB568" i="1"/>
  <c r="BY31" i="2"/>
  <c r="AQ36" i="2"/>
  <c r="AL32" i="2"/>
  <c r="AE36" i="2"/>
  <c r="AU569" i="1"/>
  <c r="AJ36" i="2"/>
  <c r="AZ569" i="1"/>
  <c r="T41" i="2"/>
  <c r="T138" i="2" s="1"/>
  <c r="T39" i="2"/>
  <c r="U75" i="2"/>
  <c r="Z43" i="2"/>
  <c r="U80" i="2"/>
  <c r="Z82" i="2" s="1"/>
  <c r="U44" i="2"/>
  <c r="H47" i="2"/>
  <c r="BS47" i="2" s="1"/>
  <c r="M47" i="2"/>
  <c r="BT47" i="2" s="1"/>
  <c r="AR572" i="1"/>
  <c r="AG59" i="2"/>
  <c r="AB47" i="2"/>
  <c r="BW46" i="2"/>
  <c r="AB76" i="2"/>
  <c r="T185" i="2"/>
  <c r="AJ573" i="1"/>
  <c r="M62" i="2"/>
  <c r="BT62" i="2" s="1"/>
  <c r="AW311" i="1"/>
  <c r="AG62" i="2"/>
  <c r="AG76" i="2"/>
  <c r="AG99" i="2" s="1"/>
  <c r="BX99" i="2" s="1"/>
  <c r="AW576" i="1"/>
  <c r="BX61" i="2"/>
  <c r="AG81" i="2"/>
  <c r="BI25" i="2"/>
  <c r="BY565" i="1" s="1"/>
  <c r="BK27" i="2"/>
  <c r="AG47" i="2"/>
  <c r="BX47" i="2" s="1"/>
  <c r="D86" i="2"/>
  <c r="AS18" i="2"/>
  <c r="AT35" i="2"/>
  <c r="BF27" i="2"/>
  <c r="BG25" i="2"/>
  <c r="BW565" i="1" s="1"/>
  <c r="BG65" i="2"/>
  <c r="AL62" i="2"/>
  <c r="BK19" i="2"/>
  <c r="BH35" i="2"/>
  <c r="H76" i="2"/>
  <c r="AH100" i="2"/>
  <c r="AS63" i="2"/>
  <c r="AS62" i="2" s="1"/>
  <c r="AX18" i="2"/>
  <c r="BK34" i="2"/>
  <c r="AZ26" i="2"/>
  <c r="AZ25" i="2" s="1"/>
  <c r="BP565" i="1" s="1"/>
  <c r="AM90" i="2"/>
  <c r="AM104" i="2" s="1"/>
  <c r="BD18" i="2"/>
  <c r="BH20" i="2"/>
  <c r="AX26" i="2"/>
  <c r="AX25" i="2" s="1"/>
  <c r="BN565" i="1" s="1"/>
  <c r="CS202" i="1"/>
  <c r="BW202" i="1"/>
  <c r="BX202" i="1" s="1"/>
  <c r="BY202" i="1" s="1"/>
  <c r="BZ202" i="1" s="1"/>
  <c r="CA202" i="1" s="1"/>
  <c r="CT202" i="1" s="1"/>
  <c r="S461" i="1"/>
  <c r="CH52" i="1"/>
  <c r="BJ380" i="1"/>
  <c r="AZ473" i="1"/>
  <c r="BA121" i="1"/>
  <c r="BB121" i="1" s="1"/>
  <c r="CO121" i="1" s="1"/>
  <c r="CK251" i="1"/>
  <c r="AH263" i="1"/>
  <c r="H155" i="1"/>
  <c r="I155" i="1" s="1"/>
  <c r="CF155" i="1" s="1"/>
  <c r="M149" i="1"/>
  <c r="N149" i="1" s="1"/>
  <c r="CG149" i="1" s="1"/>
  <c r="CA486" i="1"/>
  <c r="AH155" i="1"/>
  <c r="CK155" i="1" s="1"/>
  <c r="K506" i="1"/>
  <c r="L506" i="1" s="1"/>
  <c r="AJ37" i="1"/>
  <c r="BD366" i="1"/>
  <c r="BI366" i="1" s="1"/>
  <c r="BN366" i="1" s="1"/>
  <c r="BS366" i="1" s="1"/>
  <c r="BX366" i="1" s="1"/>
  <c r="M277" i="1"/>
  <c r="BA473" i="1"/>
  <c r="BB398" i="1"/>
  <c r="AG124" i="1"/>
  <c r="AH124" i="1" s="1"/>
  <c r="CK124" i="1" s="1"/>
  <c r="AY413" i="1"/>
  <c r="U425" i="1"/>
  <c r="U426" i="1" s="1"/>
  <c r="U225" i="1"/>
  <c r="J22" i="1"/>
  <c r="I51" i="1"/>
  <c r="AR52" i="1"/>
  <c r="AE211" i="1"/>
  <c r="AE225" i="1" s="1"/>
  <c r="AI211" i="1"/>
  <c r="AI225" i="1" s="1"/>
  <c r="AJ459" i="1"/>
  <c r="Z157" i="2"/>
  <c r="Z83" i="2"/>
  <c r="Z181" i="2"/>
  <c r="AP566" i="1"/>
  <c r="Z182" i="2"/>
  <c r="Z160" i="2"/>
  <c r="AP570" i="1"/>
  <c r="AP569" i="1"/>
  <c r="BH32" i="2"/>
  <c r="BX569" i="1" s="1"/>
  <c r="BD17" i="2"/>
  <c r="BT586" i="1" s="1"/>
  <c r="BF34" i="2"/>
  <c r="BC63" i="2"/>
  <c r="BC62" i="2" s="1"/>
  <c r="AM99" i="2"/>
  <c r="S39" i="2"/>
  <c r="BH26" i="2"/>
  <c r="BH25" i="2" s="1"/>
  <c r="BX565" i="1" s="1"/>
  <c r="BY76" i="2"/>
  <c r="AH27" i="2"/>
  <c r="AX566" i="1"/>
  <c r="Z172" i="2"/>
  <c r="I188" i="4"/>
  <c r="AX20" i="2"/>
  <c r="AW236" i="1"/>
  <c r="CN236" i="1" s="1"/>
  <c r="N82" i="2"/>
  <c r="BH65" i="2"/>
  <c r="J82" i="2"/>
  <c r="AR83" i="2"/>
  <c r="AX665" i="1"/>
  <c r="AX666" i="1" s="1"/>
  <c r="K82" i="2"/>
  <c r="AZ592" i="1"/>
  <c r="BE592" i="1" s="1"/>
  <c r="BJ592" i="1" s="1"/>
  <c r="AU605" i="1"/>
  <c r="AO68" i="2"/>
  <c r="AA518" i="1"/>
  <c r="AB518" i="1" s="1"/>
  <c r="S276" i="1"/>
  <c r="CH276" i="1" s="1"/>
  <c r="BG185" i="1"/>
  <c r="CP185" i="1" s="1"/>
  <c r="BH437" i="1"/>
  <c r="BI438" i="1"/>
  <c r="Y515" i="1"/>
  <c r="Z515" i="1" s="1"/>
  <c r="CI130" i="1"/>
  <c r="BS345" i="1"/>
  <c r="CH317" i="1"/>
  <c r="AZ460" i="1"/>
  <c r="BD406" i="1"/>
  <c r="V153" i="2"/>
  <c r="AW159" i="1"/>
  <c r="CN159" i="1" s="1"/>
  <c r="X120" i="1"/>
  <c r="CI120" i="1" s="1"/>
  <c r="CN329" i="1"/>
  <c r="BG131" i="1"/>
  <c r="CP131" i="1" s="1"/>
  <c r="H126" i="1"/>
  <c r="M147" i="1"/>
  <c r="N147" i="1" s="1"/>
  <c r="CG147" i="1" s="1"/>
  <c r="AH142" i="1"/>
  <c r="CK142" i="1" s="1"/>
  <c r="BL485" i="1"/>
  <c r="CI121" i="1"/>
  <c r="M132" i="1"/>
  <c r="N132" i="1" s="1"/>
  <c r="CG132" i="1" s="1"/>
  <c r="AB132" i="1"/>
  <c r="AC132" i="1" s="1"/>
  <c r="Q485" i="1"/>
  <c r="R151" i="1"/>
  <c r="S151" i="1" s="1"/>
  <c r="CA485" i="1"/>
  <c r="BC225" i="1"/>
  <c r="AV157" i="1"/>
  <c r="AU473" i="1"/>
  <c r="AV124" i="1"/>
  <c r="AW124" i="1" s="1"/>
  <c r="N405" i="1"/>
  <c r="AG139" i="1"/>
  <c r="AH139" i="1" s="1"/>
  <c r="CK139" i="1" s="1"/>
  <c r="H150" i="1"/>
  <c r="I150" i="1" s="1"/>
  <c r="CF150" i="1" s="1"/>
  <c r="CJ56" i="1"/>
  <c r="AU140" i="1"/>
  <c r="AB520" i="1"/>
  <c r="N118" i="1"/>
  <c r="CG118" i="1" s="1"/>
  <c r="S116" i="1"/>
  <c r="CH116" i="1" s="1"/>
  <c r="K52" i="1"/>
  <c r="AT144" i="1"/>
  <c r="R152" i="1"/>
  <c r="S152" i="1" s="1"/>
  <c r="CH152" i="1" s="1"/>
  <c r="J505" i="1"/>
  <c r="AS211" i="1"/>
  <c r="AS225" i="1" s="1"/>
  <c r="AG413" i="1"/>
  <c r="P8" i="2"/>
  <c r="U8" i="2"/>
  <c r="BL412" i="1"/>
  <c r="O332" i="1"/>
  <c r="AZ413" i="1"/>
  <c r="CA412" i="1"/>
  <c r="D413" i="1"/>
  <c r="M4" i="2"/>
  <c r="T5" i="2"/>
  <c r="CA399" i="1"/>
  <c r="O225" i="1"/>
  <c r="P266" i="1"/>
  <c r="AA314" i="1"/>
  <c r="D406" i="1"/>
  <c r="BF576" i="1"/>
  <c r="BE245" i="1"/>
  <c r="AT605" i="1"/>
  <c r="AT652" i="1" s="1"/>
  <c r="AY592" i="1"/>
  <c r="BD592" i="1" s="1"/>
  <c r="BD605" i="1" s="1"/>
  <c r="BD652" i="1" s="1"/>
  <c r="AC287" i="1"/>
  <c r="BS577" i="1"/>
  <c r="AT61" i="2"/>
  <c r="BE577" i="1"/>
  <c r="AO23" i="2"/>
  <c r="AC294" i="1"/>
  <c r="BI586" i="1"/>
  <c r="AS16" i="2"/>
  <c r="AX599" i="1"/>
  <c r="BN178" i="1"/>
  <c r="CQ178" i="1"/>
  <c r="V512" i="1"/>
  <c r="BP346" i="1"/>
  <c r="BG116" i="1"/>
  <c r="AS55" i="7"/>
  <c r="BI4" i="2"/>
  <c r="BJ577" i="1"/>
  <c r="BB585" i="1"/>
  <c r="BU346" i="1"/>
  <c r="BZ279" i="1"/>
  <c r="BI214" i="1"/>
  <c r="H503" i="1"/>
  <c r="J503" i="1" s="1"/>
  <c r="CH129" i="1"/>
  <c r="BF311" i="1"/>
  <c r="BO233" i="1"/>
  <c r="CF140" i="1"/>
  <c r="BM216" i="1"/>
  <c r="CQ216" i="1"/>
  <c r="S105" i="2"/>
  <c r="S174" i="2"/>
  <c r="S104" i="2"/>
  <c r="S107" i="2"/>
  <c r="S106" i="2"/>
  <c r="AM535" i="1"/>
  <c r="BJ221" i="1"/>
  <c r="BH206" i="1"/>
  <c r="AL60" i="7"/>
  <c r="AL61" i="7" s="1"/>
  <c r="BG424" i="1"/>
  <c r="BG425" i="1" s="1"/>
  <c r="CP206" i="1"/>
  <c r="O281" i="1"/>
  <c r="O282" i="1" s="1"/>
  <c r="O271" i="1"/>
  <c r="O273" i="1"/>
  <c r="O274" i="1" s="1"/>
  <c r="O507" i="1"/>
  <c r="AF92" i="7"/>
  <c r="AG46" i="7"/>
  <c r="N95" i="7"/>
  <c r="O50" i="7"/>
  <c r="AW67" i="1"/>
  <c r="AW65" i="1"/>
  <c r="CN65" i="1" s="1"/>
  <c r="BB137" i="1"/>
  <c r="BA383" i="1"/>
  <c r="BA397" i="1"/>
  <c r="O509" i="1"/>
  <c r="P509" i="1" s="1"/>
  <c r="AM127" i="1"/>
  <c r="CL127" i="1" s="1"/>
  <c r="CL140" i="1"/>
  <c r="R344" i="1"/>
  <c r="R38" i="1"/>
  <c r="I40" i="2"/>
  <c r="N41" i="2"/>
  <c r="N75" i="2"/>
  <c r="N85" i="2" s="1"/>
  <c r="AD14" i="1" s="1"/>
  <c r="Q370" i="1"/>
  <c r="V130" i="2"/>
  <c r="BM219" i="1"/>
  <c r="BN219" i="1" s="1"/>
  <c r="BO219" i="1" s="1"/>
  <c r="BP219" i="1" s="1"/>
  <c r="BQ219" i="1" s="1"/>
  <c r="CQ179" i="1"/>
  <c r="BM179" i="1"/>
  <c r="BB132" i="1"/>
  <c r="AM540" i="1"/>
  <c r="AI540" i="1"/>
  <c r="AJ540" i="1" s="1"/>
  <c r="AK540" i="1" s="1"/>
  <c r="AL540" i="1" s="1"/>
  <c r="R67" i="7"/>
  <c r="AZ50" i="7"/>
  <c r="AZ95" i="7" s="1"/>
  <c r="AY95" i="7"/>
  <c r="CP187" i="1"/>
  <c r="BH187" i="1"/>
  <c r="CI19" i="1"/>
  <c r="BF449" i="1"/>
  <c r="BG218" i="1"/>
  <c r="BG141" i="1"/>
  <c r="CP141" i="1" s="1"/>
  <c r="X160" i="2"/>
  <c r="AN570" i="1"/>
  <c r="CQ202" i="1"/>
  <c r="AO19" i="7"/>
  <c r="AO67" i="7" s="1"/>
  <c r="AP9" i="7"/>
  <c r="AQ9" i="7" s="1"/>
  <c r="AR9" i="7" s="1"/>
  <c r="AS9" i="7" s="1"/>
  <c r="AT9" i="7" s="1"/>
  <c r="AU9" i="7" s="1"/>
  <c r="AV9" i="7" s="1"/>
  <c r="AW9" i="7" s="1"/>
  <c r="AX9" i="7" s="1"/>
  <c r="AY9" i="7" s="1"/>
  <c r="AZ9" i="7" s="1"/>
  <c r="BA9" i="7" s="1"/>
  <c r="BB9" i="7" s="1"/>
  <c r="BC9" i="7" s="1"/>
  <c r="BD9" i="7" s="1"/>
  <c r="BE9" i="7" s="1"/>
  <c r="BF9" i="7" s="1"/>
  <c r="Q367" i="1"/>
  <c r="BG189" i="1"/>
  <c r="R8" i="2"/>
  <c r="BU8" i="2" s="1"/>
  <c r="S103" i="2"/>
  <c r="S110" i="2"/>
  <c r="S123" i="2"/>
  <c r="AI585" i="1"/>
  <c r="S17" i="2"/>
  <c r="K266" i="1"/>
  <c r="K252" i="1"/>
  <c r="P246" i="1"/>
  <c r="N245" i="1"/>
  <c r="K246" i="1"/>
  <c r="K270" i="1"/>
  <c r="BM201" i="1"/>
  <c r="BN201" i="1" s="1"/>
  <c r="BO201" i="1" s="1"/>
  <c r="BP201" i="1" s="1"/>
  <c r="BQ201" i="1" s="1"/>
  <c r="CQ201" i="1"/>
  <c r="BA460" i="1"/>
  <c r="R79" i="7"/>
  <c r="N139" i="7"/>
  <c r="R138" i="7"/>
  <c r="H426" i="1"/>
  <c r="CM121" i="1"/>
  <c r="CK52" i="1"/>
  <c r="H504" i="1"/>
  <c r="J504" i="1" s="1"/>
  <c r="K504" i="1" s="1"/>
  <c r="Y517" i="1"/>
  <c r="AL406" i="1"/>
  <c r="N80" i="2"/>
  <c r="AQ406" i="1"/>
  <c r="X21" i="2"/>
  <c r="X178" i="2" s="1"/>
  <c r="Q130" i="2"/>
  <c r="Q134" i="2"/>
  <c r="Q135" i="2" s="1"/>
  <c r="BS7" i="2"/>
  <c r="M8" i="2"/>
  <c r="BT8" i="2" s="1"/>
  <c r="Z514" i="1"/>
  <c r="AA514" i="1" s="1"/>
  <c r="AB514" i="1" s="1"/>
  <c r="AD14" i="7"/>
  <c r="AK70" i="7"/>
  <c r="AL70" i="7" s="1"/>
  <c r="AL24" i="7"/>
  <c r="CL126" i="1"/>
  <c r="I104" i="7"/>
  <c r="I295" i="1"/>
  <c r="AV405" i="1"/>
  <c r="AW115" i="1"/>
  <c r="CL121" i="1"/>
  <c r="O25" i="1"/>
  <c r="O18" i="1"/>
  <c r="O370" i="1"/>
  <c r="L271" i="1"/>
  <c r="P507" i="1"/>
  <c r="AO32" i="7"/>
  <c r="AM96" i="2"/>
  <c r="AM97" i="2"/>
  <c r="M257" i="1"/>
  <c r="L258" i="1"/>
  <c r="AW152" i="1"/>
  <c r="R119" i="1"/>
  <c r="S119" i="1" s="1"/>
  <c r="CH119" i="1" s="1"/>
  <c r="AN218" i="1"/>
  <c r="AN569" i="1"/>
  <c r="M126" i="1"/>
  <c r="N126" i="1" s="1"/>
  <c r="AP138" i="1"/>
  <c r="AO500" i="1"/>
  <c r="AO526" i="1" s="1"/>
  <c r="AG147" i="1"/>
  <c r="O373" i="1"/>
  <c r="O367" i="1"/>
  <c r="H115" i="1"/>
  <c r="I115" i="1" s="1"/>
  <c r="CF115" i="1" s="1"/>
  <c r="AB140" i="1"/>
  <c r="AC140" i="1" s="1"/>
  <c r="O13" i="1"/>
  <c r="O371" i="1"/>
  <c r="O361" i="1"/>
  <c r="O384" i="1"/>
  <c r="AK476" i="1"/>
  <c r="X182" i="2"/>
  <c r="AF138" i="1"/>
  <c r="AE500" i="1"/>
  <c r="AE521" i="1" s="1"/>
  <c r="H147" i="1"/>
  <c r="CI117" i="1"/>
  <c r="M129" i="1"/>
  <c r="N129" i="1" s="1"/>
  <c r="CG129" i="1" s="1"/>
  <c r="AV142" i="1"/>
  <c r="AL148" i="1"/>
  <c r="AL157" i="1" s="1"/>
  <c r="AQ437" i="1"/>
  <c r="AM151" i="1"/>
  <c r="AB117" i="1"/>
  <c r="M117" i="1"/>
  <c r="AV130" i="1"/>
  <c r="AQ130" i="1"/>
  <c r="M51" i="1"/>
  <c r="AE121" i="1"/>
  <c r="AF121" i="1" s="1"/>
  <c r="AF473" i="1" s="1"/>
  <c r="AE129" i="1"/>
  <c r="P138" i="1"/>
  <c r="L148" i="1"/>
  <c r="Q225" i="1"/>
  <c r="AU225" i="1"/>
  <c r="Y104" i="7"/>
  <c r="AV605" i="1"/>
  <c r="BA592" i="1"/>
  <c r="AR151" i="1"/>
  <c r="M166" i="2"/>
  <c r="AS237" i="1"/>
  <c r="H323" i="1"/>
  <c r="L355" i="1"/>
  <c r="M355" i="1" s="1"/>
  <c r="AP573" i="1"/>
  <c r="AX585" i="1"/>
  <c r="AA29" i="2"/>
  <c r="W24" i="7"/>
  <c r="W70" i="7" s="1"/>
  <c r="W33" i="7"/>
  <c r="S45" i="7"/>
  <c r="BF141" i="7"/>
  <c r="AB323" i="1"/>
  <c r="AO436" i="1"/>
  <c r="T182" i="2"/>
  <c r="U186" i="2"/>
  <c r="AF166" i="2"/>
  <c r="AK68" i="2"/>
  <c r="AF137" i="7"/>
  <c r="AT20" i="2"/>
  <c r="AY26" i="2"/>
  <c r="AY25" i="2" s="1"/>
  <c r="BO565" i="1" s="1"/>
  <c r="BI18" i="2"/>
  <c r="BH17" i="2"/>
  <c r="BI28" i="2"/>
  <c r="BG62" i="2"/>
  <c r="BI63" i="2"/>
  <c r="BI62" i="2" s="1"/>
  <c r="BY577" i="1" s="1"/>
  <c r="AR18" i="2"/>
  <c r="AY63" i="2"/>
  <c r="AY62" i="2" s="1"/>
  <c r="BO577" i="1" s="1"/>
  <c r="BA27" i="2"/>
  <c r="AY65" i="2"/>
  <c r="BF132" i="7"/>
  <c r="BB33" i="2"/>
  <c r="BB32" i="2" s="1"/>
  <c r="BR569" i="1" s="1"/>
  <c r="Y437" i="1"/>
  <c r="AL71" i="1"/>
  <c r="BD270" i="1" l="1"/>
  <c r="BY16" i="2"/>
  <c r="AK246" i="1"/>
  <c r="L130" i="2"/>
  <c r="AI23" i="2"/>
  <c r="BI260" i="1"/>
  <c r="BI261" i="1" s="1"/>
  <c r="AG472" i="1"/>
  <c r="N91" i="2"/>
  <c r="O86" i="2"/>
  <c r="R16" i="2"/>
  <c r="BU16" i="2" s="1"/>
  <c r="BM174" i="1"/>
  <c r="BN174" i="1" s="1"/>
  <c r="BO174" i="1" s="1"/>
  <c r="BP174" i="1" s="1"/>
  <c r="BQ174" i="1" s="1"/>
  <c r="AR37" i="1"/>
  <c r="CK38" i="1"/>
  <c r="AH37" i="1"/>
  <c r="D282" i="1"/>
  <c r="CE282" i="1" s="1"/>
  <c r="AD252" i="1"/>
  <c r="CH245" i="1"/>
  <c r="R5" i="2"/>
  <c r="BU5" i="2" s="1"/>
  <c r="AN87" i="2"/>
  <c r="AE332" i="1"/>
  <c r="N288" i="1"/>
  <c r="Q40" i="1"/>
  <c r="BA324" i="1"/>
  <c r="BA326" i="1" s="1"/>
  <c r="O348" i="1"/>
  <c r="O349" i="1" s="1"/>
  <c r="U339" i="1"/>
  <c r="U340" i="1" s="1"/>
  <c r="E367" i="1"/>
  <c r="J13" i="1"/>
  <c r="Q369" i="1"/>
  <c r="E361" i="1"/>
  <c r="Q20" i="1"/>
  <c r="U337" i="1"/>
  <c r="E384" i="1"/>
  <c r="E18" i="1"/>
  <c r="E29" i="1"/>
  <c r="E373" i="1"/>
  <c r="Q368" i="1"/>
  <c r="E368" i="1"/>
  <c r="E42" i="1"/>
  <c r="E43" i="1" s="1"/>
  <c r="BA321" i="1"/>
  <c r="T365" i="1"/>
  <c r="T368" i="1"/>
  <c r="Q337" i="1"/>
  <c r="T13" i="1"/>
  <c r="T373" i="1"/>
  <c r="Y13" i="1"/>
  <c r="T361" i="1"/>
  <c r="D384" i="1"/>
  <c r="CE384" i="1" s="1"/>
  <c r="T369" i="1"/>
  <c r="T370" i="1"/>
  <c r="E365" i="1"/>
  <c r="E371" i="1"/>
  <c r="AU61" i="2"/>
  <c r="BK576" i="1" s="1"/>
  <c r="AU635" i="1"/>
  <c r="AU636" i="1" s="1"/>
  <c r="A75" i="5"/>
  <c r="A81" i="5"/>
  <c r="W8" i="2"/>
  <c r="BV8" i="2" s="1"/>
  <c r="AT24" i="2"/>
  <c r="BJ308" i="1" s="1"/>
  <c r="AH115" i="1"/>
  <c r="CK115" i="1" s="1"/>
  <c r="AG405" i="1"/>
  <c r="AW649" i="1"/>
  <c r="BC599" i="1"/>
  <c r="BC649" i="1" s="1"/>
  <c r="BC655" i="1" s="1"/>
  <c r="BH592" i="1"/>
  <c r="BM592" i="1" s="1"/>
  <c r="AH534" i="1"/>
  <c r="N423" i="1"/>
  <c r="BO234" i="1"/>
  <c r="AP436" i="1"/>
  <c r="V134" i="2"/>
  <c r="V135" i="2" s="1"/>
  <c r="AX258" i="1"/>
  <c r="AX260" i="1" s="1"/>
  <c r="R501" i="1"/>
  <c r="AM437" i="1"/>
  <c r="AM436" i="1" s="1"/>
  <c r="V367" i="1"/>
  <c r="N153" i="1"/>
  <c r="CG153" i="1" s="1"/>
  <c r="BC318" i="1"/>
  <c r="BC320" i="1" s="1"/>
  <c r="BH320" i="1" s="1"/>
  <c r="AL137" i="7"/>
  <c r="I426" i="1"/>
  <c r="M17" i="1"/>
  <c r="N17" i="1" s="1"/>
  <c r="BD79" i="7"/>
  <c r="BF79" i="7" s="1"/>
  <c r="BE33" i="7"/>
  <c r="BE79" i="7" s="1"/>
  <c r="AG117" i="1"/>
  <c r="AG360" i="1" s="1"/>
  <c r="AH360" i="1" s="1"/>
  <c r="BC90" i="7"/>
  <c r="BD44" i="7"/>
  <c r="AS79" i="7"/>
  <c r="AT33" i="7"/>
  <c r="AR132" i="1"/>
  <c r="CM132" i="1" s="1"/>
  <c r="R157" i="2"/>
  <c r="V178" i="2"/>
  <c r="K474" i="1"/>
  <c r="X157" i="1"/>
  <c r="CI157" i="1" s="1"/>
  <c r="L281" i="1"/>
  <c r="L282" i="1" s="1"/>
  <c r="Y181" i="2"/>
  <c r="BX54" i="2"/>
  <c r="AB137" i="7"/>
  <c r="X437" i="1"/>
  <c r="O431" i="1"/>
  <c r="O432" i="1"/>
  <c r="O434" i="1" s="1"/>
  <c r="P430" i="1" s="1"/>
  <c r="O29" i="1"/>
  <c r="T511" i="1"/>
  <c r="U511" i="1" s="1"/>
  <c r="X127" i="1"/>
  <c r="W476" i="1"/>
  <c r="W460" i="1"/>
  <c r="T513" i="1"/>
  <c r="U513" i="1" s="1"/>
  <c r="V513" i="1" s="1"/>
  <c r="W513" i="1"/>
  <c r="Y513" i="1" s="1"/>
  <c r="S423" i="1"/>
  <c r="S426" i="1" s="1"/>
  <c r="R426" i="1"/>
  <c r="AB91" i="7"/>
  <c r="AG91" i="7"/>
  <c r="AT615" i="1"/>
  <c r="AT617" i="1" s="1"/>
  <c r="K460" i="1"/>
  <c r="K476" i="1"/>
  <c r="T273" i="1"/>
  <c r="T274" i="1" s="1"/>
  <c r="T271" i="1"/>
  <c r="T27" i="1"/>
  <c r="T432" i="1"/>
  <c r="T431" i="1"/>
  <c r="X475" i="1"/>
  <c r="CI137" i="1"/>
  <c r="BC92" i="7"/>
  <c r="BD46" i="7"/>
  <c r="Z460" i="1"/>
  <c r="Z476" i="1"/>
  <c r="L127" i="1"/>
  <c r="AE85" i="7"/>
  <c r="AF39" i="7"/>
  <c r="X334" i="1"/>
  <c r="CI334" i="1" s="1"/>
  <c r="CI329" i="1"/>
  <c r="AY79" i="7"/>
  <c r="AZ33" i="7"/>
  <c r="AZ79" i="7" s="1"/>
  <c r="O29" i="7"/>
  <c r="O75" i="7" s="1"/>
  <c r="N75" i="7"/>
  <c r="U127" i="2"/>
  <c r="U130" i="2"/>
  <c r="AH211" i="1"/>
  <c r="CK204" i="1"/>
  <c r="K485" i="1"/>
  <c r="W137" i="7"/>
  <c r="M9" i="7"/>
  <c r="M19" i="7" s="1"/>
  <c r="L19" i="7"/>
  <c r="L67" i="7" s="1"/>
  <c r="L104" i="7" s="1"/>
  <c r="AM97" i="7"/>
  <c r="AN52" i="7"/>
  <c r="AT78" i="7"/>
  <c r="AU32" i="7"/>
  <c r="AU78" i="7" s="1"/>
  <c r="R137" i="7"/>
  <c r="S77" i="7"/>
  <c r="T31" i="7"/>
  <c r="T77" i="7" s="1"/>
  <c r="R271" i="1"/>
  <c r="R265" i="1"/>
  <c r="J437" i="1"/>
  <c r="AL117" i="1"/>
  <c r="AM117" i="1" s="1"/>
  <c r="CL117" i="1" s="1"/>
  <c r="W398" i="1"/>
  <c r="AX278" i="1"/>
  <c r="AQ21" i="2"/>
  <c r="BG587" i="1" s="1"/>
  <c r="BD63" i="1"/>
  <c r="AS23" i="2"/>
  <c r="CQ176" i="1"/>
  <c r="X166" i="2"/>
  <c r="CJ239" i="1"/>
  <c r="AP578" i="1"/>
  <c r="BA318" i="1"/>
  <c r="BA320" i="1" s="1"/>
  <c r="W5" i="2"/>
  <c r="BV5" i="2" s="1"/>
  <c r="C348" i="1"/>
  <c r="C351" i="1" s="1"/>
  <c r="T29" i="1"/>
  <c r="T31" i="1" s="1"/>
  <c r="BK197" i="1"/>
  <c r="BL197" i="1" s="1"/>
  <c r="AR383" i="1"/>
  <c r="P141" i="2"/>
  <c r="O141" i="2"/>
  <c r="O142" i="2" s="1"/>
  <c r="F281" i="1"/>
  <c r="F282" i="1" s="1"/>
  <c r="AB5" i="2"/>
  <c r="BW5" i="2" s="1"/>
  <c r="CK317" i="1"/>
  <c r="I38" i="1"/>
  <c r="CF38" i="1" s="1"/>
  <c r="AX78" i="7"/>
  <c r="AY32" i="7"/>
  <c r="V225" i="1"/>
  <c r="R329" i="1"/>
  <c r="R336" i="1" s="1"/>
  <c r="R348" i="1" s="1"/>
  <c r="R349" i="1" s="1"/>
  <c r="S323" i="1"/>
  <c r="R19" i="1"/>
  <c r="S19" i="1" s="1"/>
  <c r="CH19" i="1" s="1"/>
  <c r="F144" i="1"/>
  <c r="AN5" i="7"/>
  <c r="AL19" i="7"/>
  <c r="Z271" i="1"/>
  <c r="Z281" i="1"/>
  <c r="Z282" i="1" s="1"/>
  <c r="Z273" i="1"/>
  <c r="Z274" i="1" s="1"/>
  <c r="AP29" i="7"/>
  <c r="AP75" i="7" s="1"/>
  <c r="AO75" i="7"/>
  <c r="Z90" i="7"/>
  <c r="Z57" i="7"/>
  <c r="AA44" i="7"/>
  <c r="K366" i="1"/>
  <c r="K22" i="1"/>
  <c r="AR334" i="1"/>
  <c r="CM334" i="1" s="1"/>
  <c r="CM329" i="1"/>
  <c r="CO223" i="1"/>
  <c r="BB225" i="1"/>
  <c r="CO225" i="1" s="1"/>
  <c r="AS92" i="7"/>
  <c r="AT46" i="7"/>
  <c r="AY90" i="7"/>
  <c r="AZ44" i="7"/>
  <c r="AZ90" i="7" s="1"/>
  <c r="CN22" i="1"/>
  <c r="AW431" i="1"/>
  <c r="AP33" i="7"/>
  <c r="AP79" i="7" s="1"/>
  <c r="AO79" i="7"/>
  <c r="AI32" i="7"/>
  <c r="AH78" i="7"/>
  <c r="CK323" i="1"/>
  <c r="AH329" i="1"/>
  <c r="X34" i="7"/>
  <c r="X80" i="7" s="1"/>
  <c r="W80" i="7"/>
  <c r="BR279" i="1"/>
  <c r="BM346" i="1"/>
  <c r="BM344" i="1" s="1"/>
  <c r="R137" i="1"/>
  <c r="Q397" i="1"/>
  <c r="Q399" i="1" s="1"/>
  <c r="Q383" i="1"/>
  <c r="CN204" i="1"/>
  <c r="AW211" i="1"/>
  <c r="CN211" i="1" s="1"/>
  <c r="CR151" i="1"/>
  <c r="BQ485" i="1"/>
  <c r="BH209" i="1"/>
  <c r="CP209" i="1"/>
  <c r="S139" i="7"/>
  <c r="T138" i="7"/>
  <c r="AZ30" i="7"/>
  <c r="AZ76" i="7" s="1"/>
  <c r="AY76" i="7"/>
  <c r="BA76" i="7" s="1"/>
  <c r="AD225" i="1"/>
  <c r="AE101" i="7"/>
  <c r="AF102" i="7"/>
  <c r="AE57" i="7"/>
  <c r="AE58" i="7" s="1"/>
  <c r="AD431" i="1"/>
  <c r="AD27" i="1"/>
  <c r="I366" i="1"/>
  <c r="N437" i="1"/>
  <c r="BF137" i="7"/>
  <c r="BB152" i="1"/>
  <c r="CO152" i="1" s="1"/>
  <c r="AL132" i="1"/>
  <c r="AM132" i="1" s="1"/>
  <c r="CL132" i="1" s="1"/>
  <c r="BB473" i="1"/>
  <c r="Q18" i="1"/>
  <c r="R139" i="7"/>
  <c r="S85" i="2"/>
  <c r="AI14" i="1" s="1"/>
  <c r="Q372" i="1"/>
  <c r="Q42" i="1"/>
  <c r="Q49" i="1" s="1"/>
  <c r="Q371" i="1"/>
  <c r="N57" i="7"/>
  <c r="AX270" i="1"/>
  <c r="AX281" i="1" s="1"/>
  <c r="AX282" i="1" s="1"/>
  <c r="BB245" i="1"/>
  <c r="CO245" i="1" s="1"/>
  <c r="BF586" i="1"/>
  <c r="AS24" i="2"/>
  <c r="BI308" i="1" s="1"/>
  <c r="AZ474" i="1"/>
  <c r="AL90" i="2"/>
  <c r="AL103" i="2" s="1"/>
  <c r="BY103" i="2" s="1"/>
  <c r="AL86" i="2"/>
  <c r="BY86" i="2" s="1"/>
  <c r="AS646" i="1"/>
  <c r="AS653" i="1" s="1"/>
  <c r="AL566" i="1"/>
  <c r="L90" i="2"/>
  <c r="L91" i="2" s="1"/>
  <c r="AB270" i="1"/>
  <c r="AB271" i="1" s="1"/>
  <c r="AV258" i="1"/>
  <c r="AV260" i="1" s="1"/>
  <c r="BV25" i="2"/>
  <c r="AN578" i="1"/>
  <c r="AA166" i="2"/>
  <c r="AS586" i="1"/>
  <c r="BA347" i="1"/>
  <c r="AH23" i="2"/>
  <c r="Y16" i="2"/>
  <c r="Y123" i="2" s="1"/>
  <c r="Q474" i="1"/>
  <c r="R324" i="1"/>
  <c r="AA337" i="1"/>
  <c r="C337" i="1"/>
  <c r="AC23" i="2"/>
  <c r="T42" i="1"/>
  <c r="T49" i="1" s="1"/>
  <c r="L144" i="1"/>
  <c r="AQ254" i="1"/>
  <c r="W485" i="1"/>
  <c r="AC17" i="1"/>
  <c r="AC366" i="1" s="1"/>
  <c r="N144" i="2"/>
  <c r="Q144" i="2" s="1"/>
  <c r="BA425" i="1"/>
  <c r="BA426" i="1" s="1"/>
  <c r="U399" i="1"/>
  <c r="H137" i="1"/>
  <c r="AU476" i="1"/>
  <c r="L86" i="2"/>
  <c r="L106" i="2" s="1"/>
  <c r="Q153" i="2"/>
  <c r="AC245" i="1"/>
  <c r="AB258" i="1"/>
  <c r="AX246" i="1"/>
  <c r="AY12" i="1"/>
  <c r="AY367" i="1" s="1"/>
  <c r="U134" i="2"/>
  <c r="U135" i="2" s="1"/>
  <c r="AN95" i="7"/>
  <c r="AO50" i="7"/>
  <c r="AQ366" i="1"/>
  <c r="AR17" i="1"/>
  <c r="Q360" i="1"/>
  <c r="Q361" i="1" s="1"/>
  <c r="R117" i="1"/>
  <c r="Z337" i="1"/>
  <c r="Z339" i="1"/>
  <c r="Z340" i="1" s="1"/>
  <c r="AA127" i="1"/>
  <c r="BF75" i="7"/>
  <c r="AZ46" i="7"/>
  <c r="AZ92" i="7" s="1"/>
  <c r="AY92" i="7"/>
  <c r="R80" i="7"/>
  <c r="L63" i="7"/>
  <c r="L64" i="7" s="1"/>
  <c r="L58" i="7"/>
  <c r="AJ23" i="2"/>
  <c r="AZ586" i="1"/>
  <c r="BE397" i="1"/>
  <c r="BE399" i="1" s="1"/>
  <c r="BE383" i="1"/>
  <c r="Y375" i="1"/>
  <c r="Z375" i="1" s="1"/>
  <c r="AA375" i="1" s="1"/>
  <c r="AB375" i="1" s="1"/>
  <c r="AF114" i="1"/>
  <c r="AH114" i="1" s="1"/>
  <c r="AF37" i="1"/>
  <c r="AT29" i="7"/>
  <c r="AS75" i="7"/>
  <c r="AO85" i="7"/>
  <c r="AP39" i="7"/>
  <c r="AP85" i="7" s="1"/>
  <c r="M57" i="7"/>
  <c r="S446" i="1"/>
  <c r="Z27" i="1"/>
  <c r="Z431" i="1"/>
  <c r="P476" i="1"/>
  <c r="P460" i="1"/>
  <c r="CS151" i="1"/>
  <c r="BV485" i="1"/>
  <c r="W273" i="1"/>
  <c r="W274" i="1" s="1"/>
  <c r="W271" i="1"/>
  <c r="AH95" i="7"/>
  <c r="AI50" i="7"/>
  <c r="M39" i="1"/>
  <c r="N39" i="1" s="1"/>
  <c r="CG39" i="1" s="1"/>
  <c r="F426" i="1"/>
  <c r="AH19" i="1"/>
  <c r="CK19" i="1" s="1"/>
  <c r="AI76" i="7"/>
  <c r="AJ30" i="7"/>
  <c r="AG29" i="7"/>
  <c r="AH29" i="7" s="1"/>
  <c r="AF75" i="7"/>
  <c r="AG75" i="7" s="1"/>
  <c r="AA163" i="2"/>
  <c r="X23" i="2"/>
  <c r="X83" i="2"/>
  <c r="BA476" i="1"/>
  <c r="Q271" i="1"/>
  <c r="Q25" i="1"/>
  <c r="Q373" i="1"/>
  <c r="Q29" i="1"/>
  <c r="Q33" i="1" s="1"/>
  <c r="BC593" i="1"/>
  <c r="BE605" i="1"/>
  <c r="BG234" i="1"/>
  <c r="CP234" i="1" s="1"/>
  <c r="AJ87" i="2"/>
  <c r="AL7" i="2"/>
  <c r="CP214" i="1"/>
  <c r="AW599" i="1"/>
  <c r="AW600" i="1" s="1"/>
  <c r="AE520" i="1"/>
  <c r="AF520" i="1" s="1"/>
  <c r="AG520" i="1" s="1"/>
  <c r="BK380" i="1"/>
  <c r="N383" i="1"/>
  <c r="Q17" i="2"/>
  <c r="Q178" i="2" s="1"/>
  <c r="AJ336" i="1"/>
  <c r="AJ339" i="1" s="1"/>
  <c r="BA336" i="1"/>
  <c r="AH21" i="2"/>
  <c r="AX587" i="1" s="1"/>
  <c r="BI259" i="1"/>
  <c r="AQ657" i="1"/>
  <c r="AQ658" i="1" s="1"/>
  <c r="G37" i="1"/>
  <c r="R276" i="1"/>
  <c r="R281" i="1" s="1"/>
  <c r="R282" i="1" s="1"/>
  <c r="T281" i="1"/>
  <c r="T282" i="1" s="1"/>
  <c r="N142" i="1"/>
  <c r="AE399" i="1"/>
  <c r="M366" i="1"/>
  <c r="BA153" i="1"/>
  <c r="BB153" i="1" s="1"/>
  <c r="CO153" i="1" s="1"/>
  <c r="S61" i="7"/>
  <c r="D42" i="1"/>
  <c r="CE42" i="1" s="1"/>
  <c r="D25" i="1"/>
  <c r="CE25" i="1" s="1"/>
  <c r="Q475" i="1"/>
  <c r="E33" i="1"/>
  <c r="E34" i="1" s="1"/>
  <c r="BB431" i="1"/>
  <c r="J18" i="1"/>
  <c r="J367" i="1"/>
  <c r="J373" i="1"/>
  <c r="AH151" i="1"/>
  <c r="I46" i="1"/>
  <c r="CF46" i="1" s="1"/>
  <c r="AV639" i="1"/>
  <c r="CI211" i="1"/>
  <c r="AM71" i="7"/>
  <c r="AB57" i="7"/>
  <c r="I91" i="2"/>
  <c r="AQ650" i="1"/>
  <c r="BA350" i="1"/>
  <c r="J40" i="1"/>
  <c r="BC78" i="7"/>
  <c r="BD32" i="7"/>
  <c r="Y431" i="1"/>
  <c r="Y27" i="1"/>
  <c r="Y432" i="1"/>
  <c r="G141" i="1"/>
  <c r="H141" i="1" s="1"/>
  <c r="I141" i="1" s="1"/>
  <c r="CF141" i="1" s="1"/>
  <c r="R115" i="1"/>
  <c r="T372" i="1"/>
  <c r="T367" i="1"/>
  <c r="T25" i="1"/>
  <c r="T20" i="1"/>
  <c r="AB12" i="7"/>
  <c r="AA19" i="7"/>
  <c r="AA67" i="7" s="1"/>
  <c r="BB151" i="1"/>
  <c r="BA485" i="1"/>
  <c r="T18" i="1"/>
  <c r="S223" i="1"/>
  <c r="H52" i="1"/>
  <c r="I50" i="1"/>
  <c r="I52" i="1" s="1"/>
  <c r="CF52" i="1" s="1"/>
  <c r="AW425" i="1"/>
  <c r="BD399" i="1"/>
  <c r="BC95" i="7"/>
  <c r="BD50" i="7"/>
  <c r="O123" i="2"/>
  <c r="O152" i="2"/>
  <c r="O153" i="2" s="1"/>
  <c r="W383" i="1"/>
  <c r="W475" i="1"/>
  <c r="W397" i="1"/>
  <c r="X397" i="1" s="1"/>
  <c r="CF223" i="1"/>
  <c r="AF539" i="1"/>
  <c r="AG541" i="1"/>
  <c r="Z92" i="7"/>
  <c r="AA46" i="7"/>
  <c r="AA92" i="7" s="1"/>
  <c r="AO90" i="7"/>
  <c r="AP44" i="7"/>
  <c r="AP90" i="7" s="1"/>
  <c r="AL45" i="7"/>
  <c r="AK91" i="7"/>
  <c r="L151" i="1"/>
  <c r="L485" i="1" s="1"/>
  <c r="W57" i="7"/>
  <c r="W63" i="7" s="1"/>
  <c r="W64" i="7" s="1"/>
  <c r="V63" i="7"/>
  <c r="V64" i="7" s="1"/>
  <c r="T446" i="1"/>
  <c r="N211" i="1"/>
  <c r="CG204" i="1"/>
  <c r="AH117" i="1"/>
  <c r="CK117" i="1" s="1"/>
  <c r="BC85" i="7"/>
  <c r="BD39" i="7"/>
  <c r="AB114" i="1"/>
  <c r="AB398" i="1" s="1"/>
  <c r="AC38" i="1"/>
  <c r="CJ38" i="1" s="1"/>
  <c r="AF90" i="7"/>
  <c r="AG44" i="7"/>
  <c r="BD278" i="1"/>
  <c r="BD252" i="1"/>
  <c r="BD254" i="1" s="1"/>
  <c r="BI254" i="1" s="1"/>
  <c r="Y271" i="1"/>
  <c r="Y273" i="1"/>
  <c r="Y274" i="1" s="1"/>
  <c r="BE437" i="1"/>
  <c r="BE436" i="1" s="1"/>
  <c r="BE485" i="1"/>
  <c r="BE157" i="1"/>
  <c r="BG151" i="1"/>
  <c r="X446" i="1"/>
  <c r="T437" i="1"/>
  <c r="S437" i="1"/>
  <c r="AB77" i="7"/>
  <c r="Q132" i="1"/>
  <c r="AK31" i="7"/>
  <c r="AJ77" i="7"/>
  <c r="AJ33" i="7"/>
  <c r="AI79" i="7"/>
  <c r="CL39" i="1"/>
  <c r="V472" i="1"/>
  <c r="V474" i="1" s="1"/>
  <c r="AP472" i="1"/>
  <c r="O40" i="1"/>
  <c r="W115" i="1"/>
  <c r="W405" i="1" s="1"/>
  <c r="W406" i="1" s="1"/>
  <c r="AD398" i="1"/>
  <c r="AA474" i="1"/>
  <c r="AU24" i="2"/>
  <c r="BK308" i="1" s="1"/>
  <c r="AP23" i="2"/>
  <c r="BF565" i="1"/>
  <c r="S175" i="2"/>
  <c r="N107" i="2"/>
  <c r="BD246" i="1"/>
  <c r="AY252" i="1"/>
  <c r="AY254" i="1" s="1"/>
  <c r="BH577" i="1"/>
  <c r="AJ501" i="1"/>
  <c r="AK501" i="1" s="1"/>
  <c r="AN474" i="1"/>
  <c r="AM405" i="1"/>
  <c r="V13" i="1"/>
  <c r="V361" i="1"/>
  <c r="V365" i="1"/>
  <c r="V371" i="1"/>
  <c r="AZ318" i="1"/>
  <c r="AZ320" i="1" s="1"/>
  <c r="AY384" i="1"/>
  <c r="V372" i="1"/>
  <c r="AZ646" i="1"/>
  <c r="V373" i="1"/>
  <c r="V368" i="1"/>
  <c r="AZ347" i="1"/>
  <c r="V20" i="1"/>
  <c r="V25" i="1"/>
  <c r="AZ324" i="1"/>
  <c r="AZ326" i="1" s="1"/>
  <c r="V348" i="1"/>
  <c r="V349" i="1" s="1"/>
  <c r="V339" i="1"/>
  <c r="V340" i="1" s="1"/>
  <c r="V337" i="1"/>
  <c r="AA365" i="1"/>
  <c r="V29" i="1"/>
  <c r="V18" i="1"/>
  <c r="AZ336" i="1"/>
  <c r="AZ337" i="1" s="1"/>
  <c r="V369" i="1"/>
  <c r="AZ332" i="1"/>
  <c r="D348" i="1"/>
  <c r="D349" i="1" s="1"/>
  <c r="D339" i="1"/>
  <c r="CE336" i="1"/>
  <c r="D337" i="1"/>
  <c r="CE337" i="1" s="1"/>
  <c r="D373" i="1"/>
  <c r="D365" i="1"/>
  <c r="D372" i="1"/>
  <c r="D368" i="1"/>
  <c r="D371" i="1"/>
  <c r="D369" i="1"/>
  <c r="D361" i="1"/>
  <c r="D18" i="1"/>
  <c r="CE18" i="1" s="1"/>
  <c r="D370" i="1"/>
  <c r="D29" i="1"/>
  <c r="D20" i="1"/>
  <c r="CE20" i="1" s="1"/>
  <c r="D367" i="1"/>
  <c r="T40" i="1"/>
  <c r="AE104" i="2"/>
  <c r="AC270" i="1"/>
  <c r="CJ270" i="1" s="1"/>
  <c r="AY18" i="1"/>
  <c r="AY20" i="1"/>
  <c r="AE103" i="2"/>
  <c r="AE107" i="2"/>
  <c r="BM234" i="1"/>
  <c r="AY368" i="1"/>
  <c r="AY42" i="1"/>
  <c r="AY43" i="1" s="1"/>
  <c r="AY373" i="1"/>
  <c r="AY270" i="1"/>
  <c r="AY258" i="1"/>
  <c r="AY260" i="1" s="1"/>
  <c r="AE105" i="2"/>
  <c r="AE106" i="2"/>
  <c r="AY369" i="1"/>
  <c r="AY372" i="1"/>
  <c r="AF246" i="1"/>
  <c r="AV12" i="1"/>
  <c r="AV365" i="1" s="1"/>
  <c r="AE278" i="1"/>
  <c r="AH240" i="1"/>
  <c r="CK240" i="1" s="1"/>
  <c r="AK361" i="1"/>
  <c r="AW234" i="1"/>
  <c r="CN234" i="1" s="1"/>
  <c r="AU273" i="1"/>
  <c r="AU274" i="1" s="1"/>
  <c r="BA246" i="1"/>
  <c r="AK367" i="1"/>
  <c r="AO336" i="1"/>
  <c r="AO348" i="1" s="1"/>
  <c r="AO349" i="1" s="1"/>
  <c r="AF252" i="1"/>
  <c r="AF273" i="1"/>
  <c r="AF274" i="1" s="1"/>
  <c r="AQ12" i="1"/>
  <c r="AQ371" i="1" s="1"/>
  <c r="AU271" i="1"/>
  <c r="AB299" i="1"/>
  <c r="AB292" i="1"/>
  <c r="BD12" i="1"/>
  <c r="BD40" i="1" s="1"/>
  <c r="AF12" i="1"/>
  <c r="AK13" i="1" s="1"/>
  <c r="AG348" i="1"/>
  <c r="AG349" i="1" s="1"/>
  <c r="AF258" i="1"/>
  <c r="BN260" i="1"/>
  <c r="BS260" i="1" s="1"/>
  <c r="BD336" i="1"/>
  <c r="AQ252" i="1"/>
  <c r="AA16" i="2"/>
  <c r="AA123" i="2" s="1"/>
  <c r="AH245" i="1"/>
  <c r="AH258" i="1" s="1"/>
  <c r="CK258" i="1" s="1"/>
  <c r="AQ246" i="1"/>
  <c r="AQ258" i="1"/>
  <c r="BC348" i="1"/>
  <c r="BC349" i="1" s="1"/>
  <c r="BC337" i="1"/>
  <c r="BC339" i="1"/>
  <c r="BC340" i="1" s="1"/>
  <c r="BE599" i="1"/>
  <c r="AX332" i="1"/>
  <c r="AF337" i="1"/>
  <c r="AK373" i="1"/>
  <c r="AK365" i="1"/>
  <c r="BC332" i="1"/>
  <c r="BC347" i="1"/>
  <c r="BC646" i="1"/>
  <c r="BC653" i="1" s="1"/>
  <c r="BC258" i="1"/>
  <c r="BC260" i="1" s="1"/>
  <c r="BH260" i="1" s="1"/>
  <c r="AK25" i="1"/>
  <c r="AK40" i="1"/>
  <c r="AK29" i="1"/>
  <c r="AK30" i="1" s="1"/>
  <c r="AK369" i="1"/>
  <c r="BC350" i="1"/>
  <c r="BC324" i="1"/>
  <c r="BC326" i="1" s="1"/>
  <c r="BE593" i="1"/>
  <c r="AP653" i="1"/>
  <c r="AZ605" i="1"/>
  <c r="AZ652" i="1" s="1"/>
  <c r="AS336" i="1"/>
  <c r="AS339" i="1" s="1"/>
  <c r="AJ347" i="1"/>
  <c r="AJ318" i="1"/>
  <c r="BN234" i="1"/>
  <c r="AF281" i="1"/>
  <c r="AF282" i="1" s="1"/>
  <c r="AF278" i="1"/>
  <c r="AK372" i="1"/>
  <c r="AK370" i="1"/>
  <c r="AY370" i="1"/>
  <c r="AY361" i="1"/>
  <c r="BE278" i="1"/>
  <c r="I103" i="2"/>
  <c r="I105" i="2"/>
  <c r="AP657" i="1"/>
  <c r="AP658" i="1" s="1"/>
  <c r="AX12" i="1"/>
  <c r="AX370" i="1" s="1"/>
  <c r="BB4" i="2"/>
  <c r="BR233" i="1" s="1"/>
  <c r="BR234" i="1" s="1"/>
  <c r="N105" i="2"/>
  <c r="AX324" i="1"/>
  <c r="AX326" i="1" s="1"/>
  <c r="AG25" i="1"/>
  <c r="BU66" i="2"/>
  <c r="AE336" i="1"/>
  <c r="AE337" i="1" s="1"/>
  <c r="AO252" i="1"/>
  <c r="N106" i="2"/>
  <c r="BB234" i="1"/>
  <c r="CO234" i="1" s="1"/>
  <c r="AK371" i="1"/>
  <c r="AK20" i="1"/>
  <c r="AK18" i="1"/>
  <c r="AF339" i="1"/>
  <c r="AF340" i="1" s="1"/>
  <c r="BB580" i="1"/>
  <c r="BW42" i="2"/>
  <c r="AX318" i="1"/>
  <c r="AX320" i="1" s="1"/>
  <c r="AJ314" i="1"/>
  <c r="AE314" i="1"/>
  <c r="AE347" i="1"/>
  <c r="N103" i="2"/>
  <c r="AO270" i="1"/>
  <c r="AO281" i="1" s="1"/>
  <c r="AO282" i="1" s="1"/>
  <c r="I174" i="2"/>
  <c r="N87" i="2"/>
  <c r="N189" i="2" s="1"/>
  <c r="I107" i="2"/>
  <c r="AC83" i="2"/>
  <c r="AC92" i="2" s="1"/>
  <c r="N174" i="2"/>
  <c r="N175" i="2" s="1"/>
  <c r="AE318" i="1"/>
  <c r="AO12" i="1"/>
  <c r="AO25" i="1" s="1"/>
  <c r="Y157" i="2"/>
  <c r="AS270" i="1"/>
  <c r="AS252" i="1"/>
  <c r="AS254" i="1" s="1"/>
  <c r="AS246" i="1"/>
  <c r="AS278" i="1"/>
  <c r="AS258" i="1"/>
  <c r="AS260" i="1" s="1"/>
  <c r="AO53" i="7"/>
  <c r="AN98" i="7"/>
  <c r="BC615" i="1"/>
  <c r="BC617" i="1" s="1"/>
  <c r="AO71" i="7"/>
  <c r="AP26" i="7"/>
  <c r="AN25" i="7"/>
  <c r="AM72" i="7"/>
  <c r="AC225" i="1"/>
  <c r="CJ225" i="1" s="1"/>
  <c r="AM425" i="1"/>
  <c r="AN425" i="1"/>
  <c r="AN426" i="1" s="1"/>
  <c r="AR425" i="1"/>
  <c r="AR426" i="1" s="1"/>
  <c r="CL192" i="1"/>
  <c r="AE270" i="1"/>
  <c r="AE12" i="1"/>
  <c r="AE252" i="1"/>
  <c r="AJ246" i="1"/>
  <c r="AE246" i="1"/>
  <c r="O107" i="2"/>
  <c r="O105" i="2"/>
  <c r="O174" i="2"/>
  <c r="O106" i="2"/>
  <c r="O103" i="2"/>
  <c r="O104" i="2"/>
  <c r="BD347" i="1"/>
  <c r="BD318" i="1"/>
  <c r="BD320" i="1" s="1"/>
  <c r="BI320" i="1" s="1"/>
  <c r="BD324" i="1"/>
  <c r="BD326" i="1" s="1"/>
  <c r="BD332" i="1"/>
  <c r="AO278" i="1"/>
  <c r="AO246" i="1"/>
  <c r="BF564" i="1"/>
  <c r="BF308" i="1"/>
  <c r="BE246" i="1"/>
  <c r="BE258" i="1"/>
  <c r="BE260" i="1" s="1"/>
  <c r="BJ260" i="1" s="1"/>
  <c r="BE252" i="1"/>
  <c r="BE254" i="1" s="1"/>
  <c r="CO115" i="1"/>
  <c r="BB472" i="1"/>
  <c r="G276" i="1"/>
  <c r="BA144" i="1"/>
  <c r="P299" i="1"/>
  <c r="U314" i="1"/>
  <c r="P324" i="1"/>
  <c r="P336" i="1"/>
  <c r="P318" i="1"/>
  <c r="P12" i="1"/>
  <c r="P292" i="1"/>
  <c r="P306" i="1"/>
  <c r="P332" i="1"/>
  <c r="Y425" i="1"/>
  <c r="Y426" i="1" s="1"/>
  <c r="AC425" i="1"/>
  <c r="AC426" i="1" s="1"/>
  <c r="M323" i="1"/>
  <c r="M19" i="1" s="1"/>
  <c r="L329" i="1"/>
  <c r="L334" i="1" s="1"/>
  <c r="S211" i="1"/>
  <c r="CH204" i="1"/>
  <c r="AC139" i="1"/>
  <c r="CJ139" i="1" s="1"/>
  <c r="N398" i="1"/>
  <c r="M399" i="1"/>
  <c r="N399" i="1" s="1"/>
  <c r="M123" i="1"/>
  <c r="M412" i="1" s="1"/>
  <c r="M413" i="1" s="1"/>
  <c r="L412" i="1"/>
  <c r="L413" i="1" s="1"/>
  <c r="AT458" i="1"/>
  <c r="AT500" i="1"/>
  <c r="AT526" i="1" s="1"/>
  <c r="AL225" i="1"/>
  <c r="AY225" i="1"/>
  <c r="AQ334" i="1"/>
  <c r="AQ336" i="1"/>
  <c r="W124" i="1"/>
  <c r="W473" i="1" s="1"/>
  <c r="AG273" i="1"/>
  <c r="AG274" i="1" s="1"/>
  <c r="AG271" i="1"/>
  <c r="AG281" i="1"/>
  <c r="AG282" i="1" s="1"/>
  <c r="K413" i="1"/>
  <c r="BA405" i="1"/>
  <c r="BA472" i="1"/>
  <c r="BA474" i="1" s="1"/>
  <c r="M45" i="1"/>
  <c r="L418" i="1"/>
  <c r="W138" i="1"/>
  <c r="V144" i="1"/>
  <c r="U144" i="2"/>
  <c r="CL323" i="1"/>
  <c r="T144" i="2"/>
  <c r="T145" i="2" s="1"/>
  <c r="S144" i="2"/>
  <c r="S145" i="2" s="1"/>
  <c r="AN446" i="1"/>
  <c r="AO446" i="1"/>
  <c r="CF204" i="1"/>
  <c r="I211" i="1"/>
  <c r="AL137" i="1"/>
  <c r="AL144" i="1" s="1"/>
  <c r="AK397" i="1"/>
  <c r="AK399" i="1" s="1"/>
  <c r="AK383" i="1"/>
  <c r="H279" i="1"/>
  <c r="I279" i="1" s="1"/>
  <c r="I276" i="1" s="1"/>
  <c r="CF276" i="1" s="1"/>
  <c r="AI431" i="1"/>
  <c r="AI27" i="1"/>
  <c r="AE431" i="1"/>
  <c r="AE27" i="1"/>
  <c r="AW426" i="1"/>
  <c r="AU460" i="1"/>
  <c r="AV126" i="1"/>
  <c r="AW126" i="1" s="1"/>
  <c r="CN126" i="1" s="1"/>
  <c r="AV137" i="1"/>
  <c r="AV475" i="1" s="1"/>
  <c r="AU383" i="1"/>
  <c r="AU397" i="1"/>
  <c r="P510" i="1"/>
  <c r="Q510" i="1" s="1"/>
  <c r="R510" i="1" s="1"/>
  <c r="T510" i="1" s="1"/>
  <c r="U510" i="1" s="1"/>
  <c r="AN536" i="1"/>
  <c r="AR536" i="1"/>
  <c r="AM534" i="1"/>
  <c r="C49" i="1"/>
  <c r="C43" i="1"/>
  <c r="AI534" i="1"/>
  <c r="AJ536" i="1"/>
  <c r="N127" i="2"/>
  <c r="N134" i="2"/>
  <c r="N135" i="2" s="1"/>
  <c r="N130" i="2"/>
  <c r="AT655" i="1"/>
  <c r="F336" i="1"/>
  <c r="F12" i="1"/>
  <c r="F40" i="1" s="1"/>
  <c r="F324" i="1"/>
  <c r="F318" i="1"/>
  <c r="CK67" i="1"/>
  <c r="D31" i="5" s="1"/>
  <c r="BH198" i="1"/>
  <c r="CP198" i="1"/>
  <c r="BG188" i="1"/>
  <c r="BG119" i="1"/>
  <c r="CP119" i="1" s="1"/>
  <c r="AM38" i="1"/>
  <c r="AL37" i="1"/>
  <c r="AL114" i="1"/>
  <c r="AM114" i="1" s="1"/>
  <c r="X366" i="1"/>
  <c r="CI17" i="1"/>
  <c r="X22" i="1"/>
  <c r="CI22" i="1" s="1"/>
  <c r="AB137" i="1"/>
  <c r="AB144" i="1" s="1"/>
  <c r="AA475" i="1"/>
  <c r="AA397" i="1"/>
  <c r="AA399" i="1" s="1"/>
  <c r="AA383" i="1"/>
  <c r="AC137" i="1"/>
  <c r="AC144" i="1" s="1"/>
  <c r="CJ144" i="1" s="1"/>
  <c r="N124" i="1"/>
  <c r="AG27" i="1"/>
  <c r="AG431" i="1"/>
  <c r="CL251" i="1"/>
  <c r="W126" i="2"/>
  <c r="BD281" i="1"/>
  <c r="BD282" i="1" s="1"/>
  <c r="BD271" i="1"/>
  <c r="BD273" i="1"/>
  <c r="BD274" i="1" s="1"/>
  <c r="AP197" i="1"/>
  <c r="T110" i="2"/>
  <c r="AW16" i="2"/>
  <c r="BM245" i="1" s="1"/>
  <c r="BM277" i="1" s="1"/>
  <c r="BM38" i="1" s="1"/>
  <c r="AR24" i="2"/>
  <c r="AW24" i="2" s="1"/>
  <c r="BB24" i="2" s="1"/>
  <c r="BG24" i="2" s="1"/>
  <c r="X425" i="1"/>
  <c r="X426" i="1" s="1"/>
  <c r="AK42" i="1"/>
  <c r="AK49" i="1" s="1"/>
  <c r="AA368" i="1"/>
  <c r="AA369" i="1"/>
  <c r="H11" i="2"/>
  <c r="AY524" i="1"/>
  <c r="CM223" i="1"/>
  <c r="AR225" i="1"/>
  <c r="CM225" i="1" s="1"/>
  <c r="AA361" i="1"/>
  <c r="AA40" i="1"/>
  <c r="S288" i="1"/>
  <c r="AQ268" i="1"/>
  <c r="AQ270" i="1"/>
  <c r="AZ157" i="1"/>
  <c r="CN151" i="1"/>
  <c r="AW485" i="1"/>
  <c r="AM225" i="1"/>
  <c r="CL211" i="1"/>
  <c r="N397" i="1"/>
  <c r="O145" i="2"/>
  <c r="W22" i="1"/>
  <c r="W366" i="1"/>
  <c r="Y472" i="1"/>
  <c r="Y474" i="1" s="1"/>
  <c r="Y405" i="1"/>
  <c r="AQ22" i="1"/>
  <c r="AR19" i="1"/>
  <c r="G258" i="1"/>
  <c r="G263" i="1"/>
  <c r="G19" i="1"/>
  <c r="G22" i="1" s="1"/>
  <c r="H257" i="1"/>
  <c r="H263" i="1" s="1"/>
  <c r="H268" i="1" s="1"/>
  <c r="J411" i="1"/>
  <c r="J413" i="1" s="1"/>
  <c r="N411" i="1"/>
  <c r="I413" i="1"/>
  <c r="AD273" i="1"/>
  <c r="AD274" i="1" s="1"/>
  <c r="AD271" i="1"/>
  <c r="AD281" i="1"/>
  <c r="AD282" i="1" s="1"/>
  <c r="BA475" i="1"/>
  <c r="AU23" i="2"/>
  <c r="AA144" i="1"/>
  <c r="N408" i="1"/>
  <c r="O404" i="1" s="1"/>
  <c r="O406" i="1" s="1"/>
  <c r="AN131" i="1"/>
  <c r="AN460" i="1" s="1"/>
  <c r="AA371" i="1"/>
  <c r="M345" i="1"/>
  <c r="L344" i="1"/>
  <c r="CI223" i="1"/>
  <c r="X225" i="1"/>
  <c r="CI225" i="1" s="1"/>
  <c r="M116" i="1"/>
  <c r="N116" i="1" s="1"/>
  <c r="CG116" i="1" s="1"/>
  <c r="CI251" i="1"/>
  <c r="X263" i="1"/>
  <c r="AV117" i="1"/>
  <c r="AV360" i="1" s="1"/>
  <c r="AU360" i="1"/>
  <c r="H117" i="1"/>
  <c r="H360" i="1" s="1"/>
  <c r="G360" i="1"/>
  <c r="R418" i="1"/>
  <c r="S45" i="1"/>
  <c r="K336" i="1"/>
  <c r="K292" i="1"/>
  <c r="K324" i="1"/>
  <c r="K306" i="1"/>
  <c r="K299" i="1"/>
  <c r="K318" i="1"/>
  <c r="P314" i="1"/>
  <c r="K314" i="1"/>
  <c r="K332" i="1"/>
  <c r="R147" i="1"/>
  <c r="S147" i="1" s="1"/>
  <c r="Q157" i="1"/>
  <c r="G460" i="1"/>
  <c r="H127" i="1"/>
  <c r="I127" i="1" s="1"/>
  <c r="CF127" i="1" s="1"/>
  <c r="U431" i="1"/>
  <c r="U27" i="1"/>
  <c r="U29" i="1"/>
  <c r="AM263" i="1"/>
  <c r="G418" i="1"/>
  <c r="I418" i="1" s="1"/>
  <c r="I45" i="1"/>
  <c r="CF45" i="1" s="1"/>
  <c r="AR24" i="1"/>
  <c r="CM24" i="1" s="1"/>
  <c r="CM265" i="1"/>
  <c r="V141" i="2"/>
  <c r="AM317" i="1"/>
  <c r="AL329" i="1"/>
  <c r="AL334" i="1" s="1"/>
  <c r="AL17" i="1"/>
  <c r="CH251" i="1"/>
  <c r="S263" i="1"/>
  <c r="S252" i="1"/>
  <c r="CH252" i="1" s="1"/>
  <c r="BB139" i="1"/>
  <c r="CO139" i="1" s="1"/>
  <c r="AZ144" i="1"/>
  <c r="AQ142" i="1"/>
  <c r="AP475" i="1"/>
  <c r="X412" i="1"/>
  <c r="V413" i="1"/>
  <c r="C86" i="2"/>
  <c r="C90" i="2"/>
  <c r="AA372" i="1"/>
  <c r="AA373" i="1"/>
  <c r="AA18" i="1"/>
  <c r="AA25" i="1"/>
  <c r="AA370" i="1"/>
  <c r="AA42" i="1"/>
  <c r="AA351" i="1" s="1"/>
  <c r="AA29" i="1"/>
  <c r="AA31" i="1" s="1"/>
  <c r="AA13" i="1"/>
  <c r="AC473" i="1"/>
  <c r="CJ121" i="1"/>
  <c r="AM345" i="1"/>
  <c r="AM344" i="1" s="1"/>
  <c r="AL344" i="1"/>
  <c r="AG152" i="1"/>
  <c r="AH152" i="1" s="1"/>
  <c r="CK152" i="1" s="1"/>
  <c r="AF157" i="1"/>
  <c r="AA485" i="1"/>
  <c r="AA157" i="1"/>
  <c r="CJ263" i="1"/>
  <c r="AC268" i="1"/>
  <c r="CJ268" i="1" s="1"/>
  <c r="AW605" i="1"/>
  <c r="AW606" i="1" s="1"/>
  <c r="H157" i="1"/>
  <c r="AQ360" i="1"/>
  <c r="AR23" i="2"/>
  <c r="AN204" i="1"/>
  <c r="AN211" i="1" s="1"/>
  <c r="AA20" i="1"/>
  <c r="P86" i="2"/>
  <c r="P17" i="2"/>
  <c r="U17" i="2"/>
  <c r="U153" i="2" s="1"/>
  <c r="P90" i="2"/>
  <c r="P123" i="2"/>
  <c r="P152" i="2"/>
  <c r="P153" i="2" s="1"/>
  <c r="AF383" i="1"/>
  <c r="AF458" i="1" s="1"/>
  <c r="AF397" i="1"/>
  <c r="AG137" i="1"/>
  <c r="AH137" i="1" s="1"/>
  <c r="AF475" i="1"/>
  <c r="AZ360" i="1"/>
  <c r="BB360" i="1" s="1"/>
  <c r="BB117" i="1"/>
  <c r="CO117" i="1" s="1"/>
  <c r="K152" i="2"/>
  <c r="K86" i="2"/>
  <c r="K103" i="2" s="1"/>
  <c r="K90" i="2"/>
  <c r="K91" i="2" s="1"/>
  <c r="K123" i="2"/>
  <c r="Z500" i="1"/>
  <c r="Z521" i="1" s="1"/>
  <c r="AA521" i="1" s="1"/>
  <c r="AB521" i="1" s="1"/>
  <c r="Z458" i="1"/>
  <c r="L295" i="1"/>
  <c r="Q295" i="1"/>
  <c r="M294" i="1"/>
  <c r="M313" i="1" s="1"/>
  <c r="CM211" i="1"/>
  <c r="R366" i="1"/>
  <c r="R22" i="1"/>
  <c r="R431" i="1" s="1"/>
  <c r="Z398" i="1"/>
  <c r="Z399" i="1" s="1"/>
  <c r="Z472" i="1"/>
  <c r="Z474" i="1" s="1"/>
  <c r="F22" i="1"/>
  <c r="AL268" i="1"/>
  <c r="AL270" i="1"/>
  <c r="S17" i="1"/>
  <c r="P366" i="1"/>
  <c r="P22" i="1"/>
  <c r="P42" i="1" s="1"/>
  <c r="P18" i="1"/>
  <c r="AB151" i="1"/>
  <c r="AC151" i="1" s="1"/>
  <c r="L38" i="1"/>
  <c r="L37" i="1" s="1"/>
  <c r="D43" i="1"/>
  <c r="CE43" i="1" s="1"/>
  <c r="Y516" i="1"/>
  <c r="Z516" i="1" s="1"/>
  <c r="AA516" i="1" s="1"/>
  <c r="P40" i="1"/>
  <c r="S124" i="1"/>
  <c r="CH124" i="1" s="1"/>
  <c r="BB524" i="1"/>
  <c r="E40" i="1"/>
  <c r="V40" i="1"/>
  <c r="V42" i="1"/>
  <c r="AR268" i="1"/>
  <c r="CM268" i="1" s="1"/>
  <c r="CM263" i="1"/>
  <c r="Y457" i="1"/>
  <c r="Y463" i="1" s="1"/>
  <c r="Y30" i="1"/>
  <c r="Y33" i="1"/>
  <c r="Y34" i="1" s="1"/>
  <c r="CO263" i="1"/>
  <c r="BB268" i="1"/>
  <c r="CO268" i="1" s="1"/>
  <c r="CG142" i="1"/>
  <c r="N475" i="1"/>
  <c r="X485" i="1"/>
  <c r="CI151" i="1"/>
  <c r="AN273" i="1"/>
  <c r="AN274" i="1" s="1"/>
  <c r="AN281" i="1"/>
  <c r="AN282" i="1" s="1"/>
  <c r="AN271" i="1"/>
  <c r="N144" i="1"/>
  <c r="CG144" i="1" s="1"/>
  <c r="BF157" i="1"/>
  <c r="BG155" i="1"/>
  <c r="M144" i="1"/>
  <c r="Y351" i="1"/>
  <c r="Y43" i="1"/>
  <c r="Y49" i="1"/>
  <c r="Y468" i="1"/>
  <c r="R302" i="1"/>
  <c r="M302" i="1"/>
  <c r="J86" i="2"/>
  <c r="J103" i="2" s="1"/>
  <c r="O17" i="2"/>
  <c r="O178" i="2" s="1"/>
  <c r="J152" i="2"/>
  <c r="J90" i="2"/>
  <c r="J91" i="2" s="1"/>
  <c r="J123" i="2"/>
  <c r="M16" i="2"/>
  <c r="M90" i="2" s="1"/>
  <c r="AD437" i="1"/>
  <c r="AH437" i="1"/>
  <c r="AC63" i="1"/>
  <c r="AV114" i="1"/>
  <c r="AW114" i="1" s="1"/>
  <c r="AV37" i="1"/>
  <c r="AW38" i="1"/>
  <c r="W369" i="1"/>
  <c r="W371" i="1"/>
  <c r="W365" i="1"/>
  <c r="W20" i="1"/>
  <c r="W25" i="1"/>
  <c r="W384" i="1"/>
  <c r="W361" i="1"/>
  <c r="W13" i="1"/>
  <c r="W18" i="1"/>
  <c r="W367" i="1"/>
  <c r="X12" i="1"/>
  <c r="W370" i="1"/>
  <c r="W373" i="1"/>
  <c r="W372" i="1"/>
  <c r="W368" i="1"/>
  <c r="X295" i="1"/>
  <c r="S313" i="1"/>
  <c r="X314" i="1" s="1"/>
  <c r="CI314" i="1" s="1"/>
  <c r="Z369" i="1"/>
  <c r="Z368" i="1"/>
  <c r="Z365" i="1"/>
  <c r="Z367" i="1"/>
  <c r="Z29" i="1"/>
  <c r="Z373" i="1"/>
  <c r="Z372" i="1"/>
  <c r="Z13" i="1"/>
  <c r="Z384" i="1"/>
  <c r="Z42" i="1"/>
  <c r="Z371" i="1"/>
  <c r="Z40" i="1"/>
  <c r="Z370" i="1"/>
  <c r="Z20" i="1"/>
  <c r="Z361" i="1"/>
  <c r="Z18" i="1"/>
  <c r="Z25" i="1"/>
  <c r="E86" i="2"/>
  <c r="E103" i="2" s="1"/>
  <c r="AW37" i="1"/>
  <c r="BO279" i="1"/>
  <c r="BJ346" i="1"/>
  <c r="BL346" i="1" s="1"/>
  <c r="BL279" i="1"/>
  <c r="BA524" i="1"/>
  <c r="R370" i="1"/>
  <c r="R367" i="1"/>
  <c r="R372" i="1"/>
  <c r="R371" i="1"/>
  <c r="R373" i="1"/>
  <c r="R18" i="1"/>
  <c r="R365" i="1"/>
  <c r="R368" i="1"/>
  <c r="R369" i="1"/>
  <c r="E339" i="1"/>
  <c r="E340" i="1" s="1"/>
  <c r="E348" i="1"/>
  <c r="E349" i="1" s="1"/>
  <c r="E337" i="1"/>
  <c r="L302" i="1"/>
  <c r="Q302" i="1"/>
  <c r="L313" i="1"/>
  <c r="N301" i="1"/>
  <c r="N302" i="1" s="1"/>
  <c r="X299" i="1"/>
  <c r="X336" i="1"/>
  <c r="X332" i="1"/>
  <c r="CI332" i="1" s="1"/>
  <c r="X318" i="1"/>
  <c r="CI318" i="1" s="1"/>
  <c r="X306" i="1"/>
  <c r="X324" i="1"/>
  <c r="CI324" i="1" s="1"/>
  <c r="CI313" i="1"/>
  <c r="X292" i="1"/>
  <c r="W37" i="1"/>
  <c r="W40" i="1" s="1"/>
  <c r="X38" i="1"/>
  <c r="X258" i="1"/>
  <c r="CI258" i="1" s="1"/>
  <c r="H16" i="2"/>
  <c r="X252" i="1"/>
  <c r="CI252" i="1" s="1"/>
  <c r="CI245" i="1"/>
  <c r="X266" i="1"/>
  <c r="CI266" i="1" s="1"/>
  <c r="X270" i="1"/>
  <c r="X246" i="1"/>
  <c r="AU398" i="1"/>
  <c r="AU472" i="1"/>
  <c r="AU474" i="1" s="1"/>
  <c r="AI398" i="1"/>
  <c r="AI124" i="1"/>
  <c r="AI472" i="1"/>
  <c r="U468" i="1"/>
  <c r="U49" i="1"/>
  <c r="U43" i="1"/>
  <c r="AX524" i="1"/>
  <c r="L508" i="1"/>
  <c r="X276" i="1"/>
  <c r="CI276" i="1" s="1"/>
  <c r="X278" i="1"/>
  <c r="T17" i="2"/>
  <c r="T152" i="2"/>
  <c r="T123" i="2"/>
  <c r="T90" i="2"/>
  <c r="T91" i="2" s="1"/>
  <c r="AJ585" i="1"/>
  <c r="T86" i="2"/>
  <c r="U273" i="1"/>
  <c r="U274" i="1" s="1"/>
  <c r="U271" i="1"/>
  <c r="U281" i="1"/>
  <c r="U282" i="1" s="1"/>
  <c r="P271" i="1"/>
  <c r="P273" i="1"/>
  <c r="P274" i="1" s="1"/>
  <c r="V30" i="1"/>
  <c r="V457" i="1"/>
  <c r="V463" i="1" s="1"/>
  <c r="V33" i="1"/>
  <c r="C457" i="1"/>
  <c r="C463" i="1" s="1"/>
  <c r="C30" i="1"/>
  <c r="C33" i="1"/>
  <c r="O340" i="1"/>
  <c r="AB115" i="1"/>
  <c r="AC39" i="1"/>
  <c r="AB37" i="1"/>
  <c r="X127" i="2"/>
  <c r="X134" i="2"/>
  <c r="X135" i="2" s="1"/>
  <c r="X130" i="2"/>
  <c r="BH597" i="1"/>
  <c r="BG597" i="1"/>
  <c r="AZ524" i="1"/>
  <c r="W339" i="1"/>
  <c r="W340" i="1" s="1"/>
  <c r="W348" i="1"/>
  <c r="W349" i="1" s="1"/>
  <c r="W337" i="1"/>
  <c r="M246" i="1"/>
  <c r="I245" i="1"/>
  <c r="H252" i="1"/>
  <c r="AO398" i="1"/>
  <c r="AO124" i="1"/>
  <c r="AO472" i="1"/>
  <c r="AQ114" i="1"/>
  <c r="AA349" i="1"/>
  <c r="T85" i="2"/>
  <c r="AJ14" i="1" s="1"/>
  <c r="AJ15" i="1" s="1"/>
  <c r="T457" i="1"/>
  <c r="T463" i="1" s="1"/>
  <c r="Y31" i="1"/>
  <c r="D274" i="1"/>
  <c r="CE274" i="1" s="1"/>
  <c r="CE273" i="1"/>
  <c r="P281" i="1"/>
  <c r="G324" i="1"/>
  <c r="G12" i="1"/>
  <c r="G336" i="1"/>
  <c r="G318" i="1"/>
  <c r="G502" i="1"/>
  <c r="F531" i="1"/>
  <c r="AM139" i="1"/>
  <c r="BB461" i="1"/>
  <c r="CO52" i="1"/>
  <c r="K426" i="1"/>
  <c r="N425" i="1"/>
  <c r="N426" i="1" s="1"/>
  <c r="AM461" i="1"/>
  <c r="CL52" i="1"/>
  <c r="H12" i="1"/>
  <c r="H318" i="1"/>
  <c r="I302" i="1"/>
  <c r="BR199" i="1"/>
  <c r="BS199" i="1" s="1"/>
  <c r="BT199" i="1" s="1"/>
  <c r="BU199" i="1" s="1"/>
  <c r="BV199" i="1" s="1"/>
  <c r="CR199" i="1"/>
  <c r="AO361" i="1"/>
  <c r="AO367" i="1"/>
  <c r="AG83" i="2"/>
  <c r="BX83" i="2" s="1"/>
  <c r="AT350" i="1"/>
  <c r="AT336" i="1"/>
  <c r="AT339" i="1" s="1"/>
  <c r="AT646" i="1"/>
  <c r="AT653" i="1" s="1"/>
  <c r="AT324" i="1"/>
  <c r="AW237" i="1"/>
  <c r="CN237" i="1" s="1"/>
  <c r="AU652" i="1"/>
  <c r="AU655" i="1" s="1"/>
  <c r="AL77" i="2"/>
  <c r="BB581" i="1" s="1"/>
  <c r="Q166" i="2"/>
  <c r="Q186" i="2"/>
  <c r="U187" i="2"/>
  <c r="AK581" i="1"/>
  <c r="AO347" i="1"/>
  <c r="AO332" i="1"/>
  <c r="AO646" i="1"/>
  <c r="AO314" i="1"/>
  <c r="AO647" i="1" s="1"/>
  <c r="AO318" i="1"/>
  <c r="AI318" i="1"/>
  <c r="AI332" i="1"/>
  <c r="AI12" i="1"/>
  <c r="AI324" i="1"/>
  <c r="AI347" i="1"/>
  <c r="AI336" i="1"/>
  <c r="AC206" i="2"/>
  <c r="AC91" i="2"/>
  <c r="Y147" i="2"/>
  <c r="Y148" i="2" s="1"/>
  <c r="Y145" i="2"/>
  <c r="Y142" i="2"/>
  <c r="AX336" i="1"/>
  <c r="AX347" i="1"/>
  <c r="AX646" i="1"/>
  <c r="AX653" i="1" s="1"/>
  <c r="AR35" i="2"/>
  <c r="AR32" i="2"/>
  <c r="AR33" i="2"/>
  <c r="BA348" i="1"/>
  <c r="BA349" i="1" s="1"/>
  <c r="BA337" i="1"/>
  <c r="BA339" i="1"/>
  <c r="BA340" i="1" s="1"/>
  <c r="U145" i="2"/>
  <c r="AZ258" i="1"/>
  <c r="AZ260" i="1" s="1"/>
  <c r="AZ12" i="1"/>
  <c r="AZ278" i="1"/>
  <c r="AZ252" i="1"/>
  <c r="AZ254" i="1" s="1"/>
  <c r="AZ270" i="1"/>
  <c r="AZ246" i="1"/>
  <c r="AO585" i="1"/>
  <c r="AH318" i="1"/>
  <c r="CK318" i="1" s="1"/>
  <c r="CK313" i="1"/>
  <c r="AH332" i="1"/>
  <c r="CK332" i="1" s="1"/>
  <c r="AH324" i="1"/>
  <c r="CK324" i="1" s="1"/>
  <c r="CJ233" i="1"/>
  <c r="AC234" i="1"/>
  <c r="CJ234" i="1" s="1"/>
  <c r="AH106" i="2"/>
  <c r="AH91" i="2"/>
  <c r="AH206" i="2"/>
  <c r="Y187" i="2"/>
  <c r="AO581" i="1"/>
  <c r="BI577" i="1"/>
  <c r="AS61" i="2"/>
  <c r="AO372" i="1"/>
  <c r="BN261" i="1"/>
  <c r="AD20" i="1"/>
  <c r="AD369" i="1"/>
  <c r="AD29" i="1"/>
  <c r="AD13" i="1"/>
  <c r="AD372" i="1"/>
  <c r="AD370" i="1"/>
  <c r="AD40" i="1"/>
  <c r="AD365" i="1"/>
  <c r="AD367" i="1"/>
  <c r="AD371" i="1"/>
  <c r="AD373" i="1"/>
  <c r="AD42" i="1"/>
  <c r="AD361" i="1"/>
  <c r="AD384" i="1"/>
  <c r="AD368" i="1"/>
  <c r="AD18" i="1"/>
  <c r="AD25" i="1"/>
  <c r="BA260" i="1"/>
  <c r="BA261" i="1"/>
  <c r="AC52" i="2"/>
  <c r="AI69" i="2"/>
  <c r="AD205" i="2" s="1"/>
  <c r="AG205" i="2" s="1"/>
  <c r="AI73" i="2"/>
  <c r="AL73" i="2" s="1"/>
  <c r="BY73" i="2" s="1"/>
  <c r="AR7" i="2"/>
  <c r="BH245" i="1"/>
  <c r="AM577" i="1"/>
  <c r="W66" i="2"/>
  <c r="BV62" i="2"/>
  <c r="V185" i="2"/>
  <c r="V163" i="2"/>
  <c r="W51" i="2"/>
  <c r="AL574" i="1"/>
  <c r="AN318" i="1"/>
  <c r="AN324" i="1"/>
  <c r="AN336" i="1"/>
  <c r="AN12" i="1"/>
  <c r="AN332" i="1"/>
  <c r="AN646" i="1"/>
  <c r="AN314" i="1"/>
  <c r="AN647" i="1" s="1"/>
  <c r="AN347" i="1"/>
  <c r="G103" i="2"/>
  <c r="G105" i="2"/>
  <c r="G107" i="2"/>
  <c r="G104" i="2"/>
  <c r="G106" i="2"/>
  <c r="AT326" i="1"/>
  <c r="AT347" i="1"/>
  <c r="AT318" i="1"/>
  <c r="AT320" i="1" s="1"/>
  <c r="AT314" i="1"/>
  <c r="AT332" i="1"/>
  <c r="AG365" i="1"/>
  <c r="AG29" i="1"/>
  <c r="AG372" i="1"/>
  <c r="AG18" i="1"/>
  <c r="AG371" i="1"/>
  <c r="AG361" i="1"/>
  <c r="AG373" i="1"/>
  <c r="AG369" i="1"/>
  <c r="AG20" i="1"/>
  <c r="AG42" i="1"/>
  <c r="AG368" i="1"/>
  <c r="AG367" i="1"/>
  <c r="AM573" i="1"/>
  <c r="BV47" i="2"/>
  <c r="AK87" i="2"/>
  <c r="BA587" i="1"/>
  <c r="AK52" i="2"/>
  <c r="BH4" i="2"/>
  <c r="BX233" i="1" s="1"/>
  <c r="BS233" i="1"/>
  <c r="BS234" i="1" s="1"/>
  <c r="BC252" i="1"/>
  <c r="BC254" i="1" s="1"/>
  <c r="BH254" i="1" s="1"/>
  <c r="BC270" i="1"/>
  <c r="BC12" i="1"/>
  <c r="AJ384" i="1"/>
  <c r="AJ372" i="1"/>
  <c r="AJ361" i="1"/>
  <c r="AJ373" i="1"/>
  <c r="AJ369" i="1"/>
  <c r="AJ18" i="1"/>
  <c r="AJ371" i="1"/>
  <c r="AJ365" i="1"/>
  <c r="AJ370" i="1"/>
  <c r="AJ20" i="1"/>
  <c r="AJ368" i="1"/>
  <c r="AJ367" i="1"/>
  <c r="AJ25" i="1"/>
  <c r="AJ29" i="1"/>
  <c r="X145" i="2"/>
  <c r="J41" i="2"/>
  <c r="J138" i="2" s="1"/>
  <c r="J142" i="2" s="1"/>
  <c r="J80" i="2"/>
  <c r="J75" i="2"/>
  <c r="J85" i="2" s="1"/>
  <c r="Z14" i="1" s="1"/>
  <c r="AE15" i="1" s="1"/>
  <c r="BX25" i="2"/>
  <c r="AW565" i="1"/>
  <c r="BA12" i="1"/>
  <c r="BA252" i="1"/>
  <c r="BA254" i="1" s="1"/>
  <c r="BA270" i="1"/>
  <c r="BA278" i="1"/>
  <c r="BC246" i="1"/>
  <c r="AU350" i="1"/>
  <c r="AU646" i="1"/>
  <c r="AU314" i="1"/>
  <c r="AU12" i="1"/>
  <c r="AU324" i="1"/>
  <c r="AU326" i="1" s="1"/>
  <c r="AU347" i="1"/>
  <c r="AU336" i="1"/>
  <c r="AU318" i="1"/>
  <c r="AU320" i="1" s="1"/>
  <c r="AU332" i="1"/>
  <c r="AL578" i="1"/>
  <c r="V166" i="2"/>
  <c r="V186" i="2"/>
  <c r="AR577" i="1"/>
  <c r="BW62" i="2"/>
  <c r="BX46" i="2"/>
  <c r="AW310" i="1"/>
  <c r="AW313" i="1" s="1"/>
  <c r="AS347" i="1"/>
  <c r="AS350" i="1"/>
  <c r="AS314" i="1"/>
  <c r="AS12" i="1"/>
  <c r="AS318" i="1"/>
  <c r="AS320" i="1" s="1"/>
  <c r="AS332" i="1"/>
  <c r="X187" i="2"/>
  <c r="AN581" i="1"/>
  <c r="BX32" i="2"/>
  <c r="AW569" i="1"/>
  <c r="H90" i="2"/>
  <c r="BS81" i="2"/>
  <c r="AK91" i="2"/>
  <c r="AK107" i="2"/>
  <c r="AK105" i="2"/>
  <c r="AK106" i="2"/>
  <c r="AK103" i="2"/>
  <c r="AK104" i="2"/>
  <c r="AV270" i="1"/>
  <c r="AV252" i="1"/>
  <c r="AV254" i="1" s="1"/>
  <c r="AV246" i="1"/>
  <c r="AS31" i="2"/>
  <c r="BI309" i="1" s="1"/>
  <c r="M99" i="2"/>
  <c r="BT99" i="2" s="1"/>
  <c r="BA255" i="1"/>
  <c r="AV318" i="1"/>
  <c r="AV320" i="1" s="1"/>
  <c r="AV347" i="1"/>
  <c r="AV314" i="1"/>
  <c r="AV332" i="1"/>
  <c r="AV350" i="1"/>
  <c r="AV336" i="1"/>
  <c r="AV646" i="1"/>
  <c r="AV324" i="1"/>
  <c r="AV326" i="1" s="1"/>
  <c r="AF206" i="2"/>
  <c r="AM23" i="2"/>
  <c r="BC586" i="1"/>
  <c r="AC103" i="2"/>
  <c r="AC105" i="2"/>
  <c r="AC104" i="2"/>
  <c r="AC106" i="2"/>
  <c r="AC107" i="2"/>
  <c r="AC87" i="2"/>
  <c r="AC108" i="2"/>
  <c r="Z115" i="2"/>
  <c r="Y116" i="2"/>
  <c r="Y117" i="2"/>
  <c r="Y118" i="2" s="1"/>
  <c r="X107" i="2"/>
  <c r="X106" i="2"/>
  <c r="X174" i="2"/>
  <c r="X105" i="2"/>
  <c r="X104" i="2"/>
  <c r="X103" i="2"/>
  <c r="AB318" i="1"/>
  <c r="AB332" i="1"/>
  <c r="AB314" i="1"/>
  <c r="AC313" i="1"/>
  <c r="AC299" i="1" s="1"/>
  <c r="AB306" i="1"/>
  <c r="AB12" i="1"/>
  <c r="BW25" i="2"/>
  <c r="AR565" i="1"/>
  <c r="AF103" i="2"/>
  <c r="AF107" i="2"/>
  <c r="AF106" i="2"/>
  <c r="AF104" i="2"/>
  <c r="AF108" i="2"/>
  <c r="AF105" i="2"/>
  <c r="Z77" i="2"/>
  <c r="U85" i="2"/>
  <c r="AK14" i="1" s="1"/>
  <c r="AZ570" i="1"/>
  <c r="AJ52" i="2"/>
  <c r="BZ36" i="2"/>
  <c r="BG570" i="1"/>
  <c r="AQ83" i="2"/>
  <c r="BZ83" i="2" s="1"/>
  <c r="BT81" i="2"/>
  <c r="M82" i="2"/>
  <c r="BT82" i="2" s="1"/>
  <c r="BY25" i="2"/>
  <c r="BB565" i="1"/>
  <c r="AT278" i="1"/>
  <c r="AT258" i="1"/>
  <c r="AT260" i="1" s="1"/>
  <c r="AT270" i="1"/>
  <c r="AT252" i="1"/>
  <c r="AT254" i="1" s="1"/>
  <c r="AT12" i="1"/>
  <c r="AT246" i="1"/>
  <c r="AY246" i="1"/>
  <c r="BE315" i="1"/>
  <c r="AJ104" i="2"/>
  <c r="AJ106" i="2"/>
  <c r="AJ103" i="2"/>
  <c r="AJ107" i="2"/>
  <c r="AJ91" i="2"/>
  <c r="AJ206" i="2"/>
  <c r="AJ105" i="2"/>
  <c r="T117" i="2"/>
  <c r="T118" i="2" s="1"/>
  <c r="U115" i="2"/>
  <c r="T116" i="2"/>
  <c r="AK337" i="1"/>
  <c r="AK339" i="1"/>
  <c r="AK348" i="1"/>
  <c r="H77" i="2"/>
  <c r="BS77" i="2" s="1"/>
  <c r="H99" i="2"/>
  <c r="BS99" i="2" s="1"/>
  <c r="H97" i="2"/>
  <c r="BS97" i="2" s="1"/>
  <c r="H96" i="2"/>
  <c r="BS96" i="2" s="1"/>
  <c r="H86" i="2"/>
  <c r="BS76" i="2"/>
  <c r="H98" i="2"/>
  <c r="BS98" i="2" s="1"/>
  <c r="AB96" i="2"/>
  <c r="BW96" i="2" s="1"/>
  <c r="AB97" i="2"/>
  <c r="BW97" i="2" s="1"/>
  <c r="AB99" i="2"/>
  <c r="BW99" i="2" s="1"/>
  <c r="AR580" i="1"/>
  <c r="AB98" i="2"/>
  <c r="BW98" i="2" s="1"/>
  <c r="BW76" i="2"/>
  <c r="AR313" i="1"/>
  <c r="M41" i="2"/>
  <c r="M138" i="2" s="1"/>
  <c r="M77" i="2"/>
  <c r="BT77" i="2" s="1"/>
  <c r="M171" i="2"/>
  <c r="M98" i="2"/>
  <c r="BT98" i="2" s="1"/>
  <c r="BT76" i="2"/>
  <c r="M96" i="2"/>
  <c r="BT96" i="2" s="1"/>
  <c r="M86" i="2"/>
  <c r="AM566" i="1"/>
  <c r="BV29" i="2"/>
  <c r="AD106" i="2"/>
  <c r="AD108" i="2"/>
  <c r="AI87" i="2"/>
  <c r="AD107" i="2"/>
  <c r="AD105" i="2"/>
  <c r="AD104" i="2"/>
  <c r="AD103" i="2"/>
  <c r="AS657" i="1"/>
  <c r="AS658" i="1" s="1"/>
  <c r="AN103" i="2"/>
  <c r="AS92" i="2"/>
  <c r="AN107" i="2"/>
  <c r="AN104" i="2"/>
  <c r="AN91" i="2"/>
  <c r="AN105" i="2"/>
  <c r="AN106" i="2"/>
  <c r="BY62" i="2"/>
  <c r="BB577" i="1"/>
  <c r="AG90" i="2"/>
  <c r="AG82" i="2"/>
  <c r="BX82" i="2" s="1"/>
  <c r="BX81" i="2"/>
  <c r="AG97" i="2"/>
  <c r="BX97" i="2" s="1"/>
  <c r="AG96" i="2"/>
  <c r="BX96" i="2" s="1"/>
  <c r="BX76" i="2"/>
  <c r="AG98" i="2"/>
  <c r="BX98" i="2" s="1"/>
  <c r="AW580" i="1"/>
  <c r="AG77" i="2"/>
  <c r="AG100" i="2"/>
  <c r="BX100" i="2" s="1"/>
  <c r="AE83" i="2"/>
  <c r="AU570" i="1"/>
  <c r="BB336" i="1"/>
  <c r="CO313" i="1"/>
  <c r="BB347" i="1"/>
  <c r="BB324" i="1"/>
  <c r="CO324" i="1" s="1"/>
  <c r="BB318" i="1"/>
  <c r="CO318" i="1" s="1"/>
  <c r="BB332" i="1"/>
  <c r="CO332" i="1" s="1"/>
  <c r="AG86" i="2"/>
  <c r="AW245" i="1"/>
  <c r="BB246" i="1" s="1"/>
  <c r="AL17" i="2"/>
  <c r="AG7" i="2"/>
  <c r="AL8" i="2" s="1"/>
  <c r="BY8" i="2" s="1"/>
  <c r="BX16" i="2"/>
  <c r="AW585" i="1"/>
  <c r="BK233" i="1"/>
  <c r="BK234" i="1" s="1"/>
  <c r="AV4" i="2"/>
  <c r="AZ4" i="2"/>
  <c r="AH108" i="2"/>
  <c r="AH87" i="2"/>
  <c r="AM87" i="2"/>
  <c r="S187" i="2"/>
  <c r="AI581" i="1"/>
  <c r="AO574" i="1"/>
  <c r="Y163" i="2"/>
  <c r="Y185" i="2"/>
  <c r="AP278" i="1"/>
  <c r="AP252" i="1"/>
  <c r="AP270" i="1"/>
  <c r="AU246" i="1"/>
  <c r="Z16" i="2"/>
  <c r="AP258" i="1"/>
  <c r="AP12" i="1"/>
  <c r="AP368" i="1" s="1"/>
  <c r="AP246" i="1"/>
  <c r="R96" i="2"/>
  <c r="BU96" i="2" s="1"/>
  <c r="R171" i="2"/>
  <c r="R172" i="2" s="1"/>
  <c r="BU76" i="2"/>
  <c r="R77" i="2"/>
  <c r="BU77" i="2" s="1"/>
  <c r="R98" i="2"/>
  <c r="BU98" i="2" s="1"/>
  <c r="R97" i="2"/>
  <c r="BU97" i="2" s="1"/>
  <c r="D105" i="2"/>
  <c r="D103" i="2"/>
  <c r="D104" i="2"/>
  <c r="D107" i="2"/>
  <c r="D106" i="2"/>
  <c r="I87" i="2"/>
  <c r="AW577" i="1"/>
  <c r="BX62" i="2"/>
  <c r="BW47" i="2"/>
  <c r="BW54" i="2" s="1"/>
  <c r="AR573" i="1"/>
  <c r="BY32" i="2"/>
  <c r="BB569" i="1"/>
  <c r="AL36" i="2"/>
  <c r="AL99" i="2"/>
  <c r="BY99" i="2" s="1"/>
  <c r="AL82" i="2"/>
  <c r="AL97" i="2"/>
  <c r="BY97" i="2" s="1"/>
  <c r="AL98" i="2"/>
  <c r="BY98" i="2" s="1"/>
  <c r="AL96" i="2"/>
  <c r="BY96" i="2" s="1"/>
  <c r="BY81" i="2"/>
  <c r="AI91" i="2"/>
  <c r="AD206" i="2"/>
  <c r="AD337" i="1"/>
  <c r="AD348" i="1"/>
  <c r="AD339" i="1"/>
  <c r="R82" i="2"/>
  <c r="BU82" i="2" s="1"/>
  <c r="AT348" i="1"/>
  <c r="AT349" i="1" s="1"/>
  <c r="AT337" i="1"/>
  <c r="AY339" i="1"/>
  <c r="AY337" i="1"/>
  <c r="AY348" i="1"/>
  <c r="Y182" i="2"/>
  <c r="Y83" i="2"/>
  <c r="AO570" i="1"/>
  <c r="Y160" i="2"/>
  <c r="BD384" i="1"/>
  <c r="BI386" i="1" s="1"/>
  <c r="BN386" i="1" s="1"/>
  <c r="AM105" i="2"/>
  <c r="AM91" i="2"/>
  <c r="AM107" i="2"/>
  <c r="AM103" i="2"/>
  <c r="AM106" i="2"/>
  <c r="CJ132" i="1"/>
  <c r="CM52" i="1"/>
  <c r="AR461" i="1"/>
  <c r="N277" i="1"/>
  <c r="N276" i="1" s="1"/>
  <c r="CG276" i="1" s="1"/>
  <c r="M276" i="1"/>
  <c r="M278" i="1"/>
  <c r="CG383" i="1"/>
  <c r="J431" i="1"/>
  <c r="J27" i="1"/>
  <c r="J432" i="1"/>
  <c r="J29" i="1"/>
  <c r="J42" i="1"/>
  <c r="M506" i="1"/>
  <c r="O506" i="1" s="1"/>
  <c r="M38" i="1"/>
  <c r="AV473" i="1"/>
  <c r="AJ40" i="1"/>
  <c r="AJ42" i="1"/>
  <c r="AH268" i="1"/>
  <c r="CK268" i="1" s="1"/>
  <c r="CK263" i="1"/>
  <c r="AZ593" i="1"/>
  <c r="AZ599" i="1"/>
  <c r="AZ649" i="1" s="1"/>
  <c r="AT16" i="2"/>
  <c r="BJ245" i="1" s="1"/>
  <c r="BH259" i="1"/>
  <c r="AR92" i="2"/>
  <c r="BH315" i="1"/>
  <c r="AZ638" i="1"/>
  <c r="AA515" i="1"/>
  <c r="AB515" i="1" s="1"/>
  <c r="AD515" i="1" s="1"/>
  <c r="S485" i="1"/>
  <c r="CH151" i="1"/>
  <c r="AQ436" i="1"/>
  <c r="AW142" i="1"/>
  <c r="CN142" i="1" s="1"/>
  <c r="BE236" i="1"/>
  <c r="BE237" i="1" s="1"/>
  <c r="CN124" i="1"/>
  <c r="AW473" i="1"/>
  <c r="I126" i="1"/>
  <c r="AM148" i="1"/>
  <c r="AM157" i="1" s="1"/>
  <c r="CL157" i="1" s="1"/>
  <c r="BG127" i="1"/>
  <c r="CP127" i="1" s="1"/>
  <c r="BE585" i="1"/>
  <c r="BT4" i="2"/>
  <c r="M5" i="2"/>
  <c r="BT5" i="2" s="1"/>
  <c r="S404" i="1"/>
  <c r="BX345" i="1"/>
  <c r="BX344" i="1" s="1"/>
  <c r="BS344" i="1"/>
  <c r="AD518" i="1"/>
  <c r="AE518" i="1" s="1"/>
  <c r="K505" i="1"/>
  <c r="AV140" i="1"/>
  <c r="AW140" i="1" s="1"/>
  <c r="AU144" i="1"/>
  <c r="R485" i="1"/>
  <c r="R157" i="1"/>
  <c r="BJ438" i="1"/>
  <c r="BI437" i="1"/>
  <c r="AQ61" i="2"/>
  <c r="BG311" i="1" s="1"/>
  <c r="AY646" i="1"/>
  <c r="AY605" i="1"/>
  <c r="AY652" i="1" s="1"/>
  <c r="AY593" i="1"/>
  <c r="AY638" i="1"/>
  <c r="AY599" i="1"/>
  <c r="AW61" i="2"/>
  <c r="BB61" i="2" s="1"/>
  <c r="BD646" i="1"/>
  <c r="BD653" i="1" s="1"/>
  <c r="AT635" i="1"/>
  <c r="BH576" i="1"/>
  <c r="BI592" i="1"/>
  <c r="BI599" i="1" s="1"/>
  <c r="BD599" i="1"/>
  <c r="BD649" i="1" s="1"/>
  <c r="BD593" i="1"/>
  <c r="BE564" i="1"/>
  <c r="AX649" i="1"/>
  <c r="AX635" i="1"/>
  <c r="AC295" i="1"/>
  <c r="AT23" i="2"/>
  <c r="BI245" i="1"/>
  <c r="BI585" i="1"/>
  <c r="AS7" i="2"/>
  <c r="AX16" i="2"/>
  <c r="BE576" i="1"/>
  <c r="BE311" i="1"/>
  <c r="AC288" i="1"/>
  <c r="BE308" i="1"/>
  <c r="BF245" i="1"/>
  <c r="BF585" i="1"/>
  <c r="AU16" i="2"/>
  <c r="AQ16" i="2"/>
  <c r="AD514" i="1"/>
  <c r="AE514" i="1" s="1"/>
  <c r="AF514" i="1" s="1"/>
  <c r="U110" i="2"/>
  <c r="T111" i="2"/>
  <c r="T112" i="2"/>
  <c r="T113" i="2" s="1"/>
  <c r="K503" i="1"/>
  <c r="AQ566" i="1"/>
  <c r="AA157" i="2"/>
  <c r="P144" i="1"/>
  <c r="M52" i="1"/>
  <c r="N51" i="1"/>
  <c r="N52" i="1" s="1"/>
  <c r="AB360" i="1"/>
  <c r="AC117" i="1"/>
  <c r="CJ117" i="1" s="1"/>
  <c r="I147" i="1"/>
  <c r="CJ140" i="1"/>
  <c r="AP500" i="1"/>
  <c r="AP526" i="1" s="1"/>
  <c r="AP144" i="1"/>
  <c r="AP32" i="7"/>
  <c r="AP78" i="7" s="1"/>
  <c r="AO78" i="7"/>
  <c r="CN115" i="1"/>
  <c r="D15" i="5"/>
  <c r="CI114" i="1"/>
  <c r="BI187" i="1"/>
  <c r="BB476" i="1"/>
  <c r="BB460" i="1"/>
  <c r="CO132" i="1"/>
  <c r="G15" i="5" s="1"/>
  <c r="Z517" i="1"/>
  <c r="AA517" i="1" s="1"/>
  <c r="AV144" i="1"/>
  <c r="BA399" i="1"/>
  <c r="BB397" i="1"/>
  <c r="AN535" i="1"/>
  <c r="AO535" i="1" s="1"/>
  <c r="AP535" i="1" s="1"/>
  <c r="AQ535" i="1" s="1"/>
  <c r="AR535" i="1"/>
  <c r="BI155" i="1"/>
  <c r="BI157" i="1" s="1"/>
  <c r="BJ214" i="1"/>
  <c r="BZ21" i="2"/>
  <c r="W512" i="1"/>
  <c r="Y512" i="1" s="1"/>
  <c r="BW577" i="1"/>
  <c r="AK205" i="2"/>
  <c r="AL205" i="2" s="1"/>
  <c r="AL68" i="2"/>
  <c r="AK100" i="2"/>
  <c r="AK108" i="2"/>
  <c r="AK206" i="2"/>
  <c r="AP68" i="2"/>
  <c r="T45" i="7"/>
  <c r="S91" i="7"/>
  <c r="S104" i="7" s="1"/>
  <c r="S57" i="7"/>
  <c r="CM151" i="1"/>
  <c r="AR157" i="1"/>
  <c r="CM157" i="1" s="1"/>
  <c r="AR485" i="1"/>
  <c r="BA646" i="1"/>
  <c r="BA593" i="1"/>
  <c r="BF592" i="1"/>
  <c r="BB592" i="1"/>
  <c r="BA638" i="1"/>
  <c r="BA599" i="1"/>
  <c r="BA605" i="1"/>
  <c r="AE460" i="1"/>
  <c r="AE476" i="1"/>
  <c r="AM485" i="1"/>
  <c r="CL151" i="1"/>
  <c r="CL148" i="1"/>
  <c r="AW130" i="1"/>
  <c r="AF129" i="1"/>
  <c r="AH147" i="1"/>
  <c r="CG126" i="1"/>
  <c r="AO449" i="1"/>
  <c r="AO141" i="1"/>
  <c r="AO144" i="1" s="1"/>
  <c r="AN223" i="1"/>
  <c r="AN449" i="1"/>
  <c r="AN141" i="1"/>
  <c r="CN152" i="1"/>
  <c r="AW157" i="1"/>
  <c r="CN157" i="1" s="1"/>
  <c r="AR360" i="1"/>
  <c r="O351" i="1"/>
  <c r="O49" i="1"/>
  <c r="O468" i="1"/>
  <c r="O43" i="1"/>
  <c r="AM460" i="1"/>
  <c r="S130" i="2"/>
  <c r="S127" i="2"/>
  <c r="S134" i="2"/>
  <c r="S135" i="2" s="1"/>
  <c r="CP189" i="1"/>
  <c r="BH189" i="1"/>
  <c r="BH127" i="1" s="1"/>
  <c r="BN179" i="1"/>
  <c r="CR219" i="1"/>
  <c r="BR219" i="1"/>
  <c r="BS219" i="1" s="1"/>
  <c r="BT219" i="1" s="1"/>
  <c r="BU219" i="1" s="1"/>
  <c r="BV219" i="1" s="1"/>
  <c r="N138" i="2"/>
  <c r="CN138" i="1"/>
  <c r="AL460" i="1"/>
  <c r="AH46" i="7"/>
  <c r="AG92" i="7"/>
  <c r="S87" i="2"/>
  <c r="S189" i="2" s="1"/>
  <c r="BN216" i="1"/>
  <c r="AX271" i="1"/>
  <c r="AX273" i="1"/>
  <c r="AX274" i="1" s="1"/>
  <c r="BM320" i="1"/>
  <c r="BH321" i="1"/>
  <c r="BH319" i="1"/>
  <c r="BH318" i="1" s="1"/>
  <c r="AU282" i="1"/>
  <c r="AG166" i="2"/>
  <c r="AF175" i="2"/>
  <c r="AG175" i="2" s="1"/>
  <c r="AB19" i="1"/>
  <c r="AB329" i="1"/>
  <c r="AB324" i="1"/>
  <c r="X33" i="7"/>
  <c r="W79" i="7"/>
  <c r="AB79" i="7"/>
  <c r="AC323" i="1"/>
  <c r="L144" i="2" s="1"/>
  <c r="AP131" i="1"/>
  <c r="AQ131" i="1"/>
  <c r="AQ460" i="1" s="1"/>
  <c r="AP204" i="1"/>
  <c r="AP211" i="1" s="1"/>
  <c r="AP225" i="1" s="1"/>
  <c r="AV652" i="1"/>
  <c r="AV635" i="1"/>
  <c r="AE473" i="1"/>
  <c r="AE474" i="1" s="1"/>
  <c r="AG121" i="1"/>
  <c r="AG473" i="1" s="1"/>
  <c r="AG474" i="1" s="1"/>
  <c r="AV476" i="1"/>
  <c r="AV460" i="1"/>
  <c r="AF144" i="1"/>
  <c r="AG138" i="1"/>
  <c r="AH138" i="1" s="1"/>
  <c r="AQ138" i="1"/>
  <c r="M258" i="1"/>
  <c r="N257" i="1"/>
  <c r="M263" i="1"/>
  <c r="AV406" i="1"/>
  <c r="AW405" i="1"/>
  <c r="I318" i="1"/>
  <c r="CF318" i="1" s="1"/>
  <c r="I306" i="1"/>
  <c r="I292" i="1"/>
  <c r="I314" i="1"/>
  <c r="CF314" i="1" s="1"/>
  <c r="I332" i="1"/>
  <c r="CF332" i="1" s="1"/>
  <c r="CF313" i="1"/>
  <c r="L27" i="1"/>
  <c r="L431" i="1"/>
  <c r="AM476" i="1"/>
  <c r="AE14" i="7"/>
  <c r="BR174" i="1"/>
  <c r="BS174" i="1" s="1"/>
  <c r="BT174" i="1" s="1"/>
  <c r="BU174" i="1" s="1"/>
  <c r="BV174" i="1" s="1"/>
  <c r="CR174" i="1"/>
  <c r="L504" i="1"/>
  <c r="CR201" i="1"/>
  <c r="BR201" i="1"/>
  <c r="BS201" i="1" s="1"/>
  <c r="BT201" i="1" s="1"/>
  <c r="BU201" i="1" s="1"/>
  <c r="BV201" i="1" s="1"/>
  <c r="S246" i="1"/>
  <c r="CG245" i="1"/>
  <c r="N246" i="1"/>
  <c r="CG246" i="1" s="1"/>
  <c r="N252" i="1"/>
  <c r="CG252" i="1" s="1"/>
  <c r="N266" i="1"/>
  <c r="CG266" i="1" s="1"/>
  <c r="B16" i="2"/>
  <c r="K369" i="1"/>
  <c r="K25" i="1"/>
  <c r="K373" i="1"/>
  <c r="K368" i="1"/>
  <c r="P13" i="1"/>
  <c r="K372" i="1"/>
  <c r="K384" i="1"/>
  <c r="K361" i="1"/>
  <c r="K20" i="1"/>
  <c r="K367" i="1"/>
  <c r="K371" i="1"/>
  <c r="K365" i="1"/>
  <c r="K370" i="1"/>
  <c r="K18" i="1"/>
  <c r="K40" i="1"/>
  <c r="CM37" i="1"/>
  <c r="E12" i="5" s="1"/>
  <c r="I41" i="2"/>
  <c r="I75" i="2"/>
  <c r="I85" i="2" s="1"/>
  <c r="Y14" i="1" s="1"/>
  <c r="AD15" i="1" s="1"/>
  <c r="I80" i="2"/>
  <c r="BB383" i="1"/>
  <c r="BA458" i="1"/>
  <c r="BA500" i="1"/>
  <c r="BA526" i="1" s="1"/>
  <c r="CN67" i="1"/>
  <c r="G31" i="5" s="1"/>
  <c r="O95" i="7"/>
  <c r="O57" i="7"/>
  <c r="P50" i="7"/>
  <c r="Q507" i="1"/>
  <c r="BI206" i="1"/>
  <c r="AM60" i="7"/>
  <c r="AM61" i="7" s="1"/>
  <c r="BH424" i="1"/>
  <c r="BH556" i="1"/>
  <c r="AV29" i="2"/>
  <c r="BZ24" i="2"/>
  <c r="AQ25" i="2"/>
  <c r="BG564" i="1"/>
  <c r="BG308" i="1"/>
  <c r="AL104" i="2"/>
  <c r="BY104" i="2" s="1"/>
  <c r="AL91" i="2"/>
  <c r="BY91" i="2" s="1"/>
  <c r="BB278" i="1"/>
  <c r="BB252" i="1"/>
  <c r="BY233" i="1"/>
  <c r="BY234" i="1" s="1"/>
  <c r="BH116" i="1"/>
  <c r="CP116" i="1"/>
  <c r="AQ34" i="2"/>
  <c r="BX586" i="1"/>
  <c r="H329" i="1"/>
  <c r="H324" i="1"/>
  <c r="I323" i="1"/>
  <c r="M360" i="1"/>
  <c r="N117" i="1"/>
  <c r="Q138" i="1"/>
  <c r="Q144" i="1" s="1"/>
  <c r="M148" i="1"/>
  <c r="AR130" i="1"/>
  <c r="AM24" i="7"/>
  <c r="X92" i="2"/>
  <c r="AN587" i="1"/>
  <c r="X153" i="2"/>
  <c r="X398" i="1"/>
  <c r="W399" i="1"/>
  <c r="K271" i="1"/>
  <c r="K273" i="1"/>
  <c r="K274" i="1" s="1"/>
  <c r="K281" i="1"/>
  <c r="K282" i="1" s="1"/>
  <c r="AI586" i="1"/>
  <c r="S178" i="2"/>
  <c r="AM245" i="1"/>
  <c r="BV16" i="2"/>
  <c r="AM585" i="1"/>
  <c r="W123" i="2"/>
  <c r="CP218" i="1"/>
  <c r="BG449" i="1"/>
  <c r="BH218" i="1"/>
  <c r="AR540" i="1"/>
  <c r="AN540" i="1"/>
  <c r="AO540" i="1" s="1"/>
  <c r="AP540" i="1" s="1"/>
  <c r="AQ540" i="1" s="1"/>
  <c r="S38" i="1"/>
  <c r="R37" i="1"/>
  <c r="AL476" i="1"/>
  <c r="Q509" i="1"/>
  <c r="BB475" i="1"/>
  <c r="BB144" i="1"/>
  <c r="CO144" i="1" s="1"/>
  <c r="CO137" i="1"/>
  <c r="G16" i="5" s="1"/>
  <c r="N63" i="7"/>
  <c r="N64" i="7" s="1"/>
  <c r="BK221" i="1"/>
  <c r="BO176" i="1"/>
  <c r="BT234" i="1"/>
  <c r="BJ593" i="1"/>
  <c r="BO592" i="1"/>
  <c r="BJ599" i="1"/>
  <c r="BJ605" i="1"/>
  <c r="BH157" i="1"/>
  <c r="BZ346" i="1"/>
  <c r="AX40" i="1"/>
  <c r="AX368" i="1"/>
  <c r="BC15" i="1"/>
  <c r="BY7" i="2"/>
  <c r="BB236" i="1"/>
  <c r="BJ576" i="1"/>
  <c r="BJ311" i="1"/>
  <c r="AY61" i="2"/>
  <c r="AT55" i="7"/>
  <c r="BG215" i="1"/>
  <c r="BO178" i="1"/>
  <c r="AL544" i="1"/>
  <c r="AZ436" i="1"/>
  <c r="AY63" i="1"/>
  <c r="AY647" i="1" l="1"/>
  <c r="AT650" i="1"/>
  <c r="BD373" i="1"/>
  <c r="AQ369" i="1"/>
  <c r="CK245" i="1"/>
  <c r="R90" i="2"/>
  <c r="BU90" i="2" s="1"/>
  <c r="R152" i="2"/>
  <c r="BG4" i="2"/>
  <c r="BW233" i="1" s="1"/>
  <c r="BD15" i="1"/>
  <c r="AB281" i="1"/>
  <c r="AB282" i="1" s="1"/>
  <c r="Y110" i="2"/>
  <c r="BI258" i="1"/>
  <c r="BI257" i="1" s="1"/>
  <c r="BD25" i="1"/>
  <c r="R91" i="2"/>
  <c r="BU91" i="2" s="1"/>
  <c r="R123" i="2"/>
  <c r="D351" i="1"/>
  <c r="C349" i="1"/>
  <c r="T43" i="1"/>
  <c r="D49" i="1"/>
  <c r="BH258" i="1"/>
  <c r="BH257" i="1" s="1"/>
  <c r="AZ61" i="2"/>
  <c r="BP311" i="1" s="1"/>
  <c r="AV61" i="2"/>
  <c r="AV62" i="2" s="1"/>
  <c r="AC114" i="1"/>
  <c r="W17" i="2"/>
  <c r="AM586" i="1" s="1"/>
  <c r="BY90" i="2"/>
  <c r="Q38" i="2"/>
  <c r="Q91" i="2"/>
  <c r="R86" i="2"/>
  <c r="R106" i="2" s="1"/>
  <c r="BU106" i="2" s="1"/>
  <c r="AL106" i="2"/>
  <c r="BY106" i="2" s="1"/>
  <c r="BF258" i="1"/>
  <c r="BF260" i="1" s="1"/>
  <c r="BK260" i="1" s="1"/>
  <c r="BL260" i="1" s="1"/>
  <c r="BF278" i="1"/>
  <c r="BF252" i="1"/>
  <c r="BF254" i="1" s="1"/>
  <c r="BK254" i="1" s="1"/>
  <c r="CK37" i="1"/>
  <c r="C12" i="5" s="1"/>
  <c r="E49" i="1"/>
  <c r="E380" i="1" s="1"/>
  <c r="AO371" i="1"/>
  <c r="AO20" i="1"/>
  <c r="AO365" i="1"/>
  <c r="AO42" i="1"/>
  <c r="AO49" i="1" s="1"/>
  <c r="AO380" i="1" s="1"/>
  <c r="AO369" i="1"/>
  <c r="AO368" i="1"/>
  <c r="AQ20" i="1"/>
  <c r="L105" i="2"/>
  <c r="AO13" i="1"/>
  <c r="AO384" i="1"/>
  <c r="AO40" i="1"/>
  <c r="AO370" i="1"/>
  <c r="AQ367" i="1"/>
  <c r="AS650" i="1"/>
  <c r="AF365" i="1"/>
  <c r="AS337" i="1"/>
  <c r="AJ337" i="1"/>
  <c r="AS647" i="1"/>
  <c r="E30" i="1"/>
  <c r="E457" i="1"/>
  <c r="E463" i="1" s="1"/>
  <c r="Q30" i="1"/>
  <c r="R331" i="1"/>
  <c r="R339" i="1" s="1"/>
  <c r="R337" i="1"/>
  <c r="AU611" i="1"/>
  <c r="AU619" i="1" s="1"/>
  <c r="AU621" i="1" s="1"/>
  <c r="AU626" i="1" s="1"/>
  <c r="AU632" i="1" s="1"/>
  <c r="BK311" i="1"/>
  <c r="BC635" i="1"/>
  <c r="BC636" i="1" s="1"/>
  <c r="BJ564" i="1"/>
  <c r="AX23" i="2"/>
  <c r="A82" i="5"/>
  <c r="A74" i="5"/>
  <c r="X87" i="2"/>
  <c r="X88" i="2" s="1"/>
  <c r="X189" i="2" s="1"/>
  <c r="AF368" i="1"/>
  <c r="L174" i="2"/>
  <c r="Q87" i="2"/>
  <c r="Q189" i="2" s="1"/>
  <c r="AL87" i="2"/>
  <c r="BY87" i="2" s="1"/>
  <c r="BY77" i="2"/>
  <c r="AF18" i="1"/>
  <c r="L104" i="2"/>
  <c r="AF367" i="1"/>
  <c r="L87" i="2"/>
  <c r="L103" i="2"/>
  <c r="L107" i="2"/>
  <c r="Q175" i="2"/>
  <c r="AY24" i="2"/>
  <c r="BO308" i="1" s="1"/>
  <c r="AX24" i="2"/>
  <c r="BN564" i="1" s="1"/>
  <c r="BI564" i="1"/>
  <c r="AG406" i="1"/>
  <c r="AH405" i="1"/>
  <c r="Q43" i="1"/>
  <c r="Q351" i="1"/>
  <c r="BH605" i="1"/>
  <c r="BH599" i="1"/>
  <c r="BH593" i="1"/>
  <c r="AW7" i="2"/>
  <c r="AW8" i="2" s="1"/>
  <c r="AM520" i="1"/>
  <c r="BZ61" i="2"/>
  <c r="AQ62" i="2"/>
  <c r="BG577" i="1" s="1"/>
  <c r="BE635" i="1"/>
  <c r="BE636" i="1" s="1"/>
  <c r="BK564" i="1"/>
  <c r="AX647" i="1"/>
  <c r="BM585" i="1"/>
  <c r="AZ24" i="2"/>
  <c r="BP308" i="1" s="1"/>
  <c r="AZ650" i="1"/>
  <c r="BM246" i="1"/>
  <c r="BC657" i="1"/>
  <c r="BC658" i="1" s="1"/>
  <c r="Y434" i="1"/>
  <c r="Z430" i="1" s="1"/>
  <c r="AH22" i="1"/>
  <c r="W104" i="7"/>
  <c r="AV78" i="7"/>
  <c r="T434" i="1"/>
  <c r="U430" i="1" s="1"/>
  <c r="U432" i="1" s="1"/>
  <c r="M67" i="7"/>
  <c r="M104" i="7" s="1"/>
  <c r="O457" i="1"/>
  <c r="O463" i="1" s="1"/>
  <c r="T464" i="1" s="1"/>
  <c r="O30" i="1"/>
  <c r="O33" i="1"/>
  <c r="O34" i="1" s="1"/>
  <c r="BE44" i="7"/>
  <c r="BE90" i="7" s="1"/>
  <c r="BD90" i="7"/>
  <c r="CG17" i="1"/>
  <c r="N366" i="1"/>
  <c r="AN437" i="1"/>
  <c r="AR437" i="1" s="1"/>
  <c r="AR436" i="1" s="1"/>
  <c r="AS437" i="1" s="1"/>
  <c r="AW437" i="1" s="1"/>
  <c r="AW436" i="1" s="1"/>
  <c r="AM63" i="1"/>
  <c r="CL63" i="1" s="1"/>
  <c r="AH52" i="2"/>
  <c r="AQ79" i="7"/>
  <c r="G144" i="1"/>
  <c r="V511" i="1"/>
  <c r="AU33" i="7"/>
  <c r="AU79" i="7" s="1"/>
  <c r="AT79" i="7"/>
  <c r="O91" i="2"/>
  <c r="H258" i="1"/>
  <c r="BD524" i="1"/>
  <c r="AV79" i="7"/>
  <c r="BF436" i="1"/>
  <c r="BF63" i="1" s="1"/>
  <c r="BG63" i="1" s="1"/>
  <c r="CP63" i="1" s="1"/>
  <c r="BE63" i="1"/>
  <c r="BH326" i="1"/>
  <c r="BH325" i="1" s="1"/>
  <c r="R132" i="1"/>
  <c r="Q460" i="1"/>
  <c r="Q476" i="1"/>
  <c r="BN254" i="1"/>
  <c r="BI255" i="1"/>
  <c r="BI253" i="1"/>
  <c r="BI252" i="1" s="1"/>
  <c r="BI251" i="1" s="1"/>
  <c r="AG539" i="1"/>
  <c r="AH539" i="1" s="1"/>
  <c r="AH541" i="1"/>
  <c r="BB485" i="1"/>
  <c r="CO151" i="1"/>
  <c r="R405" i="1"/>
  <c r="R472" i="1"/>
  <c r="R474" i="1" s="1"/>
  <c r="S115" i="1"/>
  <c r="M58" i="7"/>
  <c r="M63" i="7"/>
  <c r="M64" i="7" s="1"/>
  <c r="AF398" i="1"/>
  <c r="AH398" i="1" s="1"/>
  <c r="AF472" i="1"/>
  <c r="AF474" i="1" s="1"/>
  <c r="AB127" i="1"/>
  <c r="AA460" i="1"/>
  <c r="AA476" i="1"/>
  <c r="R360" i="1"/>
  <c r="R361" i="1" s="1"/>
  <c r="S117" i="1"/>
  <c r="AG102" i="7"/>
  <c r="AF101" i="7"/>
  <c r="Q458" i="1"/>
  <c r="Q384" i="1"/>
  <c r="R75" i="7"/>
  <c r="N104" i="7"/>
  <c r="M127" i="1"/>
  <c r="L476" i="1"/>
  <c r="L460" i="1"/>
  <c r="AF521" i="1"/>
  <c r="AG521" i="1" s="1"/>
  <c r="Q457" i="1"/>
  <c r="Q463" i="1" s="1"/>
  <c r="V464" i="1" s="1"/>
  <c r="AC273" i="1"/>
  <c r="CJ273" i="1" s="1"/>
  <c r="AB273" i="1"/>
  <c r="AB274" i="1" s="1"/>
  <c r="AO339" i="1"/>
  <c r="AO340" i="1" s="1"/>
  <c r="AE348" i="1"/>
  <c r="AE349" i="1" s="1"/>
  <c r="AJ348" i="1"/>
  <c r="AJ349" i="1" s="1"/>
  <c r="AD17" i="2"/>
  <c r="AD21" i="2" s="1"/>
  <c r="Y17" i="2"/>
  <c r="Y23" i="2" s="1"/>
  <c r="T351" i="1"/>
  <c r="AQ585" i="1"/>
  <c r="BK131" i="1"/>
  <c r="BL131" i="1" s="1"/>
  <c r="CQ131" i="1" s="1"/>
  <c r="CJ17" i="1"/>
  <c r="BA157" i="1"/>
  <c r="AJ79" i="7"/>
  <c r="AK33" i="7"/>
  <c r="AK79" i="7" s="1"/>
  <c r="O127" i="2"/>
  <c r="O130" i="2"/>
  <c r="O134" i="2"/>
  <c r="O135" i="2" s="1"/>
  <c r="CH223" i="1"/>
  <c r="Z432" i="1"/>
  <c r="Z434" i="1" s="1"/>
  <c r="AA430" i="1" s="1"/>
  <c r="AA432" i="1" s="1"/>
  <c r="AA434" i="1" s="1"/>
  <c r="AB430" i="1" s="1"/>
  <c r="BD78" i="7"/>
  <c r="BE32" i="7"/>
  <c r="BE78" i="7" s="1"/>
  <c r="AB58" i="7"/>
  <c r="AC58" i="7"/>
  <c r="AI29" i="7"/>
  <c r="AH75" i="7"/>
  <c r="AK30" i="7"/>
  <c r="AK76" i="7" s="1"/>
  <c r="AJ76" i="7"/>
  <c r="AI95" i="7"/>
  <c r="AJ50" i="7"/>
  <c r="CJ245" i="1"/>
  <c r="AC252" i="1"/>
  <c r="CJ252" i="1" s="1"/>
  <c r="H144" i="1"/>
  <c r="H383" i="1"/>
  <c r="I137" i="1"/>
  <c r="AI78" i="7"/>
  <c r="AJ32" i="7"/>
  <c r="AU46" i="7"/>
  <c r="AU92" i="7" s="1"/>
  <c r="AT92" i="7"/>
  <c r="K431" i="1"/>
  <c r="K27" i="1"/>
  <c r="AA90" i="7"/>
  <c r="AA104" i="7" s="1"/>
  <c r="AA57" i="7"/>
  <c r="AQ75" i="7"/>
  <c r="AZ32" i="7"/>
  <c r="AZ78" i="7" s="1"/>
  <c r="AY78" i="7"/>
  <c r="BA78" i="7" s="1"/>
  <c r="AN97" i="7"/>
  <c r="AO52" i="7"/>
  <c r="CK211" i="1"/>
  <c r="AH225" i="1"/>
  <c r="CK225" i="1" s="1"/>
  <c r="CI127" i="1"/>
  <c r="X460" i="1"/>
  <c r="BG576" i="1"/>
  <c r="N58" i="7"/>
  <c r="H19" i="1"/>
  <c r="H22" i="1" s="1"/>
  <c r="BB270" i="1"/>
  <c r="CO270" i="1" s="1"/>
  <c r="BB12" i="1"/>
  <c r="BB369" i="1" s="1"/>
  <c r="AL105" i="2"/>
  <c r="BY105" i="2" s="1"/>
  <c r="AL107" i="2"/>
  <c r="BY107" i="2" s="1"/>
  <c r="O104" i="7"/>
  <c r="Q468" i="1"/>
  <c r="K13" i="1"/>
  <c r="AQ52" i="2"/>
  <c r="V31" i="1"/>
  <c r="BB16" i="2"/>
  <c r="BG16" i="2" s="1"/>
  <c r="BW585" i="1" s="1"/>
  <c r="Z513" i="1"/>
  <c r="AA513" i="1" s="1"/>
  <c r="AN476" i="1"/>
  <c r="AV368" i="1"/>
  <c r="AO337" i="1"/>
  <c r="AE339" i="1"/>
  <c r="AJ342" i="1" s="1"/>
  <c r="AF78" i="2"/>
  <c r="AV582" i="1" s="1"/>
  <c r="AS348" i="1"/>
  <c r="AS349" i="1" s="1"/>
  <c r="Y90" i="2"/>
  <c r="Y91" i="2" s="1"/>
  <c r="Y86" i="2"/>
  <c r="Y103" i="2" s="1"/>
  <c r="T468" i="1"/>
  <c r="T30" i="1"/>
  <c r="R20" i="1"/>
  <c r="R29" i="1"/>
  <c r="BA437" i="1"/>
  <c r="BA436" i="1" s="1"/>
  <c r="BA63" i="1" s="1"/>
  <c r="BB63" i="1" s="1"/>
  <c r="CO63" i="1" s="1"/>
  <c r="F20" i="1"/>
  <c r="N123" i="1"/>
  <c r="CG123" i="1" s="1"/>
  <c r="BI326" i="1"/>
  <c r="BI327" i="1" s="1"/>
  <c r="AG90" i="7"/>
  <c r="AH44" i="7"/>
  <c r="BD85" i="7"/>
  <c r="BE39" i="7"/>
  <c r="BE85" i="7" s="1"/>
  <c r="CG211" i="1"/>
  <c r="N225" i="1"/>
  <c r="CG225" i="1" s="1"/>
  <c r="AM45" i="7"/>
  <c r="AL91" i="7"/>
  <c r="BE50" i="7"/>
  <c r="BE95" i="7" s="1"/>
  <c r="BD95" i="7"/>
  <c r="AC12" i="7"/>
  <c r="AB19" i="7"/>
  <c r="AB67" i="7" s="1"/>
  <c r="CK151" i="1"/>
  <c r="AH485" i="1"/>
  <c r="X476" i="1"/>
  <c r="AU29" i="7"/>
  <c r="AU75" i="7" s="1"/>
  <c r="AT75" i="7"/>
  <c r="CM17" i="1"/>
  <c r="AR366" i="1"/>
  <c r="AO95" i="7"/>
  <c r="AP50" i="7"/>
  <c r="AP95" i="7" s="1"/>
  <c r="BI209" i="1"/>
  <c r="BH142" i="1"/>
  <c r="R383" i="1"/>
  <c r="S383" i="1" s="1"/>
  <c r="R397" i="1"/>
  <c r="R475" i="1"/>
  <c r="S137" i="1"/>
  <c r="CK329" i="1"/>
  <c r="AH334" i="1"/>
  <c r="CK334" i="1" s="1"/>
  <c r="Z58" i="7"/>
  <c r="Z63" i="7"/>
  <c r="Z64" i="7" s="1"/>
  <c r="AP5" i="7"/>
  <c r="AN19" i="7"/>
  <c r="AN67" i="7" s="1"/>
  <c r="CH323" i="1"/>
  <c r="S329" i="1"/>
  <c r="CH329" i="1" s="1"/>
  <c r="CM383" i="1"/>
  <c r="AR458" i="1"/>
  <c r="R273" i="1"/>
  <c r="R274" i="1" s="1"/>
  <c r="R266" i="1"/>
  <c r="R268" i="1"/>
  <c r="S265" i="1"/>
  <c r="AF85" i="7"/>
  <c r="AG39" i="7"/>
  <c r="AF57" i="7"/>
  <c r="AF58" i="7" s="1"/>
  <c r="AX365" i="1"/>
  <c r="AV66" i="2"/>
  <c r="CA66" i="2" s="1"/>
  <c r="AI520" i="1"/>
  <c r="AJ520" i="1" s="1"/>
  <c r="L157" i="1"/>
  <c r="BB258" i="1"/>
  <c r="CO258" i="1" s="1"/>
  <c r="AL206" i="2"/>
  <c r="K42" i="1"/>
  <c r="K29" i="1"/>
  <c r="K33" i="1" s="1"/>
  <c r="AG57" i="7"/>
  <c r="AG58" i="7" s="1"/>
  <c r="BM308" i="1"/>
  <c r="BB23" i="2"/>
  <c r="AF361" i="1"/>
  <c r="AU653" i="1"/>
  <c r="BC13" i="1"/>
  <c r="AO373" i="1"/>
  <c r="AH336" i="1"/>
  <c r="AH339" i="1" s="1"/>
  <c r="Y152" i="2"/>
  <c r="AO29" i="1"/>
  <c r="AO457" i="1" s="1"/>
  <c r="AO463" i="1" s="1"/>
  <c r="AO18" i="1"/>
  <c r="T33" i="1"/>
  <c r="Y35" i="1" s="1"/>
  <c r="H270" i="1"/>
  <c r="H273" i="1" s="1"/>
  <c r="H274" i="1" s="1"/>
  <c r="X29" i="1"/>
  <c r="CI29" i="1" s="1"/>
  <c r="O147" i="2"/>
  <c r="O148" i="2" s="1"/>
  <c r="M473" i="1"/>
  <c r="M474" i="1" s="1"/>
  <c r="N412" i="1"/>
  <c r="X124" i="1"/>
  <c r="BB474" i="1"/>
  <c r="AC258" i="1"/>
  <c r="CJ258" i="1" s="1"/>
  <c r="AC278" i="1"/>
  <c r="AY25" i="1"/>
  <c r="AY29" i="1"/>
  <c r="AY33" i="1" s="1"/>
  <c r="AC246" i="1"/>
  <c r="CJ246" i="1" s="1"/>
  <c r="AY40" i="1"/>
  <c r="AY371" i="1"/>
  <c r="AY365" i="1"/>
  <c r="AL31" i="7"/>
  <c r="AK77" i="7"/>
  <c r="AL77" i="7" s="1"/>
  <c r="BG485" i="1"/>
  <c r="CP151" i="1"/>
  <c r="W458" i="1"/>
  <c r="X383" i="1"/>
  <c r="AW225" i="1"/>
  <c r="CN225" i="1" s="1"/>
  <c r="U138" i="7"/>
  <c r="T139" i="7"/>
  <c r="BR346" i="1"/>
  <c r="BR344" i="1" s="1"/>
  <c r="BW279" i="1"/>
  <c r="BW346" i="1" s="1"/>
  <c r="BW344" i="1" s="1"/>
  <c r="Z104" i="7"/>
  <c r="M151" i="1"/>
  <c r="M485" i="1" s="1"/>
  <c r="BA79" i="7"/>
  <c r="BE46" i="7"/>
  <c r="BE92" i="7" s="1"/>
  <c r="BD92" i="7"/>
  <c r="AO501" i="1"/>
  <c r="AT501" i="1" s="1"/>
  <c r="AY501" i="1" s="1"/>
  <c r="BD501" i="1" s="1"/>
  <c r="BI501" i="1" s="1"/>
  <c r="BN501" i="1" s="1"/>
  <c r="BS501" i="1" s="1"/>
  <c r="BX501" i="1" s="1"/>
  <c r="X405" i="1"/>
  <c r="CK114" i="1"/>
  <c r="AH472" i="1"/>
  <c r="W472" i="1"/>
  <c r="W474" i="1" s="1"/>
  <c r="X115" i="1"/>
  <c r="H276" i="1"/>
  <c r="H39" i="1"/>
  <c r="H37" i="1" s="1"/>
  <c r="H40" i="1" s="1"/>
  <c r="BB261" i="1"/>
  <c r="AO15" i="1"/>
  <c r="AK43" i="1"/>
  <c r="AV42" i="1"/>
  <c r="AV468" i="1" s="1"/>
  <c r="AZ339" i="1"/>
  <c r="AZ340" i="1" s="1"/>
  <c r="AZ653" i="1"/>
  <c r="CE339" i="1"/>
  <c r="D340" i="1"/>
  <c r="CE340" i="1" s="1"/>
  <c r="AV370" i="1"/>
  <c r="AZ348" i="1"/>
  <c r="AZ349" i="1" s="1"/>
  <c r="AY49" i="1"/>
  <c r="AY54" i="1" s="1"/>
  <c r="D33" i="1"/>
  <c r="D35" i="1" s="1"/>
  <c r="CE35" i="1" s="1"/>
  <c r="D457" i="1"/>
  <c r="D463" i="1" s="1"/>
  <c r="D464" i="1" s="1"/>
  <c r="CE29" i="1"/>
  <c r="D30" i="1"/>
  <c r="CE30" i="1" s="1"/>
  <c r="AV18" i="1"/>
  <c r="BA15" i="1"/>
  <c r="S336" i="1"/>
  <c r="S348" i="1" s="1"/>
  <c r="S349" i="1" s="1"/>
  <c r="BB326" i="1"/>
  <c r="E351" i="1"/>
  <c r="AK342" i="1"/>
  <c r="AV372" i="1"/>
  <c r="AV361" i="1"/>
  <c r="AV369" i="1"/>
  <c r="AV371" i="1"/>
  <c r="AC271" i="1"/>
  <c r="CJ271" i="1" s="1"/>
  <c r="BB254" i="1"/>
  <c r="AY468" i="1"/>
  <c r="AV373" i="1"/>
  <c r="AV25" i="1"/>
  <c r="AV29" i="1"/>
  <c r="AV457" i="1" s="1"/>
  <c r="AV20" i="1"/>
  <c r="AC281" i="1"/>
  <c r="CJ281" i="1" s="1"/>
  <c r="AF52" i="2"/>
  <c r="AY281" i="1"/>
  <c r="AY282" i="1" s="1"/>
  <c r="AY271" i="1"/>
  <c r="AY273" i="1"/>
  <c r="AY274" i="1" s="1"/>
  <c r="AV367" i="1"/>
  <c r="AV40" i="1"/>
  <c r="BC650" i="1"/>
  <c r="AQ361" i="1"/>
  <c r="BC647" i="1"/>
  <c r="AF342" i="1"/>
  <c r="BD365" i="1"/>
  <c r="BI365" i="1" s="1"/>
  <c r="BN365" i="1" s="1"/>
  <c r="BS365" i="1" s="1"/>
  <c r="BX365" i="1" s="1"/>
  <c r="BD13" i="1"/>
  <c r="BD29" i="1"/>
  <c r="BD30" i="1" s="1"/>
  <c r="BD369" i="1"/>
  <c r="BI369" i="1" s="1"/>
  <c r="BN369" i="1" s="1"/>
  <c r="BS369" i="1" s="1"/>
  <c r="BX369" i="1" s="1"/>
  <c r="BD20" i="1"/>
  <c r="BN258" i="1"/>
  <c r="AO273" i="1"/>
  <c r="AO274" i="1" s="1"/>
  <c r="AQ370" i="1"/>
  <c r="AQ365" i="1"/>
  <c r="AQ18" i="1"/>
  <c r="BM276" i="1"/>
  <c r="BD368" i="1"/>
  <c r="BD367" i="1"/>
  <c r="BI367" i="1" s="1"/>
  <c r="BN367" i="1" s="1"/>
  <c r="BS367" i="1" s="1"/>
  <c r="BX367" i="1" s="1"/>
  <c r="BD361" i="1"/>
  <c r="BD372" i="1"/>
  <c r="BN259" i="1"/>
  <c r="AQ373" i="1"/>
  <c r="AQ25" i="1"/>
  <c r="AQ372" i="1"/>
  <c r="BD370" i="1"/>
  <c r="BI370" i="1" s="1"/>
  <c r="BN370" i="1" s="1"/>
  <c r="BS370" i="1" s="1"/>
  <c r="BX370" i="1" s="1"/>
  <c r="BD371" i="1"/>
  <c r="BD42" i="1"/>
  <c r="BD43" i="1" s="1"/>
  <c r="BD18" i="1"/>
  <c r="AV15" i="1"/>
  <c r="AV13" i="1"/>
  <c r="AO271" i="1"/>
  <c r="AQ384" i="1"/>
  <c r="AQ368" i="1"/>
  <c r="AQ29" i="1"/>
  <c r="AQ457" i="1" s="1"/>
  <c r="AQ463" i="1" s="1"/>
  <c r="AX369" i="1"/>
  <c r="AX384" i="1"/>
  <c r="AX42" i="1"/>
  <c r="AX49" i="1" s="1"/>
  <c r="AX372" i="1"/>
  <c r="AX29" i="1"/>
  <c r="AX457" i="1" s="1"/>
  <c r="AX463" i="1" s="1"/>
  <c r="BH261" i="1"/>
  <c r="AF20" i="1"/>
  <c r="AF42" i="1"/>
  <c r="AF43" i="1" s="1"/>
  <c r="AF371" i="1"/>
  <c r="AF369" i="1"/>
  <c r="AH252" i="1"/>
  <c r="CK252" i="1" s="1"/>
  <c r="BD339" i="1"/>
  <c r="BD340" i="1" s="1"/>
  <c r="BD337" i="1"/>
  <c r="BD348" i="1"/>
  <c r="BD349" i="1" s="1"/>
  <c r="AX373" i="1"/>
  <c r="AX25" i="1"/>
  <c r="AX371" i="1"/>
  <c r="AX15" i="1"/>
  <c r="AX361" i="1"/>
  <c r="AO33" i="1"/>
  <c r="AO34" i="1" s="1"/>
  <c r="BM260" i="1"/>
  <c r="BR260" i="1" s="1"/>
  <c r="AH270" i="1"/>
  <c r="AH281" i="1" s="1"/>
  <c r="AF13" i="1"/>
  <c r="AF370" i="1"/>
  <c r="AF372" i="1"/>
  <c r="AF40" i="1"/>
  <c r="AG40" i="1" s="1"/>
  <c r="AH246" i="1"/>
  <c r="CK246" i="1" s="1"/>
  <c r="AX367" i="1"/>
  <c r="AX18" i="1"/>
  <c r="AX20" i="1"/>
  <c r="AU657" i="1"/>
  <c r="AU658" i="1" s="1"/>
  <c r="AF373" i="1"/>
  <c r="AF25" i="1"/>
  <c r="AF29" i="1"/>
  <c r="AF30" i="1" s="1"/>
  <c r="AH278" i="1"/>
  <c r="AA152" i="2"/>
  <c r="AF17" i="2"/>
  <c r="AA17" i="2"/>
  <c r="AA86" i="2"/>
  <c r="AA90" i="2"/>
  <c r="BB255" i="1"/>
  <c r="AK468" i="1"/>
  <c r="AC292" i="1"/>
  <c r="AK33" i="1"/>
  <c r="AK34" i="1" s="1"/>
  <c r="AK457" i="1"/>
  <c r="BB327" i="1"/>
  <c r="AS281" i="1"/>
  <c r="AS282" i="1" s="1"/>
  <c r="AS273" i="1"/>
  <c r="AS274" i="1" s="1"/>
  <c r="AS271" i="1"/>
  <c r="BB321" i="1"/>
  <c r="BB320" i="1"/>
  <c r="AO98" i="7"/>
  <c r="AP53" i="7"/>
  <c r="AP71" i="7"/>
  <c r="AQ26" i="7"/>
  <c r="AN72" i="7"/>
  <c r="AO25" i="7"/>
  <c r="AS81" i="2"/>
  <c r="AS99" i="2" s="1"/>
  <c r="BI568" i="1"/>
  <c r="AX52" i="2"/>
  <c r="AS76" i="2"/>
  <c r="BI580" i="1" s="1"/>
  <c r="AX31" i="2"/>
  <c r="BN568" i="1" s="1"/>
  <c r="N413" i="1"/>
  <c r="N415" i="1" s="1"/>
  <c r="AE361" i="1"/>
  <c r="AE371" i="1"/>
  <c r="AE20" i="1"/>
  <c r="AE368" i="1"/>
  <c r="AE365" i="1"/>
  <c r="AE18" i="1"/>
  <c r="AE373" i="1"/>
  <c r="AE384" i="1"/>
  <c r="AE369" i="1"/>
  <c r="AE372" i="1"/>
  <c r="AE370" i="1"/>
  <c r="AE367" i="1"/>
  <c r="AE25" i="1"/>
  <c r="AE40" i="1"/>
  <c r="AV24" i="2"/>
  <c r="CA24" i="2" s="1"/>
  <c r="BA384" i="1"/>
  <c r="AT7" i="2"/>
  <c r="AT8" i="2" s="1"/>
  <c r="AH12" i="1"/>
  <c r="AH40" i="1" s="1"/>
  <c r="CK40" i="1" s="1"/>
  <c r="AE13" i="1"/>
  <c r="BI325" i="1"/>
  <c r="AQ92" i="2"/>
  <c r="AQ88" i="2" s="1"/>
  <c r="AV16" i="2"/>
  <c r="BA21" i="2" s="1"/>
  <c r="BJ585" i="1"/>
  <c r="BM564" i="1"/>
  <c r="BH564" i="1"/>
  <c r="AW23" i="2"/>
  <c r="AJ13" i="1"/>
  <c r="AE42" i="1"/>
  <c r="AE468" i="1" s="1"/>
  <c r="BN320" i="1"/>
  <c r="BI321" i="1"/>
  <c r="BI319" i="1"/>
  <c r="BI318" i="1" s="1"/>
  <c r="AE271" i="1"/>
  <c r="AE281" i="1"/>
  <c r="AE282" i="1" s="1"/>
  <c r="AE273" i="1"/>
  <c r="AE274" i="1" s="1"/>
  <c r="AY23" i="2"/>
  <c r="BB638" i="1"/>
  <c r="BB639" i="1" s="1"/>
  <c r="BC639" i="1" s="1"/>
  <c r="BD639" i="1" s="1"/>
  <c r="AY16" i="2"/>
  <c r="BD16" i="2" s="1"/>
  <c r="BH308" i="1"/>
  <c r="AE29" i="1"/>
  <c r="AE33" i="1" s="1"/>
  <c r="AE34" i="1" s="1"/>
  <c r="BO260" i="1"/>
  <c r="BJ259" i="1"/>
  <c r="BJ258" i="1" s="1"/>
  <c r="BJ257" i="1" s="1"/>
  <c r="BJ261" i="1"/>
  <c r="M306" i="1"/>
  <c r="M314" i="1"/>
  <c r="N401" i="1"/>
  <c r="S396" i="1" s="1"/>
  <c r="AL397" i="1"/>
  <c r="AM397" i="1" s="1"/>
  <c r="AM137" i="1"/>
  <c r="AL475" i="1"/>
  <c r="AL383" i="1"/>
  <c r="W144" i="1"/>
  <c r="W500" i="1"/>
  <c r="W519" i="1" s="1"/>
  <c r="Y519" i="1" s="1"/>
  <c r="Z519" i="1" s="1"/>
  <c r="AA519" i="1" s="1"/>
  <c r="X138" i="1"/>
  <c r="BA406" i="1"/>
  <c r="BB405" i="1"/>
  <c r="N323" i="1"/>
  <c r="M329" i="1"/>
  <c r="M334" i="1" s="1"/>
  <c r="AU458" i="1"/>
  <c r="AU500" i="1"/>
  <c r="AU526" i="1" s="1"/>
  <c r="I225" i="1"/>
  <c r="CF225" i="1" s="1"/>
  <c r="CF211" i="1"/>
  <c r="P348" i="1"/>
  <c r="P349" i="1" s="1"/>
  <c r="P339" i="1"/>
  <c r="P340" i="1" s="1"/>
  <c r="P337" i="1"/>
  <c r="AV383" i="1"/>
  <c r="AV397" i="1"/>
  <c r="AW397" i="1" s="1"/>
  <c r="AW137" i="1"/>
  <c r="AK384" i="1"/>
  <c r="AK500" i="1"/>
  <c r="AK522" i="1" s="1"/>
  <c r="AK458" i="1"/>
  <c r="N45" i="1"/>
  <c r="CG45" i="1" s="1"/>
  <c r="M418" i="1"/>
  <c r="N418" i="1" s="1"/>
  <c r="AQ348" i="1"/>
  <c r="AQ349" i="1" s="1"/>
  <c r="AQ339" i="1"/>
  <c r="AQ340" i="1" s="1"/>
  <c r="AQ337" i="1"/>
  <c r="CH211" i="1"/>
  <c r="S225" i="1"/>
  <c r="CH225" i="1" s="1"/>
  <c r="P367" i="1"/>
  <c r="P370" i="1"/>
  <c r="P369" i="1"/>
  <c r="P20" i="1"/>
  <c r="P25" i="1"/>
  <c r="P365" i="1"/>
  <c r="P368" i="1"/>
  <c r="P361" i="1"/>
  <c r="P372" i="1"/>
  <c r="S12" i="1"/>
  <c r="P384" i="1"/>
  <c r="P371" i="1"/>
  <c r="P373" i="1"/>
  <c r="U13" i="1"/>
  <c r="J434" i="1"/>
  <c r="K430" i="1" s="1"/>
  <c r="K432" i="1" s="1"/>
  <c r="AW117" i="1"/>
  <c r="CN117" i="1" s="1"/>
  <c r="CN114" i="1"/>
  <c r="AW472" i="1"/>
  <c r="AW474" i="1" s="1"/>
  <c r="I117" i="1"/>
  <c r="I360" i="1" s="1"/>
  <c r="CP188" i="1"/>
  <c r="BH188" i="1"/>
  <c r="AL501" i="1"/>
  <c r="AQ501" i="1" s="1"/>
  <c r="AV501" i="1" s="1"/>
  <c r="BA501" i="1" s="1"/>
  <c r="BF501" i="1" s="1"/>
  <c r="BK501" i="1" s="1"/>
  <c r="BP501" i="1" s="1"/>
  <c r="BU501" i="1" s="1"/>
  <c r="BZ501" i="1" s="1"/>
  <c r="AP501" i="1"/>
  <c r="AU501" i="1" s="1"/>
  <c r="AZ501" i="1" s="1"/>
  <c r="BE501" i="1" s="1"/>
  <c r="BJ501" i="1" s="1"/>
  <c r="BO501" i="1" s="1"/>
  <c r="BT501" i="1" s="1"/>
  <c r="BY501" i="1" s="1"/>
  <c r="V510" i="1"/>
  <c r="W510" i="1" s="1"/>
  <c r="F18" i="1"/>
  <c r="F368" i="1"/>
  <c r="F369" i="1"/>
  <c r="F373" i="1"/>
  <c r="F384" i="1"/>
  <c r="F372" i="1"/>
  <c r="F371" i="1"/>
  <c r="F367" i="1"/>
  <c r="F370" i="1"/>
  <c r="F365" i="1"/>
  <c r="F361" i="1"/>
  <c r="BI198" i="1"/>
  <c r="AM20" i="7"/>
  <c r="F337" i="1"/>
  <c r="F348" i="1"/>
  <c r="F349" i="1" s="1"/>
  <c r="F339" i="1"/>
  <c r="F340" i="1" s="1"/>
  <c r="C380" i="1"/>
  <c r="C54" i="1"/>
  <c r="AS536" i="1"/>
  <c r="AR534" i="1"/>
  <c r="AW536" i="1"/>
  <c r="AK536" i="1"/>
  <c r="AJ534" i="1"/>
  <c r="AO536" i="1"/>
  <c r="AN534" i="1"/>
  <c r="AC485" i="1"/>
  <c r="CJ151" i="1"/>
  <c r="AC157" i="1"/>
  <c r="CJ157" i="1" s="1"/>
  <c r="CH147" i="1"/>
  <c r="S157" i="1"/>
  <c r="CH157" i="1" s="1"/>
  <c r="F27" i="1"/>
  <c r="F431" i="1"/>
  <c r="F29" i="1"/>
  <c r="F432" i="1"/>
  <c r="N278" i="1"/>
  <c r="AT647" i="1"/>
  <c r="K127" i="2"/>
  <c r="K134" i="2"/>
  <c r="K135" i="2" s="1"/>
  <c r="K130" i="2"/>
  <c r="P87" i="2"/>
  <c r="P189" i="2" s="1"/>
  <c r="P107" i="2"/>
  <c r="P106" i="2"/>
  <c r="P105" i="2"/>
  <c r="P174" i="2"/>
  <c r="P175" i="2" s="1"/>
  <c r="P103" i="2"/>
  <c r="P104" i="2"/>
  <c r="C105" i="2"/>
  <c r="C106" i="2"/>
  <c r="C107" i="2"/>
  <c r="C103" i="2"/>
  <c r="C104" i="2"/>
  <c r="AR142" i="1"/>
  <c r="AQ475" i="1"/>
  <c r="CH263" i="1"/>
  <c r="S270" i="1"/>
  <c r="S268" i="1"/>
  <c r="CH268" i="1" s="1"/>
  <c r="U141" i="2"/>
  <c r="T141" i="2"/>
  <c r="CL317" i="1"/>
  <c r="S141" i="2"/>
  <c r="X141" i="2"/>
  <c r="AM329" i="1"/>
  <c r="CL263" i="1"/>
  <c r="AM268" i="1"/>
  <c r="CL268" i="1" s="1"/>
  <c r="S418" i="1"/>
  <c r="S459" i="1" s="1"/>
  <c r="R459" i="1"/>
  <c r="AG157" i="1"/>
  <c r="CM19" i="1"/>
  <c r="AR22" i="1"/>
  <c r="AQ273" i="1"/>
  <c r="AQ274" i="1" s="1"/>
  <c r="AQ271" i="1"/>
  <c r="AQ281" i="1"/>
  <c r="AQ282" i="1" s="1"/>
  <c r="AC397" i="1"/>
  <c r="CJ137" i="1"/>
  <c r="B16" i="5" s="1"/>
  <c r="AC475" i="1"/>
  <c r="AB383" i="1"/>
  <c r="AB384" i="1" s="1"/>
  <c r="AB475" i="1"/>
  <c r="AB397" i="1"/>
  <c r="AB399" i="1" s="1"/>
  <c r="AL398" i="1"/>
  <c r="AL399" i="1" s="1"/>
  <c r="AL472" i="1"/>
  <c r="CH17" i="1"/>
  <c r="S22" i="1"/>
  <c r="S366" i="1"/>
  <c r="P91" i="2"/>
  <c r="U91" i="2"/>
  <c r="AA33" i="1"/>
  <c r="AA34" i="1" s="1"/>
  <c r="AA457" i="1"/>
  <c r="AA30" i="1"/>
  <c r="G431" i="1"/>
  <c r="G27" i="1"/>
  <c r="AQ431" i="1"/>
  <c r="AQ42" i="1"/>
  <c r="W431" i="1"/>
  <c r="W27" i="1"/>
  <c r="AA458" i="1"/>
  <c r="AA384" i="1"/>
  <c r="AA500" i="1"/>
  <c r="AA522" i="1" s="1"/>
  <c r="AB522" i="1" s="1"/>
  <c r="BB157" i="1"/>
  <c r="CO157" i="1" s="1"/>
  <c r="S473" i="1"/>
  <c r="F42" i="1"/>
  <c r="F43" i="1" s="1"/>
  <c r="CE49" i="1"/>
  <c r="D54" i="1"/>
  <c r="D380" i="1"/>
  <c r="AL273" i="1"/>
  <c r="AL274" i="1" s="1"/>
  <c r="AL271" i="1"/>
  <c r="AL281" i="1"/>
  <c r="AL282" i="1" s="1"/>
  <c r="N294" i="1"/>
  <c r="R295" i="1"/>
  <c r="M295" i="1"/>
  <c r="AK586" i="1"/>
  <c r="U178" i="2"/>
  <c r="AA49" i="1"/>
  <c r="AA468" i="1"/>
  <c r="AA43" i="1"/>
  <c r="AL366" i="1"/>
  <c r="AL22" i="1"/>
  <c r="AM17" i="1"/>
  <c r="K337" i="1"/>
  <c r="K339" i="1"/>
  <c r="K340" i="1" s="1"/>
  <c r="K348" i="1"/>
  <c r="K349" i="1" s="1"/>
  <c r="CF117" i="1"/>
  <c r="AW360" i="1"/>
  <c r="M344" i="1"/>
  <c r="N345" i="1"/>
  <c r="N344" i="1" s="1"/>
  <c r="G268" i="1"/>
  <c r="G270" i="1"/>
  <c r="H460" i="1"/>
  <c r="AF500" i="1"/>
  <c r="AF522" i="1" s="1"/>
  <c r="CL38" i="1"/>
  <c r="AM37" i="1"/>
  <c r="CK137" i="1"/>
  <c r="C16" i="5" s="1"/>
  <c r="AH475" i="1"/>
  <c r="U30" i="1"/>
  <c r="U33" i="1"/>
  <c r="U457" i="1"/>
  <c r="U463" i="1" s="1"/>
  <c r="X27" i="1"/>
  <c r="AT657" i="1"/>
  <c r="AT658" i="1" s="1"/>
  <c r="AF384" i="1"/>
  <c r="BB260" i="1"/>
  <c r="Y464" i="1"/>
  <c r="BC524" i="1"/>
  <c r="BI524" i="1" s="1"/>
  <c r="W29" i="1"/>
  <c r="W457" i="1" s="1"/>
  <c r="AB485" i="1"/>
  <c r="AB157" i="1"/>
  <c r="P431" i="1"/>
  <c r="S431" i="1" s="1"/>
  <c r="P27" i="1"/>
  <c r="P29" i="1"/>
  <c r="U31" i="1" s="1"/>
  <c r="P432" i="1"/>
  <c r="CJ114" i="1"/>
  <c r="AC398" i="1"/>
  <c r="K174" i="2"/>
  <c r="K107" i="2"/>
  <c r="K104" i="2"/>
  <c r="K87" i="2"/>
  <c r="K105" i="2"/>
  <c r="K106" i="2"/>
  <c r="AG397" i="1"/>
  <c r="AG399" i="1" s="1"/>
  <c r="AG475" i="1"/>
  <c r="AG383" i="1"/>
  <c r="AH383" i="1" s="1"/>
  <c r="P130" i="2"/>
  <c r="P134" i="2"/>
  <c r="P135" i="2" s="1"/>
  <c r="P127" i="2"/>
  <c r="P178" i="2"/>
  <c r="P38" i="2"/>
  <c r="R38" i="2" s="1"/>
  <c r="U175" i="2"/>
  <c r="U434" i="1"/>
  <c r="V430" i="1" s="1"/>
  <c r="X431" i="1"/>
  <c r="CH45" i="1"/>
  <c r="X268" i="1"/>
  <c r="CI268" i="1" s="1"/>
  <c r="CI263" i="1"/>
  <c r="I257" i="1"/>
  <c r="I258" i="1" s="1"/>
  <c r="CF258" i="1" s="1"/>
  <c r="CL225" i="1"/>
  <c r="AM227" i="1"/>
  <c r="CG124" i="1"/>
  <c r="Y54" i="1"/>
  <c r="Y380" i="1"/>
  <c r="AA127" i="2"/>
  <c r="AA130" i="2"/>
  <c r="AA134" i="2"/>
  <c r="AA135" i="2" s="1"/>
  <c r="CQ197" i="1"/>
  <c r="BM197" i="1"/>
  <c r="P468" i="1"/>
  <c r="P43" i="1"/>
  <c r="P49" i="1"/>
  <c r="AQ30" i="1"/>
  <c r="V49" i="1"/>
  <c r="V43" i="1"/>
  <c r="V468" i="1"/>
  <c r="V351" i="1"/>
  <c r="CP155" i="1"/>
  <c r="BG157" i="1"/>
  <c r="CP157" i="1" s="1"/>
  <c r="G337" i="1"/>
  <c r="G339" i="1"/>
  <c r="G340" i="1" s="1"/>
  <c r="G348" i="1"/>
  <c r="G349" i="1" s="1"/>
  <c r="AR114" i="1"/>
  <c r="AQ398" i="1"/>
  <c r="AQ399" i="1" s="1"/>
  <c r="AQ472" i="1"/>
  <c r="I266" i="1"/>
  <c r="CF266" i="1" s="1"/>
  <c r="CF245" i="1"/>
  <c r="I246" i="1"/>
  <c r="CF246" i="1" s="1"/>
  <c r="I252" i="1"/>
  <c r="CF252" i="1" s="1"/>
  <c r="I278" i="1"/>
  <c r="CJ39" i="1"/>
  <c r="AC37" i="1"/>
  <c r="C34" i="1"/>
  <c r="H17" i="2"/>
  <c r="BS17" i="2" s="1"/>
  <c r="CI246" i="1"/>
  <c r="BS16" i="2"/>
  <c r="H85" i="2"/>
  <c r="L332" i="1"/>
  <c r="L292" i="1"/>
  <c r="L318" i="1"/>
  <c r="L314" i="1"/>
  <c r="L324" i="1"/>
  <c r="L299" i="1"/>
  <c r="Q314" i="1"/>
  <c r="L12" i="1"/>
  <c r="L336" i="1"/>
  <c r="BT279" i="1"/>
  <c r="BQ279" i="1"/>
  <c r="BO346" i="1"/>
  <c r="BQ346" i="1" s="1"/>
  <c r="Z468" i="1"/>
  <c r="Z49" i="1"/>
  <c r="Z43" i="1"/>
  <c r="Z351" i="1"/>
  <c r="W42" i="1"/>
  <c r="CN38" i="1"/>
  <c r="M123" i="2"/>
  <c r="M17" i="2"/>
  <c r="M152" i="2"/>
  <c r="BT16" i="2"/>
  <c r="R17" i="2"/>
  <c r="BU17" i="2" s="1"/>
  <c r="R21" i="2"/>
  <c r="H502" i="1"/>
  <c r="G531" i="1"/>
  <c r="G18" i="1"/>
  <c r="G373" i="1"/>
  <c r="G371" i="1"/>
  <c r="G367" i="1"/>
  <c r="G384" i="1"/>
  <c r="G361" i="1"/>
  <c r="G365" i="1"/>
  <c r="G372" i="1"/>
  <c r="G368" i="1"/>
  <c r="G370" i="1"/>
  <c r="G369" i="1"/>
  <c r="G42" i="1"/>
  <c r="G29" i="1"/>
  <c r="G20" i="1"/>
  <c r="E54" i="1"/>
  <c r="AB405" i="1"/>
  <c r="AB406" i="1" s="1"/>
  <c r="AC115" i="1"/>
  <c r="AB472" i="1"/>
  <c r="AB474" i="1" s="1"/>
  <c r="T130" i="2"/>
  <c r="T127" i="2"/>
  <c r="T134" i="2"/>
  <c r="T135" i="2" s="1"/>
  <c r="AM472" i="1"/>
  <c r="CL114" i="1"/>
  <c r="X273" i="1"/>
  <c r="X281" i="1"/>
  <c r="CI270" i="1"/>
  <c r="X271" i="1"/>
  <c r="CI271" i="1" s="1"/>
  <c r="X339" i="1"/>
  <c r="CI336" i="1"/>
  <c r="X337" i="1"/>
  <c r="CI337" i="1" s="1"/>
  <c r="X348" i="1"/>
  <c r="X349" i="1" s="1"/>
  <c r="R457" i="1"/>
  <c r="R30" i="1"/>
  <c r="CN37" i="1"/>
  <c r="F12" i="5" s="1"/>
  <c r="Z33" i="1"/>
  <c r="Z31" i="1"/>
  <c r="Z457" i="1"/>
  <c r="Z463" i="1" s="1"/>
  <c r="Z30" i="1"/>
  <c r="P282" i="1"/>
  <c r="P351" i="1"/>
  <c r="AO473" i="1"/>
  <c r="AO474" i="1" s="1"/>
  <c r="AP124" i="1"/>
  <c r="T107" i="2"/>
  <c r="T87" i="2"/>
  <c r="T189" i="2" s="1"/>
  <c r="T104" i="2"/>
  <c r="T105" i="2"/>
  <c r="T174" i="2"/>
  <c r="T175" i="2" s="1"/>
  <c r="T106" i="2"/>
  <c r="T103" i="2"/>
  <c r="U351" i="1"/>
  <c r="L306" i="1"/>
  <c r="X371" i="1"/>
  <c r="X367" i="1"/>
  <c r="X18" i="1"/>
  <c r="CI18" i="1" s="1"/>
  <c r="X372" i="1"/>
  <c r="X384" i="1"/>
  <c r="CI384" i="1" s="1"/>
  <c r="X365" i="1"/>
  <c r="X370" i="1"/>
  <c r="X368" i="1"/>
  <c r="CI12" i="1"/>
  <c r="X373" i="1"/>
  <c r="X25" i="1"/>
  <c r="CI25" i="1" s="1"/>
  <c r="X369" i="1"/>
  <c r="X20" i="1"/>
  <c r="CI20" i="1" s="1"/>
  <c r="X361" i="1"/>
  <c r="AV398" i="1"/>
  <c r="AV399" i="1" s="1"/>
  <c r="AV472" i="1"/>
  <c r="AV474" i="1" s="1"/>
  <c r="M508" i="1"/>
  <c r="O508" i="1" s="1"/>
  <c r="J130" i="2"/>
  <c r="J127" i="2"/>
  <c r="J134" i="2"/>
  <c r="J135" i="2" s="1"/>
  <c r="J105" i="2"/>
  <c r="O87" i="2"/>
  <c r="O189" i="2" s="1"/>
  <c r="J107" i="2"/>
  <c r="J174" i="2"/>
  <c r="J106" i="2"/>
  <c r="J87" i="2"/>
  <c r="O175" i="2"/>
  <c r="J104" i="2"/>
  <c r="M292" i="1"/>
  <c r="R314" i="1"/>
  <c r="M324" i="1"/>
  <c r="M12" i="1"/>
  <c r="M361" i="1" s="1"/>
  <c r="M332" i="1"/>
  <c r="M299" i="1"/>
  <c r="M318" i="1"/>
  <c r="T380" i="1"/>
  <c r="T54" i="1"/>
  <c r="AO399" i="1"/>
  <c r="G40" i="1"/>
  <c r="BM597" i="1"/>
  <c r="BL597" i="1"/>
  <c r="V34" i="1"/>
  <c r="T21" i="2"/>
  <c r="T153" i="2" s="1"/>
  <c r="AJ586" i="1"/>
  <c r="BE524" i="1"/>
  <c r="BG524" i="1"/>
  <c r="BF524" i="1"/>
  <c r="U380" i="1"/>
  <c r="U54" i="1"/>
  <c r="AJ124" i="1"/>
  <c r="AK124" i="1" s="1"/>
  <c r="AK473" i="1" s="1"/>
  <c r="AK474" i="1" s="1"/>
  <c r="AI473" i="1"/>
  <c r="AI474" i="1" s="1"/>
  <c r="AU399" i="1"/>
  <c r="X37" i="1"/>
  <c r="CI38" i="1"/>
  <c r="S302" i="1"/>
  <c r="E105" i="2"/>
  <c r="E106" i="2"/>
  <c r="E104" i="2"/>
  <c r="E107" i="2"/>
  <c r="S299" i="1"/>
  <c r="S324" i="1"/>
  <c r="CH324" i="1" s="1"/>
  <c r="CH313" i="1"/>
  <c r="S292" i="1"/>
  <c r="S306" i="1"/>
  <c r="S318" i="1"/>
  <c r="CH318" i="1" s="1"/>
  <c r="AC64" i="1"/>
  <c r="CJ63" i="1"/>
  <c r="AH64" i="1"/>
  <c r="CL139" i="1"/>
  <c r="AM144" i="1"/>
  <c r="CL144" i="1" s="1"/>
  <c r="P506" i="1"/>
  <c r="Q506" i="1" s="1"/>
  <c r="R506" i="1" s="1"/>
  <c r="CS199" i="1"/>
  <c r="BW199" i="1"/>
  <c r="BX199" i="1" s="1"/>
  <c r="BY199" i="1" s="1"/>
  <c r="BZ199" i="1" s="1"/>
  <c r="CA199" i="1" s="1"/>
  <c r="CT199" i="1" s="1"/>
  <c r="H372" i="1"/>
  <c r="H361" i="1"/>
  <c r="H370" i="1"/>
  <c r="H368" i="1"/>
  <c r="H371" i="1"/>
  <c r="H367" i="1"/>
  <c r="H373" i="1"/>
  <c r="H18" i="1"/>
  <c r="I12" i="1"/>
  <c r="H365" i="1"/>
  <c r="H369" i="1"/>
  <c r="AW646" i="1"/>
  <c r="AW650" i="1" s="1"/>
  <c r="AZ635" i="1"/>
  <c r="AZ636" i="1" s="1"/>
  <c r="BX234" i="1"/>
  <c r="BJ254" i="1"/>
  <c r="BE263" i="1"/>
  <c r="BE270" i="1" s="1"/>
  <c r="BE271" i="1" s="1"/>
  <c r="AK54" i="1"/>
  <c r="AK380" i="1"/>
  <c r="CK336" i="1"/>
  <c r="Y127" i="2"/>
  <c r="Y134" i="2"/>
  <c r="Y135" i="2" s="1"/>
  <c r="Y130" i="2"/>
  <c r="AI372" i="1"/>
  <c r="AI13" i="1"/>
  <c r="AI25" i="1"/>
  <c r="AI368" i="1"/>
  <c r="AI20" i="1"/>
  <c r="AI384" i="1"/>
  <c r="AI370" i="1"/>
  <c r="AI361" i="1"/>
  <c r="AI42" i="1"/>
  <c r="AI373" i="1"/>
  <c r="AI18" i="1"/>
  <c r="AI369" i="1"/>
  <c r="AI365" i="1"/>
  <c r="AI40" i="1"/>
  <c r="AI29" i="1"/>
  <c r="AI367" i="1"/>
  <c r="AI371" i="1"/>
  <c r="AD43" i="1"/>
  <c r="AD468" i="1"/>
  <c r="AD49" i="1"/>
  <c r="BS259" i="1"/>
  <c r="BX260" i="1"/>
  <c r="BS258" i="1"/>
  <c r="BS261" i="1"/>
  <c r="AD23" i="2"/>
  <c r="Y111" i="2"/>
  <c r="Y112" i="2"/>
  <c r="Y113" i="2" s="1"/>
  <c r="AZ384" i="1"/>
  <c r="AZ371" i="1"/>
  <c r="AZ369" i="1"/>
  <c r="AZ367" i="1"/>
  <c r="AZ18" i="1"/>
  <c r="AZ365" i="1"/>
  <c r="AZ370" i="1"/>
  <c r="AZ42" i="1"/>
  <c r="AZ40" i="1"/>
  <c r="AZ373" i="1"/>
  <c r="AZ361" i="1"/>
  <c r="AZ25" i="1"/>
  <c r="AZ20" i="1"/>
  <c r="AZ29" i="1"/>
  <c r="AZ368" i="1"/>
  <c r="AZ372" i="1"/>
  <c r="BH569" i="1"/>
  <c r="AR31" i="2"/>
  <c r="AX337" i="1"/>
  <c r="AX348" i="1"/>
  <c r="AX349" i="1" s="1"/>
  <c r="AX339" i="1"/>
  <c r="AI348" i="1"/>
  <c r="AI349" i="1" s="1"/>
  <c r="AI339" i="1"/>
  <c r="AI340" i="1" s="1"/>
  <c r="AI337" i="1"/>
  <c r="AO653" i="1"/>
  <c r="AO650" i="1"/>
  <c r="AO657" i="1"/>
  <c r="AO658" i="1" s="1"/>
  <c r="AD31" i="1"/>
  <c r="AD30" i="1"/>
  <c r="AD457" i="1"/>
  <c r="AD463" i="1" s="1"/>
  <c r="AD464" i="1" s="1"/>
  <c r="AD33" i="1"/>
  <c r="BI311" i="1"/>
  <c r="BI313" i="1" s="1"/>
  <c r="BI646" i="1" s="1"/>
  <c r="BI647" i="1" s="1"/>
  <c r="AX61" i="2"/>
  <c r="BI576" i="1"/>
  <c r="AZ273" i="1"/>
  <c r="AZ274" i="1" s="1"/>
  <c r="AZ271" i="1"/>
  <c r="AZ281" i="1"/>
  <c r="AZ282" i="1" s="1"/>
  <c r="AW324" i="1"/>
  <c r="CN324" i="1" s="1"/>
  <c r="AW318" i="1"/>
  <c r="CN318" i="1" s="1"/>
  <c r="CN313" i="1"/>
  <c r="AW347" i="1"/>
  <c r="AW336" i="1"/>
  <c r="AW337" i="1" s="1"/>
  <c r="CN337" i="1" s="1"/>
  <c r="AW332" i="1"/>
  <c r="CN332" i="1" s="1"/>
  <c r="AB13" i="1"/>
  <c r="AB370" i="1"/>
  <c r="AB18" i="1"/>
  <c r="AB368" i="1"/>
  <c r="AB365" i="1"/>
  <c r="AC12" i="1"/>
  <c r="AB371" i="1"/>
  <c r="AB40" i="1"/>
  <c r="AB25" i="1"/>
  <c r="AB367" i="1"/>
  <c r="AB369" i="1"/>
  <c r="AB372" i="1"/>
  <c r="AB373" i="1"/>
  <c r="AV339" i="1"/>
  <c r="AV337" i="1"/>
  <c r="AV348" i="1"/>
  <c r="AV349" i="1" s="1"/>
  <c r="AV271" i="1"/>
  <c r="AV281" i="1"/>
  <c r="AV282" i="1" s="1"/>
  <c r="AV273" i="1"/>
  <c r="AV274" i="1" s="1"/>
  <c r="AS371" i="1"/>
  <c r="AS18" i="1"/>
  <c r="AS368" i="1"/>
  <c r="AS367" i="1"/>
  <c r="AS373" i="1"/>
  <c r="AS361" i="1"/>
  <c r="AS372" i="1"/>
  <c r="AS29" i="1"/>
  <c r="AX31" i="1" s="1"/>
  <c r="AS20" i="1"/>
  <c r="AS369" i="1"/>
  <c r="AS25" i="1"/>
  <c r="AS384" i="1"/>
  <c r="AS13" i="1"/>
  <c r="AS40" i="1"/>
  <c r="AS370" i="1"/>
  <c r="AS42" i="1"/>
  <c r="AS365" i="1"/>
  <c r="AS15" i="1"/>
  <c r="BA371" i="1"/>
  <c r="BA18" i="1"/>
  <c r="BA25" i="1"/>
  <c r="BA367" i="1"/>
  <c r="BA361" i="1"/>
  <c r="BA370" i="1"/>
  <c r="BA40" i="1"/>
  <c r="BA365" i="1"/>
  <c r="BA29" i="1"/>
  <c r="BA369" i="1"/>
  <c r="BA368" i="1"/>
  <c r="BA20" i="1"/>
  <c r="BA372" i="1"/>
  <c r="BA42" i="1"/>
  <c r="BA373" i="1"/>
  <c r="BC384" i="1"/>
  <c r="BH386" i="1" s="1"/>
  <c r="BM386" i="1" s="1"/>
  <c r="BC373" i="1"/>
  <c r="BC370" i="1"/>
  <c r="BH370" i="1" s="1"/>
  <c r="BM370" i="1" s="1"/>
  <c r="BR370" i="1" s="1"/>
  <c r="BW370" i="1" s="1"/>
  <c r="BC40" i="1"/>
  <c r="BC369" i="1"/>
  <c r="BH369" i="1" s="1"/>
  <c r="BM369" i="1" s="1"/>
  <c r="BR369" i="1" s="1"/>
  <c r="BW369" i="1" s="1"/>
  <c r="BC18" i="1"/>
  <c r="BC365" i="1"/>
  <c r="BH365" i="1" s="1"/>
  <c r="BM365" i="1" s="1"/>
  <c r="BR365" i="1" s="1"/>
  <c r="BW365" i="1" s="1"/>
  <c r="BC371" i="1"/>
  <c r="BC361" i="1"/>
  <c r="BC367" i="1"/>
  <c r="BH367" i="1" s="1"/>
  <c r="BM367" i="1" s="1"/>
  <c r="BR367" i="1" s="1"/>
  <c r="BW367" i="1" s="1"/>
  <c r="BC20" i="1"/>
  <c r="BC25" i="1"/>
  <c r="BC372" i="1"/>
  <c r="BC368" i="1"/>
  <c r="BC29" i="1"/>
  <c r="BC31" i="1" s="1"/>
  <c r="BC42" i="1"/>
  <c r="AW326" i="1"/>
  <c r="AN339" i="1"/>
  <c r="AS342" i="1" s="1"/>
  <c r="AN348" i="1"/>
  <c r="AN349" i="1" s="1"/>
  <c r="AN337" i="1"/>
  <c r="BV51" i="2"/>
  <c r="AM574" i="1"/>
  <c r="AR8" i="2"/>
  <c r="BH236" i="1"/>
  <c r="BH237" i="1" s="1"/>
  <c r="AE340" i="1"/>
  <c r="AE342" i="1"/>
  <c r="BS90" i="2"/>
  <c r="H91" i="2"/>
  <c r="BS91" i="2" s="1"/>
  <c r="AZ15" i="1"/>
  <c r="AU18" i="1"/>
  <c r="AU42" i="1"/>
  <c r="AU372" i="1"/>
  <c r="AU365" i="1"/>
  <c r="AU370" i="1"/>
  <c r="AU373" i="1"/>
  <c r="AU25" i="1"/>
  <c r="AU361" i="1"/>
  <c r="AU29" i="1"/>
  <c r="AU369" i="1"/>
  <c r="AU368" i="1"/>
  <c r="AU371" i="1"/>
  <c r="AU384" i="1"/>
  <c r="AU367" i="1"/>
  <c r="AU20" i="1"/>
  <c r="AJ30" i="1"/>
  <c r="AJ33" i="1"/>
  <c r="AJ457" i="1"/>
  <c r="AJ463" i="1" s="1"/>
  <c r="BC273" i="1"/>
  <c r="BC274" i="1" s="1"/>
  <c r="BC271" i="1"/>
  <c r="BC281" i="1"/>
  <c r="BC282" i="1" s="1"/>
  <c r="AN653" i="1"/>
  <c r="AN650" i="1"/>
  <c r="AN657" i="1"/>
  <c r="AN658" i="1" s="1"/>
  <c r="AM578" i="1"/>
  <c r="BV66" i="2"/>
  <c r="AZ647" i="1"/>
  <c r="CJ313" i="1"/>
  <c r="AC332" i="1"/>
  <c r="CJ332" i="1" s="1"/>
  <c r="AC314" i="1"/>
  <c r="CJ314" i="1" s="1"/>
  <c r="AH314" i="1"/>
  <c r="CK314" i="1" s="1"/>
  <c r="AC318" i="1"/>
  <c r="CJ318" i="1" s="1"/>
  <c r="AC306" i="1"/>
  <c r="AP88" i="2"/>
  <c r="BF16" i="1"/>
  <c r="AU337" i="1"/>
  <c r="AU339" i="1"/>
  <c r="AU348" i="1"/>
  <c r="AU349" i="1" s="1"/>
  <c r="BA271" i="1"/>
  <c r="BA273" i="1"/>
  <c r="BA274" i="1" s="1"/>
  <c r="BA281" i="1"/>
  <c r="BA282" i="1" s="1"/>
  <c r="BH255" i="1"/>
  <c r="BM254" i="1"/>
  <c r="BH253" i="1"/>
  <c r="BH252" i="1" s="1"/>
  <c r="BH251" i="1" s="1"/>
  <c r="AG49" i="1"/>
  <c r="AG468" i="1"/>
  <c r="AG43" i="1"/>
  <c r="AG351" i="1"/>
  <c r="AG30" i="1"/>
  <c r="AG457" i="1"/>
  <c r="AG33" i="1"/>
  <c r="AG34" i="1" s="1"/>
  <c r="Z117" i="2"/>
  <c r="Z118" i="2" s="1"/>
  <c r="Z116" i="2"/>
  <c r="AJ340" i="1"/>
  <c r="AV647" i="1"/>
  <c r="AV650" i="1"/>
  <c r="AW320" i="1"/>
  <c r="AU647" i="1"/>
  <c r="AU650" i="1"/>
  <c r="AG13" i="1"/>
  <c r="AN25" i="1"/>
  <c r="AN361" i="1"/>
  <c r="AN368" i="1"/>
  <c r="AN18" i="1"/>
  <c r="AN384" i="1"/>
  <c r="AN20" i="1"/>
  <c r="AN371" i="1"/>
  <c r="AN367" i="1"/>
  <c r="AN372" i="1"/>
  <c r="AN40" i="1"/>
  <c r="AN370" i="1"/>
  <c r="AN373" i="1"/>
  <c r="AN365" i="1"/>
  <c r="AN42" i="1"/>
  <c r="AN13" i="1"/>
  <c r="AN369" i="1"/>
  <c r="AN29" i="1"/>
  <c r="BH277" i="1"/>
  <c r="BH246" i="1"/>
  <c r="AT342" i="1"/>
  <c r="AT340" i="1"/>
  <c r="AV30" i="1"/>
  <c r="CA4" i="2"/>
  <c r="BL233" i="1"/>
  <c r="AV5" i="2"/>
  <c r="CA5" i="2" s="1"/>
  <c r="AL23" i="2"/>
  <c r="BY17" i="2"/>
  <c r="BB586" i="1"/>
  <c r="BB337" i="1"/>
  <c r="CO337" i="1" s="1"/>
  <c r="BB348" i="1"/>
  <c r="BB349" i="1" s="1"/>
  <c r="BB339" i="1"/>
  <c r="CO336" i="1"/>
  <c r="BX77" i="2"/>
  <c r="AW581" i="1"/>
  <c r="BX90" i="2"/>
  <c r="AG206" i="2"/>
  <c r="AO342" i="1"/>
  <c r="AR646" i="1"/>
  <c r="AR318" i="1"/>
  <c r="CM318" i="1" s="1"/>
  <c r="AR324" i="1"/>
  <c r="CM324" i="1" s="1"/>
  <c r="AR326" i="1"/>
  <c r="CM313" i="1"/>
  <c r="AR332" i="1"/>
  <c r="CM332" i="1" s="1"/>
  <c r="AR336" i="1"/>
  <c r="AK340" i="1"/>
  <c r="AP342" i="1"/>
  <c r="U116" i="2"/>
  <c r="U117" i="2"/>
  <c r="U118" i="2" s="1"/>
  <c r="BT90" i="2"/>
  <c r="M91" i="2"/>
  <c r="BT91" i="2" s="1"/>
  <c r="AY349" i="1"/>
  <c r="AD340" i="1"/>
  <c r="BB570" i="1"/>
  <c r="BY36" i="2"/>
  <c r="Z123" i="2"/>
  <c r="Z152" i="2"/>
  <c r="AP585" i="1"/>
  <c r="Z86" i="2"/>
  <c r="Z103" i="2" s="1"/>
  <c r="Z90" i="2"/>
  <c r="AE17" i="2"/>
  <c r="Z17" i="2"/>
  <c r="Z110" i="2"/>
  <c r="AB16" i="2"/>
  <c r="AW270" i="1"/>
  <c r="AW252" i="1"/>
  <c r="CN252" i="1" s="1"/>
  <c r="AW278" i="1"/>
  <c r="CN245" i="1"/>
  <c r="AW258" i="1"/>
  <c r="CN258" i="1" s="1"/>
  <c r="BI16" i="1"/>
  <c r="AS88" i="2"/>
  <c r="M107" i="2"/>
  <c r="BT107" i="2" s="1"/>
  <c r="BT86" i="2"/>
  <c r="M105" i="2"/>
  <c r="BT105" i="2" s="1"/>
  <c r="M103" i="2"/>
  <c r="BT103" i="2" s="1"/>
  <c r="M87" i="2"/>
  <c r="BT87" i="2" s="1"/>
  <c r="M104" i="2"/>
  <c r="BT104" i="2" s="1"/>
  <c r="M174" i="2"/>
  <c r="M106" i="2"/>
  <c r="BT106" i="2" s="1"/>
  <c r="H103" i="2"/>
  <c r="BS103" i="2" s="1"/>
  <c r="H104" i="2"/>
  <c r="BS104" i="2" s="1"/>
  <c r="H107" i="2"/>
  <c r="BS107" i="2" s="1"/>
  <c r="BS86" i="2"/>
  <c r="H106" i="2"/>
  <c r="BS106" i="2" s="1"/>
  <c r="H87" i="2"/>
  <c r="BS87" i="2" s="1"/>
  <c r="H105" i="2"/>
  <c r="BS105" i="2" s="1"/>
  <c r="AO88" i="2"/>
  <c r="BE16" i="1"/>
  <c r="AT29" i="1"/>
  <c r="AT18" i="1"/>
  <c r="AT42" i="1"/>
  <c r="AT371" i="1"/>
  <c r="AT40" i="1"/>
  <c r="AT25" i="1"/>
  <c r="AT370" i="1"/>
  <c r="AT368" i="1"/>
  <c r="AT369" i="1"/>
  <c r="AT367" i="1"/>
  <c r="AT373" i="1"/>
  <c r="AT361" i="1"/>
  <c r="AT365" i="1"/>
  <c r="AT20" i="1"/>
  <c r="AT372" i="1"/>
  <c r="AT384" i="1"/>
  <c r="AY15" i="1"/>
  <c r="AW12" i="1"/>
  <c r="AT13" i="1"/>
  <c r="AT15" i="1"/>
  <c r="Z187" i="2"/>
  <c r="AP581" i="1"/>
  <c r="AD349" i="1"/>
  <c r="AD351" i="1"/>
  <c r="BX7" i="2"/>
  <c r="AL21" i="2"/>
  <c r="AL52" i="2" s="1"/>
  <c r="AG106" i="2"/>
  <c r="BX106" i="2" s="1"/>
  <c r="AG107" i="2"/>
  <c r="BX107" i="2" s="1"/>
  <c r="BX86" i="2"/>
  <c r="AG108" i="2"/>
  <c r="BX108" i="2" s="1"/>
  <c r="AG105" i="2"/>
  <c r="BX105" i="2" s="1"/>
  <c r="AG104" i="2"/>
  <c r="BX104" i="2" s="1"/>
  <c r="AW314" i="1"/>
  <c r="AS340" i="1"/>
  <c r="AY340" i="1"/>
  <c r="AY342" i="1"/>
  <c r="BY82" i="2"/>
  <c r="BB314" i="1"/>
  <c r="CO314" i="1" s="1"/>
  <c r="AP361" i="1"/>
  <c r="AP18" i="1"/>
  <c r="AP25" i="1"/>
  <c r="AR12" i="1"/>
  <c r="AP367" i="1"/>
  <c r="AP42" i="1"/>
  <c r="AP372" i="1"/>
  <c r="AP29" i="1"/>
  <c r="AP371" i="1"/>
  <c r="AP40" i="1"/>
  <c r="AQ40" i="1" s="1"/>
  <c r="AP15" i="1"/>
  <c r="AU15" i="1"/>
  <c r="AP370" i="1"/>
  <c r="AP20" i="1"/>
  <c r="AP373" i="1"/>
  <c r="AP369" i="1"/>
  <c r="AU13" i="1"/>
  <c r="AP13" i="1"/>
  <c r="AP365" i="1"/>
  <c r="AP384" i="1"/>
  <c r="AP271" i="1"/>
  <c r="AP273" i="1"/>
  <c r="AP274" i="1" s="1"/>
  <c r="AP281" i="1"/>
  <c r="AP282" i="1" s="1"/>
  <c r="BE4" i="2"/>
  <c r="BP233" i="1"/>
  <c r="BP234" i="1" s="1"/>
  <c r="BA4" i="2"/>
  <c r="AG103" i="2"/>
  <c r="BX103" i="2" s="1"/>
  <c r="AF457" i="1"/>
  <c r="Q40" i="2"/>
  <c r="Q41" i="2" s="1"/>
  <c r="Q42" i="2"/>
  <c r="V39" i="2"/>
  <c r="M145" i="2"/>
  <c r="M147" i="2"/>
  <c r="M148" i="2" s="1"/>
  <c r="M142" i="2"/>
  <c r="AK349" i="1"/>
  <c r="AK351" i="1"/>
  <c r="AT273" i="1"/>
  <c r="AT274" i="1" s="1"/>
  <c r="AT281" i="1"/>
  <c r="AT282" i="1" s="1"/>
  <c r="AT271" i="1"/>
  <c r="AZ655" i="1"/>
  <c r="AZ657" i="1" s="1"/>
  <c r="AZ658" i="1" s="1"/>
  <c r="BI385" i="1"/>
  <c r="BI384" i="1" s="1"/>
  <c r="BI387" i="1"/>
  <c r="AF518" i="1"/>
  <c r="AG518" i="1" s="1"/>
  <c r="CN140" i="1"/>
  <c r="AW144" i="1"/>
  <c r="CN144" i="1" s="1"/>
  <c r="J457" i="1"/>
  <c r="J463" i="1" s="1"/>
  <c r="J30" i="1"/>
  <c r="J31" i="1"/>
  <c r="J33" i="1"/>
  <c r="O31" i="1"/>
  <c r="AJ43" i="1"/>
  <c r="AJ49" i="1"/>
  <c r="AJ468" i="1"/>
  <c r="AN520" i="1"/>
  <c r="N38" i="1"/>
  <c r="M37" i="1"/>
  <c r="J43" i="1"/>
  <c r="J468" i="1"/>
  <c r="J351" i="1"/>
  <c r="J49" i="1"/>
  <c r="BW234" i="1"/>
  <c r="BH16" i="1"/>
  <c r="AR88" i="2"/>
  <c r="BM259" i="1"/>
  <c r="BM261" i="1"/>
  <c r="BM258" i="1"/>
  <c r="BM257" i="1" s="1"/>
  <c r="BJ437" i="1"/>
  <c r="BK438" i="1"/>
  <c r="Z512" i="1"/>
  <c r="L505" i="1"/>
  <c r="CF126" i="1"/>
  <c r="I460" i="1"/>
  <c r="BI593" i="1"/>
  <c r="BM311" i="1"/>
  <c r="BN592" i="1"/>
  <c r="BN599" i="1" s="1"/>
  <c r="BR564" i="1"/>
  <c r="BM576" i="1"/>
  <c r="BR308" i="1"/>
  <c r="AY653" i="1"/>
  <c r="BD647" i="1"/>
  <c r="BI605" i="1"/>
  <c r="BI635" i="1" s="1"/>
  <c r="BI636" i="1" s="1"/>
  <c r="BD650" i="1"/>
  <c r="BJ635" i="1"/>
  <c r="BJ636" i="1" s="1"/>
  <c r="BD635" i="1"/>
  <c r="BD636" i="1" s="1"/>
  <c r="BD655" i="1"/>
  <c r="BD657" i="1" s="1"/>
  <c r="BD658" i="1" s="1"/>
  <c r="AT611" i="1"/>
  <c r="AT636" i="1"/>
  <c r="AY649" i="1"/>
  <c r="AY635" i="1"/>
  <c r="BA635" i="1"/>
  <c r="BA611" i="1" s="1"/>
  <c r="BI277" i="1"/>
  <c r="BI246" i="1"/>
  <c r="BF236" i="1"/>
  <c r="BF237" i="1" s="1"/>
  <c r="BN245" i="1"/>
  <c r="BC16" i="2"/>
  <c r="BN585" i="1"/>
  <c r="AX7" i="2"/>
  <c r="BJ277" i="1"/>
  <c r="BJ276" i="1" s="1"/>
  <c r="BJ246" i="1"/>
  <c r="BZ16" i="2"/>
  <c r="BG245" i="1"/>
  <c r="AQ7" i="2"/>
  <c r="BG585" i="1"/>
  <c r="AV21" i="2"/>
  <c r="AV22" i="2" s="1"/>
  <c r="AQ17" i="2"/>
  <c r="AQ23" i="2" s="1"/>
  <c r="BF246" i="1"/>
  <c r="BI236" i="1"/>
  <c r="BI237" i="1" s="1"/>
  <c r="AS8" i="2"/>
  <c r="BW564" i="1"/>
  <c r="BW308" i="1"/>
  <c r="AX636" i="1"/>
  <c r="AX611" i="1"/>
  <c r="BK245" i="1"/>
  <c r="BK585" i="1"/>
  <c r="AZ16" i="2"/>
  <c r="AU7" i="2"/>
  <c r="AZ23" i="2"/>
  <c r="AX650" i="1"/>
  <c r="AX655" i="1"/>
  <c r="AX657" i="1" s="1"/>
  <c r="AX658" i="1" s="1"/>
  <c r="AK520" i="1"/>
  <c r="AL520" i="1" s="1"/>
  <c r="AG514" i="1"/>
  <c r="BP178" i="1"/>
  <c r="BQ178" i="1" s="1"/>
  <c r="BH215" i="1"/>
  <c r="CP215" i="1"/>
  <c r="AU55" i="7"/>
  <c r="BD61" i="2"/>
  <c r="BO576" i="1"/>
  <c r="BO311" i="1"/>
  <c r="CI27" i="1"/>
  <c r="X33" i="1"/>
  <c r="X30" i="1"/>
  <c r="CI30" i="1" s="1"/>
  <c r="AM270" i="1"/>
  <c r="AM258" i="1"/>
  <c r="CL258" i="1" s="1"/>
  <c r="AM278" i="1"/>
  <c r="AM252" i="1"/>
  <c r="CL252" i="1" s="1"/>
  <c r="CL245" i="1"/>
  <c r="AM246" i="1"/>
  <c r="CL246" i="1" s="1"/>
  <c r="AO520" i="1"/>
  <c r="CG117" i="1"/>
  <c r="N360" i="1"/>
  <c r="BR576" i="1"/>
  <c r="BR311" i="1"/>
  <c r="AO54" i="1"/>
  <c r="BI556" i="1"/>
  <c r="BJ206" i="1"/>
  <c r="BI424" i="1"/>
  <c r="AN60" i="7"/>
  <c r="AN61" i="7" s="1"/>
  <c r="O58" i="7"/>
  <c r="O63" i="7"/>
  <c r="O64" i="7" s="1"/>
  <c r="I138" i="2"/>
  <c r="E20" i="5"/>
  <c r="K457" i="1"/>
  <c r="BW201" i="1"/>
  <c r="BX201" i="1" s="1"/>
  <c r="BY201" i="1" s="1"/>
  <c r="BZ201" i="1" s="1"/>
  <c r="CA201" i="1" s="1"/>
  <c r="CT201" i="1" s="1"/>
  <c r="CS201" i="1"/>
  <c r="AB516" i="1"/>
  <c r="AH121" i="1"/>
  <c r="BI189" i="1"/>
  <c r="BI127" i="1" s="1"/>
  <c r="BB605" i="1"/>
  <c r="BB606" i="1" s="1"/>
  <c r="BA652" i="1"/>
  <c r="BB594" i="1"/>
  <c r="BB593" i="1"/>
  <c r="S106" i="7"/>
  <c r="BG61" i="2"/>
  <c r="BK214" i="1"/>
  <c r="BJ155" i="1"/>
  <c r="Q34" i="1"/>
  <c r="V35" i="1"/>
  <c r="G21" i="5"/>
  <c r="BJ187" i="1"/>
  <c r="CF147" i="1"/>
  <c r="I157" i="1"/>
  <c r="CF157" i="1" s="1"/>
  <c r="CG52" i="1"/>
  <c r="R507" i="1"/>
  <c r="U111" i="2"/>
  <c r="U112" i="2"/>
  <c r="U113" i="2" s="1"/>
  <c r="BA66" i="2"/>
  <c r="BL576" i="1"/>
  <c r="BL221" i="1"/>
  <c r="R509" i="1"/>
  <c r="BO599" i="1"/>
  <c r="BO605" i="1"/>
  <c r="BO593" i="1"/>
  <c r="BT592" i="1"/>
  <c r="R42" i="1"/>
  <c r="R40" i="1"/>
  <c r="BI218" i="1"/>
  <c r="BH449" i="1"/>
  <c r="BH141" i="1"/>
  <c r="W130" i="2"/>
  <c r="W134" i="2"/>
  <c r="W135" i="2" s="1"/>
  <c r="W127" i="2"/>
  <c r="W21" i="2"/>
  <c r="AB517" i="1"/>
  <c r="AM70" i="7"/>
  <c r="AN24" i="7"/>
  <c r="CM130" i="1"/>
  <c r="H336" i="1"/>
  <c r="H334" i="1"/>
  <c r="BE569" i="1"/>
  <c r="BI116" i="1"/>
  <c r="BJ116" i="1" s="1"/>
  <c r="BK116" i="1" s="1"/>
  <c r="BB367" i="1"/>
  <c r="BZ25" i="2"/>
  <c r="BG565" i="1"/>
  <c r="BM599" i="1"/>
  <c r="BM593" i="1"/>
  <c r="BM605" i="1"/>
  <c r="BR592" i="1"/>
  <c r="CS174" i="1"/>
  <c r="BW174" i="1"/>
  <c r="BX174" i="1" s="1"/>
  <c r="BY174" i="1" s="1"/>
  <c r="BZ174" i="1" s="1"/>
  <c r="CA174" i="1" s="1"/>
  <c r="CT174" i="1" s="1"/>
  <c r="M22" i="1"/>
  <c r="N19" i="1"/>
  <c r="AQ500" i="1"/>
  <c r="AQ526" i="1" s="1"/>
  <c r="AQ144" i="1"/>
  <c r="AV636" i="1"/>
  <c r="AV611" i="1"/>
  <c r="AW635" i="1"/>
  <c r="AW636" i="1" s="1"/>
  <c r="N147" i="2"/>
  <c r="N148" i="2" s="1"/>
  <c r="N142" i="2"/>
  <c r="N145" i="2"/>
  <c r="CS219" i="1"/>
  <c r="BW219" i="1"/>
  <c r="BX219" i="1" s="1"/>
  <c r="BY219" i="1" s="1"/>
  <c r="BZ219" i="1" s="1"/>
  <c r="CA219" i="1" s="1"/>
  <c r="CT219" i="1" s="1"/>
  <c r="BO179" i="1"/>
  <c r="AI15" i="1"/>
  <c r="AN15" i="1"/>
  <c r="M504" i="1"/>
  <c r="AN144" i="1"/>
  <c r="AR141" i="1"/>
  <c r="CM141" i="1" s="1"/>
  <c r="CN130" i="1"/>
  <c r="F15" i="5" s="1"/>
  <c r="AW460" i="1"/>
  <c r="AW476" i="1"/>
  <c r="BK592" i="1"/>
  <c r="BF599" i="1"/>
  <c r="BG599" i="1" s="1"/>
  <c r="BF593" i="1"/>
  <c r="BG592" i="1"/>
  <c r="BF605" i="1"/>
  <c r="BG605" i="1" s="1"/>
  <c r="T57" i="7"/>
  <c r="T91" i="7"/>
  <c r="T104" i="7" s="1"/>
  <c r="U45" i="7"/>
  <c r="AS535" i="1"/>
  <c r="AT535" i="1" s="1"/>
  <c r="AU535" i="1" s="1"/>
  <c r="AV535" i="1" s="1"/>
  <c r="AW535" i="1"/>
  <c r="T507" i="1"/>
  <c r="AQ78" i="7"/>
  <c r="L503" i="1"/>
  <c r="BB237" i="1"/>
  <c r="CO237" i="1" s="1"/>
  <c r="CO236" i="1"/>
  <c r="AX33" i="1"/>
  <c r="AX30" i="1"/>
  <c r="BP176" i="1"/>
  <c r="BQ176" i="1" s="1"/>
  <c r="G20" i="5"/>
  <c r="S37" i="1"/>
  <c r="CH38" i="1"/>
  <c r="AS540" i="1"/>
  <c r="AT540" i="1" s="1"/>
  <c r="AU540" i="1" s="1"/>
  <c r="AV540" i="1" s="1"/>
  <c r="AW540" i="1"/>
  <c r="N148" i="1"/>
  <c r="H20" i="1"/>
  <c r="I19" i="1"/>
  <c r="CO252" i="1"/>
  <c r="CO246" i="1"/>
  <c r="BH425" i="1"/>
  <c r="CO383" i="1"/>
  <c r="BB458" i="1"/>
  <c r="BB500" i="1"/>
  <c r="BB527" i="1" s="1"/>
  <c r="Q54" i="1"/>
  <c r="Q380" i="1"/>
  <c r="AF14" i="7"/>
  <c r="M268" i="1"/>
  <c r="M270" i="1"/>
  <c r="AG144" i="1"/>
  <c r="AV653" i="1"/>
  <c r="AV655" i="1"/>
  <c r="AV657" i="1" s="1"/>
  <c r="AV658" i="1" s="1"/>
  <c r="AW652" i="1"/>
  <c r="AR131" i="1"/>
  <c r="CM131" i="1" s="1"/>
  <c r="AP476" i="1"/>
  <c r="AP460" i="1"/>
  <c r="X79" i="7"/>
  <c r="X104" i="7" s="1"/>
  <c r="X57" i="7"/>
  <c r="AB334" i="1"/>
  <c r="AB336" i="1"/>
  <c r="BM319" i="1"/>
  <c r="BM318" i="1" s="1"/>
  <c r="BM321" i="1"/>
  <c r="BR320" i="1"/>
  <c r="BO216" i="1"/>
  <c r="CK147" i="1"/>
  <c r="AH157" i="1"/>
  <c r="CK157" i="1" s="1"/>
  <c r="AF476" i="1"/>
  <c r="AF460" i="1"/>
  <c r="AQ476" i="1"/>
  <c r="BB599" i="1"/>
  <c r="BB600" i="1" s="1"/>
  <c r="BA649" i="1"/>
  <c r="BY68" i="2"/>
  <c r="AL100" i="2"/>
  <c r="BY100" i="2" s="1"/>
  <c r="AL108" i="2"/>
  <c r="BY108" i="2" s="1"/>
  <c r="AA512" i="1"/>
  <c r="AB512" i="1" s="1"/>
  <c r="BM114" i="1"/>
  <c r="BM37" i="1"/>
  <c r="R138" i="1"/>
  <c r="R144" i="1" s="1"/>
  <c r="AD516" i="1"/>
  <c r="CF323" i="1"/>
  <c r="I329" i="1"/>
  <c r="I324" i="1"/>
  <c r="CF324" i="1" s="1"/>
  <c r="BB281" i="1"/>
  <c r="BL566" i="1"/>
  <c r="CA29" i="2"/>
  <c r="P57" i="7"/>
  <c r="P95" i="7"/>
  <c r="P104" i="7" s="1"/>
  <c r="Q50" i="7"/>
  <c r="K49" i="1"/>
  <c r="K43" i="1"/>
  <c r="K468" i="1"/>
  <c r="B86" i="2"/>
  <c r="CH246" i="1"/>
  <c r="C17" i="2"/>
  <c r="N263" i="1"/>
  <c r="CG257" i="1"/>
  <c r="N258" i="1"/>
  <c r="CG258" i="1" s="1"/>
  <c r="CK138" i="1"/>
  <c r="AH144" i="1"/>
  <c r="CK144" i="1" s="1"/>
  <c r="J144" i="2"/>
  <c r="CJ323" i="1"/>
  <c r="I144" i="2"/>
  <c r="K144" i="2"/>
  <c r="AC329" i="1"/>
  <c r="AC324" i="1"/>
  <c r="CJ324" i="1" s="1"/>
  <c r="AC19" i="1"/>
  <c r="AB22" i="1"/>
  <c r="AB20" i="1"/>
  <c r="BF569" i="1"/>
  <c r="AI46" i="7"/>
  <c r="AH92" i="7"/>
  <c r="O54" i="1"/>
  <c r="O380" i="1"/>
  <c r="AN225" i="1"/>
  <c r="AG129" i="1"/>
  <c r="BA647" i="1"/>
  <c r="BB646" i="1"/>
  <c r="S63" i="7"/>
  <c r="S64" i="7" s="1"/>
  <c r="BE268" i="1"/>
  <c r="AR138" i="1"/>
  <c r="AC360" i="1"/>
  <c r="AB361" i="1"/>
  <c r="AE515" i="1"/>
  <c r="AZ63" i="1"/>
  <c r="AZ64" i="1" s="1"/>
  <c r="BB64" i="1" s="1"/>
  <c r="CO64" i="1" s="1"/>
  <c r="AX437" i="1"/>
  <c r="BB437" i="1" s="1"/>
  <c r="BB436" i="1" s="1"/>
  <c r="BV17" i="2" l="1"/>
  <c r="BG260" i="1"/>
  <c r="R103" i="2"/>
  <c r="BU103" i="2" s="1"/>
  <c r="R130" i="2"/>
  <c r="R127" i="2"/>
  <c r="R134" i="2"/>
  <c r="R135" i="2" s="1"/>
  <c r="Y107" i="2"/>
  <c r="R87" i="2"/>
  <c r="BU87" i="2" s="1"/>
  <c r="R105" i="2"/>
  <c r="BU105" i="2" s="1"/>
  <c r="BU86" i="2"/>
  <c r="R174" i="2"/>
  <c r="R175" i="2" s="1"/>
  <c r="CA61" i="2"/>
  <c r="BL311" i="1"/>
  <c r="BE61" i="2"/>
  <c r="BU576" i="1" s="1"/>
  <c r="BP576" i="1"/>
  <c r="BB371" i="1"/>
  <c r="BB365" i="1"/>
  <c r="BB20" i="1"/>
  <c r="CO20" i="1" s="1"/>
  <c r="BB15" i="1"/>
  <c r="CO15" i="1" s="1"/>
  <c r="AI521" i="1"/>
  <c r="AM521" i="1"/>
  <c r="AV49" i="1"/>
  <c r="AV380" i="1" s="1"/>
  <c r="AV43" i="1"/>
  <c r="C20" i="5"/>
  <c r="BB384" i="1"/>
  <c r="CO384" i="1" s="1"/>
  <c r="BB42" i="1"/>
  <c r="BB43" i="1" s="1"/>
  <c r="CO13" i="1"/>
  <c r="G6" i="5" s="1"/>
  <c r="CO12" i="1"/>
  <c r="G18" i="5" s="1"/>
  <c r="BB372" i="1"/>
  <c r="AH271" i="1"/>
  <c r="CK271" i="1" s="1"/>
  <c r="BA31" i="1"/>
  <c r="BB29" i="1"/>
  <c r="BB361" i="1"/>
  <c r="BB373" i="1"/>
  <c r="BB368" i="1"/>
  <c r="CK270" i="1"/>
  <c r="AV33" i="1"/>
  <c r="BB18" i="1"/>
  <c r="CO18" i="1" s="1"/>
  <c r="BB370" i="1"/>
  <c r="BB25" i="1"/>
  <c r="BB40" i="1"/>
  <c r="AD91" i="2"/>
  <c r="R104" i="2"/>
  <c r="BU104" i="2" s="1"/>
  <c r="R107" i="2"/>
  <c r="BU107" i="2" s="1"/>
  <c r="AO468" i="1"/>
  <c r="T35" i="1"/>
  <c r="AO43" i="1"/>
  <c r="AV315" i="1"/>
  <c r="AO351" i="1"/>
  <c r="AF33" i="1"/>
  <c r="AF35" i="1" s="1"/>
  <c r="CK12" i="1"/>
  <c r="C18" i="5" s="1"/>
  <c r="AK31" i="1"/>
  <c r="AF31" i="1"/>
  <c r="AO30" i="1"/>
  <c r="AO31" i="1"/>
  <c r="AZ557" i="1"/>
  <c r="AZ559" i="1" s="1"/>
  <c r="R334" i="1"/>
  <c r="K351" i="1"/>
  <c r="CH336" i="1"/>
  <c r="K31" i="1"/>
  <c r="S331" i="1"/>
  <c r="K30" i="1"/>
  <c r="R332" i="1"/>
  <c r="S18" i="1"/>
  <c r="CH18" i="1" s="1"/>
  <c r="AY457" i="1"/>
  <c r="AY463" i="1" s="1"/>
  <c r="P31" i="1"/>
  <c r="S337" i="1"/>
  <c r="CH337" i="1" s="1"/>
  <c r="R24" i="1"/>
  <c r="R27" i="1" s="1"/>
  <c r="AU612" i="1"/>
  <c r="BC24" i="2"/>
  <c r="BH24" i="2" s="1"/>
  <c r="BC23" i="2"/>
  <c r="BN308" i="1"/>
  <c r="BO564" i="1"/>
  <c r="BD24" i="2"/>
  <c r="BI23" i="2" s="1"/>
  <c r="BM236" i="1"/>
  <c r="BM237" i="1" s="1"/>
  <c r="BH635" i="1"/>
  <c r="BH636" i="1" s="1"/>
  <c r="A73" i="5"/>
  <c r="A72" i="5" s="1"/>
  <c r="A83" i="5"/>
  <c r="A84" i="5" s="1"/>
  <c r="AO586" i="1"/>
  <c r="Y104" i="2"/>
  <c r="Y106" i="2"/>
  <c r="AY380" i="1"/>
  <c r="AY469" i="1" s="1"/>
  <c r="AY471" i="1" s="1"/>
  <c r="AY478" i="1" s="1"/>
  <c r="AH361" i="1"/>
  <c r="AR361" i="1"/>
  <c r="Y105" i="2"/>
  <c r="AD87" i="2"/>
  <c r="AF49" i="1"/>
  <c r="AF380" i="1" s="1"/>
  <c r="Y87" i="2"/>
  <c r="Y88" i="2" s="1"/>
  <c r="BG7" i="2"/>
  <c r="BW236" i="1" s="1"/>
  <c r="AF399" i="1"/>
  <c r="AO464" i="1"/>
  <c r="BZ62" i="2"/>
  <c r="BW245" i="1"/>
  <c r="BW277" i="1" s="1"/>
  <c r="BR245" i="1"/>
  <c r="BR246" i="1" s="1"/>
  <c r="BG23" i="2"/>
  <c r="BP564" i="1"/>
  <c r="AB519" i="1"/>
  <c r="BH524" i="1"/>
  <c r="AB513" i="1"/>
  <c r="AD513" i="1" s="1"/>
  <c r="BI350" i="1"/>
  <c r="BC52" i="2"/>
  <c r="AS96" i="2"/>
  <c r="BE24" i="2"/>
  <c r="BU564" i="1" s="1"/>
  <c r="AV25" i="2"/>
  <c r="BL565" i="1" s="1"/>
  <c r="AS90" i="2"/>
  <c r="AS107" i="2" s="1"/>
  <c r="AX83" i="2"/>
  <c r="BN315" i="1" s="1"/>
  <c r="BI12" i="1"/>
  <c r="BI180" i="1" s="1"/>
  <c r="CA16" i="2"/>
  <c r="AS82" i="2"/>
  <c r="BI314" i="1" s="1"/>
  <c r="BA24" i="2"/>
  <c r="BF29" i="2" s="1"/>
  <c r="BL578" i="1"/>
  <c r="BJ236" i="1"/>
  <c r="BJ237" i="1" s="1"/>
  <c r="BO245" i="1"/>
  <c r="BO246" i="1" s="1"/>
  <c r="AS98" i="2"/>
  <c r="BB7" i="2"/>
  <c r="BB8" i="2" s="1"/>
  <c r="BR585" i="1"/>
  <c r="BH263" i="1"/>
  <c r="BH270" i="1" s="1"/>
  <c r="AX76" i="2"/>
  <c r="AX100" i="2" s="1"/>
  <c r="AS86" i="2"/>
  <c r="AS87" i="2" s="1"/>
  <c r="AB63" i="7"/>
  <c r="AB64" i="7" s="1"/>
  <c r="CK22" i="1"/>
  <c r="AH431" i="1"/>
  <c r="AH27" i="1"/>
  <c r="CK27" i="1" s="1"/>
  <c r="I39" i="1"/>
  <c r="I37" i="1" s="1"/>
  <c r="BG64" i="1"/>
  <c r="CP64" i="1" s="1"/>
  <c r="W511" i="1"/>
  <c r="Y511" i="1" s="1"/>
  <c r="Z511" i="1" s="1"/>
  <c r="AA511" i="1" s="1"/>
  <c r="BK255" i="1"/>
  <c r="BP254" i="1"/>
  <c r="BK253" i="1"/>
  <c r="BK252" i="1"/>
  <c r="BK251" i="1" s="1"/>
  <c r="AB104" i="7"/>
  <c r="AM31" i="7"/>
  <c r="AL57" i="7"/>
  <c r="M157" i="1"/>
  <c r="AH39" i="7"/>
  <c r="AG85" i="7"/>
  <c r="CH137" i="1"/>
  <c r="S475" i="1"/>
  <c r="AD12" i="7"/>
  <c r="AC19" i="7"/>
  <c r="AA58" i="7"/>
  <c r="AA63" i="7"/>
  <c r="AA64" i="7" s="1"/>
  <c r="N127" i="1"/>
  <c r="M476" i="1"/>
  <c r="M460" i="1"/>
  <c r="AG101" i="7"/>
  <c r="AH102" i="7"/>
  <c r="CH117" i="1"/>
  <c r="S360" i="1"/>
  <c r="S361" i="1" s="1"/>
  <c r="AC127" i="1"/>
  <c r="AB460" i="1"/>
  <c r="AB476" i="1"/>
  <c r="BN253" i="1"/>
  <c r="BN255" i="1"/>
  <c r="BN252" i="1"/>
  <c r="BN251" i="1" s="1"/>
  <c r="BS254" i="1"/>
  <c r="BB273" i="1"/>
  <c r="BB274" i="1" s="1"/>
  <c r="BK259" i="1"/>
  <c r="BK258" i="1" s="1"/>
  <c r="BK257" i="1" s="1"/>
  <c r="AJ351" i="1"/>
  <c r="AS351" i="1"/>
  <c r="H271" i="1"/>
  <c r="BM326" i="1"/>
  <c r="BI142" i="1"/>
  <c r="BJ209" i="1"/>
  <c r="AH90" i="7"/>
  <c r="AI44" i="7"/>
  <c r="BI324" i="1"/>
  <c r="BI323" i="1" s="1"/>
  <c r="BI19" i="1" s="1"/>
  <c r="AK32" i="7"/>
  <c r="AK78" i="7" s="1"/>
  <c r="AJ78" i="7"/>
  <c r="CF137" i="1"/>
  <c r="I144" i="1"/>
  <c r="CF144" i="1" s="1"/>
  <c r="AJ95" i="7"/>
  <c r="AK50" i="7"/>
  <c r="AK95" i="7" s="1"/>
  <c r="AL79" i="7"/>
  <c r="CH383" i="1"/>
  <c r="S458" i="1"/>
  <c r="CH115" i="1"/>
  <c r="S472" i="1"/>
  <c r="S474" i="1" s="1"/>
  <c r="BH324" i="1"/>
  <c r="BB271" i="1"/>
  <c r="CO271" i="1" s="1"/>
  <c r="Y510" i="1"/>
  <c r="Z510" i="1" s="1"/>
  <c r="AA510" i="1" s="1"/>
  <c r="BK261" i="1"/>
  <c r="AH273" i="1"/>
  <c r="AH274" i="1" s="1"/>
  <c r="CK274" i="1" s="1"/>
  <c r="AH372" i="1"/>
  <c r="AH25" i="1"/>
  <c r="CK25" i="1" s="1"/>
  <c r="AL207" i="2"/>
  <c r="AC274" i="1"/>
  <c r="CJ274" i="1" s="1"/>
  <c r="AH348" i="1"/>
  <c r="AH349" i="1" s="1"/>
  <c r="Y21" i="2"/>
  <c r="Y92" i="2" s="1"/>
  <c r="AT586" i="1"/>
  <c r="AH337" i="1"/>
  <c r="CK337" i="1" s="1"/>
  <c r="T34" i="1"/>
  <c r="H281" i="1"/>
  <c r="H282" i="1" s="1"/>
  <c r="O396" i="1"/>
  <c r="O399" i="1" s="1"/>
  <c r="AY30" i="1"/>
  <c r="BH327" i="1"/>
  <c r="N151" i="1"/>
  <c r="CI124" i="1"/>
  <c r="X473" i="1"/>
  <c r="AR5" i="7"/>
  <c r="AQ5" i="7"/>
  <c r="AP19" i="7"/>
  <c r="AP67" i="7" s="1"/>
  <c r="AQ67" i="7" s="1"/>
  <c r="S397" i="1"/>
  <c r="R399" i="1"/>
  <c r="AN45" i="7"/>
  <c r="AM91" i="7"/>
  <c r="H384" i="1"/>
  <c r="H458" i="1"/>
  <c r="I458" i="1" s="1"/>
  <c r="I383" i="1"/>
  <c r="AJ29" i="7"/>
  <c r="AI75" i="7"/>
  <c r="AM541" i="1"/>
  <c r="AI541" i="1"/>
  <c r="AG500" i="1"/>
  <c r="AG523" i="1" s="1"/>
  <c r="BA29" i="2"/>
  <c r="BQ566" i="1" s="1"/>
  <c r="X457" i="1"/>
  <c r="BP260" i="1"/>
  <c r="BQ260" i="1" s="1"/>
  <c r="AG522" i="1"/>
  <c r="AN522" i="1" s="1"/>
  <c r="AH18" i="1"/>
  <c r="CK18" i="1" s="1"/>
  <c r="AH373" i="1"/>
  <c r="AY351" i="1"/>
  <c r="AY557" i="1"/>
  <c r="AY559" i="1" s="1"/>
  <c r="BL254" i="1"/>
  <c r="Y174" i="2"/>
  <c r="BG254" i="1"/>
  <c r="M336" i="1"/>
  <c r="N473" i="1"/>
  <c r="N474" i="1" s="1"/>
  <c r="W463" i="1"/>
  <c r="BG251" i="1"/>
  <c r="CP251" i="1" s="1"/>
  <c r="K434" i="1"/>
  <c r="L430" i="1" s="1"/>
  <c r="BN326" i="1"/>
  <c r="BS326" i="1" s="1"/>
  <c r="BS327" i="1" s="1"/>
  <c r="BD31" i="1"/>
  <c r="V138" i="7"/>
  <c r="U139" i="7"/>
  <c r="CI383" i="1"/>
  <c r="X458" i="1"/>
  <c r="S266" i="1"/>
  <c r="CH266" i="1" s="1"/>
  <c r="CH265" i="1"/>
  <c r="R458" i="1"/>
  <c r="R463" i="1" s="1"/>
  <c r="W464" i="1" s="1"/>
  <c r="R384" i="1"/>
  <c r="AV75" i="7"/>
  <c r="AP52" i="7"/>
  <c r="AO97" i="7"/>
  <c r="AL76" i="7"/>
  <c r="BF78" i="7"/>
  <c r="R406" i="1"/>
  <c r="S406" i="1" s="1"/>
  <c r="S405" i="1"/>
  <c r="S132" i="1"/>
  <c r="R476" i="1"/>
  <c r="R460" i="1"/>
  <c r="CI115" i="1"/>
  <c r="X472" i="1"/>
  <c r="X474" i="1" s="1"/>
  <c r="AS100" i="2"/>
  <c r="AA35" i="1"/>
  <c r="BD49" i="1"/>
  <c r="BD380" i="1" s="1"/>
  <c r="BD468" i="1"/>
  <c r="CE33" i="1"/>
  <c r="D34" i="1"/>
  <c r="CE34" i="1" s="1"/>
  <c r="BD351" i="1"/>
  <c r="AR398" i="1"/>
  <c r="AX468" i="1"/>
  <c r="AY34" i="1"/>
  <c r="AC282" i="1"/>
  <c r="CJ282" i="1" s="1"/>
  <c r="BD457" i="1"/>
  <c r="BD463" i="1" s="1"/>
  <c r="BD464" i="1" s="1"/>
  <c r="BD342" i="1"/>
  <c r="AF468" i="1"/>
  <c r="AV31" i="1"/>
  <c r="AO35" i="1"/>
  <c r="AE31" i="1"/>
  <c r="AQ33" i="1"/>
  <c r="AQ34" i="1" s="1"/>
  <c r="BD33" i="1"/>
  <c r="BD34" i="1" s="1"/>
  <c r="AF351" i="1"/>
  <c r="AE43" i="1"/>
  <c r="CN336" i="1"/>
  <c r="AE30" i="1"/>
  <c r="AA103" i="2"/>
  <c r="AA105" i="2"/>
  <c r="AA104" i="2"/>
  <c r="AA107" i="2"/>
  <c r="AA174" i="2"/>
  <c r="AA106" i="2"/>
  <c r="AF87" i="2"/>
  <c r="AA23" i="2"/>
  <c r="AA21" i="2"/>
  <c r="AQ586" i="1"/>
  <c r="AX43" i="1"/>
  <c r="AJ31" i="1"/>
  <c r="BA557" i="1"/>
  <c r="BA559" i="1" s="1"/>
  <c r="AK463" i="1"/>
  <c r="AE49" i="1"/>
  <c r="AE54" i="1" s="1"/>
  <c r="AF23" i="2"/>
  <c r="AV586" i="1"/>
  <c r="AF92" i="2"/>
  <c r="AF91" i="2"/>
  <c r="AH42" i="1"/>
  <c r="AH468" i="1" s="1"/>
  <c r="AH368" i="1"/>
  <c r="AH370" i="1"/>
  <c r="AH29" i="1"/>
  <c r="AH365" i="1"/>
  <c r="AH371" i="1"/>
  <c r="AC361" i="1"/>
  <c r="AX351" i="1"/>
  <c r="AZ611" i="1"/>
  <c r="AZ612" i="1" s="1"/>
  <c r="AH369" i="1"/>
  <c r="AH367" i="1"/>
  <c r="AH20" i="1"/>
  <c r="CK20" i="1" s="1"/>
  <c r="AH13" i="1"/>
  <c r="CK13" i="1" s="1"/>
  <c r="C6" i="5" s="1"/>
  <c r="BZ92" i="2"/>
  <c r="AI342" i="1"/>
  <c r="AW348" i="1"/>
  <c r="AW349" i="1" s="1"/>
  <c r="AE457" i="1"/>
  <c r="AE463" i="1" s="1"/>
  <c r="AE464" i="1" s="1"/>
  <c r="BG16" i="1"/>
  <c r="CP16" i="1" s="1"/>
  <c r="AF463" i="1"/>
  <c r="AW339" i="1"/>
  <c r="CN339" i="1" s="1"/>
  <c r="AP98" i="7"/>
  <c r="AQ98" i="7" s="1"/>
  <c r="AQ53" i="7"/>
  <c r="AR53" i="7" s="1"/>
  <c r="AR26" i="7"/>
  <c r="AQ71" i="7"/>
  <c r="AP25" i="7"/>
  <c r="AO72" i="7"/>
  <c r="AS77" i="2"/>
  <c r="BI581" i="1" s="1"/>
  <c r="BC31" i="2"/>
  <c r="BN309" i="1"/>
  <c r="AS97" i="2"/>
  <c r="BS320" i="1"/>
  <c r="BN321" i="1"/>
  <c r="BN319" i="1"/>
  <c r="BN318" i="1" s="1"/>
  <c r="BL564" i="1"/>
  <c r="AY7" i="2"/>
  <c r="BO236" i="1" s="1"/>
  <c r="BL245" i="1"/>
  <c r="CQ245" i="1" s="1"/>
  <c r="AE351" i="1"/>
  <c r="BA61" i="2"/>
  <c r="BF66" i="2" s="1"/>
  <c r="BD23" i="2"/>
  <c r="BL308" i="1"/>
  <c r="BO585" i="1"/>
  <c r="AV7" i="2"/>
  <c r="CA7" i="2" s="1"/>
  <c r="AV17" i="2"/>
  <c r="CA17" i="2" s="1"/>
  <c r="AX81" i="2"/>
  <c r="AX97" i="2" s="1"/>
  <c r="BL585" i="1"/>
  <c r="BT260" i="1"/>
  <c r="BO261" i="1"/>
  <c r="BO259" i="1"/>
  <c r="BO258" i="1" s="1"/>
  <c r="F49" i="1"/>
  <c r="F54" i="1" s="1"/>
  <c r="AA463" i="1"/>
  <c r="AA464" i="1" s="1"/>
  <c r="AH397" i="1"/>
  <c r="S384" i="1"/>
  <c r="CH384" i="1" s="1"/>
  <c r="CH12" i="1"/>
  <c r="S373" i="1"/>
  <c r="S367" i="1"/>
  <c r="S370" i="1"/>
  <c r="S371" i="1"/>
  <c r="S369" i="1"/>
  <c r="S372" i="1"/>
  <c r="X13" i="1"/>
  <c r="CI13" i="1" s="1"/>
  <c r="S20" i="1"/>
  <c r="CH20" i="1" s="1"/>
  <c r="S368" i="1"/>
  <c r="S365" i="1"/>
  <c r="CN137" i="1"/>
  <c r="F16" i="5" s="1"/>
  <c r="F20" i="5" s="1"/>
  <c r="AW475" i="1"/>
  <c r="AM383" i="1"/>
  <c r="AL458" i="1"/>
  <c r="AL500" i="1"/>
  <c r="AL522" i="1" s="1"/>
  <c r="AM522" i="1"/>
  <c r="CI138" i="1"/>
  <c r="X144" i="1"/>
  <c r="CI144" i="1" s="1"/>
  <c r="AV500" i="1"/>
  <c r="AV526" i="1" s="1"/>
  <c r="AV458" i="1"/>
  <c r="AV463" i="1" s="1"/>
  <c r="AW383" i="1"/>
  <c r="AV384" i="1"/>
  <c r="CG323" i="1"/>
  <c r="N329" i="1"/>
  <c r="CL137" i="1"/>
  <c r="D16" i="5" s="1"/>
  <c r="D21" i="5" s="1"/>
  <c r="AM475" i="1"/>
  <c r="AH384" i="1"/>
  <c r="CK384" i="1" s="1"/>
  <c r="CK383" i="1"/>
  <c r="AH458" i="1"/>
  <c r="AK534" i="1"/>
  <c r="AL536" i="1"/>
  <c r="AL534" i="1" s="1"/>
  <c r="AT536" i="1"/>
  <c r="AS534" i="1"/>
  <c r="C68" i="1"/>
  <c r="C58" i="1"/>
  <c r="BJ198" i="1"/>
  <c r="BJ424" i="1" s="1"/>
  <c r="AN20" i="7"/>
  <c r="AO534" i="1"/>
  <c r="AP536" i="1"/>
  <c r="AW534" i="1"/>
  <c r="BB536" i="1"/>
  <c r="AX536" i="1"/>
  <c r="BH119" i="1"/>
  <c r="BI188" i="1"/>
  <c r="M13" i="1"/>
  <c r="N295" i="1"/>
  <c r="S295" i="1"/>
  <c r="M40" i="1"/>
  <c r="W33" i="1"/>
  <c r="W34" i="1" s="1"/>
  <c r="W31" i="1"/>
  <c r="F351" i="1"/>
  <c r="AG458" i="1"/>
  <c r="AG384" i="1"/>
  <c r="P457" i="1"/>
  <c r="P463" i="1" s="1"/>
  <c r="U464" i="1" s="1"/>
  <c r="P33" i="1"/>
  <c r="P34" i="1" s="1"/>
  <c r="P30" i="1"/>
  <c r="G273" i="1"/>
  <c r="G274" i="1" s="1"/>
  <c r="G271" i="1"/>
  <c r="G281" i="1"/>
  <c r="G282" i="1" s="1"/>
  <c r="AL431" i="1"/>
  <c r="AL27" i="1"/>
  <c r="AA54" i="1"/>
  <c r="AA380" i="1"/>
  <c r="AA480" i="1" s="1"/>
  <c r="AQ351" i="1"/>
  <c r="AQ49" i="1"/>
  <c r="AQ43" i="1"/>
  <c r="AQ468" i="1"/>
  <c r="AB458" i="1"/>
  <c r="AB500" i="1"/>
  <c r="AB523" i="1" s="1"/>
  <c r="AQ523" i="1" s="1"/>
  <c r="AC383" i="1"/>
  <c r="AC384" i="1" s="1"/>
  <c r="CJ384" i="1" s="1"/>
  <c r="AR27" i="1"/>
  <c r="CM27" i="1" s="1"/>
  <c r="CM22" i="1"/>
  <c r="AR431" i="1"/>
  <c r="AM334" i="1"/>
  <c r="CL334" i="1" s="1"/>
  <c r="CL329" i="1"/>
  <c r="T142" i="2"/>
  <c r="T147" i="2"/>
  <c r="T148" i="2" s="1"/>
  <c r="S271" i="1"/>
  <c r="CH271" i="1" s="1"/>
  <c r="S273" i="1"/>
  <c r="S281" i="1"/>
  <c r="CH270" i="1"/>
  <c r="F457" i="1"/>
  <c r="F463" i="1" s="1"/>
  <c r="F30" i="1"/>
  <c r="F33" i="1"/>
  <c r="F34" i="1" s="1"/>
  <c r="U142" i="2"/>
  <c r="U147" i="2"/>
  <c r="U148" i="2" s="1"/>
  <c r="N313" i="1"/>
  <c r="BK524" i="1"/>
  <c r="W30" i="1"/>
  <c r="Z464" i="1"/>
  <c r="S411" i="1"/>
  <c r="O411" i="1"/>
  <c r="O413" i="1" s="1"/>
  <c r="S413" i="1" s="1"/>
  <c r="CH22" i="1"/>
  <c r="S29" i="1"/>
  <c r="S142" i="2"/>
  <c r="S147" i="2"/>
  <c r="S148" i="2" s="1"/>
  <c r="V432" i="1"/>
  <c r="V434" i="1" s="1"/>
  <c r="W430" i="1" s="1"/>
  <c r="X147" i="2"/>
  <c r="X148" i="2" s="1"/>
  <c r="X142" i="2"/>
  <c r="M20" i="1"/>
  <c r="CF257" i="1"/>
  <c r="I263" i="1"/>
  <c r="P40" i="2"/>
  <c r="K40" i="2" s="1"/>
  <c r="P42" i="2"/>
  <c r="R42" i="2" s="1"/>
  <c r="U39" i="2"/>
  <c r="P434" i="1"/>
  <c r="Q430" i="1" s="1"/>
  <c r="Q432" i="1" s="1"/>
  <c r="Q434" i="1" s="1"/>
  <c r="R430" i="1" s="1"/>
  <c r="R432" i="1" s="1"/>
  <c r="S432" i="1" s="1"/>
  <c r="U34" i="1"/>
  <c r="CL37" i="1"/>
  <c r="D12" i="5" s="1"/>
  <c r="D20" i="5" s="1"/>
  <c r="CL17" i="1"/>
  <c r="AM366" i="1"/>
  <c r="AM22" i="1"/>
  <c r="D68" i="1"/>
  <c r="CE68" i="1" s="1"/>
  <c r="CE54" i="1"/>
  <c r="D58" i="1"/>
  <c r="CM142" i="1"/>
  <c r="AR475" i="1"/>
  <c r="F434" i="1"/>
  <c r="G430" i="1" s="1"/>
  <c r="G432" i="1" s="1"/>
  <c r="G434" i="1" s="1"/>
  <c r="H430" i="1" s="1"/>
  <c r="H432" i="1" s="1"/>
  <c r="I432" i="1" s="1"/>
  <c r="AM398" i="1"/>
  <c r="AY68" i="1"/>
  <c r="AY58" i="1"/>
  <c r="V380" i="1"/>
  <c r="V54" i="1"/>
  <c r="BN197" i="1"/>
  <c r="BM131" i="1"/>
  <c r="Y480" i="1"/>
  <c r="Y469" i="1"/>
  <c r="Y471" i="1" s="1"/>
  <c r="Y478" i="1" s="1"/>
  <c r="AY480" i="1"/>
  <c r="P380" i="1"/>
  <c r="P480" i="1" s="1"/>
  <c r="P54" i="1"/>
  <c r="Y68" i="1"/>
  <c r="Y58" i="1"/>
  <c r="P508" i="1"/>
  <c r="Q508" i="1" s="1"/>
  <c r="T506" i="1"/>
  <c r="CJ64" i="1"/>
  <c r="X40" i="1"/>
  <c r="CI40" i="1" s="1"/>
  <c r="CI37" i="1"/>
  <c r="X42" i="1"/>
  <c r="AW398" i="1"/>
  <c r="U58" i="1"/>
  <c r="U68" i="1"/>
  <c r="R340" i="1"/>
  <c r="S339" i="1"/>
  <c r="T469" i="1"/>
  <c r="T471" i="1" s="1"/>
  <c r="T478" i="1" s="1"/>
  <c r="T480" i="1"/>
  <c r="CI281" i="1"/>
  <c r="X282" i="1"/>
  <c r="CI282" i="1" s="1"/>
  <c r="AC472" i="1"/>
  <c r="AC474" i="1" s="1"/>
  <c r="CJ115" i="1"/>
  <c r="AC405" i="1"/>
  <c r="BU21" i="2"/>
  <c r="R153" i="2"/>
  <c r="M21" i="2"/>
  <c r="BT21" i="2" s="1"/>
  <c r="BT17" i="2"/>
  <c r="W351" i="1"/>
  <c r="W468" i="1"/>
  <c r="W49" i="1"/>
  <c r="W43" i="1"/>
  <c r="L339" i="1"/>
  <c r="L340" i="1" s="1"/>
  <c r="L337" i="1"/>
  <c r="L348" i="1"/>
  <c r="L349" i="1" s="1"/>
  <c r="CJ37" i="1"/>
  <c r="B12" i="5" s="1"/>
  <c r="B20" i="5" s="1"/>
  <c r="CG313" i="1"/>
  <c r="U469" i="1"/>
  <c r="U471" i="1" s="1"/>
  <c r="U478" i="1" s="1"/>
  <c r="U480" i="1"/>
  <c r="S332" i="1"/>
  <c r="CH332" i="1" s="1"/>
  <c r="CH331" i="1"/>
  <c r="S24" i="1"/>
  <c r="S334" i="1"/>
  <c r="CH334" i="1" s="1"/>
  <c r="BQ597" i="1"/>
  <c r="BR597" i="1"/>
  <c r="M339" i="1"/>
  <c r="M340" i="1" s="1"/>
  <c r="M337" i="1"/>
  <c r="M348" i="1"/>
  <c r="M349" i="1" s="1"/>
  <c r="AP473" i="1"/>
  <c r="AP474" i="1" s="1"/>
  <c r="AQ124" i="1"/>
  <c r="X340" i="1"/>
  <c r="CI340" i="1" s="1"/>
  <c r="CI339" i="1"/>
  <c r="X274" i="1"/>
  <c r="CI274" i="1" s="1"/>
  <c r="CI273" i="1"/>
  <c r="G457" i="1"/>
  <c r="G463" i="1" s="1"/>
  <c r="G30" i="1"/>
  <c r="G33" i="1"/>
  <c r="G34" i="1" s="1"/>
  <c r="H531" i="1"/>
  <c r="J502" i="1"/>
  <c r="M130" i="2"/>
  <c r="M134" i="2"/>
  <c r="M135" i="2" s="1"/>
  <c r="M127" i="2"/>
  <c r="CK64" i="1"/>
  <c r="T178" i="2"/>
  <c r="AJ587" i="1"/>
  <c r="E68" i="1"/>
  <c r="E58" i="1"/>
  <c r="G49" i="1"/>
  <c r="G43" i="1"/>
  <c r="L369" i="1"/>
  <c r="L13" i="1"/>
  <c r="L373" i="1"/>
  <c r="L18" i="1"/>
  <c r="L25" i="1"/>
  <c r="L368" i="1"/>
  <c r="L367" i="1"/>
  <c r="L370" i="1"/>
  <c r="L371" i="1"/>
  <c r="L365" i="1"/>
  <c r="L361" i="1"/>
  <c r="L372" i="1"/>
  <c r="L20" i="1"/>
  <c r="L384" i="1"/>
  <c r="L40" i="1"/>
  <c r="Q13" i="1"/>
  <c r="L29" i="1"/>
  <c r="L42" i="1"/>
  <c r="N12" i="1"/>
  <c r="N20" i="1" s="1"/>
  <c r="CG20" i="1" s="1"/>
  <c r="X14" i="1"/>
  <c r="CI14" i="1" s="1"/>
  <c r="BS85" i="2"/>
  <c r="CM114" i="1"/>
  <c r="AR472" i="1"/>
  <c r="AV351" i="1"/>
  <c r="AJ473" i="1"/>
  <c r="AJ474" i="1" s="1"/>
  <c r="AL124" i="1"/>
  <c r="BJ524" i="1"/>
  <c r="BO524" i="1" s="1"/>
  <c r="BN524" i="1"/>
  <c r="BM524" i="1"/>
  <c r="BL524" i="1"/>
  <c r="T68" i="1"/>
  <c r="T58" i="1"/>
  <c r="M370" i="1"/>
  <c r="M369" i="1"/>
  <c r="M372" i="1"/>
  <c r="M25" i="1"/>
  <c r="M384" i="1"/>
  <c r="M373" i="1"/>
  <c r="M367" i="1"/>
  <c r="M18" i="1"/>
  <c r="M371" i="1"/>
  <c r="M368" i="1"/>
  <c r="M365" i="1"/>
  <c r="R13" i="1"/>
  <c r="CF37" i="1"/>
  <c r="Z34" i="1"/>
  <c r="Z35" i="1"/>
  <c r="AE35" i="1"/>
  <c r="Z380" i="1"/>
  <c r="Z54" i="1"/>
  <c r="BV279" i="1"/>
  <c r="BT346" i="1"/>
  <c r="BV346" i="1" s="1"/>
  <c r="BY279" i="1"/>
  <c r="AI518" i="1"/>
  <c r="AN518" i="1" s="1"/>
  <c r="AE513" i="1"/>
  <c r="AF513" i="1" s="1"/>
  <c r="AG513" i="1" s="1"/>
  <c r="BN593" i="1"/>
  <c r="I13" i="1"/>
  <c r="CF13" i="1" s="1"/>
  <c r="I371" i="1"/>
  <c r="I372" i="1"/>
  <c r="I370" i="1"/>
  <c r="I369" i="1"/>
  <c r="I367" i="1"/>
  <c r="CF12" i="1"/>
  <c r="I373" i="1"/>
  <c r="I25" i="1"/>
  <c r="CF25" i="1" s="1"/>
  <c r="I18" i="1"/>
  <c r="CF18" i="1" s="1"/>
  <c r="I365" i="1"/>
  <c r="I368" i="1"/>
  <c r="I361" i="1"/>
  <c r="I40" i="1"/>
  <c r="CF40" i="1" s="1"/>
  <c r="AR520" i="1"/>
  <c r="BN576" i="1"/>
  <c r="BC61" i="2"/>
  <c r="BN311" i="1"/>
  <c r="AW31" i="2"/>
  <c r="AR76" i="2"/>
  <c r="AW52" i="2"/>
  <c r="AR81" i="2"/>
  <c r="BH568" i="1"/>
  <c r="BH309" i="1"/>
  <c r="BH313" i="1" s="1"/>
  <c r="BH317" i="1" s="1"/>
  <c r="BH17" i="1" s="1"/>
  <c r="AZ30" i="1"/>
  <c r="AZ457" i="1"/>
  <c r="AZ463" i="1" s="1"/>
  <c r="AZ33" i="1"/>
  <c r="AD54" i="1"/>
  <c r="AD380" i="1"/>
  <c r="AI43" i="1"/>
  <c r="AI468" i="1"/>
  <c r="AI49" i="1"/>
  <c r="AI351" i="1"/>
  <c r="AH340" i="1"/>
  <c r="CK340" i="1" s="1"/>
  <c r="CK339" i="1"/>
  <c r="BO254" i="1"/>
  <c r="BJ252" i="1"/>
  <c r="BJ251" i="1" s="1"/>
  <c r="BJ263" i="1" s="1"/>
  <c r="BJ253" i="1"/>
  <c r="BJ255" i="1"/>
  <c r="BI317" i="1"/>
  <c r="BI649" i="1" s="1"/>
  <c r="BI650" i="1" s="1"/>
  <c r="BI347" i="1"/>
  <c r="BI332" i="1"/>
  <c r="BC342" i="1"/>
  <c r="AX343" i="1"/>
  <c r="AX340" i="1"/>
  <c r="AD35" i="1"/>
  <c r="AD34" i="1"/>
  <c r="AZ351" i="1"/>
  <c r="AZ468" i="1"/>
  <c r="AZ49" i="1"/>
  <c r="AZ43" i="1"/>
  <c r="AT587" i="1"/>
  <c r="AD92" i="2"/>
  <c r="AD52" i="2"/>
  <c r="BX259" i="1"/>
  <c r="BX261" i="1"/>
  <c r="BX258" i="1"/>
  <c r="AI30" i="1"/>
  <c r="AI31" i="1"/>
  <c r="AI457" i="1"/>
  <c r="AI463" i="1" s="1"/>
  <c r="AI464" i="1" s="1"/>
  <c r="AI33" i="1"/>
  <c r="AJ557" i="1"/>
  <c r="AJ559" i="1" s="1"/>
  <c r="AK557" i="1"/>
  <c r="AK559" i="1" s="1"/>
  <c r="AI557" i="1"/>
  <c r="AI559" i="1" s="1"/>
  <c r="AK480" i="1"/>
  <c r="AK469" i="1"/>
  <c r="AK471" i="1" s="1"/>
  <c r="AK478" i="1" s="1"/>
  <c r="AX342" i="1"/>
  <c r="AK68" i="1"/>
  <c r="AK58" i="1"/>
  <c r="BM252" i="1"/>
  <c r="BM251" i="1" s="1"/>
  <c r="BM263" i="1" s="1"/>
  <c r="BM253" i="1"/>
  <c r="BR254" i="1"/>
  <c r="BM255" i="1"/>
  <c r="BC30" i="1"/>
  <c r="BC33" i="1"/>
  <c r="BC457" i="1"/>
  <c r="BC463" i="1" s="1"/>
  <c r="BC464" i="1" s="1"/>
  <c r="BA49" i="1"/>
  <c r="BA468" i="1"/>
  <c r="BA351" i="1"/>
  <c r="BA43" i="1"/>
  <c r="AN340" i="1"/>
  <c r="AN342" i="1"/>
  <c r="AS49" i="1"/>
  <c r="AS468" i="1"/>
  <c r="AS43" i="1"/>
  <c r="AS31" i="1"/>
  <c r="AS30" i="1"/>
  <c r="AS33" i="1"/>
  <c r="AS457" i="1"/>
  <c r="AS463" i="1" s="1"/>
  <c r="AX464" i="1" s="1"/>
  <c r="BH38" i="1"/>
  <c r="BH276" i="1"/>
  <c r="AN49" i="1"/>
  <c r="AN43" i="1"/>
  <c r="AN468" i="1"/>
  <c r="AN351" i="1"/>
  <c r="AG380" i="1"/>
  <c r="AG54" i="1"/>
  <c r="AU468" i="1"/>
  <c r="AU43" i="1"/>
  <c r="AU49" i="1"/>
  <c r="AU351" i="1"/>
  <c r="BH385" i="1"/>
  <c r="BH384" i="1" s="1"/>
  <c r="BH387" i="1"/>
  <c r="BA33" i="1"/>
  <c r="BA457" i="1"/>
  <c r="BA463" i="1" s="1"/>
  <c r="BD557" i="1"/>
  <c r="BD559" i="1" s="1"/>
  <c r="BC557" i="1"/>
  <c r="BC559" i="1" s="1"/>
  <c r="BA30" i="1"/>
  <c r="BA342" i="1"/>
  <c r="AV340" i="1"/>
  <c r="AV342" i="1"/>
  <c r="CJ12" i="1"/>
  <c r="AC365" i="1"/>
  <c r="AC369" i="1"/>
  <c r="AC372" i="1"/>
  <c r="AC40" i="1"/>
  <c r="CJ40" i="1" s="1"/>
  <c r="AC18" i="1"/>
  <c r="CJ18" i="1" s="1"/>
  <c r="AC371" i="1"/>
  <c r="AC368" i="1"/>
  <c r="AC373" i="1"/>
  <c r="AC370" i="1"/>
  <c r="AC367" i="1"/>
  <c r="AC25" i="1"/>
  <c r="CJ25" i="1" s="1"/>
  <c r="AC13" i="1"/>
  <c r="CJ13" i="1" s="1"/>
  <c r="B6" i="5" s="1"/>
  <c r="AN457" i="1"/>
  <c r="AN463" i="1" s="1"/>
  <c r="AN33" i="1"/>
  <c r="AN30" i="1"/>
  <c r="AN31" i="1"/>
  <c r="AU340" i="1"/>
  <c r="AZ342" i="1"/>
  <c r="AU342" i="1"/>
  <c r="AJ34" i="1"/>
  <c r="AJ35" i="1"/>
  <c r="AU457" i="1"/>
  <c r="AU463" i="1" s="1"/>
  <c r="AU30" i="1"/>
  <c r="AU33" i="1"/>
  <c r="AU34" i="1" s="1"/>
  <c r="AZ31" i="1"/>
  <c r="BC351" i="1"/>
  <c r="BC49" i="1"/>
  <c r="BC43" i="1"/>
  <c r="BC468" i="1"/>
  <c r="W39" i="2"/>
  <c r="BV39" i="2" s="1"/>
  <c r="BU38" i="2"/>
  <c r="C19" i="5"/>
  <c r="BJ4" i="2"/>
  <c r="BU233" i="1"/>
  <c r="BU234" i="1" s="1"/>
  <c r="BF4" i="2"/>
  <c r="AQ557" i="1"/>
  <c r="AQ559" i="1" s="1"/>
  <c r="AR29" i="1"/>
  <c r="AP457" i="1"/>
  <c r="AP463" i="1" s="1"/>
  <c r="AT557" i="1"/>
  <c r="AT559" i="1" s="1"/>
  <c r="AP30" i="1"/>
  <c r="AU31" i="1"/>
  <c r="AS557" i="1"/>
  <c r="AS559" i="1" s="1"/>
  <c r="AP31" i="1"/>
  <c r="AP33" i="1"/>
  <c r="AR368" i="1"/>
  <c r="CM12" i="1"/>
  <c r="AR372" i="1"/>
  <c r="AR25" i="1"/>
  <c r="CM25" i="1" s="1"/>
  <c r="AR370" i="1"/>
  <c r="AR18" i="1"/>
  <c r="CM18" i="1" s="1"/>
  <c r="AR371" i="1"/>
  <c r="AR367" i="1"/>
  <c r="AR369" i="1"/>
  <c r="AR384" i="1"/>
  <c r="CM384" i="1" s="1"/>
  <c r="AR373" i="1"/>
  <c r="AR365" i="1"/>
  <c r="AR20" i="1"/>
  <c r="CM20" i="1" s="1"/>
  <c r="AR40" i="1"/>
  <c r="CN314" i="1"/>
  <c r="AW315" i="1"/>
  <c r="AW371" i="1"/>
  <c r="AW40" i="1"/>
  <c r="CN40" i="1" s="1"/>
  <c r="AW368" i="1"/>
  <c r="AW20" i="1"/>
  <c r="CN20" i="1" s="1"/>
  <c r="AW29" i="1"/>
  <c r="BB31" i="1" s="1"/>
  <c r="CO31" i="1" s="1"/>
  <c r="AW369" i="1"/>
  <c r="AW42" i="1"/>
  <c r="AW370" i="1"/>
  <c r="AW367" i="1"/>
  <c r="AW365" i="1"/>
  <c r="AW25" i="1"/>
  <c r="CN25" i="1" s="1"/>
  <c r="CN12" i="1"/>
  <c r="F17" i="5" s="1"/>
  <c r="AW18" i="1"/>
  <c r="CN18" i="1" s="1"/>
  <c r="AW373" i="1"/>
  <c r="AW361" i="1"/>
  <c r="AW372" i="1"/>
  <c r="AW13" i="1"/>
  <c r="CN13" i="1" s="1"/>
  <c r="F6" i="5" s="1"/>
  <c r="AW15" i="1"/>
  <c r="CN15" i="1" s="1"/>
  <c r="AE23" i="2"/>
  <c r="AE21" i="2"/>
  <c r="AU586" i="1"/>
  <c r="AR348" i="1"/>
  <c r="AR349" i="1" s="1"/>
  <c r="CM336" i="1"/>
  <c r="AR337" i="1"/>
  <c r="CM337" i="1" s="1"/>
  <c r="AR339" i="1"/>
  <c r="CO339" i="1"/>
  <c r="BB340" i="1"/>
  <c r="CO340" i="1" s="1"/>
  <c r="AT33" i="1"/>
  <c r="AV557" i="1"/>
  <c r="AV559" i="1" s="1"/>
  <c r="AT457" i="1"/>
  <c r="AT463" i="1" s="1"/>
  <c r="AY31" i="1"/>
  <c r="AU557" i="1"/>
  <c r="AU559" i="1" s="1"/>
  <c r="AT30" i="1"/>
  <c r="AT31" i="1"/>
  <c r="AR585" i="1"/>
  <c r="AB90" i="2"/>
  <c r="AB7" i="2"/>
  <c r="AB86" i="2"/>
  <c r="BW16" i="2"/>
  <c r="AR245" i="1"/>
  <c r="AG17" i="2"/>
  <c r="AB17" i="2"/>
  <c r="AF54" i="1"/>
  <c r="Q44" i="2"/>
  <c r="Q75" i="2"/>
  <c r="Q85" i="2" s="1"/>
  <c r="AG14" i="1" s="1"/>
  <c r="Q80" i="2"/>
  <c r="BA5" i="2"/>
  <c r="CB5" i="2" s="1"/>
  <c r="CB4" i="2"/>
  <c r="BQ233" i="1"/>
  <c r="AP43" i="1"/>
  <c r="AP49" i="1"/>
  <c r="AP351" i="1"/>
  <c r="AP468" i="1"/>
  <c r="AR42" i="1"/>
  <c r="BU254" i="1"/>
  <c r="Z112" i="2"/>
  <c r="Z113" i="2" s="1"/>
  <c r="Z111" i="2"/>
  <c r="AE91" i="2"/>
  <c r="Z91" i="2"/>
  <c r="Z130" i="2"/>
  <c r="Z134" i="2"/>
  <c r="Z135" i="2" s="1"/>
  <c r="Z127" i="2"/>
  <c r="AR653" i="1"/>
  <c r="AR650" i="1"/>
  <c r="AR657" i="1"/>
  <c r="AR658" i="1" s="1"/>
  <c r="AW647" i="1"/>
  <c r="AV34" i="1"/>
  <c r="AV35" i="1"/>
  <c r="G19" i="5"/>
  <c r="AX557" i="1"/>
  <c r="AX559" i="1" s="1"/>
  <c r="Q138" i="2"/>
  <c r="V40" i="2"/>
  <c r="BY21" i="2"/>
  <c r="BB587" i="1"/>
  <c r="AT49" i="1"/>
  <c r="AT43" i="1"/>
  <c r="AT468" i="1"/>
  <c r="AT351" i="1"/>
  <c r="AW273" i="1"/>
  <c r="CN270" i="1"/>
  <c r="AW271" i="1"/>
  <c r="CN271" i="1" s="1"/>
  <c r="AW281" i="1"/>
  <c r="Z23" i="2"/>
  <c r="Z21" i="2"/>
  <c r="Z178" i="2" s="1"/>
  <c r="AP586" i="1"/>
  <c r="Z107" i="2"/>
  <c r="Z87" i="2"/>
  <c r="Z88" i="2" s="1"/>
  <c r="Z106" i="2"/>
  <c r="Z174" i="2"/>
  <c r="Z104" i="2"/>
  <c r="Z105" i="2"/>
  <c r="AE87" i="2"/>
  <c r="CQ233" i="1"/>
  <c r="BL234" i="1"/>
  <c r="CQ234" i="1" s="1"/>
  <c r="BN385" i="1"/>
  <c r="BN384" i="1" s="1"/>
  <c r="BS386" i="1"/>
  <c r="BX386" i="1" s="1"/>
  <c r="BN387" i="1"/>
  <c r="AP520" i="1"/>
  <c r="AU520" i="1" s="1"/>
  <c r="BN605" i="1"/>
  <c r="BN635" i="1" s="1"/>
  <c r="BN636" i="1" s="1"/>
  <c r="J380" i="1"/>
  <c r="J54" i="1"/>
  <c r="AH282" i="1"/>
  <c r="CK282" i="1" s="1"/>
  <c r="CK281" i="1"/>
  <c r="AJ380" i="1"/>
  <c r="AJ54" i="1"/>
  <c r="J464" i="1"/>
  <c r="O464" i="1"/>
  <c r="N37" i="1"/>
  <c r="CG38" i="1"/>
  <c r="J35" i="1"/>
  <c r="J34" i="1"/>
  <c r="O35" i="1"/>
  <c r="BS592" i="1"/>
  <c r="BS599" i="1" s="1"/>
  <c r="AM518" i="1"/>
  <c r="BP258" i="1"/>
  <c r="BP261" i="1"/>
  <c r="BP259" i="1"/>
  <c r="BU260" i="1"/>
  <c r="I145" i="2"/>
  <c r="BW260" i="1"/>
  <c r="BR258" i="1"/>
  <c r="BR259" i="1"/>
  <c r="BR261" i="1"/>
  <c r="BK437" i="1"/>
  <c r="BL437" i="1" s="1"/>
  <c r="BL438" i="1"/>
  <c r="BM438" i="1" s="1"/>
  <c r="M505" i="1"/>
  <c r="O505" i="1" s="1"/>
  <c r="BC638" i="1"/>
  <c r="BC611" i="1" s="1"/>
  <c r="BB635" i="1"/>
  <c r="BB636" i="1" s="1"/>
  <c r="BA636" i="1"/>
  <c r="AY636" i="1"/>
  <c r="AY611" i="1"/>
  <c r="AY655" i="1"/>
  <c r="AY657" i="1" s="1"/>
  <c r="AY658" i="1" s="1"/>
  <c r="AY650" i="1"/>
  <c r="AT619" i="1"/>
  <c r="AT621" i="1" s="1"/>
  <c r="AT626" i="1" s="1"/>
  <c r="AT632" i="1" s="1"/>
  <c r="AT612" i="1"/>
  <c r="BF635" i="1"/>
  <c r="BF636" i="1" s="1"/>
  <c r="BK236" i="1"/>
  <c r="BK237" i="1" s="1"/>
  <c r="AU8" i="2"/>
  <c r="BG257" i="1"/>
  <c r="BZ7" i="2"/>
  <c r="BG236" i="1"/>
  <c r="AQ8" i="2"/>
  <c r="BZ8" i="2" s="1"/>
  <c r="AX8" i="2"/>
  <c r="BN236" i="1"/>
  <c r="BN237" i="1" s="1"/>
  <c r="BC7" i="2"/>
  <c r="BH16" i="2"/>
  <c r="BS585" i="1"/>
  <c r="BS245" i="1"/>
  <c r="BP245" i="1"/>
  <c r="AZ7" i="2"/>
  <c r="BE16" i="2"/>
  <c r="BP585" i="1"/>
  <c r="BE23" i="2"/>
  <c r="BZ17" i="2"/>
  <c r="BG586" i="1"/>
  <c r="CP245" i="1"/>
  <c r="BG246" i="1"/>
  <c r="BA16" i="2"/>
  <c r="BI263" i="1"/>
  <c r="BQ587" i="1"/>
  <c r="CB21" i="2"/>
  <c r="AX619" i="1"/>
  <c r="AX621" i="1" s="1"/>
  <c r="AX626" i="1" s="1"/>
  <c r="AX632" i="1" s="1"/>
  <c r="AX612" i="1"/>
  <c r="CA21" i="2"/>
  <c r="BL587" i="1"/>
  <c r="BO635" i="1"/>
  <c r="BO636" i="1" s="1"/>
  <c r="BK277" i="1"/>
  <c r="BK276" i="1" s="1"/>
  <c r="BK246" i="1"/>
  <c r="BI16" i="2"/>
  <c r="BT585" i="1"/>
  <c r="BT245" i="1"/>
  <c r="BD7" i="2"/>
  <c r="BG276" i="1"/>
  <c r="CP276" i="1" s="1"/>
  <c r="BG277" i="1"/>
  <c r="BN277" i="1"/>
  <c r="BN257" i="1"/>
  <c r="BN246" i="1"/>
  <c r="BI38" i="1"/>
  <c r="BI276" i="1"/>
  <c r="AF515" i="1"/>
  <c r="BE273" i="1"/>
  <c r="BE281" i="1"/>
  <c r="BE282" i="1" s="1"/>
  <c r="BB647" i="1"/>
  <c r="BD638" i="1"/>
  <c r="BD611" i="1" s="1"/>
  <c r="BE639" i="1"/>
  <c r="CJ329" i="1"/>
  <c r="AC334" i="1"/>
  <c r="CJ334" i="1" s="1"/>
  <c r="AC336" i="1"/>
  <c r="J145" i="2"/>
  <c r="J147" i="2"/>
  <c r="J148" i="2" s="1"/>
  <c r="B104" i="2"/>
  <c r="B106" i="2"/>
  <c r="C87" i="2"/>
  <c r="B107" i="2"/>
  <c r="B105" i="2"/>
  <c r="P63" i="7"/>
  <c r="P64" i="7" s="1"/>
  <c r="P58" i="7"/>
  <c r="BE67" i="1"/>
  <c r="BM472" i="1"/>
  <c r="BM398" i="1"/>
  <c r="BZ68" i="2"/>
  <c r="AN523" i="1"/>
  <c r="Q469" i="1"/>
  <c r="Q471" i="1" s="1"/>
  <c r="Q478" i="1" s="1"/>
  <c r="Q480" i="1"/>
  <c r="AX535" i="1"/>
  <c r="AY535" i="1" s="1"/>
  <c r="AZ535" i="1" s="1"/>
  <c r="BA535" i="1" s="1"/>
  <c r="BB535" i="1"/>
  <c r="U57" i="7"/>
  <c r="U91" i="7"/>
  <c r="U104" i="7" s="1"/>
  <c r="BA612" i="1"/>
  <c r="BA619" i="1"/>
  <c r="BP179" i="1"/>
  <c r="BQ179" i="1" s="1"/>
  <c r="M27" i="1"/>
  <c r="M431" i="1"/>
  <c r="M29" i="1"/>
  <c r="M42" i="1"/>
  <c r="BW592" i="1"/>
  <c r="BR593" i="1"/>
  <c r="BR599" i="1"/>
  <c r="BR605" i="1"/>
  <c r="CO42" i="1"/>
  <c r="G5" i="5" s="1"/>
  <c r="H337" i="1"/>
  <c r="H339" i="1"/>
  <c r="H340" i="1" s="1"/>
  <c r="H348" i="1"/>
  <c r="H349" i="1" s="1"/>
  <c r="G17" i="5"/>
  <c r="BJ157" i="1"/>
  <c r="CK121" i="1"/>
  <c r="AH473" i="1"/>
  <c r="AH474" i="1" s="1"/>
  <c r="K34" i="1"/>
  <c r="I142" i="2"/>
  <c r="I147" i="2"/>
  <c r="I148" i="2" s="1"/>
  <c r="AM281" i="1"/>
  <c r="CL270" i="1"/>
  <c r="AM273" i="1"/>
  <c r="AM271" i="1"/>
  <c r="CL271" i="1" s="1"/>
  <c r="CI33" i="1"/>
  <c r="X34" i="1"/>
  <c r="CI34" i="1" s="1"/>
  <c r="BT576" i="1"/>
  <c r="BI61" i="2"/>
  <c r="BT311" i="1"/>
  <c r="AG476" i="1"/>
  <c r="AG460" i="1"/>
  <c r="AG463" i="1" s="1"/>
  <c r="O480" i="1"/>
  <c r="O469" i="1"/>
  <c r="O471" i="1" s="1"/>
  <c r="O478" i="1" s="1"/>
  <c r="AB431" i="1"/>
  <c r="AB27" i="1"/>
  <c r="AB29" i="1"/>
  <c r="AB42" i="1"/>
  <c r="AB432" i="1"/>
  <c r="CF329" i="1"/>
  <c r="I334" i="1"/>
  <c r="CF334" i="1" s="1"/>
  <c r="I336" i="1"/>
  <c r="BA650" i="1"/>
  <c r="BA655" i="1"/>
  <c r="BA657" i="1" s="1"/>
  <c r="BA658" i="1" s="1"/>
  <c r="BB649" i="1"/>
  <c r="Y58" i="7"/>
  <c r="X63" i="7"/>
  <c r="X64" i="7" s="1"/>
  <c r="X58" i="7"/>
  <c r="AG14" i="7"/>
  <c r="Q68" i="1"/>
  <c r="Q58" i="1"/>
  <c r="H431" i="1"/>
  <c r="H27" i="1"/>
  <c r="H42" i="1"/>
  <c r="H29" i="1"/>
  <c r="AX34" i="1"/>
  <c r="AD512" i="1"/>
  <c r="AE512" i="1" s="1"/>
  <c r="BG593" i="1"/>
  <c r="BG594" i="1"/>
  <c r="BK605" i="1"/>
  <c r="BL605" i="1" s="1"/>
  <c r="BK593" i="1"/>
  <c r="BK599" i="1"/>
  <c r="BL599" i="1" s="1"/>
  <c r="BP592" i="1"/>
  <c r="BL592" i="1"/>
  <c r="O504" i="1"/>
  <c r="AV619" i="1"/>
  <c r="AV612" i="1"/>
  <c r="AW611" i="1"/>
  <c r="AW612" i="1" s="1"/>
  <c r="CO29" i="1"/>
  <c r="BB557" i="1"/>
  <c r="BB559" i="1" s="1"/>
  <c r="BB33" i="1"/>
  <c r="BB30" i="1"/>
  <c r="CO30" i="1" s="1"/>
  <c r="BB457" i="1"/>
  <c r="BB463" i="1" s="1"/>
  <c r="BE568" i="1"/>
  <c r="AT31" i="2"/>
  <c r="AQ31" i="2"/>
  <c r="BE309" i="1"/>
  <c r="AO76" i="2"/>
  <c r="AT52" i="2"/>
  <c r="AO81" i="2"/>
  <c r="AR476" i="1"/>
  <c r="AD517" i="1"/>
  <c r="BV21" i="2"/>
  <c r="AM587" i="1"/>
  <c r="CB66" i="2"/>
  <c r="BQ578" i="1"/>
  <c r="BL214" i="1"/>
  <c r="BK155" i="1"/>
  <c r="BK157" i="1" s="1"/>
  <c r="AN16" i="1"/>
  <c r="X175" i="2"/>
  <c r="K463" i="1"/>
  <c r="AQ520" i="1"/>
  <c r="AS520" i="1"/>
  <c r="CM138" i="1"/>
  <c r="AR500" i="1"/>
  <c r="AR144" i="1"/>
  <c r="CM144" i="1" s="1"/>
  <c r="O58" i="1"/>
  <c r="O68" i="1"/>
  <c r="AU31" i="2"/>
  <c r="BF568" i="1"/>
  <c r="AP81" i="2"/>
  <c r="AU83" i="2" s="1"/>
  <c r="BK315" i="1" s="1"/>
  <c r="AU52" i="2"/>
  <c r="AP76" i="2"/>
  <c r="BF309" i="1"/>
  <c r="BF313" i="1" s="1"/>
  <c r="CJ19" i="1"/>
  <c r="AC22" i="1"/>
  <c r="AC20" i="1"/>
  <c r="CJ20" i="1" s="1"/>
  <c r="CG263" i="1"/>
  <c r="N268" i="1"/>
  <c r="CG268" i="1" s="1"/>
  <c r="N270" i="1"/>
  <c r="K380" i="1"/>
  <c r="K54" i="1"/>
  <c r="Q57" i="7"/>
  <c r="R50" i="7"/>
  <c r="R57" i="7" s="1"/>
  <c r="Q95" i="7"/>
  <c r="CO281" i="1"/>
  <c r="BB282" i="1"/>
  <c r="CO282" i="1" s="1"/>
  <c r="BP216" i="1"/>
  <c r="AW653" i="1"/>
  <c r="AW655" i="1"/>
  <c r="AW657" i="1" s="1"/>
  <c r="AW658" i="1" s="1"/>
  <c r="M273" i="1"/>
  <c r="M274" i="1" s="1"/>
  <c r="M271" i="1"/>
  <c r="M281" i="1"/>
  <c r="M282" i="1" s="1"/>
  <c r="N157" i="1"/>
  <c r="CG157" i="1" s="1"/>
  <c r="CG148" i="1"/>
  <c r="AE516" i="1"/>
  <c r="T58" i="7"/>
  <c r="T63" i="7"/>
  <c r="T64" i="7" s="1"/>
  <c r="F21" i="5"/>
  <c r="CG19" i="1"/>
  <c r="N22" i="1"/>
  <c r="E15" i="5"/>
  <c r="BT605" i="1"/>
  <c r="BT593" i="1"/>
  <c r="BY592" i="1"/>
  <c r="BT599" i="1"/>
  <c r="T509" i="1"/>
  <c r="U509" i="1" s="1"/>
  <c r="CQ221" i="1"/>
  <c r="BM221" i="1"/>
  <c r="U507" i="1"/>
  <c r="V507" i="1" s="1"/>
  <c r="S138" i="1"/>
  <c r="BK187" i="1"/>
  <c r="BL187" i="1" s="1"/>
  <c r="BW576" i="1"/>
  <c r="BW311" i="1"/>
  <c r="BA653" i="1"/>
  <c r="BB652" i="1"/>
  <c r="BB653" i="1" s="1"/>
  <c r="BI425" i="1"/>
  <c r="AO480" i="1"/>
  <c r="AO469" i="1"/>
  <c r="AO471" i="1" s="1"/>
  <c r="AO478" i="1" s="1"/>
  <c r="J64" i="5"/>
  <c r="AV55" i="7"/>
  <c r="BI215" i="1"/>
  <c r="CR178" i="1"/>
  <c r="BR178" i="1"/>
  <c r="AJ521" i="1"/>
  <c r="AK521" i="1" s="1"/>
  <c r="AL521" i="1" s="1"/>
  <c r="AI514" i="1"/>
  <c r="AN514" i="1" s="1"/>
  <c r="AJ46" i="7"/>
  <c r="AI92" i="7"/>
  <c r="B103" i="2"/>
  <c r="CO273" i="1"/>
  <c r="AH129" i="1"/>
  <c r="BR319" i="1"/>
  <c r="BR318" i="1" s="1"/>
  <c r="BW320" i="1"/>
  <c r="BR321" i="1"/>
  <c r="AB339" i="1"/>
  <c r="AB348" i="1"/>
  <c r="AB349" i="1" s="1"/>
  <c r="AB337" i="1"/>
  <c r="CF19" i="1"/>
  <c r="I20" i="1"/>
  <c r="CF20" i="1" s="1"/>
  <c r="I22" i="1"/>
  <c r="AX540" i="1"/>
  <c r="AY540" i="1" s="1"/>
  <c r="AZ540" i="1" s="1"/>
  <c r="BA540" i="1" s="1"/>
  <c r="BB540" i="1"/>
  <c r="S40" i="1"/>
  <c r="CH40" i="1" s="1"/>
  <c r="CH37" i="1"/>
  <c r="S42" i="1"/>
  <c r="CR176" i="1"/>
  <c r="BR176" i="1"/>
  <c r="AX380" i="1"/>
  <c r="AX54" i="1"/>
  <c r="R434" i="1"/>
  <c r="M503" i="1"/>
  <c r="BG606" i="1"/>
  <c r="BG600" i="1"/>
  <c r="BS325" i="1"/>
  <c r="BM635" i="1"/>
  <c r="CO25" i="1"/>
  <c r="CO40" i="1"/>
  <c r="BL116" i="1"/>
  <c r="AR460" i="1"/>
  <c r="AN70" i="7"/>
  <c r="AO24" i="7"/>
  <c r="BJ218" i="1"/>
  <c r="BI449" i="1"/>
  <c r="BI141" i="1"/>
  <c r="R351" i="1"/>
  <c r="R49" i="1"/>
  <c r="R468" i="1"/>
  <c r="R43" i="1"/>
  <c r="CA62" i="2"/>
  <c r="BL577" i="1"/>
  <c r="BJ189" i="1"/>
  <c r="BJ127" i="1" s="1"/>
  <c r="AD519" i="1"/>
  <c r="AE519" i="1" s="1"/>
  <c r="AO60" i="7"/>
  <c r="AO61" i="7" s="1"/>
  <c r="BK206" i="1"/>
  <c r="BJ556" i="1"/>
  <c r="AO58" i="1"/>
  <c r="AO68" i="1"/>
  <c r="AN521" i="1"/>
  <c r="AM514" i="1"/>
  <c r="AT520" i="1"/>
  <c r="BC437" i="1"/>
  <c r="BG437" i="1" s="1"/>
  <c r="BG436" i="1" s="1"/>
  <c r="CF39" i="1" l="1"/>
  <c r="BS564" i="1"/>
  <c r="BT308" i="1"/>
  <c r="BF61" i="2"/>
  <c r="BJ61" i="2"/>
  <c r="BZ311" i="1" s="1"/>
  <c r="BU311" i="1"/>
  <c r="BB351" i="1"/>
  <c r="BB468" i="1"/>
  <c r="AV54" i="1"/>
  <c r="AV68" i="1" s="1"/>
  <c r="CA25" i="2"/>
  <c r="AR522" i="1"/>
  <c r="AQ522" i="1"/>
  <c r="BV260" i="1"/>
  <c r="BQ576" i="1"/>
  <c r="CK273" i="1"/>
  <c r="BF318" i="1"/>
  <c r="BF320" i="1" s="1"/>
  <c r="BK320" i="1" s="1"/>
  <c r="BF324" i="1"/>
  <c r="BF326" i="1" s="1"/>
  <c r="BK326" i="1" s="1"/>
  <c r="BQ254" i="1"/>
  <c r="AK35" i="1"/>
  <c r="AF34" i="1"/>
  <c r="N292" i="1"/>
  <c r="AY375" i="1"/>
  <c r="R25" i="1"/>
  <c r="N361" i="1"/>
  <c r="R33" i="1"/>
  <c r="R34" i="1" s="1"/>
  <c r="BT564" i="1"/>
  <c r="BS308" i="1"/>
  <c r="BH23" i="2"/>
  <c r="BL236" i="1"/>
  <c r="BL237" i="1" s="1"/>
  <c r="CQ237" i="1" s="1"/>
  <c r="BI24" i="2"/>
  <c r="BU308" i="1"/>
  <c r="CB61" i="2"/>
  <c r="BQ308" i="1"/>
  <c r="BW246" i="1"/>
  <c r="AV8" i="2"/>
  <c r="CA8" i="2" s="1"/>
  <c r="BQ311" i="1"/>
  <c r="BA62" i="2"/>
  <c r="BQ577" i="1" s="1"/>
  <c r="CB24" i="2"/>
  <c r="AX77" i="2"/>
  <c r="BN581" i="1" s="1"/>
  <c r="BF24" i="2"/>
  <c r="BK29" i="2" s="1"/>
  <c r="BI383" i="1"/>
  <c r="BI137" i="1" s="1"/>
  <c r="BI144" i="1" s="1"/>
  <c r="BJ24" i="2"/>
  <c r="BZ564" i="1" s="1"/>
  <c r="BI360" i="1"/>
  <c r="BI117" i="1" s="1"/>
  <c r="BF67" i="1"/>
  <c r="BF629" i="1" s="1"/>
  <c r="BF631" i="1" s="1"/>
  <c r="E44" i="5"/>
  <c r="E45" i="5" s="1"/>
  <c r="E36" i="5" s="1"/>
  <c r="CK29" i="1"/>
  <c r="BS605" i="1"/>
  <c r="BS635" i="1" s="1"/>
  <c r="BS636" i="1" s="1"/>
  <c r="AX86" i="2"/>
  <c r="AX87" i="2" s="1"/>
  <c r="BD322" i="1"/>
  <c r="P35" i="1"/>
  <c r="BR257" i="1"/>
  <c r="BR277" i="1"/>
  <c r="BR38" i="1" s="1"/>
  <c r="BR114" i="1" s="1"/>
  <c r="BO237" i="1"/>
  <c r="AO523" i="1"/>
  <c r="AM523" i="1"/>
  <c r="AR523" i="1" s="1"/>
  <c r="AP523" i="1"/>
  <c r="AV23" i="2"/>
  <c r="BL586" i="1"/>
  <c r="BH268" i="1"/>
  <c r="BO277" i="1"/>
  <c r="BO276" i="1" s="1"/>
  <c r="BF263" i="1"/>
  <c r="BF268" i="1" s="1"/>
  <c r="AS106" i="2"/>
  <c r="AS103" i="2"/>
  <c r="BO257" i="1"/>
  <c r="BG252" i="1"/>
  <c r="CP252" i="1" s="1"/>
  <c r="AS105" i="2"/>
  <c r="AS91" i="2"/>
  <c r="BI200" i="1"/>
  <c r="BI190" i="1"/>
  <c r="BI207" i="1"/>
  <c r="BR236" i="1"/>
  <c r="BR237" i="1" s="1"/>
  <c r="BQ564" i="1"/>
  <c r="BI175" i="1"/>
  <c r="BI208" i="1"/>
  <c r="BI25" i="1"/>
  <c r="AX92" i="2"/>
  <c r="BN16" i="1" s="1"/>
  <c r="CB29" i="2"/>
  <c r="BA25" i="2"/>
  <c r="CB25" i="2" s="1"/>
  <c r="BG8" i="2"/>
  <c r="BI15" i="1"/>
  <c r="BI13" i="1"/>
  <c r="BN580" i="1"/>
  <c r="AS104" i="2"/>
  <c r="AS108" i="2"/>
  <c r="BI20" i="1"/>
  <c r="AL78" i="7"/>
  <c r="AB511" i="1"/>
  <c r="X463" i="1"/>
  <c r="CH132" i="1"/>
  <c r="S460" i="1"/>
  <c r="S476" i="1"/>
  <c r="AK29" i="7"/>
  <c r="AK75" i="7" s="1"/>
  <c r="AJ75" i="7"/>
  <c r="I384" i="1"/>
  <c r="CF384" i="1" s="1"/>
  <c r="CF383" i="1"/>
  <c r="AS5" i="7"/>
  <c r="AQ19" i="7"/>
  <c r="AC63" i="7"/>
  <c r="AC64" i="7" s="1"/>
  <c r="AC67" i="7"/>
  <c r="AC104" i="7" s="1"/>
  <c r="AM77" i="7"/>
  <c r="AN31" i="7"/>
  <c r="AM57" i="7"/>
  <c r="BS324" i="1"/>
  <c r="BS593" i="1"/>
  <c r="BP255" i="1"/>
  <c r="Y175" i="2"/>
  <c r="N324" i="1"/>
  <c r="CG324" i="1" s="1"/>
  <c r="N318" i="1"/>
  <c r="CG318" i="1" s="1"/>
  <c r="L432" i="1"/>
  <c r="L434" i="1" s="1"/>
  <c r="M430" i="1" s="1"/>
  <c r="M432" i="1" s="1"/>
  <c r="N432" i="1" s="1"/>
  <c r="AI539" i="1"/>
  <c r="AJ541" i="1"/>
  <c r="AR19" i="7"/>
  <c r="AR67" i="7" s="1"/>
  <c r="AT5" i="7"/>
  <c r="AT19" i="7" s="1"/>
  <c r="AT67" i="7" s="1"/>
  <c r="BK209" i="1"/>
  <c r="BJ142" i="1"/>
  <c r="BM327" i="1"/>
  <c r="BM325" i="1"/>
  <c r="BM324" i="1" s="1"/>
  <c r="BX254" i="1"/>
  <c r="BS255" i="1"/>
  <c r="BS253" i="1"/>
  <c r="BS252" i="1" s="1"/>
  <c r="BS251" i="1" s="1"/>
  <c r="AE12" i="7"/>
  <c r="AD19" i="7"/>
  <c r="BX326" i="1"/>
  <c r="BX325" i="1" s="1"/>
  <c r="AB510" i="1"/>
  <c r="BX592" i="1"/>
  <c r="BX605" i="1" s="1"/>
  <c r="BP253" i="1"/>
  <c r="BP252" i="1" s="1"/>
  <c r="BP251" i="1" s="1"/>
  <c r="AH30" i="1"/>
  <c r="CK30" i="1" s="1"/>
  <c r="BB342" i="1"/>
  <c r="AO587" i="1"/>
  <c r="N306" i="1"/>
  <c r="N299" i="1"/>
  <c r="N336" i="1"/>
  <c r="BN327" i="1"/>
  <c r="AO522" i="1"/>
  <c r="AT522" i="1" s="1"/>
  <c r="AP522" i="1"/>
  <c r="AR541" i="1"/>
  <c r="AM539" i="1"/>
  <c r="AN541" i="1"/>
  <c r="S399" i="1"/>
  <c r="S401" i="1" s="1"/>
  <c r="AI90" i="7"/>
  <c r="AJ44" i="7"/>
  <c r="AH101" i="7"/>
  <c r="AI102" i="7"/>
  <c r="CG127" i="1"/>
  <c r="N460" i="1"/>
  <c r="N476" i="1"/>
  <c r="AW520" i="1"/>
  <c r="AS522" i="1"/>
  <c r="AH457" i="1"/>
  <c r="Y153" i="2"/>
  <c r="Y178" i="2"/>
  <c r="S314" i="1"/>
  <c r="CH314" i="1" s="1"/>
  <c r="N314" i="1"/>
  <c r="CG314" i="1" s="1"/>
  <c r="N332" i="1"/>
  <c r="CG332" i="1" s="1"/>
  <c r="BN325" i="1"/>
  <c r="BN324" i="1" s="1"/>
  <c r="BR326" i="1"/>
  <c r="S408" i="1"/>
  <c r="AP97" i="7"/>
  <c r="AQ97" i="7" s="1"/>
  <c r="AQ52" i="7"/>
  <c r="AR52" i="7" s="1"/>
  <c r="W138" i="7"/>
  <c r="W139" i="7" s="1"/>
  <c r="X138" i="7"/>
  <c r="V139" i="7"/>
  <c r="AO45" i="7"/>
  <c r="AN91" i="7"/>
  <c r="N485" i="1"/>
  <c r="CG151" i="1"/>
  <c r="CJ127" i="1"/>
  <c r="B15" i="5" s="1"/>
  <c r="B21" i="5" s="1"/>
  <c r="AC460" i="1"/>
  <c r="AC476" i="1"/>
  <c r="AI39" i="7"/>
  <c r="AH85" i="7"/>
  <c r="AH57" i="7"/>
  <c r="AL58" i="7"/>
  <c r="AL63" i="7"/>
  <c r="AL64" i="7" s="1"/>
  <c r="BD54" i="1"/>
  <c r="BD58" i="1" s="1"/>
  <c r="CK42" i="1"/>
  <c r="C5" i="5" s="1"/>
  <c r="C8" i="5" s="1"/>
  <c r="BC81" i="2"/>
  <c r="BH83" i="2" s="1"/>
  <c r="BD35" i="1"/>
  <c r="F380" i="1"/>
  <c r="AE380" i="1"/>
  <c r="AE480" i="1" s="1"/>
  <c r="AF464" i="1"/>
  <c r="AZ619" i="1"/>
  <c r="AZ621" i="1" s="1"/>
  <c r="AZ626" i="1" s="1"/>
  <c r="AZ632" i="1" s="1"/>
  <c r="BB611" i="1"/>
  <c r="BB612" i="1" s="1"/>
  <c r="AW340" i="1"/>
  <c r="CN340" i="1" s="1"/>
  <c r="AJ464" i="1"/>
  <c r="BL246" i="1"/>
  <c r="CQ246" i="1" s="1"/>
  <c r="BB49" i="1"/>
  <c r="CO49" i="1" s="1"/>
  <c r="AQ587" i="1"/>
  <c r="AA153" i="2"/>
  <c r="AH351" i="1"/>
  <c r="AH49" i="1"/>
  <c r="AH375" i="1" s="1"/>
  <c r="AK464" i="1"/>
  <c r="BH332" i="1"/>
  <c r="AH33" i="1"/>
  <c r="AH43" i="1"/>
  <c r="CK43" i="1" s="1"/>
  <c r="AW342" i="1"/>
  <c r="BH52" i="2"/>
  <c r="AY8" i="2"/>
  <c r="BH347" i="1"/>
  <c r="BH646" i="1"/>
  <c r="BH647" i="1" s="1"/>
  <c r="R40" i="2"/>
  <c r="BU40" i="2" s="1"/>
  <c r="AS53" i="7"/>
  <c r="AR98" i="7"/>
  <c r="AR71" i="7"/>
  <c r="AS26" i="7"/>
  <c r="AQ25" i="7"/>
  <c r="AP72" i="7"/>
  <c r="BN313" i="1"/>
  <c r="BN347" i="1" s="1"/>
  <c r="BS309" i="1"/>
  <c r="BH31" i="2"/>
  <c r="BS568" i="1"/>
  <c r="AX96" i="2"/>
  <c r="AX99" i="2"/>
  <c r="BC83" i="2"/>
  <c r="BS315" i="1" s="1"/>
  <c r="BH12" i="1"/>
  <c r="BH383" i="1" s="1"/>
  <c r="AX90" i="2"/>
  <c r="AX105" i="2" s="1"/>
  <c r="AX82" i="2"/>
  <c r="BN314" i="1" s="1"/>
  <c r="AX98" i="2"/>
  <c r="BS319" i="1"/>
  <c r="BS318" i="1"/>
  <c r="BS321" i="1"/>
  <c r="BX320" i="1"/>
  <c r="BL251" i="1"/>
  <c r="BL252" i="1" s="1"/>
  <c r="CQ252" i="1" s="1"/>
  <c r="BY260" i="1"/>
  <c r="BT261" i="1"/>
  <c r="BT259" i="1"/>
  <c r="BT258" i="1" s="1"/>
  <c r="BT257" i="1" s="1"/>
  <c r="BA464" i="1"/>
  <c r="AV464" i="1"/>
  <c r="BF62" i="2"/>
  <c r="BV577" i="1" s="1"/>
  <c r="BK66" i="2"/>
  <c r="CA578" i="1" s="1"/>
  <c r="CC61" i="2"/>
  <c r="AI513" i="1"/>
  <c r="Y483" i="1"/>
  <c r="Y487" i="1" s="1"/>
  <c r="AE68" i="1"/>
  <c r="AE58" i="1"/>
  <c r="AW500" i="1"/>
  <c r="AW527" i="1" s="1"/>
  <c r="CN383" i="1"/>
  <c r="AW384" i="1"/>
  <c r="CN384" i="1" s="1"/>
  <c r="AW458" i="1"/>
  <c r="CL383" i="1"/>
  <c r="AM458" i="1"/>
  <c r="AM500" i="1"/>
  <c r="AM525" i="1" s="1"/>
  <c r="P41" i="2"/>
  <c r="P138" i="2" s="1"/>
  <c r="P145" i="2" s="1"/>
  <c r="N334" i="1"/>
  <c r="CG334" i="1" s="1"/>
  <c r="CG329" i="1"/>
  <c r="AP534" i="1"/>
  <c r="AQ536" i="1"/>
  <c r="AQ534" i="1" s="1"/>
  <c r="C59" i="1"/>
  <c r="C69" i="1"/>
  <c r="C113" i="1"/>
  <c r="C134" i="1" s="1"/>
  <c r="C161" i="1" s="1"/>
  <c r="C164" i="1" s="1"/>
  <c r="C173" i="1" s="1"/>
  <c r="AX534" i="1"/>
  <c r="AY536" i="1"/>
  <c r="AU536" i="1"/>
  <c r="AT534" i="1"/>
  <c r="BC536" i="1"/>
  <c r="BG536" i="1"/>
  <c r="BB534" i="1"/>
  <c r="BI119" i="1"/>
  <c r="BJ188" i="1"/>
  <c r="AO20" i="7"/>
  <c r="BK198" i="1"/>
  <c r="BK424" i="1" s="1"/>
  <c r="BK425" i="1" s="1"/>
  <c r="G351" i="1"/>
  <c r="R508" i="1"/>
  <c r="T508" i="1" s="1"/>
  <c r="K80" i="2"/>
  <c r="K41" i="2"/>
  <c r="K75" i="2"/>
  <c r="K85" i="2" s="1"/>
  <c r="AA14" i="1" s="1"/>
  <c r="I270" i="1"/>
  <c r="I268" i="1"/>
  <c r="CF268" i="1" s="1"/>
  <c r="CF263" i="1"/>
  <c r="BV576" i="1"/>
  <c r="BV311" i="1"/>
  <c r="K35" i="1"/>
  <c r="AM513" i="1"/>
  <c r="AA469" i="1"/>
  <c r="AA471" i="1" s="1"/>
  <c r="AA478" i="1" s="1"/>
  <c r="AA483" i="1" s="1"/>
  <c r="AA487" i="1" s="1"/>
  <c r="U35" i="1"/>
  <c r="W432" i="1"/>
  <c r="X432" i="1" s="1"/>
  <c r="CJ383" i="1"/>
  <c r="AC458" i="1"/>
  <c r="AA68" i="1"/>
  <c r="AA58" i="1"/>
  <c r="S30" i="1"/>
  <c r="CH30" i="1" s="1"/>
  <c r="CH29" i="1"/>
  <c r="X31" i="1"/>
  <c r="CI31" i="1" s="1"/>
  <c r="S457" i="1"/>
  <c r="CH281" i="1"/>
  <c r="S282" i="1"/>
  <c r="CH282" i="1" s="1"/>
  <c r="AY483" i="1"/>
  <c r="AY487" i="1" s="1"/>
  <c r="D113" i="1"/>
  <c r="D59" i="1"/>
  <c r="CE58" i="1"/>
  <c r="D69" i="1"/>
  <c r="CE69" i="1" s="1"/>
  <c r="D447" i="1"/>
  <c r="D450" i="1" s="1"/>
  <c r="D452" i="1" s="1"/>
  <c r="I444" i="1" s="1"/>
  <c r="AM431" i="1"/>
  <c r="CL22" i="1"/>
  <c r="AM27" i="1"/>
  <c r="CL27" i="1" s="1"/>
  <c r="P75" i="2"/>
  <c r="P85" i="2" s="1"/>
  <c r="P44" i="2"/>
  <c r="P80" i="2"/>
  <c r="S415" i="1"/>
  <c r="CH273" i="1"/>
  <c r="S274" i="1"/>
  <c r="CH274" i="1" s="1"/>
  <c r="AQ380" i="1"/>
  <c r="AQ54" i="1"/>
  <c r="U483" i="1"/>
  <c r="U487" i="1" s="1"/>
  <c r="Y447" i="1"/>
  <c r="Y450" i="1" s="1"/>
  <c r="Y69" i="1"/>
  <c r="Y113" i="1"/>
  <c r="Y134" i="1" s="1"/>
  <c r="Y161" i="1" s="1"/>
  <c r="Y59" i="1"/>
  <c r="V469" i="1"/>
  <c r="V471" i="1" s="1"/>
  <c r="V478" i="1" s="1"/>
  <c r="V480" i="1"/>
  <c r="BO197" i="1"/>
  <c r="BN131" i="1"/>
  <c r="AY61" i="1"/>
  <c r="AY71" i="1" s="1"/>
  <c r="AY544" i="1" s="1"/>
  <c r="AY69" i="1"/>
  <c r="AY59" i="1"/>
  <c r="AY70" i="1" s="1"/>
  <c r="AY447" i="1"/>
  <c r="AY113" i="1"/>
  <c r="AY134" i="1" s="1"/>
  <c r="AY161" i="1" s="1"/>
  <c r="P68" i="1"/>
  <c r="P58" i="1"/>
  <c r="P469" i="1"/>
  <c r="P471" i="1" s="1"/>
  <c r="P478" i="1" s="1"/>
  <c r="P483" i="1" s="1"/>
  <c r="P487" i="1" s="1"/>
  <c r="V58" i="1"/>
  <c r="V68" i="1"/>
  <c r="F68" i="1"/>
  <c r="F58" i="1"/>
  <c r="L43" i="1"/>
  <c r="L351" i="1"/>
  <c r="L468" i="1"/>
  <c r="L49" i="1"/>
  <c r="AQ473" i="1"/>
  <c r="AQ474" i="1" s="1"/>
  <c r="AR124" i="1"/>
  <c r="CH24" i="1"/>
  <c r="S27" i="1"/>
  <c r="S25" i="1"/>
  <c r="CH25" i="1" s="1"/>
  <c r="S33" i="1"/>
  <c r="CG336" i="1"/>
  <c r="N337" i="1"/>
  <c r="CG337" i="1" s="1"/>
  <c r="N339" i="1"/>
  <c r="N348" i="1"/>
  <c r="N349" i="1" s="1"/>
  <c r="U69" i="1"/>
  <c r="U447" i="1"/>
  <c r="U450" i="1" s="1"/>
  <c r="U113" i="1"/>
  <c r="U134" i="1" s="1"/>
  <c r="U161" i="1" s="1"/>
  <c r="U59" i="1"/>
  <c r="Z58" i="1"/>
  <c r="Z68" i="1"/>
  <c r="BT524" i="1"/>
  <c r="BR524" i="1"/>
  <c r="BQ524" i="1"/>
  <c r="BS524" i="1"/>
  <c r="L31" i="1"/>
  <c r="L30" i="1"/>
  <c r="Q31" i="1"/>
  <c r="L33" i="1"/>
  <c r="L457" i="1"/>
  <c r="L463" i="1" s="1"/>
  <c r="G380" i="1"/>
  <c r="G54" i="1"/>
  <c r="BW597" i="1"/>
  <c r="CA597" i="1" s="1"/>
  <c r="BV597" i="1"/>
  <c r="U506" i="1"/>
  <c r="V506" i="1" s="1"/>
  <c r="W506" i="1" s="1"/>
  <c r="O483" i="1"/>
  <c r="O487" i="1" s="1"/>
  <c r="BY346" i="1"/>
  <c r="CA346" i="1" s="1"/>
  <c r="CA279" i="1"/>
  <c r="Z469" i="1"/>
  <c r="Z471" i="1" s="1"/>
  <c r="Z478" i="1" s="1"/>
  <c r="Z480" i="1"/>
  <c r="T59" i="1"/>
  <c r="T447" i="1"/>
  <c r="T450" i="1" s="1"/>
  <c r="T69" i="1"/>
  <c r="T113" i="1"/>
  <c r="T134" i="1" s="1"/>
  <c r="T161" i="1" s="1"/>
  <c r="BP524" i="1"/>
  <c r="AL473" i="1"/>
  <c r="AL474" i="1" s="1"/>
  <c r="AM124" i="1"/>
  <c r="E113" i="1"/>
  <c r="E134" i="1" s="1"/>
  <c r="E161" i="1" s="1"/>
  <c r="E447" i="1"/>
  <c r="E450" i="1" s="1"/>
  <c r="E59" i="1"/>
  <c r="E69" i="1"/>
  <c r="W380" i="1"/>
  <c r="W54" i="1"/>
  <c r="T483" i="1"/>
  <c r="T487" i="1" s="1"/>
  <c r="X43" i="1"/>
  <c r="CI43" i="1" s="1"/>
  <c r="CI42" i="1"/>
  <c r="X49" i="1"/>
  <c r="X351" i="1"/>
  <c r="X468" i="1"/>
  <c r="N365" i="1"/>
  <c r="N372" i="1"/>
  <c r="N18" i="1"/>
  <c r="CG18" i="1" s="1"/>
  <c r="N13" i="1"/>
  <c r="CG13" i="1" s="1"/>
  <c r="N369" i="1"/>
  <c r="N367" i="1"/>
  <c r="N25" i="1"/>
  <c r="CG25" i="1" s="1"/>
  <c r="N373" i="1"/>
  <c r="S13" i="1"/>
  <c r="CH13" i="1" s="1"/>
  <c r="N368" i="1"/>
  <c r="N370" i="1"/>
  <c r="N384" i="1"/>
  <c r="CG384" i="1" s="1"/>
  <c r="N371" i="1"/>
  <c r="CG12" i="1"/>
  <c r="J531" i="1"/>
  <c r="K502" i="1"/>
  <c r="L502" i="1" s="1"/>
  <c r="L531" i="1" s="1"/>
  <c r="S340" i="1"/>
  <c r="CH340" i="1" s="1"/>
  <c r="CH339" i="1"/>
  <c r="BI17" i="1"/>
  <c r="P505" i="1"/>
  <c r="Q505" i="1" s="1"/>
  <c r="Y189" i="2"/>
  <c r="AJ518" i="1"/>
  <c r="BJ270" i="1"/>
  <c r="BJ273" i="1" s="1"/>
  <c r="BJ274" i="1" s="1"/>
  <c r="BJ268" i="1"/>
  <c r="AZ464" i="1"/>
  <c r="BH649" i="1"/>
  <c r="Z175" i="2"/>
  <c r="AK447" i="1"/>
  <c r="AK113" i="1"/>
  <c r="AK134" i="1" s="1"/>
  <c r="AK161" i="1" s="1"/>
  <c r="AK69" i="1"/>
  <c r="AK59" i="1"/>
  <c r="AK483" i="1"/>
  <c r="AK487" i="1" s="1"/>
  <c r="AZ54" i="1"/>
  <c r="AZ380" i="1"/>
  <c r="BI652" i="1"/>
  <c r="BI329" i="1"/>
  <c r="BO253" i="1"/>
  <c r="BT254" i="1"/>
  <c r="BV254" i="1" s="1"/>
  <c r="BO255" i="1"/>
  <c r="BO252" i="1"/>
  <c r="BO251" i="1" s="1"/>
  <c r="AD480" i="1"/>
  <c r="AD469" i="1"/>
  <c r="AD471" i="1" s="1"/>
  <c r="AD478" i="1" s="1"/>
  <c r="BH61" i="2"/>
  <c r="BS311" i="1"/>
  <c r="BS576" i="1"/>
  <c r="BC76" i="2"/>
  <c r="AI34" i="1"/>
  <c r="AI35" i="1"/>
  <c r="AI380" i="1"/>
  <c r="AI54" i="1"/>
  <c r="AD68" i="1"/>
  <c r="AD58" i="1"/>
  <c r="BH323" i="1"/>
  <c r="BH350" i="1"/>
  <c r="AR100" i="2"/>
  <c r="BH580" i="1"/>
  <c r="AR77" i="2"/>
  <c r="BH581" i="1" s="1"/>
  <c r="AR86" i="2"/>
  <c r="AZ34" i="1"/>
  <c r="BB31" i="2"/>
  <c r="BM309" i="1"/>
  <c r="BM313" i="1" s="1"/>
  <c r="BB52" i="2"/>
  <c r="BM568" i="1"/>
  <c r="AW81" i="2"/>
  <c r="AW76" i="2"/>
  <c r="AO16" i="1"/>
  <c r="K8" i="4"/>
  <c r="L8" i="4" s="1"/>
  <c r="AR90" i="2"/>
  <c r="AR82" i="2"/>
  <c r="BH314" i="1" s="1"/>
  <c r="AR98" i="2"/>
  <c r="AR99" i="2"/>
  <c r="AR96" i="2"/>
  <c r="AR97" i="2"/>
  <c r="AW83" i="2"/>
  <c r="BM270" i="1"/>
  <c r="BM268" i="1"/>
  <c r="AS464" i="1"/>
  <c r="AN464" i="1"/>
  <c r="AG469" i="1"/>
  <c r="AG471" i="1" s="1"/>
  <c r="AG480" i="1"/>
  <c r="AN380" i="1"/>
  <c r="AN54" i="1"/>
  <c r="AS34" i="1"/>
  <c r="AS35" i="1"/>
  <c r="BA380" i="1"/>
  <c r="BA54" i="1"/>
  <c r="AG478" i="1"/>
  <c r="BM387" i="1"/>
  <c r="BM385" i="1"/>
  <c r="BM384" i="1" s="1"/>
  <c r="BR386" i="1"/>
  <c r="BW386" i="1" s="1"/>
  <c r="AU54" i="1"/>
  <c r="AU380" i="1"/>
  <c r="AY549" i="1" s="1"/>
  <c r="AS380" i="1"/>
  <c r="AS50" i="1" s="1"/>
  <c r="AW50" i="1" s="1"/>
  <c r="AS54" i="1"/>
  <c r="BR252" i="1"/>
  <c r="BR251" i="1" s="1"/>
  <c r="BR255" i="1"/>
  <c r="BR253" i="1"/>
  <c r="BW254" i="1"/>
  <c r="BC380" i="1"/>
  <c r="BC54" i="1"/>
  <c r="BH37" i="1"/>
  <c r="BH114" i="1"/>
  <c r="BC34" i="1"/>
  <c r="BC322" i="1" s="1"/>
  <c r="BC35" i="1"/>
  <c r="AN34" i="1"/>
  <c r="AN35" i="1"/>
  <c r="B19" i="5"/>
  <c r="B18" i="5"/>
  <c r="BA34" i="1"/>
  <c r="AG58" i="1"/>
  <c r="AG68" i="1"/>
  <c r="AP464" i="1"/>
  <c r="AU464" i="1"/>
  <c r="Z189" i="2"/>
  <c r="AP16" i="1"/>
  <c r="E8" i="4"/>
  <c r="Z92" i="2"/>
  <c r="AP587" i="1"/>
  <c r="BZ254" i="1"/>
  <c r="BU253" i="1"/>
  <c r="BU252" i="1" s="1"/>
  <c r="BU255" i="1"/>
  <c r="AR49" i="1"/>
  <c r="AP54" i="1"/>
  <c r="AP380" i="1"/>
  <c r="CM40" i="1"/>
  <c r="AY667" i="1"/>
  <c r="AY668" i="1" s="1"/>
  <c r="AY669" i="1" s="1"/>
  <c r="AX667" i="1"/>
  <c r="AX668" i="1" s="1"/>
  <c r="AX669" i="1" s="1"/>
  <c r="AR557" i="1"/>
  <c r="AR559" i="1" s="1"/>
  <c r="CM29" i="1"/>
  <c r="AR30" i="1"/>
  <c r="CM30" i="1" s="1"/>
  <c r="AR457" i="1"/>
  <c r="AR463" i="1" s="1"/>
  <c r="BZ233" i="1"/>
  <c r="BZ234" i="1" s="1"/>
  <c r="BK4" i="2"/>
  <c r="Q142" i="2"/>
  <c r="Q145" i="2"/>
  <c r="Q147" i="2"/>
  <c r="Q148" i="2" s="1"/>
  <c r="AR468" i="1"/>
  <c r="CM42" i="1"/>
  <c r="E5" i="5" s="1"/>
  <c r="E8" i="5" s="1"/>
  <c r="AR43" i="1"/>
  <c r="CM43" i="1" s="1"/>
  <c r="AR494" i="1"/>
  <c r="AF58" i="1"/>
  <c r="AF68" i="1"/>
  <c r="AB107" i="2"/>
  <c r="BW107" i="2" s="1"/>
  <c r="AB106" i="2"/>
  <c r="BW106" i="2" s="1"/>
  <c r="AB104" i="2"/>
  <c r="BW104" i="2" s="1"/>
  <c r="BW86" i="2"/>
  <c r="AB105" i="2"/>
  <c r="BW105" i="2" s="1"/>
  <c r="AG87" i="2"/>
  <c r="BX87" i="2" s="1"/>
  <c r="AY464" i="1"/>
  <c r="AT464" i="1"/>
  <c r="AV375" i="1"/>
  <c r="AV469" i="1"/>
  <c r="AV471" i="1" s="1"/>
  <c r="AV478" i="1" s="1"/>
  <c r="AV480" i="1"/>
  <c r="AR340" i="1"/>
  <c r="CM340" i="1" s="1"/>
  <c r="CM339" i="1"/>
  <c r="AW43" i="1"/>
  <c r="CN43" i="1" s="1"/>
  <c r="AW468" i="1"/>
  <c r="CN42" i="1"/>
  <c r="F5" i="5" s="1"/>
  <c r="G7" i="5" s="1"/>
  <c r="AW351" i="1"/>
  <c r="AU35" i="1"/>
  <c r="AP34" i="1"/>
  <c r="AP35" i="1"/>
  <c r="AR33" i="1"/>
  <c r="AW282" i="1"/>
  <c r="CN282" i="1" s="1"/>
  <c r="CN281" i="1"/>
  <c r="CN273" i="1"/>
  <c r="AW274" i="1"/>
  <c r="CN274" i="1" s="1"/>
  <c r="CR233" i="1"/>
  <c r="BQ234" i="1"/>
  <c r="CR234" i="1" s="1"/>
  <c r="AF480" i="1"/>
  <c r="AF469" i="1"/>
  <c r="AF471" i="1" s="1"/>
  <c r="AF478" i="1" s="1"/>
  <c r="AR586" i="1"/>
  <c r="BW17" i="2"/>
  <c r="AB23" i="2"/>
  <c r="AB103" i="2"/>
  <c r="BW103" i="2" s="1"/>
  <c r="BW7" i="2"/>
  <c r="AB8" i="2"/>
  <c r="BW8" i="2" s="1"/>
  <c r="AG8" i="2"/>
  <c r="BX8" i="2" s="1"/>
  <c r="CC4" i="2"/>
  <c r="BF5" i="2"/>
  <c r="CC5" i="2" s="1"/>
  <c r="BV233" i="1"/>
  <c r="AW49" i="1"/>
  <c r="AT54" i="1"/>
  <c r="AT380" i="1"/>
  <c r="V41" i="2"/>
  <c r="W41" i="2" s="1"/>
  <c r="V42" i="2"/>
  <c r="AA32" i="2" s="1"/>
  <c r="W40" i="2"/>
  <c r="BU42" i="2"/>
  <c r="R44" i="2"/>
  <c r="BU44" i="2" s="1"/>
  <c r="R75" i="2"/>
  <c r="AW586" i="1"/>
  <c r="AG23" i="2"/>
  <c r="AG21" i="2"/>
  <c r="BX17" i="2"/>
  <c r="AR258" i="1"/>
  <c r="CM258" i="1" s="1"/>
  <c r="AR278" i="1"/>
  <c r="CM245" i="1"/>
  <c r="AR252" i="1"/>
  <c r="CM252" i="1" s="1"/>
  <c r="AR254" i="1"/>
  <c r="CM254" i="1" s="1"/>
  <c r="AR270" i="1"/>
  <c r="AR246" i="1"/>
  <c r="CM246" i="1" s="1"/>
  <c r="AW246" i="1"/>
  <c r="CN246" i="1" s="1"/>
  <c r="BW90" i="2"/>
  <c r="AG91" i="2"/>
  <c r="BX91" i="2" s="1"/>
  <c r="AT34" i="1"/>
  <c r="AT35" i="1"/>
  <c r="AU587" i="1"/>
  <c r="AE92" i="2"/>
  <c r="AE52" i="2"/>
  <c r="F18" i="5"/>
  <c r="F19" i="5"/>
  <c r="CN29" i="1"/>
  <c r="AW33" i="1"/>
  <c r="AW30" i="1"/>
  <c r="CN30" i="1" s="1"/>
  <c r="AW557" i="1"/>
  <c r="AW559" i="1" s="1"/>
  <c r="AW457" i="1"/>
  <c r="AW31" i="1"/>
  <c r="CN31" i="1" s="1"/>
  <c r="E19" i="5"/>
  <c r="E18" i="5"/>
  <c r="Z153" i="2"/>
  <c r="BS385" i="1"/>
  <c r="BS387" i="1"/>
  <c r="BS384" i="1"/>
  <c r="BD469" i="1"/>
  <c r="BD471" i="1" s="1"/>
  <c r="BD478" i="1" s="1"/>
  <c r="BD480" i="1"/>
  <c r="BD375" i="1"/>
  <c r="AJ480" i="1"/>
  <c r="AJ469" i="1"/>
  <c r="AJ471" i="1" s="1"/>
  <c r="AJ478" i="1" s="1"/>
  <c r="J58" i="1"/>
  <c r="J68" i="1"/>
  <c r="AX522" i="1"/>
  <c r="CG37" i="1"/>
  <c r="N40" i="1"/>
  <c r="CG40" i="1" s="1"/>
  <c r="AJ68" i="1"/>
  <c r="AJ58" i="1"/>
  <c r="J480" i="1"/>
  <c r="J469" i="1"/>
  <c r="J471" i="1" s="1"/>
  <c r="J478" i="1" s="1"/>
  <c r="BU259" i="1"/>
  <c r="BU258" i="1" s="1"/>
  <c r="BU261" i="1"/>
  <c r="BZ260" i="1"/>
  <c r="BW261" i="1"/>
  <c r="BW259" i="1"/>
  <c r="BW258" i="1"/>
  <c r="BW257" i="1" s="1"/>
  <c r="BN438" i="1"/>
  <c r="BM437" i="1"/>
  <c r="O503" i="1"/>
  <c r="BG635" i="1"/>
  <c r="BG636" i="1" s="1"/>
  <c r="AX520" i="1"/>
  <c r="R505" i="1"/>
  <c r="AY522" i="1"/>
  <c r="BX564" i="1"/>
  <c r="BX308" i="1"/>
  <c r="AY612" i="1"/>
  <c r="AY619" i="1"/>
  <c r="AY621" i="1" s="1"/>
  <c r="AY626" i="1" s="1"/>
  <c r="AY632" i="1" s="1"/>
  <c r="BL276" i="1"/>
  <c r="CQ276" i="1" s="1"/>
  <c r="BL606" i="1"/>
  <c r="BN263" i="1"/>
  <c r="BY245" i="1"/>
  <c r="BY585" i="1"/>
  <c r="BI7" i="2"/>
  <c r="BW276" i="1"/>
  <c r="BW38" i="1"/>
  <c r="CP246" i="1"/>
  <c r="AZ8" i="2"/>
  <c r="BP236" i="1"/>
  <c r="BP237" i="1" s="1"/>
  <c r="BT635" i="1"/>
  <c r="BT636" i="1" s="1"/>
  <c r="BI114" i="1"/>
  <c r="BI37" i="1"/>
  <c r="BN38" i="1"/>
  <c r="BN276" i="1"/>
  <c r="BD8" i="2"/>
  <c r="BT236" i="1"/>
  <c r="BT237" i="1" s="1"/>
  <c r="BL257" i="1"/>
  <c r="BK263" i="1"/>
  <c r="BP246" i="1"/>
  <c r="BP277" i="1"/>
  <c r="BP276" i="1" s="1"/>
  <c r="BP257" i="1"/>
  <c r="BC8" i="2"/>
  <c r="BS236" i="1"/>
  <c r="BS237" i="1" s="1"/>
  <c r="BL600" i="1"/>
  <c r="BT277" i="1"/>
  <c r="BT276" i="1" s="1"/>
  <c r="BT246" i="1"/>
  <c r="BI270" i="1"/>
  <c r="BI268" i="1"/>
  <c r="BS277" i="1"/>
  <c r="BS257" i="1"/>
  <c r="BS246" i="1"/>
  <c r="BG258" i="1"/>
  <c r="CP257" i="1"/>
  <c r="BG263" i="1"/>
  <c r="BL277" i="1"/>
  <c r="BL278" i="1" s="1"/>
  <c r="BG278" i="1"/>
  <c r="BF350" i="1"/>
  <c r="BF21" i="2"/>
  <c r="BA17" i="2"/>
  <c r="CB16" i="2"/>
  <c r="BA7" i="2"/>
  <c r="BQ585" i="1"/>
  <c r="BQ245" i="1"/>
  <c r="BJ16" i="2"/>
  <c r="BK16" i="2" s="1"/>
  <c r="BU245" i="1"/>
  <c r="BU585" i="1"/>
  <c r="BE7" i="2"/>
  <c r="BJ23" i="2"/>
  <c r="BF16" i="2"/>
  <c r="BH7" i="2"/>
  <c r="BX585" i="1"/>
  <c r="BX245" i="1"/>
  <c r="CP236" i="1"/>
  <c r="BG237" i="1"/>
  <c r="CP237" i="1" s="1"/>
  <c r="E37" i="5"/>
  <c r="AO59" i="1"/>
  <c r="AO447" i="1"/>
  <c r="AO113" i="1"/>
  <c r="AO69" i="1"/>
  <c r="BK556" i="1"/>
  <c r="BL206" i="1"/>
  <c r="AP60" i="7"/>
  <c r="AP61" i="7" s="1"/>
  <c r="AF519" i="1"/>
  <c r="AG519" i="1" s="1"/>
  <c r="BK218" i="1"/>
  <c r="BJ449" i="1"/>
  <c r="AX480" i="1"/>
  <c r="AX375" i="1"/>
  <c r="AX469" i="1"/>
  <c r="AX471" i="1" s="1"/>
  <c r="AX478" i="1" s="1"/>
  <c r="AB340" i="1"/>
  <c r="AG342" i="1"/>
  <c r="CA68" i="2"/>
  <c r="BS178" i="1"/>
  <c r="AW55" i="7"/>
  <c r="AO483" i="1"/>
  <c r="AO487" i="1" s="1"/>
  <c r="BM187" i="1"/>
  <c r="CQ187" i="1"/>
  <c r="BN221" i="1"/>
  <c r="CG22" i="1"/>
  <c r="N27" i="1"/>
  <c r="N29" i="1"/>
  <c r="N42" i="1"/>
  <c r="BY564" i="1"/>
  <c r="BY308" i="1"/>
  <c r="Q58" i="7"/>
  <c r="Q63" i="7"/>
  <c r="Q64" i="7" s="1"/>
  <c r="AP86" i="2"/>
  <c r="AP77" i="2"/>
  <c r="BF581" i="1" s="1"/>
  <c r="BF580" i="1"/>
  <c r="AP100" i="2"/>
  <c r="AU81" i="2"/>
  <c r="AZ83" i="2" s="1"/>
  <c r="BP315" i="1" s="1"/>
  <c r="BK309" i="1"/>
  <c r="BK313" i="1" s="1"/>
  <c r="BK568" i="1"/>
  <c r="AZ31" i="2"/>
  <c r="AZ52" i="2"/>
  <c r="AU76" i="2"/>
  <c r="AR525" i="1"/>
  <c r="AW526" i="1"/>
  <c r="BB526" i="1" s="1"/>
  <c r="AY520" i="1"/>
  <c r="BE580" i="1"/>
  <c r="AO77" i="2"/>
  <c r="BE581" i="1" s="1"/>
  <c r="AO100" i="2"/>
  <c r="AO86" i="2"/>
  <c r="AQ32" i="2"/>
  <c r="BZ31" i="2"/>
  <c r="BG568" i="1"/>
  <c r="AV36" i="2"/>
  <c r="AV52" i="2" s="1"/>
  <c r="BG309" i="1"/>
  <c r="BG313" i="1" s="1"/>
  <c r="AQ81" i="2"/>
  <c r="AQ97" i="2" s="1"/>
  <c r="BZ97" i="2" s="1"/>
  <c r="AQ76" i="2"/>
  <c r="AV621" i="1"/>
  <c r="AV626" i="1" s="1"/>
  <c r="AV632" i="1" s="1"/>
  <c r="AW632" i="1" s="1"/>
  <c r="W507" i="1"/>
  <c r="Y507" i="1" s="1"/>
  <c r="BL593" i="1"/>
  <c r="BL594" i="1"/>
  <c r="BK635" i="1"/>
  <c r="H43" i="1"/>
  <c r="H351" i="1"/>
  <c r="H49" i="1"/>
  <c r="AB434" i="1"/>
  <c r="AV520" i="1"/>
  <c r="BB520" i="1" s="1"/>
  <c r="CL273" i="1"/>
  <c r="AM274" i="1"/>
  <c r="CL274" i="1" s="1"/>
  <c r="BL155" i="1"/>
  <c r="CO43" i="1"/>
  <c r="M43" i="1"/>
  <c r="M49" i="1"/>
  <c r="M351" i="1"/>
  <c r="M468" i="1"/>
  <c r="V58" i="7"/>
  <c r="U58" i="7"/>
  <c r="U63" i="7"/>
  <c r="U64" i="7" s="1"/>
  <c r="BV566" i="1"/>
  <c r="CC29" i="2"/>
  <c r="Q483" i="1"/>
  <c r="Q487" i="1" s="1"/>
  <c r="AC348" i="1"/>
  <c r="AC349" i="1" s="1"/>
  <c r="AC337" i="1"/>
  <c r="CJ337" i="1" s="1"/>
  <c r="AC339" i="1"/>
  <c r="CJ336" i="1"/>
  <c r="BJ141" i="1"/>
  <c r="R380" i="1"/>
  <c r="R54" i="1"/>
  <c r="BM116" i="1"/>
  <c r="CQ116" i="1"/>
  <c r="CK129" i="1"/>
  <c r="C15" i="5" s="1"/>
  <c r="AH460" i="1"/>
  <c r="AH476" i="1"/>
  <c r="CO274" i="1"/>
  <c r="AJ92" i="7"/>
  <c r="AK46" i="7"/>
  <c r="AR521" i="1"/>
  <c r="CH138" i="1"/>
  <c r="S144" i="1"/>
  <c r="CH144" i="1" s="1"/>
  <c r="K68" i="1"/>
  <c r="K58" i="1"/>
  <c r="AE517" i="1"/>
  <c r="AO99" i="2"/>
  <c r="AO98" i="2"/>
  <c r="AO90" i="2"/>
  <c r="AO82" i="2"/>
  <c r="BE314" i="1" s="1"/>
  <c r="AO96" i="2"/>
  <c r="AY52" i="2"/>
  <c r="BJ568" i="1"/>
  <c r="AY31" i="2"/>
  <c r="BJ309" i="1"/>
  <c r="BJ313" i="1" s="1"/>
  <c r="AV31" i="2"/>
  <c r="AT76" i="2"/>
  <c r="AT81" i="2"/>
  <c r="AY83" i="2" s="1"/>
  <c r="BO315" i="1" s="1"/>
  <c r="CO33" i="1"/>
  <c r="BB34" i="1"/>
  <c r="Q69" i="1"/>
  <c r="Q59" i="1"/>
  <c r="Q113" i="1"/>
  <c r="Q134" i="1" s="1"/>
  <c r="Q161" i="1" s="1"/>
  <c r="Q447" i="1"/>
  <c r="Q450" i="1" s="1"/>
  <c r="BB650" i="1"/>
  <c r="BB655" i="1"/>
  <c r="BB657" i="1" s="1"/>
  <c r="BB658" i="1" s="1"/>
  <c r="BV578" i="1"/>
  <c r="CC66" i="2"/>
  <c r="AB49" i="1"/>
  <c r="AB468" i="1"/>
  <c r="AB43" i="1"/>
  <c r="AB351" i="1"/>
  <c r="BY576" i="1"/>
  <c r="BY311" i="1"/>
  <c r="M33" i="1"/>
  <c r="R31" i="1"/>
  <c r="M30" i="1"/>
  <c r="M457" i="1"/>
  <c r="M31" i="1"/>
  <c r="BH196" i="1"/>
  <c r="BG65" i="1"/>
  <c r="CP65" i="1" s="1"/>
  <c r="BF639" i="1"/>
  <c r="BF638" i="1" s="1"/>
  <c r="BF611" i="1" s="1"/>
  <c r="BE638" i="1"/>
  <c r="AP24" i="7"/>
  <c r="AO70" i="7"/>
  <c r="AX58" i="1"/>
  <c r="AX68" i="1"/>
  <c r="BG540" i="1"/>
  <c r="BC540" i="1"/>
  <c r="BD540" i="1" s="1"/>
  <c r="BE540" i="1" s="1"/>
  <c r="BF540" i="1" s="1"/>
  <c r="I42" i="1"/>
  <c r="CF22" i="1"/>
  <c r="I29" i="1"/>
  <c r="I27" i="1"/>
  <c r="BW319" i="1"/>
  <c r="BW321" i="1"/>
  <c r="BW318" i="1"/>
  <c r="AZ520" i="1"/>
  <c r="BY599" i="1"/>
  <c r="BY605" i="1"/>
  <c r="BY593" i="1"/>
  <c r="BH273" i="1"/>
  <c r="BH271" i="1"/>
  <c r="BH281" i="1"/>
  <c r="BH282" i="1" s="1"/>
  <c r="BQ216" i="1"/>
  <c r="Q104" i="7"/>
  <c r="R95" i="7"/>
  <c r="R104" i="7" s="1"/>
  <c r="AM423" i="1" s="1"/>
  <c r="K469" i="1"/>
  <c r="K471" i="1" s="1"/>
  <c r="K478" i="1" s="1"/>
  <c r="K480" i="1"/>
  <c r="AC432" i="1"/>
  <c r="AC27" i="1"/>
  <c r="AC431" i="1"/>
  <c r="CJ22" i="1"/>
  <c r="AC42" i="1"/>
  <c r="AC29" i="1"/>
  <c r="BF332" i="1"/>
  <c r="BF347" i="1"/>
  <c r="BF646" i="1"/>
  <c r="BF12" i="1"/>
  <c r="AP98" i="2"/>
  <c r="AP96" i="2"/>
  <c r="AP90" i="2"/>
  <c r="AU92" i="2" s="1"/>
  <c r="AP82" i="2"/>
  <c r="BF314" i="1" s="1"/>
  <c r="AP99" i="2"/>
  <c r="O59" i="1"/>
  <c r="O113" i="1"/>
  <c r="O447" i="1"/>
  <c r="O450" i="1" s="1"/>
  <c r="O69" i="1"/>
  <c r="AF516" i="1"/>
  <c r="CQ214" i="1"/>
  <c r="BM214" i="1"/>
  <c r="AT83" i="2"/>
  <c r="BJ315" i="1" s="1"/>
  <c r="BE313" i="1"/>
  <c r="BU592" i="1"/>
  <c r="BP593" i="1"/>
  <c r="BP599" i="1"/>
  <c r="BQ599" i="1" s="1"/>
  <c r="BP605" i="1"/>
  <c r="BQ605" i="1" s="1"/>
  <c r="BQ592" i="1"/>
  <c r="AB457" i="1"/>
  <c r="AB463" i="1" s="1"/>
  <c r="AB464" i="1" s="1"/>
  <c r="AB31" i="1"/>
  <c r="AB33" i="1"/>
  <c r="AB30" i="1"/>
  <c r="AG31" i="1"/>
  <c r="AO521" i="1"/>
  <c r="AM282" i="1"/>
  <c r="CL282" i="1" s="1"/>
  <c r="CL281" i="1"/>
  <c r="AD510" i="1"/>
  <c r="V509" i="1"/>
  <c r="G8" i="5"/>
  <c r="N431" i="1"/>
  <c r="BR179" i="1"/>
  <c r="CR179" i="1"/>
  <c r="BC535" i="1"/>
  <c r="BD535" i="1" s="1"/>
  <c r="BE535" i="1" s="1"/>
  <c r="BF535" i="1" s="1"/>
  <c r="BG535" i="1"/>
  <c r="BG67" i="1"/>
  <c r="BD612" i="1"/>
  <c r="BD619" i="1"/>
  <c r="AG515" i="1"/>
  <c r="BK189" i="1"/>
  <c r="BL189" i="1" s="1"/>
  <c r="BM636" i="1"/>
  <c r="BS176" i="1"/>
  <c r="S43" i="1"/>
  <c r="CH43" i="1" s="1"/>
  <c r="S351" i="1"/>
  <c r="S49" i="1"/>
  <c r="S468" i="1"/>
  <c r="CH42" i="1"/>
  <c r="BC612" i="1"/>
  <c r="BC619" i="1"/>
  <c r="AJ514" i="1"/>
  <c r="AO514" i="1" s="1"/>
  <c r="AP521" i="1"/>
  <c r="AQ521" i="1"/>
  <c r="AS521" i="1"/>
  <c r="BJ215" i="1"/>
  <c r="BJ425" i="1"/>
  <c r="E17" i="5"/>
  <c r="E21" i="5"/>
  <c r="R63" i="7"/>
  <c r="R64" i="7" s="1"/>
  <c r="R58" i="7"/>
  <c r="S58" i="7"/>
  <c r="N281" i="1"/>
  <c r="CG270" i="1"/>
  <c r="N273" i="1"/>
  <c r="N271" i="1"/>
  <c r="CG271" i="1" s="1"/>
  <c r="AP97" i="2"/>
  <c r="K464" i="1"/>
  <c r="P464" i="1"/>
  <c r="AO97" i="2"/>
  <c r="P504" i="1"/>
  <c r="H457" i="1"/>
  <c r="H33" i="1"/>
  <c r="H34" i="1" s="1"/>
  <c r="H30" i="1"/>
  <c r="I431" i="1"/>
  <c r="H434" i="1"/>
  <c r="I339" i="1"/>
  <c r="I348" i="1"/>
  <c r="I349" i="1" s="1"/>
  <c r="I337" i="1"/>
  <c r="CF337" i="1" s="1"/>
  <c r="CF336" i="1"/>
  <c r="D453" i="1"/>
  <c r="BR635" i="1"/>
  <c r="BW605" i="1"/>
  <c r="BW599" i="1"/>
  <c r="BW593" i="1"/>
  <c r="BA621" i="1"/>
  <c r="BA626" i="1" s="1"/>
  <c r="BA632" i="1" s="1"/>
  <c r="AF512" i="1"/>
  <c r="AV523" i="1"/>
  <c r="BE629" i="1"/>
  <c r="BE631" i="1" s="1"/>
  <c r="BE274" i="1"/>
  <c r="BL436" i="1"/>
  <c r="BH436" i="1"/>
  <c r="BK61" i="2" l="1"/>
  <c r="CA576" i="1" s="1"/>
  <c r="CB62" i="2"/>
  <c r="CQ236" i="1"/>
  <c r="BZ576" i="1"/>
  <c r="AX88" i="2"/>
  <c r="AV58" i="1"/>
  <c r="BX324" i="1"/>
  <c r="AS523" i="1"/>
  <c r="AX523" i="1" s="1"/>
  <c r="AW463" i="1"/>
  <c r="BB464" i="1" s="1"/>
  <c r="AW523" i="1"/>
  <c r="BC523" i="1" s="1"/>
  <c r="AT523" i="1"/>
  <c r="AU523" i="1"/>
  <c r="BF369" i="1"/>
  <c r="BK369" i="1" s="1"/>
  <c r="BP369" i="1" s="1"/>
  <c r="BU369" i="1" s="1"/>
  <c r="BZ369" i="1" s="1"/>
  <c r="BF365" i="1"/>
  <c r="BK365" i="1" s="1"/>
  <c r="BP365" i="1" s="1"/>
  <c r="BU365" i="1" s="1"/>
  <c r="BZ365" i="1" s="1"/>
  <c r="BF370" i="1"/>
  <c r="BF371" i="1"/>
  <c r="BF372" i="1"/>
  <c r="BF367" i="1"/>
  <c r="BK367" i="1" s="1"/>
  <c r="BP367" i="1" s="1"/>
  <c r="BU367" i="1" s="1"/>
  <c r="BZ367" i="1" s="1"/>
  <c r="BF373" i="1"/>
  <c r="BF368" i="1"/>
  <c r="BF384" i="1"/>
  <c r="BK386" i="1" s="1"/>
  <c r="BP386" i="1" s="1"/>
  <c r="BV308" i="1"/>
  <c r="BP326" i="1"/>
  <c r="BK327" i="1"/>
  <c r="BK325" i="1"/>
  <c r="BK324" i="1" s="1"/>
  <c r="BK323" i="1" s="1"/>
  <c r="BK321" i="1"/>
  <c r="BK319" i="1"/>
  <c r="BK318" i="1" s="1"/>
  <c r="BK317" i="1" s="1"/>
  <c r="BP320" i="1"/>
  <c r="BR325" i="1"/>
  <c r="BR324" i="1" s="1"/>
  <c r="W35" i="1"/>
  <c r="BF25" i="2"/>
  <c r="CC25" i="2" s="1"/>
  <c r="CC24" i="2"/>
  <c r="BV564" i="1"/>
  <c r="BR263" i="1"/>
  <c r="BR268" i="1" s="1"/>
  <c r="BK24" i="2"/>
  <c r="CA564" i="1" s="1"/>
  <c r="AX108" i="2"/>
  <c r="BZ308" i="1"/>
  <c r="BI458" i="1"/>
  <c r="BI500" i="1"/>
  <c r="BI526" i="1" s="1"/>
  <c r="BQ565" i="1"/>
  <c r="BR37" i="1"/>
  <c r="BD68" i="1"/>
  <c r="CK33" i="1"/>
  <c r="AH34" i="1"/>
  <c r="CK34" i="1" s="1"/>
  <c r="C9" i="5" s="1"/>
  <c r="BR276" i="1"/>
  <c r="BQ257" i="1"/>
  <c r="CR257" i="1" s="1"/>
  <c r="BO263" i="1"/>
  <c r="BO270" i="1" s="1"/>
  <c r="BF270" i="1"/>
  <c r="BF271" i="1" s="1"/>
  <c r="BS313" i="1"/>
  <c r="BS646" i="1" s="1"/>
  <c r="BX599" i="1"/>
  <c r="BX635" i="1" s="1"/>
  <c r="BX636" i="1" s="1"/>
  <c r="CC62" i="2"/>
  <c r="BA23" i="2"/>
  <c r="BX593" i="1"/>
  <c r="BW237" i="1"/>
  <c r="AD511" i="1"/>
  <c r="AE511" i="1" s="1"/>
  <c r="X396" i="1"/>
  <c r="T396" i="1"/>
  <c r="T399" i="1" s="1"/>
  <c r="X399" i="1" s="1"/>
  <c r="X401" i="1" s="1"/>
  <c r="AO541" i="1"/>
  <c r="AN539" i="1"/>
  <c r="AD67" i="7"/>
  <c r="AD104" i="7" s="1"/>
  <c r="AD63" i="7"/>
  <c r="AD64" i="7" s="1"/>
  <c r="BX255" i="1"/>
  <c r="BX253" i="1"/>
  <c r="BX252" i="1" s="1"/>
  <c r="BX251" i="1" s="1"/>
  <c r="BL209" i="1"/>
  <c r="BK142" i="1"/>
  <c r="BL142" i="1" s="1"/>
  <c r="CQ142" i="1" s="1"/>
  <c r="AN77" i="7"/>
  <c r="AO31" i="7"/>
  <c r="AN57" i="7"/>
  <c r="M434" i="1"/>
  <c r="B17" i="5"/>
  <c r="S463" i="1"/>
  <c r="X464" i="1" s="1"/>
  <c r="AH63" i="7"/>
  <c r="AH64" i="7" s="1"/>
  <c r="AH58" i="7"/>
  <c r="X404" i="1"/>
  <c r="T404" i="1"/>
  <c r="T406" i="1" s="1"/>
  <c r="X406" i="1" s="1"/>
  <c r="AF12" i="7"/>
  <c r="AE19" i="7"/>
  <c r="BX327" i="1"/>
  <c r="AH104" i="7"/>
  <c r="BR327" i="1"/>
  <c r="BW326" i="1"/>
  <c r="AU522" i="1"/>
  <c r="AS541" i="1"/>
  <c r="AW541" i="1"/>
  <c r="AR539" i="1"/>
  <c r="AK541" i="1"/>
  <c r="AJ539" i="1"/>
  <c r="AW522" i="1"/>
  <c r="AH463" i="1"/>
  <c r="AZ522" i="1"/>
  <c r="R80" i="2"/>
  <c r="U508" i="1"/>
  <c r="V508" i="1" s="1"/>
  <c r="W508" i="1" s="1"/>
  <c r="W434" i="1"/>
  <c r="AJ39" i="7"/>
  <c r="AI85" i="7"/>
  <c r="AI57" i="7"/>
  <c r="AP45" i="7"/>
  <c r="AO91" i="7"/>
  <c r="Y138" i="7"/>
  <c r="X139" i="7"/>
  <c r="AS52" i="7"/>
  <c r="AR97" i="7"/>
  <c r="AI101" i="7"/>
  <c r="AJ102" i="7"/>
  <c r="AJ90" i="7"/>
  <c r="AK44" i="7"/>
  <c r="AK90" i="7" s="1"/>
  <c r="AM58" i="7"/>
  <c r="AM63" i="7"/>
  <c r="AM64" i="7" s="1"/>
  <c r="AS19" i="7"/>
  <c r="AS67" i="7" s="1"/>
  <c r="AU5" i="7"/>
  <c r="AL75" i="7"/>
  <c r="AV522" i="1"/>
  <c r="E444" i="1"/>
  <c r="E452" i="1" s="1"/>
  <c r="E453" i="1" s="1"/>
  <c r="BB375" i="1"/>
  <c r="AH54" i="1"/>
  <c r="AH68" i="1" s="1"/>
  <c r="CK68" i="1" s="1"/>
  <c r="CK49" i="1"/>
  <c r="AG549" i="1"/>
  <c r="AX549" i="1"/>
  <c r="BN350" i="1"/>
  <c r="AE469" i="1"/>
  <c r="AE471" i="1" s="1"/>
  <c r="AE478" i="1" s="1"/>
  <c r="AE483" i="1" s="1"/>
  <c r="AE487" i="1" s="1"/>
  <c r="BB380" i="1"/>
  <c r="BB480" i="1" s="1"/>
  <c r="BC90" i="2"/>
  <c r="BH92" i="2" s="1"/>
  <c r="BC99" i="2"/>
  <c r="BX315" i="1"/>
  <c r="BC82" i="2"/>
  <c r="BS314" i="1" s="1"/>
  <c r="BC97" i="2"/>
  <c r="BC96" i="2"/>
  <c r="AX91" i="2"/>
  <c r="BC98" i="2"/>
  <c r="BN646" i="1"/>
  <c r="BN647" i="1" s="1"/>
  <c r="AZ549" i="1"/>
  <c r="BB54" i="1"/>
  <c r="BB68" i="1" s="1"/>
  <c r="BB632" i="1"/>
  <c r="BH13" i="1"/>
  <c r="BH650" i="1"/>
  <c r="CA260" i="1"/>
  <c r="AX106" i="2"/>
  <c r="BN12" i="1"/>
  <c r="BN15" i="1" s="1"/>
  <c r="P147" i="2"/>
  <c r="P148" i="2" s="1"/>
  <c r="BN317" i="1"/>
  <c r="BN649" i="1" s="1"/>
  <c r="BN323" i="1"/>
  <c r="BN652" i="1" s="1"/>
  <c r="BN332" i="1"/>
  <c r="BH81" i="2"/>
  <c r="BH99" i="2" s="1"/>
  <c r="AS98" i="7"/>
  <c r="AT53" i="7"/>
  <c r="W58" i="7"/>
  <c r="AS71" i="7"/>
  <c r="AT26" i="7"/>
  <c r="AQ72" i="7"/>
  <c r="AR25" i="7"/>
  <c r="BC92" i="2"/>
  <c r="BH200" i="1"/>
  <c r="BI130" i="1" s="1"/>
  <c r="BH40" i="1"/>
  <c r="BH208" i="1"/>
  <c r="BX568" i="1"/>
  <c r="BX309" i="1"/>
  <c r="CD66" i="2"/>
  <c r="BH207" i="1"/>
  <c r="BH190" i="1"/>
  <c r="BH25" i="1"/>
  <c r="R41" i="2"/>
  <c r="R138" i="2" s="1"/>
  <c r="P142" i="2"/>
  <c r="BX319" i="1"/>
  <c r="BX318" i="1" s="1"/>
  <c r="BX321" i="1"/>
  <c r="BH360" i="1"/>
  <c r="BH117" i="1" s="1"/>
  <c r="BH15" i="1"/>
  <c r="BH18" i="1"/>
  <c r="BH180" i="1"/>
  <c r="BH175" i="1"/>
  <c r="BI126" i="1" s="1"/>
  <c r="CQ251" i="1"/>
  <c r="AX107" i="2"/>
  <c r="AX103" i="2"/>
  <c r="AX104" i="2"/>
  <c r="BJ271" i="1"/>
  <c r="BY259" i="1"/>
  <c r="BY258" i="1" s="1"/>
  <c r="BY257" i="1" s="1"/>
  <c r="BY261" i="1"/>
  <c r="AE113" i="1"/>
  <c r="AE134" i="1" s="1"/>
  <c r="AE161" i="1" s="1"/>
  <c r="AE447" i="1"/>
  <c r="AE450" i="1" s="1"/>
  <c r="AE69" i="1"/>
  <c r="AE59" i="1"/>
  <c r="AP525" i="1"/>
  <c r="AQ525" i="1"/>
  <c r="AN525" i="1"/>
  <c r="AS525" i="1" s="1"/>
  <c r="AO525" i="1"/>
  <c r="AJ513" i="1"/>
  <c r="AN513" i="1"/>
  <c r="V483" i="1"/>
  <c r="V487" i="1" s="1"/>
  <c r="BA549" i="1"/>
  <c r="BB549" i="1" s="1"/>
  <c r="BL198" i="1"/>
  <c r="BL424" i="1" s="1"/>
  <c r="AP20" i="7"/>
  <c r="AV536" i="1"/>
  <c r="AV534" i="1" s="1"/>
  <c r="AU534" i="1"/>
  <c r="BH536" i="1"/>
  <c r="BG534" i="1"/>
  <c r="BL536" i="1"/>
  <c r="AY534" i="1"/>
  <c r="AZ536" i="1"/>
  <c r="C70" i="1"/>
  <c r="C61" i="1"/>
  <c r="C71" i="1" s="1"/>
  <c r="BJ119" i="1"/>
  <c r="BK188" i="1"/>
  <c r="BD536" i="1"/>
  <c r="BC534" i="1"/>
  <c r="BD520" i="1"/>
  <c r="C182" i="1"/>
  <c r="C192" i="1" s="1"/>
  <c r="C419" i="1"/>
  <c r="C420" i="1" s="1"/>
  <c r="C421" i="1" s="1"/>
  <c r="AQ480" i="1"/>
  <c r="AQ469" i="1"/>
  <c r="AQ471" i="1" s="1"/>
  <c r="AQ478" i="1" s="1"/>
  <c r="AF14" i="1"/>
  <c r="U87" i="2"/>
  <c r="U189" i="2" s="1"/>
  <c r="AA447" i="1"/>
  <c r="AA450" i="1" s="1"/>
  <c r="AA59" i="1"/>
  <c r="AA69" i="1"/>
  <c r="AA113" i="1"/>
  <c r="AA134" i="1" s="1"/>
  <c r="AA161" i="1" s="1"/>
  <c r="I281" i="1"/>
  <c r="I273" i="1"/>
  <c r="I271" i="1"/>
  <c r="CF271" i="1" s="1"/>
  <c r="CF270" i="1"/>
  <c r="K138" i="2"/>
  <c r="L41" i="2"/>
  <c r="X411" i="1"/>
  <c r="T411" i="1"/>
  <c r="T413" i="1" s="1"/>
  <c r="X413" i="1" s="1"/>
  <c r="BC520" i="1"/>
  <c r="CE113" i="1"/>
  <c r="D134" i="1"/>
  <c r="D61" i="1"/>
  <c r="CE59" i="1"/>
  <c r="D70" i="1"/>
  <c r="CE70" i="1" s="1"/>
  <c r="BE324" i="1"/>
  <c r="BE326" i="1" s="1"/>
  <c r="BE318" i="1"/>
  <c r="BE320" i="1" s="1"/>
  <c r="BJ320" i="1" s="1"/>
  <c r="AQ58" i="1"/>
  <c r="AQ68" i="1"/>
  <c r="V69" i="1"/>
  <c r="V447" i="1"/>
  <c r="V450" i="1" s="1"/>
  <c r="V59" i="1"/>
  <c r="V113" i="1"/>
  <c r="V134" i="1" s="1"/>
  <c r="V161" i="1" s="1"/>
  <c r="P447" i="1"/>
  <c r="P450" i="1" s="1"/>
  <c r="P113" i="1"/>
  <c r="P134" i="1" s="1"/>
  <c r="P161" i="1" s="1"/>
  <c r="P69" i="1"/>
  <c r="P59" i="1"/>
  <c r="Y61" i="1"/>
  <c r="Y70" i="1"/>
  <c r="BP197" i="1"/>
  <c r="BO131" i="1"/>
  <c r="Z483" i="1"/>
  <c r="Z487" i="1" s="1"/>
  <c r="K531" i="1"/>
  <c r="M502" i="1"/>
  <c r="W480" i="1"/>
  <c r="W549" i="1"/>
  <c r="Z549" i="1"/>
  <c r="AA549" i="1"/>
  <c r="W469" i="1"/>
  <c r="W471" i="1" s="1"/>
  <c r="W478" i="1" s="1"/>
  <c r="W483" i="1" s="1"/>
  <c r="W487" i="1" s="1"/>
  <c r="Y549" i="1"/>
  <c r="E61" i="1"/>
  <c r="E71" i="1" s="1"/>
  <c r="E70" i="1"/>
  <c r="Y506" i="1"/>
  <c r="Z506" i="1" s="1"/>
  <c r="Z447" i="1"/>
  <c r="Z450" i="1" s="1"/>
  <c r="Z59" i="1"/>
  <c r="Z69" i="1"/>
  <c r="Z113" i="1"/>
  <c r="Z134" i="1" s="1"/>
  <c r="Z161" i="1" s="1"/>
  <c r="BY524" i="1"/>
  <c r="BX524" i="1"/>
  <c r="BW524" i="1"/>
  <c r="BV524" i="1"/>
  <c r="T70" i="1"/>
  <c r="T61" i="1"/>
  <c r="T71" i="1" s="1"/>
  <c r="L464" i="1"/>
  <c r="Q464" i="1"/>
  <c r="BU524" i="1"/>
  <c r="BZ524" i="1" s="1"/>
  <c r="U70" i="1"/>
  <c r="U61" i="1"/>
  <c r="U71" i="1" s="1"/>
  <c r="CH33" i="1"/>
  <c r="S34" i="1"/>
  <c r="CH34" i="1" s="1"/>
  <c r="X35" i="1"/>
  <c r="CI35" i="1" s="1"/>
  <c r="CM124" i="1"/>
  <c r="AR473" i="1"/>
  <c r="AR474" i="1" s="1"/>
  <c r="L54" i="1"/>
  <c r="L380" i="1"/>
  <c r="Q35" i="1"/>
  <c r="L34" i="1"/>
  <c r="L35" i="1"/>
  <c r="N340" i="1"/>
  <c r="CG340" i="1" s="1"/>
  <c r="CG339" i="1"/>
  <c r="F113" i="1"/>
  <c r="F134" i="1" s="1"/>
  <c r="F161" i="1" s="1"/>
  <c r="F447" i="1"/>
  <c r="F450" i="1" s="1"/>
  <c r="F69" i="1"/>
  <c r="F59" i="1"/>
  <c r="X54" i="1"/>
  <c r="CI49" i="1"/>
  <c r="X380" i="1"/>
  <c r="W58" i="1"/>
  <c r="W68" i="1"/>
  <c r="AM473" i="1"/>
  <c r="AM474" i="1" s="1"/>
  <c r="CL124" i="1"/>
  <c r="G58" i="1"/>
  <c r="G68" i="1"/>
  <c r="CH27" i="1"/>
  <c r="BK62" i="2"/>
  <c r="CA577" i="1" s="1"/>
  <c r="K483" i="1"/>
  <c r="K487" i="1" s="1"/>
  <c r="J483" i="1"/>
  <c r="J487" i="1" s="1"/>
  <c r="AO518" i="1"/>
  <c r="AK518" i="1"/>
  <c r="BI196" i="1"/>
  <c r="BI204" i="1" s="1"/>
  <c r="BI211" i="1" s="1"/>
  <c r="BI22" i="1"/>
  <c r="BI42" i="1" s="1"/>
  <c r="BI18" i="1"/>
  <c r="BJ281" i="1"/>
  <c r="BJ282" i="1" s="1"/>
  <c r="BQ251" i="1"/>
  <c r="AF483" i="1"/>
  <c r="AF487" i="1" s="1"/>
  <c r="AG483" i="1"/>
  <c r="AG487" i="1" s="1"/>
  <c r="AW464" i="1"/>
  <c r="AR87" i="2"/>
  <c r="AR108" i="2"/>
  <c r="AI58" i="1"/>
  <c r="AI68" i="1"/>
  <c r="BC100" i="2"/>
  <c r="BC77" i="2"/>
  <c r="BS581" i="1" s="1"/>
  <c r="BC86" i="2"/>
  <c r="BS580" i="1"/>
  <c r="AD483" i="1"/>
  <c r="AD487" i="1" s="1"/>
  <c r="BY254" i="1"/>
  <c r="CA254" i="1" s="1"/>
  <c r="BT253" i="1"/>
  <c r="BT252" i="1" s="1"/>
  <c r="BT251" i="1" s="1"/>
  <c r="BT263" i="1" s="1"/>
  <c r="BT268" i="1" s="1"/>
  <c r="BT255" i="1"/>
  <c r="AZ469" i="1"/>
  <c r="AZ471" i="1" s="1"/>
  <c r="AZ478" i="1" s="1"/>
  <c r="AZ375" i="1"/>
  <c r="AZ480" i="1"/>
  <c r="AR104" i="2"/>
  <c r="AR107" i="2"/>
  <c r="AR91" i="2"/>
  <c r="AR103" i="2"/>
  <c r="AR106" i="2"/>
  <c r="AR105" i="2"/>
  <c r="BH19" i="1"/>
  <c r="BH329" i="1"/>
  <c r="BH652" i="1"/>
  <c r="AI480" i="1"/>
  <c r="AI549" i="1"/>
  <c r="AK549" i="1"/>
  <c r="AI469" i="1"/>
  <c r="AI471" i="1" s="1"/>
  <c r="AI478" i="1" s="1"/>
  <c r="AJ549" i="1"/>
  <c r="AZ58" i="1"/>
  <c r="AZ68" i="1"/>
  <c r="AJ483" i="1"/>
  <c r="AJ487" i="1" s="1"/>
  <c r="BM580" i="1"/>
  <c r="AW86" i="2"/>
  <c r="AW77" i="2"/>
  <c r="BM581" i="1" s="1"/>
  <c r="AW100" i="2"/>
  <c r="BM323" i="1"/>
  <c r="BM350" i="1"/>
  <c r="BM646" i="1"/>
  <c r="BM647" i="1" s="1"/>
  <c r="BM332" i="1"/>
  <c r="BM317" i="1"/>
  <c r="BM12" i="1"/>
  <c r="BM347" i="1"/>
  <c r="AD59" i="1"/>
  <c r="AD69" i="1"/>
  <c r="AD447" i="1"/>
  <c r="AD450" i="1" s="1"/>
  <c r="AD113" i="1"/>
  <c r="AD134" i="1" s="1"/>
  <c r="AD161" i="1" s="1"/>
  <c r="BI336" i="1"/>
  <c r="BI334" i="1"/>
  <c r="BM315" i="1"/>
  <c r="AW92" i="2"/>
  <c r="BB83" i="2"/>
  <c r="BR315" i="1" s="1"/>
  <c r="AW96" i="2"/>
  <c r="AW99" i="2"/>
  <c r="AW90" i="2"/>
  <c r="AW98" i="2"/>
  <c r="AW82" i="2"/>
  <c r="BM314" i="1" s="1"/>
  <c r="AW97" i="2"/>
  <c r="BR568" i="1"/>
  <c r="BR309" i="1"/>
  <c r="BR313" i="1" s="1"/>
  <c r="BG52" i="2"/>
  <c r="BG31" i="2"/>
  <c r="BB76" i="2"/>
  <c r="BB81" i="2"/>
  <c r="BB97" i="2" s="1"/>
  <c r="BX576" i="1"/>
  <c r="BX311" i="1"/>
  <c r="BH76" i="2"/>
  <c r="BI653" i="1"/>
  <c r="BI655" i="1"/>
  <c r="BI657" i="1" s="1"/>
  <c r="BI658" i="1" s="1"/>
  <c r="AK60" i="1"/>
  <c r="AK70" i="1"/>
  <c r="AV483" i="1"/>
  <c r="AV487" i="1" s="1"/>
  <c r="BH398" i="1"/>
  <c r="BH472" i="1"/>
  <c r="AU375" i="1"/>
  <c r="AU480" i="1"/>
  <c r="AU469" i="1"/>
  <c r="AU471" i="1" s="1"/>
  <c r="AU478" i="1" s="1"/>
  <c r="BA480" i="1"/>
  <c r="BA375" i="1"/>
  <c r="BD549" i="1"/>
  <c r="BC549" i="1"/>
  <c r="BA469" i="1"/>
  <c r="BA471" i="1" s="1"/>
  <c r="BA478" i="1" s="1"/>
  <c r="BA483" i="1" s="1"/>
  <c r="BA487" i="1" s="1"/>
  <c r="AN480" i="1"/>
  <c r="AN469" i="1"/>
  <c r="AN471" i="1" s="1"/>
  <c r="AN478" i="1" s="1"/>
  <c r="BW252" i="1"/>
  <c r="BW251" i="1" s="1"/>
  <c r="BW263" i="1" s="1"/>
  <c r="BW255" i="1"/>
  <c r="BW253" i="1"/>
  <c r="AU68" i="1"/>
  <c r="AU58" i="1"/>
  <c r="BC68" i="1"/>
  <c r="BC58" i="1"/>
  <c r="AS58" i="1"/>
  <c r="AS68" i="1"/>
  <c r="BR385" i="1"/>
  <c r="BR384" i="1" s="1"/>
  <c r="BR387" i="1"/>
  <c r="AG447" i="1"/>
  <c r="AG69" i="1"/>
  <c r="AG59" i="1"/>
  <c r="BC469" i="1"/>
  <c r="BC471" i="1" s="1"/>
  <c r="BC478" i="1" s="1"/>
  <c r="BC375" i="1"/>
  <c r="BC480" i="1"/>
  <c r="AS469" i="1"/>
  <c r="AS471" i="1" s="1"/>
  <c r="AS478" i="1" s="1"/>
  <c r="AS480" i="1"/>
  <c r="BA58" i="1"/>
  <c r="BA68" i="1"/>
  <c r="AN68" i="1"/>
  <c r="AN58" i="1"/>
  <c r="BM271" i="1"/>
  <c r="BM273" i="1"/>
  <c r="BM274" i="1" s="1"/>
  <c r="BM281" i="1"/>
  <c r="BM282" i="1" s="1"/>
  <c r="CN33" i="1"/>
  <c r="AW34" i="1"/>
  <c r="CN34" i="1" s="1"/>
  <c r="F9" i="5" s="1"/>
  <c r="AW35" i="1"/>
  <c r="CN35" i="1" s="1"/>
  <c r="AR281" i="1"/>
  <c r="AR273" i="1"/>
  <c r="AR271" i="1"/>
  <c r="CM271" i="1" s="1"/>
  <c r="CM270" i="1"/>
  <c r="BX21" i="2"/>
  <c r="AG92" i="2"/>
  <c r="BX92" i="2" s="1"/>
  <c r="AW587" i="1"/>
  <c r="AG52" i="2"/>
  <c r="V31" i="2"/>
  <c r="V75" i="2"/>
  <c r="AA43" i="2"/>
  <c r="V80" i="2"/>
  <c r="AA82" i="2" s="1"/>
  <c r="V43" i="2"/>
  <c r="V36" i="2" s="1"/>
  <c r="W42" i="2"/>
  <c r="AB32" i="2" s="1"/>
  <c r="CN49" i="1"/>
  <c r="AW375" i="1"/>
  <c r="AF59" i="1"/>
  <c r="AF61" i="1"/>
  <c r="AF113" i="1"/>
  <c r="AF447" i="1"/>
  <c r="AF450" i="1" s="1"/>
  <c r="AF69" i="1"/>
  <c r="AP50" i="1"/>
  <c r="AR50" i="1" s="1"/>
  <c r="AP480" i="1"/>
  <c r="AP469" i="1"/>
  <c r="AP471" i="1" s="1"/>
  <c r="AP478" i="1" s="1"/>
  <c r="AT549" i="1"/>
  <c r="AS549" i="1"/>
  <c r="AQ549" i="1"/>
  <c r="AH380" i="1"/>
  <c r="BV234" i="1"/>
  <c r="CS234" i="1" s="1"/>
  <c r="CS233" i="1"/>
  <c r="AR34" i="1"/>
  <c r="CM33" i="1"/>
  <c r="AP68" i="1"/>
  <c r="AR54" i="1"/>
  <c r="AP58" i="1"/>
  <c r="AQ569" i="1"/>
  <c r="AA36" i="2"/>
  <c r="AT375" i="1"/>
  <c r="AT480" i="1"/>
  <c r="AT469" i="1"/>
  <c r="AT471" i="1" s="1"/>
  <c r="AT478" i="1" s="1"/>
  <c r="AU549" i="1"/>
  <c r="AV549" i="1"/>
  <c r="AR375" i="1"/>
  <c r="CM49" i="1"/>
  <c r="BU75" i="2"/>
  <c r="R85" i="2"/>
  <c r="BV40" i="2"/>
  <c r="AB39" i="2"/>
  <c r="BW39" i="2" s="1"/>
  <c r="AT68" i="1"/>
  <c r="AT58" i="1"/>
  <c r="AW54" i="1"/>
  <c r="F8" i="5"/>
  <c r="F7" i="5"/>
  <c r="CA233" i="1"/>
  <c r="CD4" i="2"/>
  <c r="BK5" i="2"/>
  <c r="CD5" i="2" s="1"/>
  <c r="AV113" i="1"/>
  <c r="AV134" i="1" s="1"/>
  <c r="AV161" i="1" s="1"/>
  <c r="AV69" i="1"/>
  <c r="AV61" i="1"/>
  <c r="AV71" i="1" s="1"/>
  <c r="AV544" i="1" s="1"/>
  <c r="AV447" i="1"/>
  <c r="AV59" i="1"/>
  <c r="AV70" i="1" s="1"/>
  <c r="BZ255" i="1"/>
  <c r="BZ253" i="1"/>
  <c r="BZ252" i="1"/>
  <c r="I8" i="4"/>
  <c r="H8" i="4"/>
  <c r="BD483" i="1"/>
  <c r="BD487" i="1" s="1"/>
  <c r="BX387" i="1"/>
  <c r="BX385" i="1"/>
  <c r="BX384" i="1" s="1"/>
  <c r="BD69" i="1"/>
  <c r="BD447" i="1"/>
  <c r="BD113" i="1"/>
  <c r="BD134" i="1" s="1"/>
  <c r="BD161" i="1" s="1"/>
  <c r="BD59" i="1"/>
  <c r="BD70" i="1" s="1"/>
  <c r="BD61" i="1"/>
  <c r="BD71" i="1" s="1"/>
  <c r="BD544" i="1" s="1"/>
  <c r="AU521" i="1"/>
  <c r="AZ523" i="1"/>
  <c r="J113" i="1"/>
  <c r="J134" i="1" s="1"/>
  <c r="J161" i="1" s="1"/>
  <c r="J69" i="1"/>
  <c r="J59" i="1"/>
  <c r="J447" i="1"/>
  <c r="J450" i="1" s="1"/>
  <c r="AJ69" i="1"/>
  <c r="AJ447" i="1"/>
  <c r="AJ113" i="1"/>
  <c r="AJ134" i="1" s="1"/>
  <c r="AJ161" i="1" s="1"/>
  <c r="AJ59" i="1"/>
  <c r="BG526" i="1"/>
  <c r="BZ261" i="1"/>
  <c r="BZ259" i="1"/>
  <c r="BZ258" i="1"/>
  <c r="AC434" i="1"/>
  <c r="AD430" i="1" s="1"/>
  <c r="AX483" i="1"/>
  <c r="AX487" i="1" s="1"/>
  <c r="P503" i="1"/>
  <c r="Q503" i="1" s="1"/>
  <c r="BO438" i="1"/>
  <c r="BN437" i="1"/>
  <c r="Z507" i="1"/>
  <c r="AA507" i="1" s="1"/>
  <c r="T505" i="1"/>
  <c r="U505" i="1" s="1"/>
  <c r="BH137" i="1"/>
  <c r="BH500" i="1"/>
  <c r="BH526" i="1" s="1"/>
  <c r="BH458" i="1"/>
  <c r="BW635" i="1"/>
  <c r="BW636" i="1" s="1"/>
  <c r="BY635" i="1"/>
  <c r="BY636" i="1" s="1"/>
  <c r="BQ277" i="1"/>
  <c r="BQ278" i="1" s="1"/>
  <c r="CD16" i="2"/>
  <c r="BK17" i="2"/>
  <c r="BK7" i="2"/>
  <c r="CA585" i="1"/>
  <c r="CA245" i="1"/>
  <c r="BF273" i="1"/>
  <c r="CC21" i="2"/>
  <c r="BV587" i="1"/>
  <c r="BP263" i="1"/>
  <c r="BN114" i="1"/>
  <c r="BN37" i="1"/>
  <c r="BN268" i="1"/>
  <c r="BN270" i="1"/>
  <c r="CR245" i="1"/>
  <c r="BQ246" i="1"/>
  <c r="CP258" i="1"/>
  <c r="BS38" i="1"/>
  <c r="BS276" i="1"/>
  <c r="BL258" i="1"/>
  <c r="CQ257" i="1"/>
  <c r="BL263" i="1"/>
  <c r="BX257" i="1"/>
  <c r="BX246" i="1"/>
  <c r="BX277" i="1"/>
  <c r="BX236" i="1"/>
  <c r="BX237" i="1" s="1"/>
  <c r="BH8" i="2"/>
  <c r="BU246" i="1"/>
  <c r="BU251" i="1"/>
  <c r="BU277" i="1"/>
  <c r="BU276" i="1" s="1"/>
  <c r="BU257" i="1"/>
  <c r="BA8" i="2"/>
  <c r="CB8" i="2" s="1"/>
  <c r="CB7" i="2"/>
  <c r="BQ236" i="1"/>
  <c r="BK350" i="1"/>
  <c r="BG268" i="1"/>
  <c r="CP268" i="1" s="1"/>
  <c r="BG270" i="1"/>
  <c r="CP263" i="1"/>
  <c r="BS263" i="1"/>
  <c r="BI40" i="1"/>
  <c r="BW37" i="1"/>
  <c r="BW114" i="1"/>
  <c r="BY246" i="1"/>
  <c r="BY277" i="1"/>
  <c r="BY276" i="1" s="1"/>
  <c r="BE8" i="2"/>
  <c r="BU236" i="1"/>
  <c r="BU237" i="1" s="1"/>
  <c r="CB17" i="2"/>
  <c r="BQ586" i="1"/>
  <c r="BY236" i="1"/>
  <c r="BY237" i="1" s="1"/>
  <c r="BI8" i="2"/>
  <c r="BQ606" i="1"/>
  <c r="BV245" i="1"/>
  <c r="BV585" i="1"/>
  <c r="BK21" i="2"/>
  <c r="BF17" i="2"/>
  <c r="BF7" i="2"/>
  <c r="CC16" i="2"/>
  <c r="BI475" i="1"/>
  <c r="BI397" i="1"/>
  <c r="BZ585" i="1"/>
  <c r="BZ245" i="1"/>
  <c r="BJ7" i="2"/>
  <c r="BG345" i="1"/>
  <c r="BG344" i="1" s="1"/>
  <c r="BI271" i="1"/>
  <c r="BI281" i="1"/>
  <c r="BI282" i="1" s="1"/>
  <c r="BI273" i="1"/>
  <c r="BI274" i="1" s="1"/>
  <c r="BR472" i="1"/>
  <c r="BR398" i="1"/>
  <c r="BK268" i="1"/>
  <c r="BK270" i="1"/>
  <c r="BQ276" i="1"/>
  <c r="CR276" i="1" s="1"/>
  <c r="BI398" i="1"/>
  <c r="BI472" i="1"/>
  <c r="AU88" i="2"/>
  <c r="BK16" i="1"/>
  <c r="H463" i="1"/>
  <c r="I457" i="1"/>
  <c r="I463" i="1" s="1"/>
  <c r="I464" i="1" s="1"/>
  <c r="BN214" i="1"/>
  <c r="BM155" i="1"/>
  <c r="BK215" i="1"/>
  <c r="AI515" i="1"/>
  <c r="AJ515" i="1" s="1"/>
  <c r="AO515" i="1" s="1"/>
  <c r="BU599" i="1"/>
  <c r="BV599" i="1" s="1"/>
  <c r="BZ592" i="1"/>
  <c r="BU593" i="1"/>
  <c r="BU605" i="1"/>
  <c r="BV605" i="1" s="1"/>
  <c r="BV592" i="1"/>
  <c r="AC457" i="1"/>
  <c r="AC463" i="1" s="1"/>
  <c r="AC464" i="1" s="1"/>
  <c r="AC30" i="1"/>
  <c r="CJ30" i="1" s="1"/>
  <c r="AC33" i="1"/>
  <c r="CJ29" i="1"/>
  <c r="AC31" i="1"/>
  <c r="CJ31" i="1" s="1"/>
  <c r="AH31" i="1"/>
  <c r="CK31" i="1" s="1"/>
  <c r="AH430" i="1"/>
  <c r="BR636" i="1"/>
  <c r="CG281" i="1"/>
  <c r="N282" i="1"/>
  <c r="CG282" i="1" s="1"/>
  <c r="CF339" i="1"/>
  <c r="I340" i="1"/>
  <c r="CF340" i="1" s="1"/>
  <c r="Q504" i="1"/>
  <c r="R504" i="1" s="1"/>
  <c r="AK514" i="1"/>
  <c r="AP514" i="1" s="1"/>
  <c r="BK127" i="1"/>
  <c r="BL127" i="1" s="1"/>
  <c r="CQ127" i="1" s="1"/>
  <c r="CP67" i="1"/>
  <c r="I31" i="5" s="1"/>
  <c r="BH535" i="1"/>
  <c r="BI535" i="1" s="1"/>
  <c r="BJ535" i="1" s="1"/>
  <c r="BK535" i="1" s="1"/>
  <c r="BL535" i="1"/>
  <c r="AB34" i="1"/>
  <c r="AG35" i="1"/>
  <c r="AB35" i="1"/>
  <c r="BQ593" i="1"/>
  <c r="BQ594" i="1"/>
  <c r="BQ600" i="1"/>
  <c r="AG516" i="1"/>
  <c r="AI516" i="1" s="1"/>
  <c r="BE520" i="1"/>
  <c r="O61" i="1"/>
  <c r="O71" i="1" s="1"/>
  <c r="O70" i="1"/>
  <c r="BF647" i="1"/>
  <c r="BF329" i="1"/>
  <c r="BF652" i="1"/>
  <c r="BF653" i="1" s="1"/>
  <c r="BF19" i="1"/>
  <c r="BH274" i="1"/>
  <c r="CF29" i="1"/>
  <c r="I33" i="1"/>
  <c r="I30" i="1"/>
  <c r="CF30" i="1" s="1"/>
  <c r="I31" i="1"/>
  <c r="CF31" i="1" s="1"/>
  <c r="AP70" i="7"/>
  <c r="AQ70" i="7" s="1"/>
  <c r="AQ24" i="7"/>
  <c r="BF612" i="1"/>
  <c r="BF619" i="1"/>
  <c r="BJ580" i="1"/>
  <c r="AT100" i="2"/>
  <c r="AT86" i="2"/>
  <c r="AT77" i="2"/>
  <c r="BJ581" i="1" s="1"/>
  <c r="BO568" i="1"/>
  <c r="BD31" i="2"/>
  <c r="BD52" i="2"/>
  <c r="BO309" i="1"/>
  <c r="BO313" i="1" s="1"/>
  <c r="BA31" i="2"/>
  <c r="AY81" i="2"/>
  <c r="AY97" i="2" s="1"/>
  <c r="AY76" i="2"/>
  <c r="AF517" i="1"/>
  <c r="BN116" i="1"/>
  <c r="BO116" i="1" s="1"/>
  <c r="BP116" i="1" s="1"/>
  <c r="M54" i="1"/>
  <c r="M380" i="1"/>
  <c r="H380" i="1"/>
  <c r="H54" i="1"/>
  <c r="AQ82" i="2"/>
  <c r="BZ82" i="2" s="1"/>
  <c r="AQ90" i="2"/>
  <c r="AQ98" i="2"/>
  <c r="BZ98" i="2" s="1"/>
  <c r="BZ81" i="2"/>
  <c r="AQ96" i="2"/>
  <c r="BZ96" i="2" s="1"/>
  <c r="AQ99" i="2"/>
  <c r="BZ99" i="2" s="1"/>
  <c r="BG569" i="1"/>
  <c r="BZ32" i="2"/>
  <c r="N30" i="1"/>
  <c r="CG30" i="1" s="1"/>
  <c r="N33" i="1"/>
  <c r="CG29" i="1"/>
  <c r="N31" i="1"/>
  <c r="CG31" i="1" s="1"/>
  <c r="S31" i="1"/>
  <c r="CH31" i="1" s="1"/>
  <c r="G10" i="5"/>
  <c r="G11" i="5" s="1"/>
  <c r="G13" i="5" s="1"/>
  <c r="G23" i="5" s="1"/>
  <c r="AI519" i="1"/>
  <c r="AN519" i="1" s="1"/>
  <c r="AM519" i="1"/>
  <c r="AG512" i="1"/>
  <c r="AI512" i="1" s="1"/>
  <c r="AJ512" i="1" s="1"/>
  <c r="BH540" i="1"/>
  <c r="BI540" i="1" s="1"/>
  <c r="BJ540" i="1" s="1"/>
  <c r="BK540" i="1" s="1"/>
  <c r="BL540" i="1"/>
  <c r="AT521" i="1"/>
  <c r="CO35" i="1"/>
  <c r="CA31" i="2"/>
  <c r="BL568" i="1"/>
  <c r="BL309" i="1"/>
  <c r="BL313" i="1" s="1"/>
  <c r="BA36" i="2"/>
  <c r="AV32" i="2"/>
  <c r="AV76" i="2"/>
  <c r="AV81" i="2"/>
  <c r="AT92" i="2"/>
  <c r="C21" i="5"/>
  <c r="C17" i="5"/>
  <c r="BG332" i="1"/>
  <c r="CP332" i="1" s="1"/>
  <c r="CP313" i="1"/>
  <c r="BG314" i="1"/>
  <c r="BG347" i="1"/>
  <c r="BG12" i="1"/>
  <c r="AO87" i="2"/>
  <c r="AO108" i="2"/>
  <c r="AV521" i="1"/>
  <c r="BK12" i="1"/>
  <c r="BK347" i="1"/>
  <c r="BK646" i="1"/>
  <c r="BK332" i="1"/>
  <c r="BT178" i="1"/>
  <c r="AW521" i="1"/>
  <c r="AO70" i="1"/>
  <c r="AO61" i="1"/>
  <c r="AO60" i="1" s="1"/>
  <c r="M34" i="1"/>
  <c r="R35" i="1"/>
  <c r="M35" i="1"/>
  <c r="AB380" i="1"/>
  <c r="AB54" i="1"/>
  <c r="AT98" i="2"/>
  <c r="AT90" i="2"/>
  <c r="AY92" i="2" s="1"/>
  <c r="AT82" i="2"/>
  <c r="BJ314" i="1" s="1"/>
  <c r="AT99" i="2"/>
  <c r="AT96" i="2"/>
  <c r="AT97" i="2"/>
  <c r="AO91" i="2"/>
  <c r="AO105" i="2"/>
  <c r="AO103" i="2"/>
  <c r="AO107" i="2"/>
  <c r="AO104" i="2"/>
  <c r="AO106" i="2"/>
  <c r="K447" i="1"/>
  <c r="K450" i="1" s="1"/>
  <c r="K59" i="1"/>
  <c r="K69" i="1"/>
  <c r="K113" i="1"/>
  <c r="CB68" i="2"/>
  <c r="R68" i="1"/>
  <c r="R58" i="1"/>
  <c r="AC340" i="1"/>
  <c r="CJ340" i="1" s="1"/>
  <c r="AH342" i="1"/>
  <c r="CJ339" i="1"/>
  <c r="BL157" i="1"/>
  <c r="CQ157" i="1" s="1"/>
  <c r="CQ155" i="1"/>
  <c r="AG464" i="1"/>
  <c r="BK580" i="1"/>
  <c r="AU77" i="2"/>
  <c r="BK581" i="1" s="1"/>
  <c r="AU86" i="2"/>
  <c r="AU100" i="2"/>
  <c r="BE31" i="2"/>
  <c r="BE52" i="2"/>
  <c r="BP309" i="1"/>
  <c r="BP313" i="1" s="1"/>
  <c r="BP568" i="1"/>
  <c r="AZ76" i="2"/>
  <c r="AZ81" i="2"/>
  <c r="AU90" i="2"/>
  <c r="AZ92" i="2" s="1"/>
  <c r="AU98" i="2"/>
  <c r="AU82" i="2"/>
  <c r="BK314" i="1" s="1"/>
  <c r="AU96" i="2"/>
  <c r="AU99" i="2"/>
  <c r="AP87" i="2"/>
  <c r="AP108" i="2"/>
  <c r="CG27" i="1"/>
  <c r="BO221" i="1"/>
  <c r="BN187" i="1"/>
  <c r="AX55" i="7"/>
  <c r="BL218" i="1"/>
  <c r="BK449" i="1"/>
  <c r="BK141" i="1"/>
  <c r="BL141" i="1" s="1"/>
  <c r="CQ141" i="1" s="1"/>
  <c r="CQ206" i="1"/>
  <c r="BL556" i="1"/>
  <c r="BM206" i="1"/>
  <c r="AQ60" i="7"/>
  <c r="AQ61" i="7" s="1"/>
  <c r="BA520" i="1"/>
  <c r="BF520" i="1" s="1"/>
  <c r="AX521" i="1"/>
  <c r="N274" i="1"/>
  <c r="CG274" i="1" s="1"/>
  <c r="CG273" i="1"/>
  <c r="BC621" i="1"/>
  <c r="BC626" i="1" s="1"/>
  <c r="BC632" i="1" s="1"/>
  <c r="CQ189" i="1"/>
  <c r="BM189" i="1"/>
  <c r="BM127" i="1" s="1"/>
  <c r="AM515" i="1"/>
  <c r="BR216" i="1"/>
  <c r="CR216" i="1"/>
  <c r="BT176" i="1"/>
  <c r="BD621" i="1"/>
  <c r="BD626" i="1" s="1"/>
  <c r="BD632" i="1" s="1"/>
  <c r="AM426" i="1"/>
  <c r="AM459" i="1"/>
  <c r="W509" i="1"/>
  <c r="S54" i="1"/>
  <c r="CH49" i="1"/>
  <c r="S380" i="1"/>
  <c r="BS179" i="1"/>
  <c r="AE510" i="1"/>
  <c r="BP635" i="1"/>
  <c r="BE332" i="1"/>
  <c r="BE347" i="1"/>
  <c r="BE12" i="1"/>
  <c r="BE646" i="1"/>
  <c r="BE350" i="1"/>
  <c r="O134" i="1"/>
  <c r="O161" i="1" s="1"/>
  <c r="AP91" i="2"/>
  <c r="AP105" i="2"/>
  <c r="AP103" i="2"/>
  <c r="AP104" i="2"/>
  <c r="AP107" i="2"/>
  <c r="AP106" i="2"/>
  <c r="BG180" i="1"/>
  <c r="BF15" i="1"/>
  <c r="BG208" i="1"/>
  <c r="BF13" i="1"/>
  <c r="BF25" i="1"/>
  <c r="BG175" i="1"/>
  <c r="BF649" i="1"/>
  <c r="CJ42" i="1"/>
  <c r="B5" i="5" s="1"/>
  <c r="AC43" i="1"/>
  <c r="CJ43" i="1" s="1"/>
  <c r="AC351" i="1"/>
  <c r="AC49" i="1"/>
  <c r="AC468" i="1"/>
  <c r="CJ27" i="1"/>
  <c r="CF27" i="1"/>
  <c r="I49" i="1"/>
  <c r="I43" i="1"/>
  <c r="CF43" i="1" s="1"/>
  <c r="I351" i="1"/>
  <c r="CF42" i="1"/>
  <c r="AX447" i="1"/>
  <c r="AX69" i="1"/>
  <c r="AX59" i="1"/>
  <c r="AX61" i="1"/>
  <c r="AX113" i="1"/>
  <c r="BE611" i="1"/>
  <c r="BG638" i="1"/>
  <c r="BG639" i="1" s="1"/>
  <c r="BH639" i="1" s="1"/>
  <c r="M463" i="1"/>
  <c r="N457" i="1"/>
  <c r="N463" i="1" s="1"/>
  <c r="Q70" i="1"/>
  <c r="Q61" i="1"/>
  <c r="Q71" i="1" s="1"/>
  <c r="CO34" i="1"/>
  <c r="G9" i="5" s="1"/>
  <c r="BJ646" i="1"/>
  <c r="BJ12" i="1"/>
  <c r="BJ347" i="1"/>
  <c r="BJ332" i="1"/>
  <c r="AK92" i="7"/>
  <c r="R469" i="1"/>
  <c r="R471" i="1" s="1"/>
  <c r="R478" i="1" s="1"/>
  <c r="R480" i="1"/>
  <c r="U549" i="1"/>
  <c r="V549" i="1"/>
  <c r="T549" i="1"/>
  <c r="R549" i="1"/>
  <c r="BA523" i="1"/>
  <c r="BK636" i="1"/>
  <c r="BL635" i="1"/>
  <c r="BL636" i="1" s="1"/>
  <c r="AQ77" i="2"/>
  <c r="AQ86" i="2"/>
  <c r="BG580" i="1"/>
  <c r="BZ76" i="2"/>
  <c r="AQ100" i="2"/>
  <c r="BZ100" i="2" s="1"/>
  <c r="CA36" i="2"/>
  <c r="BL570" i="1"/>
  <c r="AV83" i="2"/>
  <c r="CA83" i="2" s="1"/>
  <c r="AU97" i="2"/>
  <c r="CA566" i="1"/>
  <c r="CD29" i="2"/>
  <c r="N49" i="1"/>
  <c r="N43" i="1"/>
  <c r="CG43" i="1" s="1"/>
  <c r="N351" i="1"/>
  <c r="CG42" i="1"/>
  <c r="N468" i="1"/>
  <c r="R503" i="1"/>
  <c r="AJ519" i="1"/>
  <c r="AO519" i="1" s="1"/>
  <c r="AO134" i="1"/>
  <c r="AO161" i="1" s="1"/>
  <c r="AY523" i="1"/>
  <c r="BH63" i="1"/>
  <c r="BI436" i="1"/>
  <c r="BM436" i="1"/>
  <c r="CD61" i="2" l="1"/>
  <c r="CA311" i="1"/>
  <c r="CB311" i="1" s="1"/>
  <c r="CO54" i="1"/>
  <c r="BJ326" i="1"/>
  <c r="BL326" i="1" s="1"/>
  <c r="BR270" i="1"/>
  <c r="BR271" i="1" s="1"/>
  <c r="BB523" i="1"/>
  <c r="BD522" i="1"/>
  <c r="CD24" i="2"/>
  <c r="BH97" i="2"/>
  <c r="BK385" i="1"/>
  <c r="BK384" i="1" s="1"/>
  <c r="BK383" i="1" s="1"/>
  <c r="BK387" i="1"/>
  <c r="BV565" i="1"/>
  <c r="BK25" i="2"/>
  <c r="CA565" i="1" s="1"/>
  <c r="CA308" i="1"/>
  <c r="CB308" i="1" s="1"/>
  <c r="BF23" i="2"/>
  <c r="BU320" i="1"/>
  <c r="BP319" i="1"/>
  <c r="BP318" i="1" s="1"/>
  <c r="BP317" i="1" s="1"/>
  <c r="BP321" i="1"/>
  <c r="BP325" i="1"/>
  <c r="BP324" i="1" s="1"/>
  <c r="BP323" i="1" s="1"/>
  <c r="BU326" i="1"/>
  <c r="BP327" i="1"/>
  <c r="BS350" i="1"/>
  <c r="BS317" i="1"/>
  <c r="BS649" i="1" s="1"/>
  <c r="BS650" i="1" s="1"/>
  <c r="BS332" i="1"/>
  <c r="BS12" i="1"/>
  <c r="BS200" i="1" s="1"/>
  <c r="BS347" i="1"/>
  <c r="BS323" i="1"/>
  <c r="BS19" i="1" s="1"/>
  <c r="CK54" i="1"/>
  <c r="BO268" i="1"/>
  <c r="BF281" i="1"/>
  <c r="BF282" i="1" s="1"/>
  <c r="Y508" i="1"/>
  <c r="Z508" i="1" s="1"/>
  <c r="BE522" i="1"/>
  <c r="BQ258" i="1"/>
  <c r="CR258" i="1" s="1"/>
  <c r="BQ263" i="1"/>
  <c r="BQ270" i="1" s="1"/>
  <c r="AF511" i="1"/>
  <c r="X408" i="1"/>
  <c r="BB522" i="1"/>
  <c r="BL320" i="1"/>
  <c r="AU19" i="7"/>
  <c r="AU67" i="7" s="1"/>
  <c r="AV67" i="7" s="1"/>
  <c r="AV5" i="7"/>
  <c r="AW5" i="7"/>
  <c r="AT52" i="7"/>
  <c r="AS97" i="7"/>
  <c r="AQ45" i="7"/>
  <c r="AP91" i="7"/>
  <c r="AK39" i="7"/>
  <c r="AJ85" i="7"/>
  <c r="AJ57" i="7"/>
  <c r="AG12" i="7"/>
  <c r="AG19" i="7" s="1"/>
  <c r="AG63" i="7" s="1"/>
  <c r="AG64" i="7" s="1"/>
  <c r="AF19" i="7"/>
  <c r="AO77" i="7"/>
  <c r="AP31" i="7"/>
  <c r="AO57" i="7"/>
  <c r="AM516" i="1"/>
  <c r="AH58" i="1"/>
  <c r="AH59" i="1" s="1"/>
  <c r="AK102" i="7"/>
  <c r="AJ101" i="7"/>
  <c r="AL541" i="1"/>
  <c r="AL539" i="1" s="1"/>
  <c r="AK539" i="1"/>
  <c r="BC522" i="1"/>
  <c r="BM209" i="1"/>
  <c r="CQ209" i="1"/>
  <c r="AW525" i="1"/>
  <c r="AU525" i="1"/>
  <c r="AV525" i="1"/>
  <c r="Z138" i="7"/>
  <c r="Y139" i="7"/>
  <c r="AI58" i="7"/>
  <c r="AI63" i="7"/>
  <c r="AI64" i="7" s="1"/>
  <c r="AX541" i="1"/>
  <c r="BB541" i="1"/>
  <c r="AW539" i="1"/>
  <c r="BW325" i="1"/>
  <c r="BW324" i="1" s="1"/>
  <c r="BW327" i="1"/>
  <c r="AO539" i="1"/>
  <c r="AP541" i="1"/>
  <c r="AI104" i="7"/>
  <c r="AT541" i="1"/>
  <c r="AS539" i="1"/>
  <c r="BA522" i="1"/>
  <c r="BF522" i="1" s="1"/>
  <c r="AE67" i="7"/>
  <c r="AE63" i="7"/>
  <c r="AE64" i="7" s="1"/>
  <c r="AN58" i="7"/>
  <c r="AN63" i="7"/>
  <c r="AN64" i="7" s="1"/>
  <c r="BB469" i="1"/>
  <c r="BB471" i="1" s="1"/>
  <c r="BB478" i="1" s="1"/>
  <c r="BB483" i="1" s="1"/>
  <c r="BB487" i="1" s="1"/>
  <c r="AH549" i="1"/>
  <c r="CK549" i="1" s="1"/>
  <c r="BH96" i="2"/>
  <c r="BH82" i="2"/>
  <c r="BX314" i="1" s="1"/>
  <c r="BX16" i="1"/>
  <c r="BH88" i="2"/>
  <c r="BC91" i="2"/>
  <c r="BS647" i="1"/>
  <c r="BH98" i="2"/>
  <c r="BH90" i="2"/>
  <c r="BH107" i="2" s="1"/>
  <c r="BC106" i="2"/>
  <c r="BC107" i="2"/>
  <c r="BC103" i="2"/>
  <c r="BC105" i="2"/>
  <c r="BC104" i="2"/>
  <c r="BN650" i="1"/>
  <c r="BI129" i="1"/>
  <c r="CR251" i="1"/>
  <c r="AQ483" i="1"/>
  <c r="AQ487" i="1" s="1"/>
  <c r="BN17" i="1"/>
  <c r="BN196" i="1" s="1"/>
  <c r="BN655" i="1"/>
  <c r="BN657" i="1" s="1"/>
  <c r="BN658" i="1" s="1"/>
  <c r="AH464" i="1"/>
  <c r="BI481" i="1"/>
  <c r="BN653" i="1"/>
  <c r="BE372" i="1"/>
  <c r="BE373" i="1"/>
  <c r="BG177" i="1" s="1"/>
  <c r="BG373" i="1" s="1"/>
  <c r="BH373" i="1" s="1"/>
  <c r="BE370" i="1"/>
  <c r="BE365" i="1"/>
  <c r="BJ365" i="1" s="1"/>
  <c r="BO365" i="1" s="1"/>
  <c r="BT365" i="1" s="1"/>
  <c r="BY365" i="1" s="1"/>
  <c r="BE367" i="1"/>
  <c r="BJ367" i="1" s="1"/>
  <c r="BO367" i="1" s="1"/>
  <c r="BT367" i="1" s="1"/>
  <c r="BY367" i="1" s="1"/>
  <c r="BE371" i="1"/>
  <c r="BE368" i="1"/>
  <c r="BE369" i="1"/>
  <c r="BJ369" i="1" s="1"/>
  <c r="BO369" i="1" s="1"/>
  <c r="BT369" i="1" s="1"/>
  <c r="BY369" i="1" s="1"/>
  <c r="BE384" i="1"/>
  <c r="BJ386" i="1" s="1"/>
  <c r="BO386" i="1" s="1"/>
  <c r="BE361" i="1"/>
  <c r="BN207" i="1"/>
  <c r="BN13" i="1"/>
  <c r="BN383" i="1"/>
  <c r="BH204" i="1"/>
  <c r="BH211" i="1" s="1"/>
  <c r="BN175" i="1"/>
  <c r="BI132" i="1"/>
  <c r="BN200" i="1"/>
  <c r="BN19" i="1"/>
  <c r="BN20" i="1" s="1"/>
  <c r="BI124" i="1"/>
  <c r="BI473" i="1" s="1"/>
  <c r="BI474" i="1" s="1"/>
  <c r="BN180" i="1"/>
  <c r="BN25" i="1"/>
  <c r="BN329" i="1"/>
  <c r="BN336" i="1" s="1"/>
  <c r="BN40" i="1"/>
  <c r="BN190" i="1"/>
  <c r="BN360" i="1"/>
  <c r="BN117" i="1" s="1"/>
  <c r="BN208" i="1"/>
  <c r="AT98" i="7"/>
  <c r="AU53" i="7"/>
  <c r="AU26" i="7"/>
  <c r="AT71" i="7"/>
  <c r="AS25" i="7"/>
  <c r="AR72" i="7"/>
  <c r="BC88" i="2"/>
  <c r="BS16" i="1"/>
  <c r="BX313" i="1"/>
  <c r="BX332" i="1" s="1"/>
  <c r="AC396" i="1"/>
  <c r="Y396" i="1"/>
  <c r="Y399" i="1" s="1"/>
  <c r="AC399" i="1" s="1"/>
  <c r="BB58" i="1"/>
  <c r="CO58" i="1" s="1"/>
  <c r="R145" i="2"/>
  <c r="R147" i="2"/>
  <c r="R148" i="2" s="1"/>
  <c r="BG320" i="1"/>
  <c r="CD62" i="2"/>
  <c r="BG326" i="1"/>
  <c r="AN515" i="1"/>
  <c r="BQ252" i="1"/>
  <c r="CR252" i="1" s="1"/>
  <c r="AA506" i="1"/>
  <c r="AX525" i="1"/>
  <c r="AK513" i="1"/>
  <c r="AO513" i="1"/>
  <c r="AT525" i="1"/>
  <c r="AE70" i="1"/>
  <c r="AE61" i="1"/>
  <c r="AE71" i="1" s="1"/>
  <c r="AE544" i="1" s="1"/>
  <c r="AZ483" i="1"/>
  <c r="AZ487" i="1" s="1"/>
  <c r="BL534" i="1"/>
  <c r="BM536" i="1"/>
  <c r="BQ536" i="1"/>
  <c r="CQ198" i="1"/>
  <c r="BM198" i="1"/>
  <c r="BM424" i="1" s="1"/>
  <c r="BM425" i="1" s="1"/>
  <c r="AQ20" i="7"/>
  <c r="BE536" i="1"/>
  <c r="BD534" i="1"/>
  <c r="X415" i="1"/>
  <c r="AC411" i="1" s="1"/>
  <c r="BL188" i="1"/>
  <c r="BK119" i="1"/>
  <c r="BL119" i="1" s="1"/>
  <c r="CQ119" i="1" s="1"/>
  <c r="AZ534" i="1"/>
  <c r="BA536" i="1"/>
  <c r="BA534" i="1" s="1"/>
  <c r="BI536" i="1"/>
  <c r="BH534" i="1"/>
  <c r="F444" i="1"/>
  <c r="F452" i="1" s="1"/>
  <c r="G444" i="1" s="1"/>
  <c r="AQ59" i="1"/>
  <c r="AQ70" i="1" s="1"/>
  <c r="AQ113" i="1"/>
  <c r="AQ134" i="1" s="1"/>
  <c r="AQ161" i="1" s="1"/>
  <c r="AQ447" i="1"/>
  <c r="AQ61" i="1"/>
  <c r="AQ71" i="1" s="1"/>
  <c r="AQ544" i="1" s="1"/>
  <c r="AQ69" i="1"/>
  <c r="AF15" i="1"/>
  <c r="AK15" i="1"/>
  <c r="L138" i="2"/>
  <c r="L40" i="2"/>
  <c r="CF273" i="1"/>
  <c r="I274" i="1"/>
  <c r="CF274" i="1" s="1"/>
  <c r="AA70" i="1"/>
  <c r="AA61" i="1"/>
  <c r="AA71" i="1" s="1"/>
  <c r="BJ319" i="1"/>
  <c r="BJ318" i="1" s="1"/>
  <c r="BJ317" i="1" s="1"/>
  <c r="BJ17" i="1" s="1"/>
  <c r="BJ321" i="1"/>
  <c r="BO320" i="1"/>
  <c r="BQ320" i="1" s="1"/>
  <c r="K142" i="2"/>
  <c r="K145" i="2"/>
  <c r="K147" i="2"/>
  <c r="K148" i="2" s="1"/>
  <c r="CF281" i="1"/>
  <c r="I282" i="1"/>
  <c r="CF282" i="1" s="1"/>
  <c r="BJ325" i="1"/>
  <c r="BJ324" i="1" s="1"/>
  <c r="BJ323" i="1" s="1"/>
  <c r="BL323" i="1" s="1"/>
  <c r="BO326" i="1"/>
  <c r="BQ326" i="1" s="1"/>
  <c r="BJ327" i="1"/>
  <c r="CE61" i="1"/>
  <c r="D71" i="1"/>
  <c r="CE71" i="1" s="1"/>
  <c r="CE134" i="1"/>
  <c r="D161" i="1"/>
  <c r="BQ197" i="1"/>
  <c r="BP131" i="1"/>
  <c r="BQ131" i="1" s="1"/>
  <c r="CR131" i="1" s="1"/>
  <c r="V70" i="1"/>
  <c r="V61" i="1"/>
  <c r="V71" i="1" s="1"/>
  <c r="BG83" i="2"/>
  <c r="BW315" i="1" s="1"/>
  <c r="Y60" i="1"/>
  <c r="Y71" i="1"/>
  <c r="P70" i="1"/>
  <c r="P61" i="1"/>
  <c r="P71" i="1" s="1"/>
  <c r="X469" i="1"/>
  <c r="X471" i="1" s="1"/>
  <c r="X478" i="1" s="1"/>
  <c r="X480" i="1"/>
  <c r="L480" i="1"/>
  <c r="L469" i="1"/>
  <c r="L471" i="1" s="1"/>
  <c r="L478" i="1" s="1"/>
  <c r="Z70" i="1"/>
  <c r="Z61" i="1"/>
  <c r="Z71" i="1" s="1"/>
  <c r="L58" i="1"/>
  <c r="L68" i="1"/>
  <c r="O502" i="1"/>
  <c r="M531" i="1"/>
  <c r="AU483" i="1"/>
  <c r="AU487" i="1" s="1"/>
  <c r="CI54" i="1"/>
  <c r="X68" i="1"/>
  <c r="CI68" i="1" s="1"/>
  <c r="X58" i="1"/>
  <c r="CA524" i="1"/>
  <c r="BA521" i="1"/>
  <c r="G447" i="1"/>
  <c r="G450" i="1" s="1"/>
  <c r="G59" i="1"/>
  <c r="G113" i="1"/>
  <c r="G134" i="1" s="1"/>
  <c r="G161" i="1" s="1"/>
  <c r="G69" i="1"/>
  <c r="W69" i="1"/>
  <c r="W113" i="1"/>
  <c r="W59" i="1"/>
  <c r="W447" i="1"/>
  <c r="W450" i="1" s="1"/>
  <c r="F61" i="1"/>
  <c r="F71" i="1" s="1"/>
  <c r="F70" i="1"/>
  <c r="X549" i="1"/>
  <c r="BI29" i="1"/>
  <c r="BI431" i="1"/>
  <c r="AL518" i="1"/>
  <c r="AS518" i="1" s="1"/>
  <c r="AP518" i="1"/>
  <c r="BV251" i="1"/>
  <c r="BV252" i="1" s="1"/>
  <c r="AI483" i="1"/>
  <c r="AI487" i="1" s="1"/>
  <c r="AS483" i="1"/>
  <c r="AS487" i="1" s="1"/>
  <c r="BB98" i="2"/>
  <c r="BB96" i="2"/>
  <c r="BB99" i="2"/>
  <c r="BB90" i="2"/>
  <c r="BB82" i="2"/>
  <c r="BR314" i="1" s="1"/>
  <c r="BR12" i="1"/>
  <c r="BR383" i="1" s="1"/>
  <c r="BR347" i="1"/>
  <c r="BR646" i="1"/>
  <c r="BR647" i="1" s="1"/>
  <c r="BR350" i="1"/>
  <c r="BR332" i="1"/>
  <c r="BR317" i="1"/>
  <c r="BR323" i="1"/>
  <c r="BI348" i="1"/>
  <c r="BI349" i="1" s="1"/>
  <c r="BI339" i="1"/>
  <c r="BI337" i="1"/>
  <c r="AD70" i="1"/>
  <c r="AD61" i="1"/>
  <c r="AZ447" i="1"/>
  <c r="AZ61" i="1"/>
  <c r="AZ71" i="1" s="1"/>
  <c r="AZ544" i="1" s="1"/>
  <c r="AZ59" i="1"/>
  <c r="AZ70" i="1" s="1"/>
  <c r="AZ113" i="1"/>
  <c r="AZ134" i="1" s="1"/>
  <c r="AZ161" i="1" s="1"/>
  <c r="AZ69" i="1"/>
  <c r="BH20" i="1"/>
  <c r="BH22" i="1"/>
  <c r="BB100" i="2"/>
  <c r="BR580" i="1"/>
  <c r="BB77" i="2"/>
  <c r="BR581" i="1" s="1"/>
  <c r="BB86" i="2"/>
  <c r="BB92" i="2"/>
  <c r="AW91" i="2"/>
  <c r="AW107" i="2"/>
  <c r="AW103" i="2"/>
  <c r="AW106" i="2"/>
  <c r="AW104" i="2"/>
  <c r="AW105" i="2"/>
  <c r="BM16" i="1"/>
  <c r="AW88" i="2"/>
  <c r="BY253" i="1"/>
  <c r="BY252" i="1" s="1"/>
  <c r="BY251" i="1" s="1"/>
  <c r="BY263" i="1" s="1"/>
  <c r="BY255" i="1"/>
  <c r="BC108" i="2"/>
  <c r="BC87" i="2"/>
  <c r="AI59" i="1"/>
  <c r="AI69" i="1"/>
  <c r="AI113" i="1"/>
  <c r="AI134" i="1" s="1"/>
  <c r="AI161" i="1" s="1"/>
  <c r="AI447" i="1"/>
  <c r="BW568" i="1"/>
  <c r="BG76" i="2"/>
  <c r="BW309" i="1"/>
  <c r="BW313" i="1" s="1"/>
  <c r="BG81" i="2"/>
  <c r="BG97" i="2" s="1"/>
  <c r="BM190" i="1"/>
  <c r="BM13" i="1"/>
  <c r="BM180" i="1"/>
  <c r="BM360" i="1"/>
  <c r="BM117" i="1" s="1"/>
  <c r="BM15" i="1"/>
  <c r="BM200" i="1"/>
  <c r="BM208" i="1"/>
  <c r="BM25" i="1"/>
  <c r="BM207" i="1"/>
  <c r="BM40" i="1"/>
  <c r="BM175" i="1"/>
  <c r="AW87" i="2"/>
  <c r="AW108" i="2"/>
  <c r="BH653" i="1"/>
  <c r="BH655" i="1"/>
  <c r="BH657" i="1" s="1"/>
  <c r="BH658" i="1" s="1"/>
  <c r="BC483" i="1"/>
  <c r="BC487" i="1" s="1"/>
  <c r="BH77" i="2"/>
  <c r="BX581" i="1" s="1"/>
  <c r="BH100" i="2"/>
  <c r="BH86" i="2"/>
  <c r="BX580" i="1"/>
  <c r="BM329" i="1"/>
  <c r="BM17" i="1"/>
  <c r="BM649" i="1"/>
  <c r="BM652" i="1"/>
  <c r="BM653" i="1" s="1"/>
  <c r="BM19" i="1"/>
  <c r="BM20" i="1" s="1"/>
  <c r="BH334" i="1"/>
  <c r="BH336" i="1"/>
  <c r="BM383" i="1"/>
  <c r="BW268" i="1"/>
  <c r="BW270" i="1"/>
  <c r="BC59" i="1"/>
  <c r="BC70" i="1" s="1"/>
  <c r="BC61" i="1"/>
  <c r="BC71" i="1" s="1"/>
  <c r="BC544" i="1" s="1"/>
  <c r="BC447" i="1"/>
  <c r="BC113" i="1"/>
  <c r="BC134" i="1" s="1"/>
  <c r="BC161" i="1" s="1"/>
  <c r="BC69" i="1"/>
  <c r="AN483" i="1"/>
  <c r="AN487" i="1" s="1"/>
  <c r="BA447" i="1"/>
  <c r="BA59" i="1"/>
  <c r="BA70" i="1" s="1"/>
  <c r="BA69" i="1"/>
  <c r="BA113" i="1"/>
  <c r="BA134" i="1" s="1"/>
  <c r="BA161" i="1" s="1"/>
  <c r="BA61" i="1"/>
  <c r="BA71" i="1" s="1"/>
  <c r="BA544" i="1" s="1"/>
  <c r="AU69" i="1"/>
  <c r="AU447" i="1"/>
  <c r="AU59" i="1"/>
  <c r="AU70" i="1" s="1"/>
  <c r="AU61" i="1"/>
  <c r="AU71" i="1" s="1"/>
  <c r="AU544" i="1" s="1"/>
  <c r="AU113" i="1"/>
  <c r="AU134" i="1" s="1"/>
  <c r="AU161" i="1" s="1"/>
  <c r="AT483" i="1"/>
  <c r="AT487" i="1" s="1"/>
  <c r="AP483" i="1"/>
  <c r="AP487" i="1" s="1"/>
  <c r="AN69" i="1"/>
  <c r="AN447" i="1"/>
  <c r="AN59" i="1"/>
  <c r="AN113" i="1"/>
  <c r="AN134" i="1" s="1"/>
  <c r="AN161" i="1" s="1"/>
  <c r="AN164" i="1" s="1"/>
  <c r="BW387" i="1"/>
  <c r="BW385" i="1"/>
  <c r="BW384" i="1" s="1"/>
  <c r="AG61" i="1"/>
  <c r="AG71" i="1" s="1"/>
  <c r="AG544" i="1" s="1"/>
  <c r="AG70" i="1"/>
  <c r="AS59" i="1"/>
  <c r="AS70" i="1" s="1"/>
  <c r="AS61" i="1"/>
  <c r="AS71" i="1" s="1"/>
  <c r="AS544" i="1" s="1"/>
  <c r="AS113" i="1"/>
  <c r="AS134" i="1" s="1"/>
  <c r="AS161" i="1" s="1"/>
  <c r="AS447" i="1"/>
  <c r="AS69" i="1"/>
  <c r="AW68" i="1"/>
  <c r="CN68" i="1" s="1"/>
  <c r="CN54" i="1"/>
  <c r="AW549" i="1"/>
  <c r="C10" i="5"/>
  <c r="C11" i="5" s="1"/>
  <c r="C13" i="5" s="1"/>
  <c r="C23" i="5" s="1"/>
  <c r="AH469" i="1"/>
  <c r="AH471" i="1" s="1"/>
  <c r="AH478" i="1" s="1"/>
  <c r="AH480" i="1"/>
  <c r="AR549" i="1"/>
  <c r="AW380" i="1"/>
  <c r="CM281" i="1"/>
  <c r="AR282" i="1"/>
  <c r="CM282" i="1" s="1"/>
  <c r="AR351" i="1"/>
  <c r="AT69" i="1"/>
  <c r="AW58" i="1"/>
  <c r="AT61" i="1"/>
  <c r="AT447" i="1"/>
  <c r="AT113" i="1"/>
  <c r="AT59" i="1"/>
  <c r="AA160" i="2"/>
  <c r="AQ570" i="1"/>
  <c r="CM34" i="1"/>
  <c r="E9" i="5" s="1"/>
  <c r="AF134" i="1"/>
  <c r="AF161" i="1" s="1"/>
  <c r="AG113" i="1"/>
  <c r="AG134" i="1" s="1"/>
  <c r="AG161" i="1" s="1"/>
  <c r="AH14" i="1"/>
  <c r="CK14" i="1" s="1"/>
  <c r="BU85" i="2"/>
  <c r="AR58" i="1"/>
  <c r="AP59" i="1"/>
  <c r="AP447" i="1"/>
  <c r="AP69" i="1"/>
  <c r="AP113" i="1"/>
  <c r="AF71" i="1"/>
  <c r="AF544" i="1" s="1"/>
  <c r="W80" i="2"/>
  <c r="W75" i="2"/>
  <c r="BV42" i="2"/>
  <c r="AB43" i="2"/>
  <c r="BW43" i="2" s="1"/>
  <c r="V85" i="2"/>
  <c r="AA77" i="2"/>
  <c r="AQ581" i="1" s="1"/>
  <c r="CT233" i="1"/>
  <c r="CA234" i="1"/>
  <c r="CT234" i="1" s="1"/>
  <c r="BW32" i="2"/>
  <c r="AR569" i="1"/>
  <c r="AR380" i="1"/>
  <c r="CM54" i="1"/>
  <c r="AR68" i="1"/>
  <c r="CM68" i="1" s="1"/>
  <c r="AF70" i="1"/>
  <c r="AF60" i="1"/>
  <c r="W36" i="2"/>
  <c r="AL570" i="1"/>
  <c r="V44" i="2"/>
  <c r="V81" i="2"/>
  <c r="AA83" i="2" s="1"/>
  <c r="V32" i="2"/>
  <c r="V159" i="2"/>
  <c r="V160" i="2" s="1"/>
  <c r="AL309" i="1"/>
  <c r="AL568" i="1"/>
  <c r="V76" i="2"/>
  <c r="V97" i="2" s="1"/>
  <c r="W31" i="2"/>
  <c r="CM273" i="1"/>
  <c r="AR274" i="1"/>
  <c r="CM274" i="1" s="1"/>
  <c r="AJ60" i="1"/>
  <c r="AJ70" i="1"/>
  <c r="J70" i="1"/>
  <c r="J61" i="1"/>
  <c r="J71" i="1" s="1"/>
  <c r="R483" i="1"/>
  <c r="R487" i="1" s="1"/>
  <c r="BJ520" i="1"/>
  <c r="V505" i="1"/>
  <c r="W505" i="1" s="1"/>
  <c r="BO437" i="1"/>
  <c r="BP438" i="1"/>
  <c r="BT270" i="1"/>
  <c r="BT281" i="1" s="1"/>
  <c r="BT282" i="1" s="1"/>
  <c r="BH475" i="1"/>
  <c r="BH397" i="1"/>
  <c r="BH144" i="1"/>
  <c r="BU263" i="1"/>
  <c r="BU268" i="1" s="1"/>
  <c r="BV276" i="1"/>
  <c r="CS276" i="1" s="1"/>
  <c r="BV277" i="1"/>
  <c r="BV278" i="1" s="1"/>
  <c r="BJ350" i="1"/>
  <c r="BL345" i="1"/>
  <c r="BL344" i="1" s="1"/>
  <c r="BJ38" i="1"/>
  <c r="BJ344" i="1"/>
  <c r="BO345" i="1"/>
  <c r="BW472" i="1"/>
  <c r="BW398" i="1"/>
  <c r="BS268" i="1"/>
  <c r="BS270" i="1"/>
  <c r="CR236" i="1"/>
  <c r="BQ237" i="1"/>
  <c r="CR237" i="1" s="1"/>
  <c r="BS114" i="1"/>
  <c r="BS37" i="1"/>
  <c r="BP270" i="1"/>
  <c r="BP268" i="1"/>
  <c r="CA246" i="1"/>
  <c r="CT246" i="1" s="1"/>
  <c r="CT245" i="1"/>
  <c r="BE37" i="1"/>
  <c r="BE40" i="1" s="1"/>
  <c r="BG38" i="1"/>
  <c r="CC7" i="2"/>
  <c r="BF8" i="2"/>
  <c r="CC8" i="2" s="1"/>
  <c r="BV236" i="1"/>
  <c r="BV246" i="1"/>
  <c r="CS245" i="1"/>
  <c r="BV257" i="1"/>
  <c r="BX263" i="1"/>
  <c r="CQ258" i="1"/>
  <c r="BN273" i="1"/>
  <c r="BN274" i="1" s="1"/>
  <c r="BN281" i="1"/>
  <c r="BN282" i="1" s="1"/>
  <c r="BN271" i="1"/>
  <c r="BF274" i="1"/>
  <c r="BK271" i="1"/>
  <c r="BK281" i="1"/>
  <c r="BK282" i="1" s="1"/>
  <c r="BK273" i="1"/>
  <c r="BK274" i="1" s="1"/>
  <c r="BV586" i="1"/>
  <c r="CC17" i="2"/>
  <c r="BI468" i="1"/>
  <c r="BI43" i="1"/>
  <c r="BK344" i="1"/>
  <c r="BK38" i="1"/>
  <c r="BP345" i="1"/>
  <c r="BP350" i="1" s="1"/>
  <c r="BN472" i="1"/>
  <c r="BN398" i="1"/>
  <c r="CA236" i="1"/>
  <c r="BK8" i="2"/>
  <c r="CD8" i="2" s="1"/>
  <c r="CD7" i="2"/>
  <c r="BZ246" i="1"/>
  <c r="BZ277" i="1"/>
  <c r="BZ276" i="1" s="1"/>
  <c r="BZ251" i="1"/>
  <c r="BZ257" i="1"/>
  <c r="BZ236" i="1"/>
  <c r="BZ237" i="1" s="1"/>
  <c r="BJ8" i="2"/>
  <c r="CD21" i="2"/>
  <c r="CA587" i="1"/>
  <c r="BG273" i="1"/>
  <c r="CP270" i="1"/>
  <c r="BG271" i="1"/>
  <c r="CP271" i="1" s="1"/>
  <c r="BG281" i="1"/>
  <c r="BF37" i="1"/>
  <c r="BX276" i="1"/>
  <c r="BX38" i="1"/>
  <c r="BL268" i="1"/>
  <c r="CQ268" i="1" s="1"/>
  <c r="BL270" i="1"/>
  <c r="CQ263" i="1"/>
  <c r="CR246" i="1"/>
  <c r="BO273" i="1"/>
  <c r="BO274" i="1" s="1"/>
  <c r="BO281" i="1"/>
  <c r="BO282" i="1" s="1"/>
  <c r="BO271" i="1"/>
  <c r="CA586" i="1"/>
  <c r="CD17" i="2"/>
  <c r="AY88" i="2"/>
  <c r="BO16" i="1"/>
  <c r="AN516" i="1"/>
  <c r="AJ516" i="1"/>
  <c r="AO516" i="1" s="1"/>
  <c r="AO512" i="1"/>
  <c r="AK512" i="1"/>
  <c r="AL512" i="1" s="1"/>
  <c r="T503" i="1"/>
  <c r="CO549" i="1"/>
  <c r="S549" i="1"/>
  <c r="N464" i="1"/>
  <c r="S464" i="1"/>
  <c r="AX71" i="1"/>
  <c r="CF49" i="1"/>
  <c r="I54" i="1"/>
  <c r="I380" i="1"/>
  <c r="B7" i="5"/>
  <c r="B8" i="5"/>
  <c r="C7" i="5"/>
  <c r="BF500" i="1"/>
  <c r="BF526" i="1" s="1"/>
  <c r="BF458" i="1"/>
  <c r="BG200" i="1"/>
  <c r="AF510" i="1"/>
  <c r="BE523" i="1"/>
  <c r="S469" i="1"/>
  <c r="S471" i="1" s="1"/>
  <c r="S478" i="1" s="1"/>
  <c r="S480" i="1"/>
  <c r="Y509" i="1"/>
  <c r="BU176" i="1"/>
  <c r="BV176" i="1" s="1"/>
  <c r="BS216" i="1"/>
  <c r="BK520" i="1"/>
  <c r="AU104" i="2"/>
  <c r="AU105" i="2"/>
  <c r="AU107" i="2"/>
  <c r="AU91" i="2"/>
  <c r="AU103" i="2"/>
  <c r="AU106" i="2"/>
  <c r="BU568" i="1"/>
  <c r="BJ31" i="2"/>
  <c r="BU309" i="1"/>
  <c r="BU313" i="1" s="1"/>
  <c r="BJ52" i="2"/>
  <c r="BE81" i="2"/>
  <c r="BJ83" i="2" s="1"/>
  <c r="BZ315" i="1" s="1"/>
  <c r="BE76" i="2"/>
  <c r="BH520" i="1"/>
  <c r="BU178" i="1"/>
  <c r="BV178" i="1" s="1"/>
  <c r="BK652" i="1"/>
  <c r="BK653" i="1" s="1"/>
  <c r="BK329" i="1"/>
  <c r="BK19" i="1"/>
  <c r="BK20" i="1" s="1"/>
  <c r="CC68" i="2"/>
  <c r="AV98" i="2"/>
  <c r="CA98" i="2" s="1"/>
  <c r="CA81" i="2"/>
  <c r="AV82" i="2"/>
  <c r="CA82" i="2" s="1"/>
  <c r="AV90" i="2"/>
  <c r="AV96" i="2"/>
  <c r="CA96" i="2" s="1"/>
  <c r="AV99" i="2"/>
  <c r="CA99" i="2" s="1"/>
  <c r="AV97" i="2"/>
  <c r="CA97" i="2" s="1"/>
  <c r="BB521" i="1"/>
  <c r="AY521" i="1"/>
  <c r="BD521" i="1" s="1"/>
  <c r="CG33" i="1"/>
  <c r="N34" i="1"/>
  <c r="CG34" i="1" s="1"/>
  <c r="N35" i="1"/>
  <c r="CG35" i="1" s="1"/>
  <c r="S35" i="1"/>
  <c r="CH35" i="1" s="1"/>
  <c r="AV92" i="2"/>
  <c r="BQ116" i="1"/>
  <c r="BD83" i="2"/>
  <c r="BT315" i="1" s="1"/>
  <c r="BT568" i="1"/>
  <c r="BI31" i="2"/>
  <c r="BT309" i="1"/>
  <c r="BT313" i="1" s="1"/>
  <c r="BI52" i="2"/>
  <c r="BF31" i="2"/>
  <c r="BD76" i="2"/>
  <c r="BD81" i="2"/>
  <c r="BD97" i="2" s="1"/>
  <c r="I34" i="1"/>
  <c r="CF34" i="1" s="1"/>
  <c r="CF33" i="1"/>
  <c r="I35" i="1"/>
  <c r="CF35" i="1" s="1"/>
  <c r="BM535" i="1"/>
  <c r="BN535" i="1" s="1"/>
  <c r="BO535" i="1" s="1"/>
  <c r="BP535" i="1" s="1"/>
  <c r="BQ535" i="1"/>
  <c r="AL514" i="1"/>
  <c r="AS514" i="1" s="1"/>
  <c r="AZ521" i="1"/>
  <c r="AM512" i="1"/>
  <c r="BF523" i="1"/>
  <c r="AD432" i="1"/>
  <c r="AD434" i="1" s="1"/>
  <c r="AE430" i="1" s="1"/>
  <c r="BU635" i="1"/>
  <c r="BV600" i="1"/>
  <c r="T504" i="1"/>
  <c r="BM157" i="1"/>
  <c r="M464" i="1"/>
  <c r="R464" i="1"/>
  <c r="BI639" i="1"/>
  <c r="BH638" i="1"/>
  <c r="AC380" i="1"/>
  <c r="CJ49" i="1"/>
  <c r="AC54" i="1"/>
  <c r="BF18" i="1"/>
  <c r="BF22" i="1"/>
  <c r="CP208" i="1"/>
  <c r="BG372" i="1"/>
  <c r="BP636" i="1"/>
  <c r="BQ635" i="1"/>
  <c r="BQ636" i="1" s="1"/>
  <c r="BT179" i="1"/>
  <c r="BG632" i="1"/>
  <c r="BL425" i="1"/>
  <c r="BM556" i="1"/>
  <c r="AR60" i="7"/>
  <c r="AR61" i="7" s="1"/>
  <c r="BN206" i="1"/>
  <c r="CQ218" i="1"/>
  <c r="BM218" i="1"/>
  <c r="BL449" i="1"/>
  <c r="AY55" i="7"/>
  <c r="BO187" i="1"/>
  <c r="AZ90" i="2"/>
  <c r="AZ82" i="2"/>
  <c r="BP314" i="1" s="1"/>
  <c r="AZ98" i="2"/>
  <c r="AZ99" i="2"/>
  <c r="AZ96" i="2"/>
  <c r="BP12" i="1"/>
  <c r="BP646" i="1"/>
  <c r="BP332" i="1"/>
  <c r="BP347" i="1"/>
  <c r="AZ97" i="2"/>
  <c r="K70" i="1"/>
  <c r="K61" i="1"/>
  <c r="K71" i="1" s="1"/>
  <c r="AB68" i="1"/>
  <c r="AB58" i="1"/>
  <c r="BK208" i="1"/>
  <c r="BL208" i="1" s="1"/>
  <c r="BK175" i="1"/>
  <c r="BL175" i="1" s="1"/>
  <c r="BK25" i="1"/>
  <c r="BK200" i="1"/>
  <c r="BK13" i="1"/>
  <c r="BK207" i="1"/>
  <c r="BK180" i="1"/>
  <c r="BL180" i="1" s="1"/>
  <c r="BK15" i="1"/>
  <c r="BK360" i="1"/>
  <c r="BK117" i="1" s="1"/>
  <c r="CP314" i="1"/>
  <c r="BG315" i="1"/>
  <c r="BH523" i="1"/>
  <c r="AV86" i="2"/>
  <c r="CA76" i="2"/>
  <c r="AV77" i="2"/>
  <c r="BL580" i="1"/>
  <c r="AV100" i="2"/>
  <c r="CA100" i="2" s="1"/>
  <c r="CB36" i="2"/>
  <c r="BQ570" i="1"/>
  <c r="BA83" i="2"/>
  <c r="CB83" i="2" s="1"/>
  <c r="BM540" i="1"/>
  <c r="BN540" i="1" s="1"/>
  <c r="BO540" i="1" s="1"/>
  <c r="BP540" i="1" s="1"/>
  <c r="BQ540" i="1"/>
  <c r="M469" i="1"/>
  <c r="M471" i="1" s="1"/>
  <c r="M478" i="1" s="1"/>
  <c r="M480" i="1"/>
  <c r="Q549" i="1"/>
  <c r="P549" i="1"/>
  <c r="M549" i="1"/>
  <c r="O549" i="1"/>
  <c r="AY77" i="2"/>
  <c r="BO581" i="1" s="1"/>
  <c r="AY86" i="2"/>
  <c r="BO580" i="1"/>
  <c r="AY100" i="2"/>
  <c r="BO332" i="1"/>
  <c r="BO347" i="1"/>
  <c r="BO12" i="1"/>
  <c r="BO646" i="1"/>
  <c r="AR24" i="7"/>
  <c r="CO68" i="1"/>
  <c r="BF334" i="1"/>
  <c r="BF336" i="1"/>
  <c r="BC521" i="1"/>
  <c r="AC35" i="1"/>
  <c r="CJ35" i="1" s="1"/>
  <c r="CJ33" i="1"/>
  <c r="AC34" i="1"/>
  <c r="CJ34" i="1" s="1"/>
  <c r="B9" i="5" s="1"/>
  <c r="AH35" i="1"/>
  <c r="CK35" i="1" s="1"/>
  <c r="BV606" i="1"/>
  <c r="AQ512" i="1"/>
  <c r="BN155" i="1"/>
  <c r="BN157" i="1" s="1"/>
  <c r="BO214" i="1"/>
  <c r="AK515" i="1"/>
  <c r="CG49" i="1"/>
  <c r="N54" i="1"/>
  <c r="N380" i="1"/>
  <c r="AQ87" i="2"/>
  <c r="BZ87" i="2" s="1"/>
  <c r="BZ86" i="2"/>
  <c r="AQ108" i="2"/>
  <c r="BZ108" i="2" s="1"/>
  <c r="U503" i="1"/>
  <c r="BJ13" i="1"/>
  <c r="BJ360" i="1"/>
  <c r="BJ207" i="1"/>
  <c r="BJ208" i="1"/>
  <c r="BJ15" i="1"/>
  <c r="BJ25" i="1"/>
  <c r="BE612" i="1"/>
  <c r="BE619" i="1"/>
  <c r="BG611" i="1"/>
  <c r="BG612" i="1" s="1"/>
  <c r="AX70" i="1"/>
  <c r="BF655" i="1"/>
  <c r="BF657" i="1" s="1"/>
  <c r="BF658" i="1" s="1"/>
  <c r="BF650" i="1"/>
  <c r="BE647" i="1"/>
  <c r="BG646" i="1"/>
  <c r="BE652" i="1"/>
  <c r="BG323" i="1"/>
  <c r="BE329" i="1"/>
  <c r="BE19" i="1"/>
  <c r="S68" i="1"/>
  <c r="CH68" i="1" s="1"/>
  <c r="S58" i="1"/>
  <c r="CH54" i="1"/>
  <c r="BN189" i="1"/>
  <c r="BN127" i="1" s="1"/>
  <c r="BP221" i="1"/>
  <c r="BE83" i="2"/>
  <c r="BU315" i="1" s="1"/>
  <c r="AT103" i="2"/>
  <c r="AT105" i="2"/>
  <c r="AT91" i="2"/>
  <c r="AT107" i="2"/>
  <c r="AT104" i="2"/>
  <c r="AT106" i="2"/>
  <c r="AB480" i="1"/>
  <c r="AB469" i="1"/>
  <c r="AB471" i="1" s="1"/>
  <c r="AB478" i="1" s="1"/>
  <c r="AD549" i="1"/>
  <c r="AE549" i="1"/>
  <c r="AB549" i="1"/>
  <c r="AF549" i="1"/>
  <c r="AB506" i="1"/>
  <c r="AD506" i="1" s="1"/>
  <c r="AO71" i="1"/>
  <c r="BK649" i="1"/>
  <c r="BK17" i="1"/>
  <c r="BI520" i="1"/>
  <c r="BL569" i="1"/>
  <c r="CA32" i="2"/>
  <c r="BL314" i="1"/>
  <c r="BL347" i="1"/>
  <c r="CQ313" i="1"/>
  <c r="BL332" i="1"/>
  <c r="CQ332" i="1" s="1"/>
  <c r="BL12" i="1"/>
  <c r="BG520" i="1"/>
  <c r="BL520" i="1" s="1"/>
  <c r="H58" i="1"/>
  <c r="H68" i="1"/>
  <c r="M58" i="1"/>
  <c r="M68" i="1"/>
  <c r="BE427" i="1"/>
  <c r="AY82" i="2"/>
  <c r="BO314" i="1" s="1"/>
  <c r="AY98" i="2"/>
  <c r="AY90" i="2"/>
  <c r="AY96" i="2"/>
  <c r="AY99" i="2"/>
  <c r="BF621" i="1"/>
  <c r="BF626" i="1" s="1"/>
  <c r="BF632" i="1" s="1"/>
  <c r="BV593" i="1"/>
  <c r="BV594" i="1"/>
  <c r="BL215" i="1"/>
  <c r="AB507" i="1"/>
  <c r="BG581" i="1"/>
  <c r="BZ77" i="2"/>
  <c r="BJ647" i="1"/>
  <c r="BL646" i="1"/>
  <c r="AX134" i="1"/>
  <c r="AX161" i="1" s="1"/>
  <c r="BG207" i="1"/>
  <c r="BH126" i="1"/>
  <c r="CP175" i="1"/>
  <c r="BG365" i="1"/>
  <c r="CP180" i="1"/>
  <c r="BG369" i="1"/>
  <c r="BE15" i="1"/>
  <c r="BE25" i="1"/>
  <c r="BE13" i="1"/>
  <c r="BG317" i="1"/>
  <c r="BE649" i="1"/>
  <c r="BE17" i="1"/>
  <c r="BE366" i="1" s="1"/>
  <c r="BJ366" i="1" s="1"/>
  <c r="BO366" i="1" s="1"/>
  <c r="BT366" i="1" s="1"/>
  <c r="BY366" i="1" s="1"/>
  <c r="BD523" i="1"/>
  <c r="AZ88" i="2"/>
  <c r="BP16" i="1"/>
  <c r="AZ86" i="2"/>
  <c r="AZ77" i="2"/>
  <c r="BP581" i="1" s="1"/>
  <c r="BP580" i="1"/>
  <c r="AZ100" i="2"/>
  <c r="AU87" i="2"/>
  <c r="AU108" i="2"/>
  <c r="R447" i="1"/>
  <c r="R450" i="1" s="1"/>
  <c r="R59" i="1"/>
  <c r="R113" i="1"/>
  <c r="R69" i="1"/>
  <c r="K134" i="1"/>
  <c r="K161" i="1" s="1"/>
  <c r="BK647" i="1"/>
  <c r="BG15" i="1"/>
  <c r="CP12" i="1"/>
  <c r="BG13" i="1"/>
  <c r="BG25" i="1"/>
  <c r="BG368" i="1"/>
  <c r="BH368" i="1" s="1"/>
  <c r="BI368" i="1" s="1"/>
  <c r="BJ368" i="1" s="1"/>
  <c r="BK368" i="1" s="1"/>
  <c r="BJ16" i="1"/>
  <c r="AT88" i="2"/>
  <c r="BA52" i="2"/>
  <c r="AK519" i="1"/>
  <c r="BZ90" i="2"/>
  <c r="AQ103" i="2"/>
  <c r="BZ103" i="2" s="1"/>
  <c r="AQ91" i="2"/>
  <c r="BZ91" i="2" s="1"/>
  <c r="AQ105" i="2"/>
  <c r="BZ105" i="2" s="1"/>
  <c r="AQ104" i="2"/>
  <c r="BZ104" i="2" s="1"/>
  <c r="AQ107" i="2"/>
  <c r="BZ107" i="2" s="1"/>
  <c r="AQ106" i="2"/>
  <c r="BZ106" i="2" s="1"/>
  <c r="K549" i="1"/>
  <c r="L549" i="1"/>
  <c r="J549" i="1"/>
  <c r="AJ105" i="7"/>
  <c r="AG517" i="1"/>
  <c r="AM517" i="1" s="1"/>
  <c r="BQ568" i="1"/>
  <c r="BA32" i="2"/>
  <c r="BF36" i="2"/>
  <c r="BF52" i="2" s="1"/>
  <c r="CB31" i="2"/>
  <c r="BQ309" i="1"/>
  <c r="BQ313" i="1" s="1"/>
  <c r="BA81" i="2"/>
  <c r="BA97" i="2" s="1"/>
  <c r="CB97" i="2" s="1"/>
  <c r="BA76" i="2"/>
  <c r="AT87" i="2"/>
  <c r="AT108" i="2"/>
  <c r="BF20" i="1"/>
  <c r="AR514" i="1"/>
  <c r="AN512" i="1"/>
  <c r="BG523" i="1"/>
  <c r="AH432" i="1"/>
  <c r="BZ593" i="1"/>
  <c r="BZ605" i="1"/>
  <c r="CA605" i="1" s="1"/>
  <c r="BZ599" i="1"/>
  <c r="CA599" i="1" s="1"/>
  <c r="CA592" i="1"/>
  <c r="BJ436" i="1"/>
  <c r="BI63" i="1"/>
  <c r="BI64" i="1" s="1"/>
  <c r="BN436" i="1"/>
  <c r="BM63" i="1"/>
  <c r="BH65" i="1"/>
  <c r="BH64" i="1"/>
  <c r="BR273" i="1" l="1"/>
  <c r="BR274" i="1" s="1"/>
  <c r="BR281" i="1"/>
  <c r="BR282" i="1" s="1"/>
  <c r="BQ268" i="1"/>
  <c r="CR268" i="1" s="1"/>
  <c r="CR263" i="1"/>
  <c r="F453" i="1"/>
  <c r="CD25" i="2"/>
  <c r="BK23" i="2"/>
  <c r="BU386" i="1"/>
  <c r="BP387" i="1"/>
  <c r="BP385" i="1"/>
  <c r="BP384" i="1" s="1"/>
  <c r="BP383" i="1" s="1"/>
  <c r="Y411" i="1"/>
  <c r="Y413" i="1" s="1"/>
  <c r="AC413" i="1" s="1"/>
  <c r="AC415" i="1" s="1"/>
  <c r="BU327" i="1"/>
  <c r="BU325" i="1"/>
  <c r="BU324" i="1" s="1"/>
  <c r="BU323" i="1" s="1"/>
  <c r="BZ326" i="1"/>
  <c r="BU319" i="1"/>
  <c r="BU318" i="1" s="1"/>
  <c r="BU317" i="1" s="1"/>
  <c r="BZ320" i="1"/>
  <c r="BU321" i="1"/>
  <c r="BS190" i="1"/>
  <c r="BS40" i="1"/>
  <c r="BS383" i="1"/>
  <c r="BS458" i="1" s="1"/>
  <c r="BS25" i="1"/>
  <c r="BS360" i="1"/>
  <c r="BS117" i="1" s="1"/>
  <c r="BS17" i="1"/>
  <c r="BS196" i="1" s="1"/>
  <c r="BS207" i="1"/>
  <c r="BS175" i="1"/>
  <c r="BS20" i="1"/>
  <c r="BS13" i="1"/>
  <c r="BS15" i="1"/>
  <c r="BS180" i="1"/>
  <c r="BS208" i="1"/>
  <c r="BS329" i="1"/>
  <c r="BS336" i="1" s="1"/>
  <c r="BS652" i="1"/>
  <c r="BS655" i="1" s="1"/>
  <c r="BS657" i="1" s="1"/>
  <c r="BS658" i="1" s="1"/>
  <c r="AH447" i="1"/>
  <c r="AH69" i="1"/>
  <c r="CK69" i="1" s="1"/>
  <c r="AG511" i="1"/>
  <c r="AM511" i="1" s="1"/>
  <c r="BH521" i="1"/>
  <c r="BK522" i="1"/>
  <c r="AA508" i="1"/>
  <c r="AB508" i="1" s="1"/>
  <c r="BH105" i="2"/>
  <c r="Y404" i="1"/>
  <c r="Y406" i="1" s="1"/>
  <c r="AC406" i="1" s="1"/>
  <c r="AC404" i="1"/>
  <c r="BC525" i="1"/>
  <c r="BH522" i="1"/>
  <c r="AT539" i="1"/>
  <c r="AU541" i="1"/>
  <c r="AP77" i="7"/>
  <c r="AQ77" i="7" s="1"/>
  <c r="AQ31" i="7"/>
  <c r="AP57" i="7"/>
  <c r="AF63" i="7"/>
  <c r="AF64" i="7" s="1"/>
  <c r="AF67" i="7"/>
  <c r="AF104" i="7" s="1"/>
  <c r="AK85" i="7"/>
  <c r="AK57" i="7"/>
  <c r="AT97" i="7"/>
  <c r="AU52" i="7"/>
  <c r="BQ520" i="1"/>
  <c r="AK516" i="1"/>
  <c r="AP516" i="1" s="1"/>
  <c r="BJ522" i="1"/>
  <c r="AE104" i="7"/>
  <c r="Z139" i="7"/>
  <c r="AA138" i="7"/>
  <c r="AA139" i="7" s="1"/>
  <c r="BM142" i="1"/>
  <c r="BN209" i="1"/>
  <c r="AY5" i="7"/>
  <c r="AY19" i="7" s="1"/>
  <c r="AY67" i="7" s="1"/>
  <c r="AW19" i="7"/>
  <c r="AW67" i="7" s="1"/>
  <c r="BJ200" i="1"/>
  <c r="BJ130" i="1" s="1"/>
  <c r="CK58" i="1"/>
  <c r="G452" i="1"/>
  <c r="G453" i="1" s="1"/>
  <c r="AZ525" i="1"/>
  <c r="AQ541" i="1"/>
  <c r="AQ539" i="1" s="1"/>
  <c r="AP539" i="1"/>
  <c r="BB539" i="1"/>
  <c r="BC541" i="1"/>
  <c r="BG541" i="1"/>
  <c r="BG522" i="1"/>
  <c r="AL102" i="7"/>
  <c r="AK101" i="7"/>
  <c r="BI522" i="1"/>
  <c r="AJ58" i="7"/>
  <c r="AJ63" i="7"/>
  <c r="AJ64" i="7" s="1"/>
  <c r="AR45" i="7"/>
  <c r="AQ91" i="7"/>
  <c r="AX5" i="7"/>
  <c r="AV19" i="7"/>
  <c r="AX539" i="1"/>
  <c r="AY541" i="1"/>
  <c r="AO58" i="7"/>
  <c r="AO63" i="7"/>
  <c r="AO64" i="7" s="1"/>
  <c r="AJ104" i="7"/>
  <c r="BH106" i="2"/>
  <c r="BH91" i="2"/>
  <c r="BN130" i="1"/>
  <c r="BH103" i="2"/>
  <c r="BH104" i="2"/>
  <c r="BX317" i="1"/>
  <c r="BX649" i="1" s="1"/>
  <c r="CP177" i="1"/>
  <c r="AA60" i="1"/>
  <c r="BN22" i="1"/>
  <c r="BN431" i="1" s="1"/>
  <c r="BB59" i="1"/>
  <c r="CO59" i="1" s="1"/>
  <c r="BX12" i="1"/>
  <c r="BN18" i="1"/>
  <c r="BB70" i="1"/>
  <c r="CO70" i="1" s="1"/>
  <c r="BJ19" i="1"/>
  <c r="BJ22" i="1" s="1"/>
  <c r="BN334" i="1"/>
  <c r="BJ175" i="1"/>
  <c r="BK126" i="1" s="1"/>
  <c r="BJ180" i="1"/>
  <c r="BB69" i="1"/>
  <c r="CO69" i="1" s="1"/>
  <c r="BB447" i="1"/>
  <c r="CS251" i="1"/>
  <c r="BB61" i="1"/>
  <c r="CO61" i="1" s="1"/>
  <c r="BJ370" i="1"/>
  <c r="BN126" i="1"/>
  <c r="BN137" i="1"/>
  <c r="BN458" i="1"/>
  <c r="BN500" i="1"/>
  <c r="BN526" i="1" s="1"/>
  <c r="BJ387" i="1"/>
  <c r="BJ385" i="1"/>
  <c r="BJ384" i="1"/>
  <c r="BJ383" i="1" s="1"/>
  <c r="BJ458" i="1" s="1"/>
  <c r="BL386" i="1"/>
  <c r="AV53" i="7"/>
  <c r="AW53" i="7" s="1"/>
  <c r="AU98" i="7"/>
  <c r="AV98" i="7" s="1"/>
  <c r="AV26" i="7"/>
  <c r="AU71" i="7"/>
  <c r="AS72" i="7"/>
  <c r="AT25" i="7"/>
  <c r="BX347" i="1"/>
  <c r="BX323" i="1"/>
  <c r="BX19" i="1" s="1"/>
  <c r="BX350" i="1"/>
  <c r="BX646" i="1"/>
  <c r="BX647" i="1" s="1"/>
  <c r="BN348" i="1"/>
  <c r="BN349" i="1" s="1"/>
  <c r="BN339" i="1"/>
  <c r="BN337" i="1"/>
  <c r="AC401" i="1"/>
  <c r="BG92" i="2"/>
  <c r="BG88" i="2" s="1"/>
  <c r="BJ652" i="1"/>
  <c r="BJ653" i="1" s="1"/>
  <c r="AE60" i="1"/>
  <c r="AY525" i="1"/>
  <c r="BB525" i="1"/>
  <c r="BA525" i="1"/>
  <c r="AP513" i="1"/>
  <c r="AL513" i="1"/>
  <c r="BM534" i="1"/>
  <c r="BN536" i="1"/>
  <c r="BE534" i="1"/>
  <c r="BF536" i="1"/>
  <c r="BF534" i="1" s="1"/>
  <c r="BJ536" i="1"/>
  <c r="BI534" i="1"/>
  <c r="CQ188" i="1"/>
  <c r="BM188" i="1"/>
  <c r="AI517" i="1"/>
  <c r="AJ517" i="1" s="1"/>
  <c r="AR20" i="7"/>
  <c r="BN198" i="1"/>
  <c r="BQ534" i="1"/>
  <c r="BR536" i="1"/>
  <c r="BV536" i="1"/>
  <c r="AS512" i="1"/>
  <c r="BB113" i="1"/>
  <c r="CO113" i="1" s="1"/>
  <c r="BJ649" i="1"/>
  <c r="BJ650" i="1" s="1"/>
  <c r="BT326" i="1"/>
  <c r="BV326" i="1" s="1"/>
  <c r="BO325" i="1"/>
  <c r="BO324" i="1"/>
  <c r="BO323" i="1" s="1"/>
  <c r="BO19" i="1" s="1"/>
  <c r="BO327" i="1"/>
  <c r="L142" i="2"/>
  <c r="L147" i="2"/>
  <c r="L148" i="2" s="1"/>
  <c r="L145" i="2"/>
  <c r="BL317" i="1"/>
  <c r="BL318" i="1" s="1"/>
  <c r="BI351" i="1"/>
  <c r="CE161" i="1"/>
  <c r="D164" i="1"/>
  <c r="BJ329" i="1"/>
  <c r="BJ334" i="1" s="1"/>
  <c r="AT518" i="1"/>
  <c r="Z60" i="1"/>
  <c r="L483" i="1"/>
  <c r="L487" i="1" s="1"/>
  <c r="BO319" i="1"/>
  <c r="BO318" i="1" s="1"/>
  <c r="BO317" i="1" s="1"/>
  <c r="BO649" i="1" s="1"/>
  <c r="BT320" i="1"/>
  <c r="BV320" i="1" s="1"/>
  <c r="BO321" i="1"/>
  <c r="M40" i="2"/>
  <c r="L75" i="2"/>
  <c r="L85" i="2" s="1"/>
  <c r="AB14" i="1" s="1"/>
  <c r="AG15" i="1" s="1"/>
  <c r="L80" i="2"/>
  <c r="CA251" i="1"/>
  <c r="CT251" i="1" s="1"/>
  <c r="AR512" i="1"/>
  <c r="AP512" i="1"/>
  <c r="CR197" i="1"/>
  <c r="BR197" i="1"/>
  <c r="AH483" i="1"/>
  <c r="AH487" i="1" s="1"/>
  <c r="O531" i="1"/>
  <c r="X69" i="1"/>
  <c r="CI69" i="1" s="1"/>
  <c r="X447" i="1"/>
  <c r="X450" i="1" s="1"/>
  <c r="X59" i="1"/>
  <c r="CI58" i="1"/>
  <c r="W61" i="1"/>
  <c r="W71" i="1" s="1"/>
  <c r="W70" i="1"/>
  <c r="P502" i="1"/>
  <c r="L69" i="1"/>
  <c r="L113" i="1"/>
  <c r="L134" i="1" s="1"/>
  <c r="L161" i="1" s="1"/>
  <c r="L59" i="1"/>
  <c r="L447" i="1"/>
  <c r="L450" i="1" s="1"/>
  <c r="X483" i="1"/>
  <c r="X487" i="1" s="1"/>
  <c r="BG521" i="1"/>
  <c r="W134" i="1"/>
  <c r="W161" i="1" s="1"/>
  <c r="X113" i="1"/>
  <c r="G70" i="1"/>
  <c r="G61" i="1"/>
  <c r="G71" i="1" s="1"/>
  <c r="AR518" i="1"/>
  <c r="AU518" i="1"/>
  <c r="AQ518" i="1"/>
  <c r="BI33" i="1"/>
  <c r="BI31" i="1"/>
  <c r="BI457" i="1"/>
  <c r="BI30" i="1"/>
  <c r="AH434" i="1"/>
  <c r="AI430" i="1" s="1"/>
  <c r="BN124" i="1"/>
  <c r="BN473" i="1" s="1"/>
  <c r="BN474" i="1" s="1"/>
  <c r="BR458" i="1"/>
  <c r="BR137" i="1"/>
  <c r="BR397" i="1" s="1"/>
  <c r="BR500" i="1"/>
  <c r="BR526" i="1" s="1"/>
  <c r="AH61" i="1"/>
  <c r="AH71" i="1" s="1"/>
  <c r="BM196" i="1"/>
  <c r="BM18" i="1"/>
  <c r="BM22" i="1"/>
  <c r="BN132" i="1"/>
  <c r="BG99" i="2"/>
  <c r="BG98" i="2"/>
  <c r="BG82" i="2"/>
  <c r="BW314" i="1" s="1"/>
  <c r="BG96" i="2"/>
  <c r="BG90" i="2"/>
  <c r="BR649" i="1"/>
  <c r="BR17" i="1"/>
  <c r="BB91" i="2"/>
  <c r="BB104" i="2"/>
  <c r="BB105" i="2"/>
  <c r="BB106" i="2"/>
  <c r="BB103" i="2"/>
  <c r="BB107" i="2"/>
  <c r="BM336" i="1"/>
  <c r="BM334" i="1"/>
  <c r="BW12" i="1"/>
  <c r="BW383" i="1" s="1"/>
  <c r="BW347" i="1"/>
  <c r="BW350" i="1"/>
  <c r="BW332" i="1"/>
  <c r="BW646" i="1"/>
  <c r="BW647" i="1" s="1"/>
  <c r="BW323" i="1"/>
  <c r="BW317" i="1"/>
  <c r="BR16" i="1"/>
  <c r="BB88" i="2"/>
  <c r="BI340" i="1"/>
  <c r="BI342" i="1"/>
  <c r="BR190" i="1"/>
  <c r="BR13" i="1"/>
  <c r="BR360" i="1"/>
  <c r="BR117" i="1" s="1"/>
  <c r="BR207" i="1"/>
  <c r="BR25" i="1"/>
  <c r="BR200" i="1"/>
  <c r="BS130" i="1" s="1"/>
  <c r="BR15" i="1"/>
  <c r="BR175" i="1"/>
  <c r="BR180" i="1"/>
  <c r="BR208" i="1"/>
  <c r="BR40" i="1"/>
  <c r="BM137" i="1"/>
  <c r="BM458" i="1"/>
  <c r="BM500" i="1"/>
  <c r="BM526" i="1" s="1"/>
  <c r="BG100" i="2"/>
  <c r="BW580" i="1"/>
  <c r="BG86" i="2"/>
  <c r="BG77" i="2"/>
  <c r="BW581" i="1" s="1"/>
  <c r="BB87" i="2"/>
  <c r="BB108" i="2"/>
  <c r="AD60" i="1"/>
  <c r="AD71" i="1"/>
  <c r="AD544" i="1" s="1"/>
  <c r="BH337" i="1"/>
  <c r="BH348" i="1"/>
  <c r="BH349" i="1" s="1"/>
  <c r="BH339" i="1"/>
  <c r="BM650" i="1"/>
  <c r="BM655" i="1"/>
  <c r="BM657" i="1" s="1"/>
  <c r="BM658" i="1" s="1"/>
  <c r="BH87" i="2"/>
  <c r="BH108" i="2"/>
  <c r="AI70" i="1"/>
  <c r="AI61" i="1"/>
  <c r="BH42" i="1"/>
  <c r="BH431" i="1"/>
  <c r="BH29" i="1"/>
  <c r="BR329" i="1"/>
  <c r="BR652" i="1"/>
  <c r="BR653" i="1" s="1"/>
  <c r="BR19" i="1"/>
  <c r="BR20" i="1" s="1"/>
  <c r="AN61" i="1"/>
  <c r="AN70" i="1"/>
  <c r="AG60" i="1"/>
  <c r="BW273" i="1"/>
  <c r="BW274" i="1" s="1"/>
  <c r="BW271" i="1"/>
  <c r="BW281" i="1"/>
  <c r="BW282" i="1" s="1"/>
  <c r="AO162" i="1"/>
  <c r="AO164" i="1" s="1"/>
  <c r="AN173" i="1"/>
  <c r="CK59" i="1"/>
  <c r="AH70" i="1"/>
  <c r="CK70" i="1" s="1"/>
  <c r="AP134" i="1"/>
  <c r="AP161" i="1" s="1"/>
  <c r="AR113" i="1"/>
  <c r="AR447" i="1"/>
  <c r="CM58" i="1"/>
  <c r="AR69" i="1"/>
  <c r="CM69" i="1" s="1"/>
  <c r="AH113" i="1"/>
  <c r="CM549" i="1"/>
  <c r="CN549" i="1"/>
  <c r="W44" i="2"/>
  <c r="BV44" i="2" s="1"/>
  <c r="AM309" i="1"/>
  <c r="W81" i="2"/>
  <c r="W32" i="2"/>
  <c r="AM568" i="1"/>
  <c r="W76" i="2"/>
  <c r="W97" i="2" s="1"/>
  <c r="BV97" i="2" s="1"/>
  <c r="BV31" i="2"/>
  <c r="AT71" i="1"/>
  <c r="AW61" i="1"/>
  <c r="V171" i="2"/>
  <c r="V172" i="2" s="1"/>
  <c r="AA172" i="2"/>
  <c r="V138" i="2"/>
  <c r="V96" i="2"/>
  <c r="V77" i="2"/>
  <c r="V86" i="2"/>
  <c r="V98" i="2"/>
  <c r="V99" i="2"/>
  <c r="AL313" i="1"/>
  <c r="AL580" i="1"/>
  <c r="V182" i="2"/>
  <c r="AL569" i="1"/>
  <c r="BV36" i="2"/>
  <c r="AM570" i="1"/>
  <c r="BV75" i="2"/>
  <c r="AB77" i="2"/>
  <c r="W77" i="2"/>
  <c r="W85" i="2"/>
  <c r="AM315" i="1"/>
  <c r="AT70" i="1"/>
  <c r="AW70" i="1" s="1"/>
  <c r="CN70" i="1" s="1"/>
  <c r="AW59" i="1"/>
  <c r="AW69" i="1"/>
  <c r="CN69" i="1" s="1"/>
  <c r="CN58" i="1"/>
  <c r="AW447" i="1"/>
  <c r="AW469" i="1"/>
  <c r="AW471" i="1" s="1"/>
  <c r="AW478" i="1" s="1"/>
  <c r="AW480" i="1"/>
  <c r="F10" i="5"/>
  <c r="F11" i="5" s="1"/>
  <c r="F13" i="5" s="1"/>
  <c r="F23" i="5" s="1"/>
  <c r="V90" i="2"/>
  <c r="V82" i="2"/>
  <c r="AR469" i="1"/>
  <c r="AR471" i="1" s="1"/>
  <c r="AR478" i="1" s="1"/>
  <c r="AR480" i="1"/>
  <c r="E10" i="5"/>
  <c r="E11" i="5" s="1"/>
  <c r="E13" i="5" s="1"/>
  <c r="E23" i="5" s="1"/>
  <c r="AL14" i="1"/>
  <c r="AA87" i="2"/>
  <c r="AB82" i="2"/>
  <c r="BW82" i="2" s="1"/>
  <c r="W82" i="2"/>
  <c r="BV82" i="2" s="1"/>
  <c r="AR59" i="1"/>
  <c r="CM59" i="1" s="1"/>
  <c r="AP70" i="1"/>
  <c r="AP61" i="1"/>
  <c r="AT134" i="1"/>
  <c r="AT161" i="1" s="1"/>
  <c r="AW113" i="1"/>
  <c r="S483" i="1"/>
  <c r="S487" i="1" s="1"/>
  <c r="BT271" i="1"/>
  <c r="BT273" i="1"/>
  <c r="BT274" i="1" s="1"/>
  <c r="Y505" i="1"/>
  <c r="Z505" i="1" s="1"/>
  <c r="AU512" i="1"/>
  <c r="BN520" i="1"/>
  <c r="BP437" i="1"/>
  <c r="BQ437" i="1" s="1"/>
  <c r="BQ436" i="1" s="1"/>
  <c r="BQ438" i="1"/>
  <c r="BR438" i="1" s="1"/>
  <c r="BU270" i="1"/>
  <c r="BU273" i="1" s="1"/>
  <c r="BU274" i="1" s="1"/>
  <c r="BZ263" i="1"/>
  <c r="BZ268" i="1" s="1"/>
  <c r="CA600" i="1"/>
  <c r="CA277" i="1"/>
  <c r="CA278" i="1" s="1"/>
  <c r="CT236" i="1"/>
  <c r="CA237" i="1"/>
  <c r="CT237" i="1" s="1"/>
  <c r="CS257" i="1"/>
  <c r="BV258" i="1"/>
  <c r="BV263" i="1"/>
  <c r="CS246" i="1"/>
  <c r="BE472" i="1"/>
  <c r="BG114" i="1"/>
  <c r="BS281" i="1"/>
  <c r="BS282" i="1" s="1"/>
  <c r="BS271" i="1"/>
  <c r="BS273" i="1"/>
  <c r="BS274" i="1" s="1"/>
  <c r="BQ345" i="1"/>
  <c r="BQ344" i="1" s="1"/>
  <c r="BT345" i="1"/>
  <c r="BO38" i="1"/>
  <c r="BO344" i="1"/>
  <c r="BF473" i="1"/>
  <c r="BX37" i="1"/>
  <c r="BX114" i="1"/>
  <c r="BF40" i="1"/>
  <c r="BG274" i="1"/>
  <c r="CP273" i="1"/>
  <c r="BU345" i="1"/>
  <c r="BP38" i="1"/>
  <c r="BP344" i="1"/>
  <c r="BI469" i="1"/>
  <c r="BI471" i="1" s="1"/>
  <c r="BY268" i="1"/>
  <c r="BY270" i="1"/>
  <c r="CS236" i="1"/>
  <c r="BV237" i="1"/>
  <c r="CS237" i="1" s="1"/>
  <c r="CP38" i="1"/>
  <c r="BS398" i="1"/>
  <c r="BS472" i="1"/>
  <c r="BF472" i="1"/>
  <c r="BO350" i="1"/>
  <c r="BL273" i="1"/>
  <c r="BL271" i="1"/>
  <c r="CQ271" i="1" s="1"/>
  <c r="CQ270" i="1"/>
  <c r="BL281" i="1"/>
  <c r="CA276" i="1"/>
  <c r="CT276" i="1" s="1"/>
  <c r="BG282" i="1"/>
  <c r="CP282" i="1" s="1"/>
  <c r="CP281" i="1"/>
  <c r="BK114" i="1"/>
  <c r="BK37" i="1"/>
  <c r="BK40" i="1" s="1"/>
  <c r="BX268" i="1"/>
  <c r="BX270" i="1"/>
  <c r="BG37" i="1"/>
  <c r="BJ37" i="1"/>
  <c r="BL38" i="1"/>
  <c r="BL343" i="1" s="1"/>
  <c r="BJ114" i="1"/>
  <c r="CS252" i="1"/>
  <c r="BD92" i="2"/>
  <c r="BT16" i="1" s="1"/>
  <c r="BQ281" i="1"/>
  <c r="BQ271" i="1"/>
  <c r="CR271" i="1" s="1"/>
  <c r="CR270" i="1"/>
  <c r="BQ273" i="1"/>
  <c r="CA257" i="1"/>
  <c r="BP273" i="1"/>
  <c r="BP274" i="1" s="1"/>
  <c r="BP281" i="1"/>
  <c r="BP282" i="1" s="1"/>
  <c r="BP271" i="1"/>
  <c r="AM430" i="1"/>
  <c r="BQ580" i="1"/>
  <c r="CB76" i="2"/>
  <c r="BA77" i="2"/>
  <c r="BA86" i="2"/>
  <c r="BA100" i="2"/>
  <c r="CB100" i="2" s="1"/>
  <c r="CP46" i="1"/>
  <c r="CA593" i="1"/>
  <c r="CA594" i="1"/>
  <c r="CA606" i="1"/>
  <c r="BV570" i="1"/>
  <c r="CC36" i="2"/>
  <c r="BF83" i="2"/>
  <c r="CC83" i="2" s="1"/>
  <c r="CP25" i="1"/>
  <c r="AZ87" i="2"/>
  <c r="AZ108" i="2"/>
  <c r="BM523" i="1"/>
  <c r="AY105" i="2"/>
  <c r="AY91" i="2"/>
  <c r="AY103" i="2"/>
  <c r="AY104" i="2"/>
  <c r="AY107" i="2"/>
  <c r="AY106" i="2"/>
  <c r="AB483" i="1"/>
  <c r="AB487" i="1" s="1"/>
  <c r="BI523" i="1"/>
  <c r="BE653" i="1"/>
  <c r="BG652" i="1"/>
  <c r="BG653" i="1" s="1"/>
  <c r="BJ117" i="1"/>
  <c r="BL117" i="1" s="1"/>
  <c r="CQ117" i="1" s="1"/>
  <c r="BL360" i="1"/>
  <c r="BL361" i="1" s="1"/>
  <c r="BF339" i="1"/>
  <c r="BF348" i="1"/>
  <c r="BF349" i="1" s="1"/>
  <c r="BF337" i="1"/>
  <c r="BK523" i="1"/>
  <c r="AL519" i="1"/>
  <c r="AQ519" i="1" s="1"/>
  <c r="BR540" i="1"/>
  <c r="BS540" i="1" s="1"/>
  <c r="BT540" i="1" s="1"/>
  <c r="BU540" i="1" s="1"/>
  <c r="BV540" i="1"/>
  <c r="CA77" i="2"/>
  <c r="BL581" i="1"/>
  <c r="CQ180" i="1"/>
  <c r="BL369" i="1"/>
  <c r="BL200" i="1"/>
  <c r="BK137" i="1"/>
  <c r="BK500" i="1"/>
  <c r="BK526" i="1" s="1"/>
  <c r="BK458" i="1"/>
  <c r="BP647" i="1"/>
  <c r="AZ105" i="2"/>
  <c r="AZ91" i="2"/>
  <c r="AZ103" i="2"/>
  <c r="AZ107" i="2"/>
  <c r="AZ104" i="2"/>
  <c r="AZ106" i="2"/>
  <c r="BP187" i="1"/>
  <c r="BQ187" i="1" s="1"/>
  <c r="BF431" i="1"/>
  <c r="BF42" i="1"/>
  <c r="BF29" i="1"/>
  <c r="BL324" i="1"/>
  <c r="CQ323" i="1"/>
  <c r="U504" i="1"/>
  <c r="BU636" i="1"/>
  <c r="BV635" i="1"/>
  <c r="BV636" i="1" s="1"/>
  <c r="AT514" i="1"/>
  <c r="AQ514" i="1"/>
  <c r="AW514" i="1" s="1"/>
  <c r="BI83" i="2"/>
  <c r="BY315" i="1" s="1"/>
  <c r="BE521" i="1"/>
  <c r="BJ521" i="1" s="1"/>
  <c r="CS178" i="1"/>
  <c r="BW178" i="1"/>
  <c r="BT216" i="1"/>
  <c r="BF144" i="1"/>
  <c r="BF475" i="1"/>
  <c r="BQ569" i="1"/>
  <c r="CB32" i="2"/>
  <c r="CD68" i="2"/>
  <c r="CP13" i="1"/>
  <c r="H6" i="5" s="1"/>
  <c r="CP15" i="1"/>
  <c r="BE22" i="1"/>
  <c r="BE18" i="1"/>
  <c r="BG17" i="1"/>
  <c r="CP207" i="1"/>
  <c r="BG481" i="1"/>
  <c r="BG371" i="1"/>
  <c r="BH124" i="1"/>
  <c r="BH481" i="1"/>
  <c r="BM215" i="1"/>
  <c r="CQ215" i="1"/>
  <c r="H113" i="1"/>
  <c r="H447" i="1"/>
  <c r="H450" i="1" s="1"/>
  <c r="H69" i="1"/>
  <c r="H59" i="1"/>
  <c r="BL15" i="1"/>
  <c r="CQ15" i="1" s="1"/>
  <c r="BL13" i="1"/>
  <c r="BL368" i="1"/>
  <c r="BM368" i="1" s="1"/>
  <c r="BN368" i="1" s="1"/>
  <c r="BO368" i="1" s="1"/>
  <c r="BP368" i="1" s="1"/>
  <c r="CQ12" i="1"/>
  <c r="BL25" i="1"/>
  <c r="BK22" i="1"/>
  <c r="BK18" i="1"/>
  <c r="BK196" i="1"/>
  <c r="AO544" i="1"/>
  <c r="AC549" i="1"/>
  <c r="BE20" i="1"/>
  <c r="BG19" i="1"/>
  <c r="BG647" i="1"/>
  <c r="BJ124" i="1"/>
  <c r="BJ473" i="1" s="1"/>
  <c r="BJ481" i="1"/>
  <c r="N480" i="1"/>
  <c r="N469" i="1"/>
  <c r="N471" i="1" s="1"/>
  <c r="N478" i="1" s="1"/>
  <c r="AV512" i="1"/>
  <c r="BO208" i="1"/>
  <c r="BO207" i="1"/>
  <c r="BO175" i="1"/>
  <c r="BO25" i="1"/>
  <c r="BO360" i="1"/>
  <c r="BO15" i="1"/>
  <c r="BO180" i="1"/>
  <c r="BO13" i="1"/>
  <c r="BO200" i="1"/>
  <c r="BO130" i="1" s="1"/>
  <c r="BL207" i="1"/>
  <c r="BK124" i="1"/>
  <c r="BK473" i="1" s="1"/>
  <c r="BK481" i="1"/>
  <c r="CQ208" i="1"/>
  <c r="BL372" i="1"/>
  <c r="BP208" i="1"/>
  <c r="BQ208" i="1" s="1"/>
  <c r="BP180" i="1"/>
  <c r="BQ180" i="1" s="1"/>
  <c r="BP13" i="1"/>
  <c r="BP175" i="1"/>
  <c r="BQ175" i="1" s="1"/>
  <c r="BP360" i="1"/>
  <c r="BP117" i="1" s="1"/>
  <c r="BP15" i="1"/>
  <c r="BP200" i="1"/>
  <c r="BP207" i="1"/>
  <c r="BP25" i="1"/>
  <c r="BE92" i="2"/>
  <c r="AZ55" i="7"/>
  <c r="AP519" i="1"/>
  <c r="BU179" i="1"/>
  <c r="BV179" i="1" s="1"/>
  <c r="BF204" i="1"/>
  <c r="BF211" i="1" s="1"/>
  <c r="BG196" i="1"/>
  <c r="B10" i="5"/>
  <c r="B11" i="5" s="1"/>
  <c r="B13" i="5" s="1"/>
  <c r="B23" i="5" s="1"/>
  <c r="C24" i="5" s="1"/>
  <c r="AC375" i="1"/>
  <c r="AC469" i="1"/>
  <c r="AC471" i="1" s="1"/>
  <c r="AC478" i="1" s="1"/>
  <c r="AC480" i="1"/>
  <c r="BJ18" i="1"/>
  <c r="BJ196" i="1"/>
  <c r="BL17" i="1"/>
  <c r="AE432" i="1"/>
  <c r="AE434" i="1" s="1"/>
  <c r="AF430" i="1" s="1"/>
  <c r="BD86" i="2"/>
  <c r="BD77" i="2"/>
  <c r="BT581" i="1" s="1"/>
  <c r="BT580" i="1"/>
  <c r="BD100" i="2"/>
  <c r="BR116" i="1"/>
  <c r="CR116" i="1"/>
  <c r="CA92" i="2"/>
  <c r="BL16" i="1"/>
  <c r="AV88" i="2"/>
  <c r="BI521" i="1"/>
  <c r="BA92" i="2"/>
  <c r="BK334" i="1"/>
  <c r="BK336" i="1"/>
  <c r="BE98" i="2"/>
  <c r="BE90" i="2"/>
  <c r="BE82" i="2"/>
  <c r="BU314" i="1" s="1"/>
  <c r="BE96" i="2"/>
  <c r="BE99" i="2"/>
  <c r="BU332" i="1"/>
  <c r="BU646" i="1"/>
  <c r="BU347" i="1"/>
  <c r="BU12" i="1"/>
  <c r="Z509" i="1"/>
  <c r="AA509" i="1" s="1"/>
  <c r="AG510" i="1"/>
  <c r="BG130" i="1"/>
  <c r="CP130" i="1" s="1"/>
  <c r="V503" i="1"/>
  <c r="W503" i="1" s="1"/>
  <c r="BL523" i="1"/>
  <c r="BA82" i="2"/>
  <c r="CB82" i="2" s="1"/>
  <c r="BA98" i="2"/>
  <c r="CB98" i="2" s="1"/>
  <c r="BA90" i="2"/>
  <c r="CB81" i="2"/>
  <c r="BA99" i="2"/>
  <c r="CB99" i="2" s="1"/>
  <c r="BA96" i="2"/>
  <c r="CB96" i="2" s="1"/>
  <c r="BQ314" i="1"/>
  <c r="CR313" i="1"/>
  <c r="BQ332" i="1"/>
  <c r="CR332" i="1" s="1"/>
  <c r="BQ347" i="1"/>
  <c r="BQ12" i="1"/>
  <c r="R134" i="1"/>
  <c r="R161" i="1" s="1"/>
  <c r="S113" i="1"/>
  <c r="BG649" i="1"/>
  <c r="BE650" i="1"/>
  <c r="BE655" i="1"/>
  <c r="BE657" i="1" s="1"/>
  <c r="BE658" i="1" s="1"/>
  <c r="BE481" i="1"/>
  <c r="BF481" i="1"/>
  <c r="AD507" i="1"/>
  <c r="AE507" i="1" s="1"/>
  <c r="AF507" i="1" s="1"/>
  <c r="AG507" i="1" s="1"/>
  <c r="BL315" i="1"/>
  <c r="CQ314" i="1"/>
  <c r="BK655" i="1"/>
  <c r="BK657" i="1" s="1"/>
  <c r="BK658" i="1" s="1"/>
  <c r="BK650" i="1"/>
  <c r="S69" i="1"/>
  <c r="CH69" i="1" s="1"/>
  <c r="S59" i="1"/>
  <c r="CH58" i="1"/>
  <c r="S447" i="1"/>
  <c r="S450" i="1" s="1"/>
  <c r="BE334" i="1"/>
  <c r="BE336" i="1"/>
  <c r="BI373" i="1"/>
  <c r="BH177" i="1"/>
  <c r="BE621" i="1"/>
  <c r="BE626" i="1" s="1"/>
  <c r="BE632" i="1" s="1"/>
  <c r="N68" i="1"/>
  <c r="CG68" i="1" s="1"/>
  <c r="N58" i="1"/>
  <c r="CG54" i="1"/>
  <c r="BO647" i="1"/>
  <c r="BQ646" i="1"/>
  <c r="AV87" i="2"/>
  <c r="CA87" i="2" s="1"/>
  <c r="CA86" i="2"/>
  <c r="AV108" i="2"/>
  <c r="CA108" i="2" s="1"/>
  <c r="AB69" i="1"/>
  <c r="AB59" i="1"/>
  <c r="AB113" i="1"/>
  <c r="AB447" i="1"/>
  <c r="BO520" i="1"/>
  <c r="BP649" i="1"/>
  <c r="BP17" i="1"/>
  <c r="BP652" i="1"/>
  <c r="BP653" i="1" s="1"/>
  <c r="BP19" i="1"/>
  <c r="BP20" i="1" s="1"/>
  <c r="BP329" i="1"/>
  <c r="BN218" i="1"/>
  <c r="BM449" i="1"/>
  <c r="BM141" i="1"/>
  <c r="BH611" i="1"/>
  <c r="AP515" i="1"/>
  <c r="BJ523" i="1"/>
  <c r="BO523" i="1" s="1"/>
  <c r="CC31" i="2"/>
  <c r="BV309" i="1"/>
  <c r="BV313" i="1" s="1"/>
  <c r="BK36" i="2"/>
  <c r="BK52" i="2" s="1"/>
  <c r="BF32" i="2"/>
  <c r="BV568" i="1"/>
  <c r="BF81" i="2"/>
  <c r="BF76" i="2"/>
  <c r="BT646" i="1"/>
  <c r="BT12" i="1"/>
  <c r="BT347" i="1"/>
  <c r="BT332" i="1"/>
  <c r="AV105" i="2"/>
  <c r="CA105" i="2" s="1"/>
  <c r="AV103" i="2"/>
  <c r="CA103" i="2" s="1"/>
  <c r="AV91" i="2"/>
  <c r="CA91" i="2" s="1"/>
  <c r="CA90" i="2"/>
  <c r="AV107" i="2"/>
  <c r="CA107" i="2" s="1"/>
  <c r="AV104" i="2"/>
  <c r="CA104" i="2" s="1"/>
  <c r="AV106" i="2"/>
  <c r="CA106" i="2" s="1"/>
  <c r="BM520" i="1"/>
  <c r="BR520" i="1" s="1"/>
  <c r="BE97" i="2"/>
  <c r="BZ309" i="1"/>
  <c r="BZ313" i="1" s="1"/>
  <c r="BZ568" i="1"/>
  <c r="BJ76" i="2"/>
  <c r="BJ81" i="2"/>
  <c r="BN523" i="1"/>
  <c r="CP200" i="1"/>
  <c r="BG367" i="1"/>
  <c r="BH130" i="1"/>
  <c r="BB71" i="1"/>
  <c r="AX544" i="1"/>
  <c r="BZ635" i="1"/>
  <c r="R70" i="1"/>
  <c r="R61" i="1"/>
  <c r="R71" i="1" s="1"/>
  <c r="CP317" i="1"/>
  <c r="BG318" i="1"/>
  <c r="BG383" i="1"/>
  <c r="BE458" i="1"/>
  <c r="BE500" i="1"/>
  <c r="BE526" i="1" s="1"/>
  <c r="BL647" i="1"/>
  <c r="M113" i="1"/>
  <c r="M59" i="1"/>
  <c r="M447" i="1"/>
  <c r="M450" i="1" s="1"/>
  <c r="M69" i="1"/>
  <c r="AE506" i="1"/>
  <c r="AF506" i="1" s="1"/>
  <c r="AG506" i="1" s="1"/>
  <c r="BQ221" i="1"/>
  <c r="BO189" i="1"/>
  <c r="BO127" i="1" s="1"/>
  <c r="CP323" i="1"/>
  <c r="BG329" i="1"/>
  <c r="BG324" i="1"/>
  <c r="BO155" i="1"/>
  <c r="BO157" i="1" s="1"/>
  <c r="BP214" i="1"/>
  <c r="AR70" i="7"/>
  <c r="AS24" i="7"/>
  <c r="AY87" i="2"/>
  <c r="AY108" i="2"/>
  <c r="N549" i="1"/>
  <c r="M483" i="1"/>
  <c r="M487" i="1" s="1"/>
  <c r="CQ175" i="1"/>
  <c r="BM126" i="1"/>
  <c r="BL365" i="1"/>
  <c r="BO206" i="1"/>
  <c r="BN556" i="1"/>
  <c r="AS60" i="7"/>
  <c r="AS61" i="7" s="1"/>
  <c r="BN424" i="1"/>
  <c r="BN481" i="1"/>
  <c r="CJ54" i="1"/>
  <c r="AC68" i="1"/>
  <c r="CJ68" i="1" s="1"/>
  <c r="AC58" i="1"/>
  <c r="BJ639" i="1"/>
  <c r="BI638" i="1"/>
  <c r="BI611" i="1" s="1"/>
  <c r="AL515" i="1"/>
  <c r="AT515" i="1" s="1"/>
  <c r="BR535" i="1"/>
  <c r="BS535" i="1" s="1"/>
  <c r="BT535" i="1" s="1"/>
  <c r="BU535" i="1" s="1"/>
  <c r="BV535" i="1"/>
  <c r="BD98" i="2"/>
  <c r="BD90" i="2"/>
  <c r="BD82" i="2"/>
  <c r="BT314" i="1" s="1"/>
  <c r="BD96" i="2"/>
  <c r="BD99" i="2"/>
  <c r="BY309" i="1"/>
  <c r="BY313" i="1" s="1"/>
  <c r="BY568" i="1"/>
  <c r="BK31" i="2"/>
  <c r="BI76" i="2"/>
  <c r="BI81" i="2"/>
  <c r="BI97" i="2" s="1"/>
  <c r="BF521" i="1"/>
  <c r="BK521" i="1" s="1"/>
  <c r="BE77" i="2"/>
  <c r="BU581" i="1" s="1"/>
  <c r="BU580" i="1"/>
  <c r="BE86" i="2"/>
  <c r="BE100" i="2"/>
  <c r="BP520" i="1"/>
  <c r="CS176" i="1"/>
  <c r="BW176" i="1"/>
  <c r="I68" i="1"/>
  <c r="CF68" i="1" s="1"/>
  <c r="CF54" i="1"/>
  <c r="I58" i="1"/>
  <c r="AK105" i="7"/>
  <c r="AL105" i="7" s="1"/>
  <c r="AL109" i="7" s="1"/>
  <c r="AT512" i="1"/>
  <c r="AU514" i="1"/>
  <c r="BH67" i="1"/>
  <c r="BI65" i="1"/>
  <c r="BI67" i="1" s="1"/>
  <c r="BN63" i="1"/>
  <c r="BN64" i="1" s="1"/>
  <c r="BO436" i="1"/>
  <c r="BK436" i="1"/>
  <c r="BK63" i="1" s="1"/>
  <c r="BJ63" i="1"/>
  <c r="BN29" i="1" l="1"/>
  <c r="BN457" i="1" s="1"/>
  <c r="BF351" i="1"/>
  <c r="BB493" i="1"/>
  <c r="BS137" i="1"/>
  <c r="BS397" i="1" s="1"/>
  <c r="BZ386" i="1"/>
  <c r="BU385" i="1"/>
  <c r="BU384" i="1" s="1"/>
  <c r="BU383" i="1" s="1"/>
  <c r="BU387" i="1"/>
  <c r="AG104" i="7"/>
  <c r="BZ321" i="1"/>
  <c r="BZ319" i="1"/>
  <c r="BZ318" i="1" s="1"/>
  <c r="BZ317" i="1" s="1"/>
  <c r="BZ325" i="1"/>
  <c r="BZ327" i="1"/>
  <c r="BZ324" i="1"/>
  <c r="BZ323" i="1" s="1"/>
  <c r="BS653" i="1"/>
  <c r="BS334" i="1"/>
  <c r="BS18" i="1"/>
  <c r="BS500" i="1"/>
  <c r="BS526" i="1" s="1"/>
  <c r="BS22" i="1"/>
  <c r="BS431" i="1" s="1"/>
  <c r="BS126" i="1"/>
  <c r="BS132" i="1"/>
  <c r="BK130" i="1"/>
  <c r="BL130" i="1" s="1"/>
  <c r="CQ130" i="1" s="1"/>
  <c r="AL516" i="1"/>
  <c r="AQ516" i="1" s="1"/>
  <c r="BO522" i="1"/>
  <c r="AD508" i="1"/>
  <c r="AE508" i="1" s="1"/>
  <c r="AF508" i="1" s="1"/>
  <c r="AI511" i="1"/>
  <c r="AC408" i="1"/>
  <c r="H444" i="1"/>
  <c r="H452" i="1" s="1"/>
  <c r="H453" i="1" s="1"/>
  <c r="AB138" i="7"/>
  <c r="AK104" i="7"/>
  <c r="AL104" i="7" s="1"/>
  <c r="AL101" i="7"/>
  <c r="AM102" i="7"/>
  <c r="BG539" i="1"/>
  <c r="BH541" i="1"/>
  <c r="BL541" i="1"/>
  <c r="AK58" i="7"/>
  <c r="AK63" i="7"/>
  <c r="AK64" i="7" s="1"/>
  <c r="AU539" i="1"/>
  <c r="AV541" i="1"/>
  <c r="AV539" i="1" s="1"/>
  <c r="AR91" i="7"/>
  <c r="AS45" i="7"/>
  <c r="BD541" i="1"/>
  <c r="BC539" i="1"/>
  <c r="AC138" i="7"/>
  <c r="AB139" i="7"/>
  <c r="AG67" i="7"/>
  <c r="AZ541" i="1"/>
  <c r="AY539" i="1"/>
  <c r="BN522" i="1"/>
  <c r="AV52" i="7"/>
  <c r="AW52" i="7" s="1"/>
  <c r="AU97" i="7"/>
  <c r="AV97" i="7" s="1"/>
  <c r="AP63" i="7"/>
  <c r="AP64" i="7" s="1"/>
  <c r="AP58" i="7"/>
  <c r="BL522" i="1"/>
  <c r="BQ522" i="1" s="1"/>
  <c r="AZ514" i="1"/>
  <c r="BP521" i="1"/>
  <c r="BJ126" i="1"/>
  <c r="BL126" i="1" s="1"/>
  <c r="CQ126" i="1" s="1"/>
  <c r="BE431" i="1"/>
  <c r="AU516" i="1"/>
  <c r="BP522" i="1"/>
  <c r="AZ5" i="7"/>
  <c r="AX19" i="7"/>
  <c r="AX67" i="7" s="1"/>
  <c r="BN142" i="1"/>
  <c r="BN475" i="1" s="1"/>
  <c r="BO209" i="1"/>
  <c r="BM522" i="1"/>
  <c r="AR31" i="7"/>
  <c r="AQ57" i="7"/>
  <c r="BX17" i="1"/>
  <c r="BX196" i="1" s="1"/>
  <c r="AN517" i="1"/>
  <c r="BW16" i="1"/>
  <c r="BN42" i="1"/>
  <c r="BN43" i="1" s="1"/>
  <c r="BX207" i="1"/>
  <c r="BX190" i="1"/>
  <c r="BX40" i="1"/>
  <c r="AR70" i="1"/>
  <c r="CM70" i="1" s="1"/>
  <c r="BX652" i="1"/>
  <c r="BX655" i="1" s="1"/>
  <c r="BX657" i="1" s="1"/>
  <c r="BX658" i="1" s="1"/>
  <c r="BX13" i="1"/>
  <c r="BX15" i="1"/>
  <c r="BX383" i="1"/>
  <c r="BX137" i="1" s="1"/>
  <c r="BX397" i="1" s="1"/>
  <c r="BX20" i="1"/>
  <c r="BX180" i="1"/>
  <c r="BX200" i="1"/>
  <c r="BL383" i="1"/>
  <c r="BL458" i="1" s="1"/>
  <c r="BX208" i="1"/>
  <c r="BX25" i="1"/>
  <c r="BJ137" i="1"/>
  <c r="BJ475" i="1" s="1"/>
  <c r="BX175" i="1"/>
  <c r="BX360" i="1"/>
  <c r="BX117" i="1" s="1"/>
  <c r="BL19" i="1"/>
  <c r="BL20" i="1" s="1"/>
  <c r="BJ20" i="1"/>
  <c r="BO329" i="1"/>
  <c r="BO336" i="1" s="1"/>
  <c r="BJ655" i="1"/>
  <c r="BJ657" i="1" s="1"/>
  <c r="BJ658" i="1" s="1"/>
  <c r="BL652" i="1"/>
  <c r="BL653" i="1" s="1"/>
  <c r="BJ500" i="1"/>
  <c r="BJ526" i="1" s="1"/>
  <c r="BO17" i="1"/>
  <c r="BO18" i="1" s="1"/>
  <c r="BB134" i="1"/>
  <c r="CO134" i="1" s="1"/>
  <c r="BX329" i="1"/>
  <c r="BX334" i="1" s="1"/>
  <c r="BX650" i="1"/>
  <c r="BO370" i="1"/>
  <c r="BJ190" i="1"/>
  <c r="BK370" i="1"/>
  <c r="BN397" i="1"/>
  <c r="CA252" i="1"/>
  <c r="CT252" i="1" s="1"/>
  <c r="BT386" i="1"/>
  <c r="BY386" i="1" s="1"/>
  <c r="BO385" i="1"/>
  <c r="BO384" i="1" s="1"/>
  <c r="BO383" i="1" s="1"/>
  <c r="BO458" i="1" s="1"/>
  <c r="BO387" i="1"/>
  <c r="BQ386" i="1"/>
  <c r="AX53" i="7"/>
  <c r="AW98" i="7"/>
  <c r="AW26" i="7"/>
  <c r="AV71" i="7"/>
  <c r="AT72" i="7"/>
  <c r="AU25" i="7"/>
  <c r="CQ317" i="1"/>
  <c r="BL329" i="1"/>
  <c r="BL336" i="1" s="1"/>
  <c r="BN340" i="1"/>
  <c r="BN342" i="1"/>
  <c r="AH396" i="1"/>
  <c r="AD396" i="1"/>
  <c r="AD399" i="1" s="1"/>
  <c r="AH399" i="1" s="1"/>
  <c r="BF92" i="2"/>
  <c r="BF88" i="2" s="1"/>
  <c r="BJ336" i="1"/>
  <c r="BJ348" i="1" s="1"/>
  <c r="BJ349" i="1" s="1"/>
  <c r="BD88" i="2"/>
  <c r="CK61" i="1"/>
  <c r="AW512" i="1"/>
  <c r="AQ513" i="1"/>
  <c r="AU513" i="1"/>
  <c r="AR513" i="1"/>
  <c r="AS513" i="1"/>
  <c r="AT513" i="1"/>
  <c r="BD525" i="1"/>
  <c r="BI525" i="1" s="1"/>
  <c r="BF525" i="1"/>
  <c r="BH525" i="1"/>
  <c r="BG525" i="1"/>
  <c r="BE525" i="1"/>
  <c r="BP523" i="1"/>
  <c r="BU523" i="1" s="1"/>
  <c r="CA536" i="1"/>
  <c r="CA534" i="1" s="1"/>
  <c r="BV534" i="1"/>
  <c r="BW536" i="1"/>
  <c r="BS536" i="1"/>
  <c r="BR534" i="1"/>
  <c r="BK536" i="1"/>
  <c r="BK534" i="1" s="1"/>
  <c r="BJ534" i="1"/>
  <c r="BM119" i="1"/>
  <c r="BN188" i="1"/>
  <c r="BN534" i="1"/>
  <c r="BO536" i="1"/>
  <c r="BO198" i="1"/>
  <c r="BO556" i="1" s="1"/>
  <c r="AS20" i="7"/>
  <c r="BN204" i="1"/>
  <c r="BN211" i="1" s="1"/>
  <c r="BI92" i="2"/>
  <c r="BY16" i="1" s="1"/>
  <c r="AX512" i="1"/>
  <c r="BC512" i="1" s="1"/>
  <c r="BL649" i="1"/>
  <c r="BL650" i="1" s="1"/>
  <c r="AU519" i="1"/>
  <c r="AR519" i="1"/>
  <c r="AW519" i="1" s="1"/>
  <c r="BQ323" i="1"/>
  <c r="CR323" i="1" s="1"/>
  <c r="BQ317" i="1"/>
  <c r="BQ318" i="1" s="1"/>
  <c r="AS516" i="1"/>
  <c r="AT516" i="1"/>
  <c r="AD411" i="1"/>
  <c r="AD413" i="1" s="1"/>
  <c r="AH413" i="1" s="1"/>
  <c r="AH411" i="1"/>
  <c r="I162" i="1"/>
  <c r="CF162" i="1" s="1"/>
  <c r="CE164" i="1"/>
  <c r="D173" i="1"/>
  <c r="E162" i="1"/>
  <c r="E164" i="1" s="1"/>
  <c r="AR516" i="1"/>
  <c r="AX516" i="1" s="1"/>
  <c r="BO652" i="1"/>
  <c r="BO655" i="1" s="1"/>
  <c r="BO657" i="1" s="1"/>
  <c r="BO658" i="1" s="1"/>
  <c r="AV516" i="1"/>
  <c r="BT318" i="1"/>
  <c r="BT317" i="1" s="1"/>
  <c r="BV317" i="1" s="1"/>
  <c r="BY320" i="1"/>
  <c r="CA320" i="1" s="1"/>
  <c r="BT319" i="1"/>
  <c r="BT321" i="1"/>
  <c r="AY512" i="1"/>
  <c r="M80" i="2"/>
  <c r="BT40" i="2"/>
  <c r="M75" i="2"/>
  <c r="BT325" i="1"/>
  <c r="BT324" i="1" s="1"/>
  <c r="BT323" i="1" s="1"/>
  <c r="BV323" i="1" s="1"/>
  <c r="BT327" i="1"/>
  <c r="BY326" i="1"/>
  <c r="CA326" i="1" s="1"/>
  <c r="BU281" i="1"/>
  <c r="BU282" i="1" s="1"/>
  <c r="AZ518" i="1"/>
  <c r="BR131" i="1"/>
  <c r="BS197" i="1"/>
  <c r="AX518" i="1"/>
  <c r="BW458" i="1"/>
  <c r="BW500" i="1"/>
  <c r="BW526" i="1" s="1"/>
  <c r="AH493" i="1"/>
  <c r="CI59" i="1"/>
  <c r="X70" i="1"/>
  <c r="CI70" i="1" s="1"/>
  <c r="X61" i="1"/>
  <c r="CI113" i="1"/>
  <c r="X134" i="1"/>
  <c r="L70" i="1"/>
  <c r="L61" i="1"/>
  <c r="L71" i="1" s="1"/>
  <c r="P531" i="1"/>
  <c r="Q502" i="1"/>
  <c r="BU520" i="1"/>
  <c r="BT523" i="1"/>
  <c r="BW137" i="1"/>
  <c r="BW397" i="1" s="1"/>
  <c r="AV518" i="1"/>
  <c r="BA518" i="1" s="1"/>
  <c r="AW518" i="1"/>
  <c r="AY518" i="1"/>
  <c r="AB509" i="1"/>
  <c r="AD509" i="1" s="1"/>
  <c r="BI34" i="1"/>
  <c r="BI322" i="1" s="1"/>
  <c r="BI35" i="1"/>
  <c r="AR483" i="1"/>
  <c r="AR487" i="1" s="1"/>
  <c r="AH60" i="1"/>
  <c r="CK60" i="1" s="1"/>
  <c r="BS348" i="1"/>
  <c r="BS349" i="1" s="1"/>
  <c r="BS337" i="1"/>
  <c r="BS339" i="1"/>
  <c r="BU271" i="1"/>
  <c r="BH340" i="1"/>
  <c r="BH342" i="1"/>
  <c r="BM475" i="1"/>
  <c r="BM397" i="1"/>
  <c r="BR18" i="1"/>
  <c r="BR196" i="1"/>
  <c r="BR22" i="1"/>
  <c r="BM29" i="1"/>
  <c r="BM42" i="1"/>
  <c r="BM431" i="1"/>
  <c r="BH351" i="1"/>
  <c r="BH468" i="1"/>
  <c r="BH469" i="1" s="1"/>
  <c r="BH471" i="1" s="1"/>
  <c r="BH43" i="1"/>
  <c r="BS124" i="1"/>
  <c r="BS473" i="1" s="1"/>
  <c r="BS474" i="1" s="1"/>
  <c r="BW649" i="1"/>
  <c r="BW17" i="1"/>
  <c r="BM348" i="1"/>
  <c r="BM349" i="1" s="1"/>
  <c r="BM339" i="1"/>
  <c r="BM337" i="1"/>
  <c r="BR650" i="1"/>
  <c r="BR655" i="1"/>
  <c r="BR657" i="1" s="1"/>
  <c r="BR658" i="1" s="1"/>
  <c r="BR336" i="1"/>
  <c r="BR334" i="1"/>
  <c r="AI60" i="1"/>
  <c r="AM61" i="1"/>
  <c r="AI71" i="1"/>
  <c r="AI544" i="1" s="1"/>
  <c r="BW329" i="1"/>
  <c r="BW652" i="1"/>
  <c r="BW653" i="1" s="1"/>
  <c r="BW19" i="1"/>
  <c r="BW20" i="1" s="1"/>
  <c r="BG104" i="2"/>
  <c r="BG107" i="2"/>
  <c r="BG105" i="2"/>
  <c r="BG106" i="2"/>
  <c r="BG91" i="2"/>
  <c r="BG103" i="2"/>
  <c r="BN129" i="1"/>
  <c r="BM204" i="1"/>
  <c r="BM211" i="1" s="1"/>
  <c r="BH30" i="1"/>
  <c r="BH33" i="1"/>
  <c r="BH457" i="1"/>
  <c r="BH31" i="1"/>
  <c r="BG87" i="2"/>
  <c r="BG108" i="2"/>
  <c r="BW13" i="1"/>
  <c r="BW15" i="1"/>
  <c r="BW40" i="1"/>
  <c r="BW180" i="1"/>
  <c r="BW175" i="1"/>
  <c r="BW207" i="1"/>
  <c r="BW190" i="1"/>
  <c r="BW25" i="1"/>
  <c r="BW200" i="1"/>
  <c r="BW208" i="1"/>
  <c r="BW360" i="1"/>
  <c r="BW117" i="1" s="1"/>
  <c r="AN182" i="1"/>
  <c r="AN192" i="1" s="1"/>
  <c r="AN227" i="1" s="1"/>
  <c r="AN419" i="1"/>
  <c r="AN420" i="1" s="1"/>
  <c r="AN421" i="1" s="1"/>
  <c r="AN555" i="1"/>
  <c r="AP162" i="1"/>
  <c r="AP164" i="1" s="1"/>
  <c r="AO173" i="1"/>
  <c r="AN60" i="1"/>
  <c r="AN71" i="1"/>
  <c r="AN544" i="1" s="1"/>
  <c r="CN113" i="1"/>
  <c r="AW134" i="1"/>
  <c r="AP71" i="1"/>
  <c r="AP60" i="1"/>
  <c r="AR61" i="1"/>
  <c r="F24" i="5"/>
  <c r="G24" i="5"/>
  <c r="BV77" i="2"/>
  <c r="AM581" i="1"/>
  <c r="CM113" i="1"/>
  <c r="AR134" i="1"/>
  <c r="BW77" i="2"/>
  <c r="AR581" i="1"/>
  <c r="V145" i="2"/>
  <c r="V142" i="2"/>
  <c r="V147" i="2"/>
  <c r="V148" i="2" s="1"/>
  <c r="W138" i="2"/>
  <c r="CN61" i="1"/>
  <c r="AW493" i="1"/>
  <c r="BV32" i="2"/>
  <c r="AM569" i="1"/>
  <c r="AQ15" i="1"/>
  <c r="AL15" i="1"/>
  <c r="AW483" i="1"/>
  <c r="AW487" i="1" s="1"/>
  <c r="V105" i="2"/>
  <c r="V104" i="2"/>
  <c r="V103" i="2"/>
  <c r="V174" i="2"/>
  <c r="V175" i="2" s="1"/>
  <c r="V87" i="2"/>
  <c r="V189" i="2" s="1"/>
  <c r="V107" i="2"/>
  <c r="AA175" i="2"/>
  <c r="V106" i="2"/>
  <c r="AT544" i="1"/>
  <c r="AW71" i="1"/>
  <c r="AB83" i="2"/>
  <c r="BW83" i="2" s="1"/>
  <c r="W90" i="2"/>
  <c r="BV81" i="2"/>
  <c r="AH544" i="1"/>
  <c r="CK71" i="1"/>
  <c r="CK544" i="1" s="1"/>
  <c r="V91" i="2"/>
  <c r="AA91" i="2"/>
  <c r="CN59" i="1"/>
  <c r="AW60" i="1"/>
  <c r="W87" i="2"/>
  <c r="BV87" i="2" s="1"/>
  <c r="BV85" i="2"/>
  <c r="AB87" i="2"/>
  <c r="BW87" i="2" s="1"/>
  <c r="AM14" i="1"/>
  <c r="AL314" i="1"/>
  <c r="AL318" i="1"/>
  <c r="AL324" i="1"/>
  <c r="AL12" i="1"/>
  <c r="AL336" i="1"/>
  <c r="AQ314" i="1"/>
  <c r="AQ647" i="1" s="1"/>
  <c r="AL347" i="1"/>
  <c r="AL332" i="1"/>
  <c r="AL581" i="1"/>
  <c r="V187" i="2"/>
  <c r="W99" i="2"/>
  <c r="BV99" i="2" s="1"/>
  <c r="BV76" i="2"/>
  <c r="W96" i="2"/>
  <c r="BV96" i="2" s="1"/>
  <c r="W98" i="2"/>
  <c r="BV98" i="2" s="1"/>
  <c r="AM580" i="1"/>
  <c r="W86" i="2"/>
  <c r="AM313" i="1"/>
  <c r="AH134" i="1"/>
  <c r="CK113" i="1"/>
  <c r="AA92" i="2"/>
  <c r="BR523" i="1"/>
  <c r="BZ270" i="1"/>
  <c r="BZ281" i="1" s="1"/>
  <c r="BZ282" i="1" s="1"/>
  <c r="AC483" i="1"/>
  <c r="AC487" i="1" s="1"/>
  <c r="AA505" i="1"/>
  <c r="AB505" i="1" s="1"/>
  <c r="BQ523" i="1"/>
  <c r="AU515" i="1"/>
  <c r="AV519" i="1"/>
  <c r="BS438" i="1"/>
  <c r="BR437" i="1"/>
  <c r="BR436" i="1" s="1"/>
  <c r="BG398" i="1"/>
  <c r="BQ274" i="1"/>
  <c r="CR273" i="1"/>
  <c r="BJ40" i="1"/>
  <c r="BL37" i="1"/>
  <c r="CQ281" i="1"/>
  <c r="BL282" i="1"/>
  <c r="CQ282" i="1" s="1"/>
  <c r="CS258" i="1"/>
  <c r="CP37" i="1"/>
  <c r="H12" i="5" s="1"/>
  <c r="H18" i="5" s="1"/>
  <c r="BG40" i="1"/>
  <c r="BK472" i="1"/>
  <c r="BK474" i="1" s="1"/>
  <c r="BK398" i="1"/>
  <c r="BX398" i="1"/>
  <c r="BX472" i="1"/>
  <c r="BO114" i="1"/>
  <c r="BO37" i="1"/>
  <c r="BQ38" i="1"/>
  <c r="BJ472" i="1"/>
  <c r="BJ474" i="1" s="1"/>
  <c r="BL114" i="1"/>
  <c r="BJ398" i="1"/>
  <c r="BX271" i="1"/>
  <c r="BX273" i="1"/>
  <c r="BX274" i="1" s="1"/>
  <c r="BX281" i="1"/>
  <c r="BX282" i="1" s="1"/>
  <c r="BY271" i="1"/>
  <c r="BY281" i="1"/>
  <c r="BY282" i="1" s="1"/>
  <c r="BY273" i="1"/>
  <c r="BY274" i="1" s="1"/>
  <c r="BY345" i="1"/>
  <c r="BT38" i="1"/>
  <c r="BT350" i="1"/>
  <c r="BT344" i="1"/>
  <c r="BV345" i="1"/>
  <c r="BV344" i="1" s="1"/>
  <c r="BU38" i="1"/>
  <c r="BU344" i="1"/>
  <c r="BU350" i="1"/>
  <c r="BZ345" i="1"/>
  <c r="CA258" i="1"/>
  <c r="CT258" i="1" s="1"/>
  <c r="CA263" i="1"/>
  <c r="CT257" i="1"/>
  <c r="CR281" i="1"/>
  <c r="BQ282" i="1"/>
  <c r="CR282" i="1" s="1"/>
  <c r="CQ38" i="1"/>
  <c r="BL274" i="1"/>
  <c r="CQ273" i="1"/>
  <c r="BP37" i="1"/>
  <c r="BP40" i="1" s="1"/>
  <c r="BP114" i="1"/>
  <c r="CP274" i="1"/>
  <c r="BF474" i="1"/>
  <c r="BG472" i="1"/>
  <c r="CP114" i="1"/>
  <c r="BV270" i="1"/>
  <c r="CS263" i="1"/>
  <c r="BV268" i="1"/>
  <c r="CS268" i="1" s="1"/>
  <c r="AI507" i="1"/>
  <c r="AM507" i="1"/>
  <c r="AI506" i="1"/>
  <c r="AM506" i="1"/>
  <c r="AF432" i="1"/>
  <c r="AF434" i="1" s="1"/>
  <c r="AG430" i="1" s="1"/>
  <c r="BI77" i="2"/>
  <c r="BY581" i="1" s="1"/>
  <c r="BI86" i="2"/>
  <c r="BY580" i="1"/>
  <c r="BI100" i="2"/>
  <c r="BW535" i="1"/>
  <c r="BX535" i="1" s="1"/>
  <c r="BY535" i="1" s="1"/>
  <c r="BZ535" i="1" s="1"/>
  <c r="CA535" i="1"/>
  <c r="BX176" i="1"/>
  <c r="BK32" i="2"/>
  <c r="CD31" i="2"/>
  <c r="CA309" i="1"/>
  <c r="CA568" i="1"/>
  <c r="BK76" i="2"/>
  <c r="BK81" i="2"/>
  <c r="BN425" i="1"/>
  <c r="CP329" i="1"/>
  <c r="BG334" i="1"/>
  <c r="CP334" i="1" s="1"/>
  <c r="BG336" i="1"/>
  <c r="BP189" i="1"/>
  <c r="BQ189" i="1" s="1"/>
  <c r="M61" i="1"/>
  <c r="M71" i="1" s="1"/>
  <c r="M70" i="1"/>
  <c r="I447" i="1"/>
  <c r="CF58" i="1"/>
  <c r="I69" i="1"/>
  <c r="CF69" i="1" s="1"/>
  <c r="I59" i="1"/>
  <c r="BD103" i="2"/>
  <c r="BD91" i="2"/>
  <c r="BD105" i="2"/>
  <c r="BD107" i="2"/>
  <c r="BD104" i="2"/>
  <c r="BD106" i="2"/>
  <c r="BI612" i="1"/>
  <c r="M134" i="1"/>
  <c r="M161" i="1" s="1"/>
  <c r="N113" i="1"/>
  <c r="BG137" i="1"/>
  <c r="BE144" i="1"/>
  <c r="BE475" i="1"/>
  <c r="BT207" i="1"/>
  <c r="BT180" i="1"/>
  <c r="BT25" i="1"/>
  <c r="BT360" i="1"/>
  <c r="BT175" i="1"/>
  <c r="BT208" i="1"/>
  <c r="BT13" i="1"/>
  <c r="BT15" i="1"/>
  <c r="BT200" i="1"/>
  <c r="BT130" i="1" s="1"/>
  <c r="CC76" i="2"/>
  <c r="BV580" i="1"/>
  <c r="BF77" i="2"/>
  <c r="BF86" i="2"/>
  <c r="BF100" i="2"/>
  <c r="CC100" i="2" s="1"/>
  <c r="BV332" i="1"/>
  <c r="CS332" i="1" s="1"/>
  <c r="BV314" i="1"/>
  <c r="CS313" i="1"/>
  <c r="BV347" i="1"/>
  <c r="BV12" i="1"/>
  <c r="BO218" i="1"/>
  <c r="BN449" i="1"/>
  <c r="BN141" i="1"/>
  <c r="BN144" i="1" s="1"/>
  <c r="BP196" i="1"/>
  <c r="BP18" i="1"/>
  <c r="BP22" i="1"/>
  <c r="AB134" i="1"/>
  <c r="AB161" i="1" s="1"/>
  <c r="AC113" i="1"/>
  <c r="BH128" i="1"/>
  <c r="BG128" i="1"/>
  <c r="CP128" i="1" s="1"/>
  <c r="AI510" i="1"/>
  <c r="AM510" i="1"/>
  <c r="BU647" i="1"/>
  <c r="BK337" i="1"/>
  <c r="BK339" i="1"/>
  <c r="BK348" i="1"/>
  <c r="BK349" i="1" s="1"/>
  <c r="BN521" i="1"/>
  <c r="BS116" i="1"/>
  <c r="BT116" i="1" s="1"/>
  <c r="BU116" i="1" s="1"/>
  <c r="BJ431" i="1"/>
  <c r="BJ42" i="1"/>
  <c r="BJ29" i="1"/>
  <c r="BG204" i="1"/>
  <c r="CP196" i="1"/>
  <c r="BG366" i="1"/>
  <c r="BH129" i="1"/>
  <c r="BW179" i="1"/>
  <c r="CS179" i="1"/>
  <c r="BQ200" i="1"/>
  <c r="BP130" i="1"/>
  <c r="CR208" i="1"/>
  <c r="BQ372" i="1"/>
  <c r="BO124" i="1"/>
  <c r="BO473" i="1" s="1"/>
  <c r="N483" i="1"/>
  <c r="N487" i="1" s="1"/>
  <c r="CJ549" i="1"/>
  <c r="BK204" i="1"/>
  <c r="BK211" i="1" s="1"/>
  <c r="BL196" i="1"/>
  <c r="BK129" i="1"/>
  <c r="BN215" i="1"/>
  <c r="BE29" i="1"/>
  <c r="BE42" i="1"/>
  <c r="AM105" i="7"/>
  <c r="BH480" i="1"/>
  <c r="AV514" i="1"/>
  <c r="BA514" i="1" s="1"/>
  <c r="AY514" i="1"/>
  <c r="BO650" i="1"/>
  <c r="BQ649" i="1"/>
  <c r="BM521" i="1"/>
  <c r="BA87" i="2"/>
  <c r="CB87" i="2" s="1"/>
  <c r="CB86" i="2"/>
  <c r="BA108" i="2"/>
  <c r="CB108" i="2" s="1"/>
  <c r="AM432" i="1"/>
  <c r="AZ512" i="1"/>
  <c r="BS520" i="1"/>
  <c r="BX520" i="1" s="1"/>
  <c r="BK639" i="1"/>
  <c r="BK638" i="1" s="1"/>
  <c r="BK611" i="1" s="1"/>
  <c r="BJ638" i="1"/>
  <c r="AW516" i="1"/>
  <c r="CR221" i="1"/>
  <c r="BR221" i="1"/>
  <c r="BL526" i="1"/>
  <c r="Y503" i="1"/>
  <c r="CO71" i="1"/>
  <c r="BB544" i="1"/>
  <c r="BW520" i="1"/>
  <c r="BF90" i="2"/>
  <c r="BF98" i="2"/>
  <c r="CC98" i="2" s="1"/>
  <c r="CC81" i="2"/>
  <c r="BF82" i="2"/>
  <c r="CC82" i="2" s="1"/>
  <c r="BF99" i="2"/>
  <c r="CC99" i="2" s="1"/>
  <c r="BF96" i="2"/>
  <c r="CC96" i="2" s="1"/>
  <c r="BH612" i="1"/>
  <c r="BP334" i="1"/>
  <c r="BP336" i="1"/>
  <c r="BP650" i="1"/>
  <c r="BP655" i="1"/>
  <c r="BP657" i="1" s="1"/>
  <c r="BP658" i="1" s="1"/>
  <c r="AB70" i="1"/>
  <c r="AB61" i="1"/>
  <c r="AB60" i="1" s="1"/>
  <c r="BJ373" i="1"/>
  <c r="BI177" i="1"/>
  <c r="BI128" i="1" s="1"/>
  <c r="BG124" i="1"/>
  <c r="BE473" i="1"/>
  <c r="BE474" i="1" s="1"/>
  <c r="BG650" i="1"/>
  <c r="BG655" i="1"/>
  <c r="BG657" i="1" s="1"/>
  <c r="BG658" i="1" s="1"/>
  <c r="BQ15" i="1"/>
  <c r="CR15" i="1" s="1"/>
  <c r="CR12" i="1"/>
  <c r="BQ368" i="1"/>
  <c r="BR368" i="1" s="1"/>
  <c r="BS368" i="1" s="1"/>
  <c r="BT368" i="1" s="1"/>
  <c r="BU368" i="1" s="1"/>
  <c r="BQ25" i="1"/>
  <c r="BQ13" i="1"/>
  <c r="BU652" i="1"/>
  <c r="BU653" i="1" s="1"/>
  <c r="BU329" i="1"/>
  <c r="BU19" i="1"/>
  <c r="BU20" i="1" s="1"/>
  <c r="BE91" i="2"/>
  <c r="BE103" i="2"/>
  <c r="BE105" i="2"/>
  <c r="BE104" i="2"/>
  <c r="BE107" i="2"/>
  <c r="BE106" i="2"/>
  <c r="CQ16" i="1"/>
  <c r="BP137" i="1"/>
  <c r="BP500" i="1"/>
  <c r="BP526" i="1" s="1"/>
  <c r="BP458" i="1"/>
  <c r="BQ365" i="1"/>
  <c r="CR175" i="1"/>
  <c r="BR126" i="1"/>
  <c r="BO117" i="1"/>
  <c r="BQ117" i="1" s="1"/>
  <c r="CR117" i="1" s="1"/>
  <c r="BQ360" i="1"/>
  <c r="BQ361" i="1" s="1"/>
  <c r="CP19" i="1"/>
  <c r="BG20" i="1"/>
  <c r="BG22" i="1"/>
  <c r="CP17" i="1"/>
  <c r="BG18" i="1"/>
  <c r="BB514" i="1"/>
  <c r="CQ318" i="1"/>
  <c r="BR187" i="1"/>
  <c r="CR187" i="1"/>
  <c r="BK475" i="1"/>
  <c r="BK144" i="1"/>
  <c r="BK397" i="1"/>
  <c r="BW540" i="1"/>
  <c r="BX540" i="1" s="1"/>
  <c r="BY540" i="1" s="1"/>
  <c r="BZ540" i="1" s="1"/>
  <c r="CA540" i="1"/>
  <c r="BO20" i="1"/>
  <c r="BQ19" i="1"/>
  <c r="AS515" i="1"/>
  <c r="AQ515" i="1"/>
  <c r="AV515" i="1" s="1"/>
  <c r="AR515" i="1"/>
  <c r="AK517" i="1"/>
  <c r="AO517" i="1"/>
  <c r="BQ581" i="1"/>
  <c r="CB77" i="2"/>
  <c r="AI432" i="1"/>
  <c r="AI434" i="1" s="1"/>
  <c r="AJ430" i="1" s="1"/>
  <c r="BL521" i="1"/>
  <c r="BQ521" i="1" s="1"/>
  <c r="CJ58" i="1"/>
  <c r="AC447" i="1"/>
  <c r="AC69" i="1"/>
  <c r="CJ69" i="1" s="1"/>
  <c r="AC59" i="1"/>
  <c r="AS70" i="7"/>
  <c r="AT24" i="7"/>
  <c r="BP155" i="1"/>
  <c r="BQ214" i="1"/>
  <c r="CP324" i="1"/>
  <c r="CP318" i="1"/>
  <c r="BJ98" i="2"/>
  <c r="BJ90" i="2"/>
  <c r="BJ82" i="2"/>
  <c r="BZ314" i="1" s="1"/>
  <c r="BJ99" i="2"/>
  <c r="BJ96" i="2"/>
  <c r="BJ97" i="2"/>
  <c r="BT647" i="1"/>
  <c r="BV646" i="1"/>
  <c r="BF97" i="2"/>
  <c r="CC97" i="2" s="1"/>
  <c r="BB512" i="1"/>
  <c r="BM144" i="1"/>
  <c r="BT520" i="1"/>
  <c r="BQ647" i="1"/>
  <c r="N447" i="1"/>
  <c r="N450" i="1" s="1"/>
  <c r="CG58" i="1"/>
  <c r="N59" i="1"/>
  <c r="N69" i="1"/>
  <c r="CG69" i="1" s="1"/>
  <c r="BE337" i="1"/>
  <c r="BE339" i="1"/>
  <c r="BE348" i="1"/>
  <c r="BE349" i="1" s="1"/>
  <c r="BQ315" i="1"/>
  <c r="CR314" i="1"/>
  <c r="BU208" i="1"/>
  <c r="BV208" i="1" s="1"/>
  <c r="BU360" i="1"/>
  <c r="BU117" i="1" s="1"/>
  <c r="BU25" i="1"/>
  <c r="BU15" i="1"/>
  <c r="BU180" i="1"/>
  <c r="BV180" i="1" s="1"/>
  <c r="BU175" i="1"/>
  <c r="BV175" i="1" s="1"/>
  <c r="BU207" i="1"/>
  <c r="BU200" i="1"/>
  <c r="BU13" i="1"/>
  <c r="BQ16" i="1"/>
  <c r="BA88" i="2"/>
  <c r="CB92" i="2"/>
  <c r="BD87" i="2"/>
  <c r="BD108" i="2"/>
  <c r="CQ17" i="1"/>
  <c r="BL18" i="1"/>
  <c r="BA55" i="7"/>
  <c r="BQ207" i="1"/>
  <c r="BP124" i="1"/>
  <c r="BP473" i="1" s="1"/>
  <c r="CQ207" i="1"/>
  <c r="BL371" i="1"/>
  <c r="BM124" i="1"/>
  <c r="BL481" i="1"/>
  <c r="BM481" i="1"/>
  <c r="BK431" i="1"/>
  <c r="BK29" i="1"/>
  <c r="BK42" i="1"/>
  <c r="CQ13" i="1"/>
  <c r="I6" i="5" s="1"/>
  <c r="I113" i="1"/>
  <c r="H134" i="1"/>
  <c r="H161" i="1" s="1"/>
  <c r="BF33" i="1"/>
  <c r="BF457" i="1"/>
  <c r="BF31" i="1"/>
  <c r="BF30" i="1"/>
  <c r="BF340" i="1"/>
  <c r="BF342" i="1"/>
  <c r="BV520" i="1"/>
  <c r="BI98" i="2"/>
  <c r="BI90" i="2"/>
  <c r="BI82" i="2"/>
  <c r="BY314" i="1" s="1"/>
  <c r="BI99" i="2"/>
  <c r="BI96" i="2"/>
  <c r="BE87" i="2"/>
  <c r="BE108" i="2"/>
  <c r="BY347" i="1"/>
  <c r="BY646" i="1"/>
  <c r="BY12" i="1"/>
  <c r="BY332" i="1"/>
  <c r="BP206" i="1"/>
  <c r="AT60" i="7"/>
  <c r="AT61" i="7" s="1"/>
  <c r="BO424" i="1"/>
  <c r="BO481" i="1"/>
  <c r="CP383" i="1"/>
  <c r="BG500" i="1"/>
  <c r="BG527" i="1" s="1"/>
  <c r="BG458" i="1"/>
  <c r="BG384" i="1"/>
  <c r="CP384" i="1" s="1"/>
  <c r="BZ636" i="1"/>
  <c r="CA635" i="1"/>
  <c r="CA636" i="1" s="1"/>
  <c r="BJ77" i="2"/>
  <c r="BZ581" i="1" s="1"/>
  <c r="BZ580" i="1"/>
  <c r="BJ86" i="2"/>
  <c r="BJ100" i="2"/>
  <c r="BZ332" i="1"/>
  <c r="BZ646" i="1"/>
  <c r="BZ347" i="1"/>
  <c r="BZ12" i="1"/>
  <c r="BV569" i="1"/>
  <c r="CC32" i="2"/>
  <c r="CD36" i="2"/>
  <c r="CA570" i="1"/>
  <c r="BK83" i="2"/>
  <c r="CD83" i="2" s="1"/>
  <c r="BS523" i="1"/>
  <c r="CH59" i="1"/>
  <c r="S61" i="1"/>
  <c r="S70" i="1"/>
  <c r="CH70" i="1" s="1"/>
  <c r="CH113" i="1"/>
  <c r="S134" i="1"/>
  <c r="CB90" i="2"/>
  <c r="BA91" i="2"/>
  <c r="CB91" i="2" s="1"/>
  <c r="BA105" i="2"/>
  <c r="CB105" i="2" s="1"/>
  <c r="BA103" i="2"/>
  <c r="CB103" i="2" s="1"/>
  <c r="BA107" i="2"/>
  <c r="CB107" i="2" s="1"/>
  <c r="BA104" i="2"/>
  <c r="CB104" i="2" s="1"/>
  <c r="BA106" i="2"/>
  <c r="CB106" i="2" s="1"/>
  <c r="BU649" i="1"/>
  <c r="BU17" i="1"/>
  <c r="BJ92" i="2"/>
  <c r="BJ129" i="1"/>
  <c r="BJ204" i="1"/>
  <c r="BJ211" i="1" s="1"/>
  <c r="BE88" i="2"/>
  <c r="BU16" i="1"/>
  <c r="CR180" i="1"/>
  <c r="BQ369" i="1"/>
  <c r="BP126" i="1"/>
  <c r="BO126" i="1"/>
  <c r="BA512" i="1"/>
  <c r="CQ25" i="1"/>
  <c r="H61" i="1"/>
  <c r="H71" i="1" s="1"/>
  <c r="H70" i="1"/>
  <c r="BH473" i="1"/>
  <c r="BH474" i="1" s="1"/>
  <c r="BL124" i="1"/>
  <c r="BE204" i="1"/>
  <c r="BE211" i="1" s="1"/>
  <c r="BG129" i="1"/>
  <c r="CP129" i="1" s="1"/>
  <c r="BU216" i="1"/>
  <c r="BX178" i="1"/>
  <c r="BO521" i="1"/>
  <c r="V504" i="1"/>
  <c r="W504" i="1" s="1"/>
  <c r="Y504" i="1" s="1"/>
  <c r="Z504" i="1" s="1"/>
  <c r="AA504" i="1" s="1"/>
  <c r="AB504" i="1" s="1"/>
  <c r="AD504" i="1" s="1"/>
  <c r="AE504" i="1" s="1"/>
  <c r="AF504" i="1" s="1"/>
  <c r="AG504" i="1" s="1"/>
  <c r="CQ324" i="1"/>
  <c r="BF468" i="1"/>
  <c r="BF43" i="1"/>
  <c r="CQ200" i="1"/>
  <c r="BL367" i="1"/>
  <c r="BM130" i="1"/>
  <c r="AS519" i="1"/>
  <c r="AX519" i="1" s="1"/>
  <c r="AT519" i="1"/>
  <c r="BG126" i="1"/>
  <c r="AX514" i="1"/>
  <c r="BC514" i="1" s="1"/>
  <c r="BK64" i="1"/>
  <c r="BJ65" i="1"/>
  <c r="BK65" i="1" s="1"/>
  <c r="BK67" i="1" s="1"/>
  <c r="BJ64" i="1"/>
  <c r="BL63" i="1"/>
  <c r="BP436" i="1"/>
  <c r="BP63" i="1" s="1"/>
  <c r="BO63" i="1"/>
  <c r="BO64" i="1" s="1"/>
  <c r="BH629" i="1"/>
  <c r="BH631" i="1" s="1"/>
  <c r="BI629" i="1"/>
  <c r="BI631" i="1" s="1"/>
  <c r="BN30" i="1" l="1"/>
  <c r="BN31" i="1"/>
  <c r="BN33" i="1"/>
  <c r="BN34" i="1" s="1"/>
  <c r="BZ385" i="1"/>
  <c r="BZ384" i="1" s="1"/>
  <c r="BZ383" i="1" s="1"/>
  <c r="BZ387" i="1"/>
  <c r="AK109" i="7"/>
  <c r="BS29" i="1"/>
  <c r="BS30" i="1" s="1"/>
  <c r="BS42" i="1"/>
  <c r="BS43" i="1" s="1"/>
  <c r="BN351" i="1"/>
  <c r="BX22" i="1"/>
  <c r="BX431" i="1" s="1"/>
  <c r="BO137" i="1"/>
  <c r="BQ137" i="1" s="1"/>
  <c r="BT17" i="1"/>
  <c r="BT196" i="1" s="1"/>
  <c r="BU522" i="1"/>
  <c r="AG508" i="1"/>
  <c r="AM508" i="1" s="1"/>
  <c r="AJ511" i="1"/>
  <c r="AN511" i="1"/>
  <c r="BV523" i="1"/>
  <c r="BQ383" i="1"/>
  <c r="BQ500" i="1" s="1"/>
  <c r="BQ527" i="1" s="1"/>
  <c r="BX18" i="1"/>
  <c r="BO500" i="1"/>
  <c r="BO526" i="1" s="1"/>
  <c r="AY516" i="1"/>
  <c r="BH516" i="1" s="1"/>
  <c r="BT522" i="1"/>
  <c r="AD404" i="1"/>
  <c r="AD406" i="1" s="1"/>
  <c r="AH406" i="1" s="1"/>
  <c r="AH404" i="1"/>
  <c r="BJ397" i="1"/>
  <c r="BL397" i="1" s="1"/>
  <c r="BV522" i="1"/>
  <c r="BR522" i="1"/>
  <c r="BW522" i="1" s="1"/>
  <c r="AQ63" i="7"/>
  <c r="AQ64" i="7" s="1"/>
  <c r="AQ58" i="7"/>
  <c r="AT45" i="7"/>
  <c r="AS91" i="7"/>
  <c r="BH514" i="1"/>
  <c r="AR77" i="7"/>
  <c r="AS31" i="7"/>
  <c r="AR57" i="7"/>
  <c r="BS522" i="1"/>
  <c r="BG423" i="1"/>
  <c r="E40" i="5"/>
  <c r="E41" i="5" s="1"/>
  <c r="E51" i="5" s="1"/>
  <c r="F2" i="5" s="1"/>
  <c r="BF427" i="1"/>
  <c r="AD138" i="7"/>
  <c r="AC139" i="7"/>
  <c r="BE541" i="1"/>
  <c r="BD539" i="1"/>
  <c r="AM101" i="7"/>
  <c r="AM104" i="7" s="1"/>
  <c r="AN102" i="7"/>
  <c r="AZ516" i="1"/>
  <c r="BP209" i="1"/>
  <c r="BO142" i="1"/>
  <c r="AX52" i="7"/>
  <c r="AW97" i="7"/>
  <c r="BQ541" i="1"/>
  <c r="BL539" i="1"/>
  <c r="BM541" i="1"/>
  <c r="AZ19" i="7"/>
  <c r="AZ67" i="7" s="1"/>
  <c r="BA67" i="7" s="1"/>
  <c r="BA5" i="7"/>
  <c r="BB5" i="7"/>
  <c r="AZ539" i="1"/>
  <c r="BA541" i="1"/>
  <c r="BA539" i="1" s="1"/>
  <c r="BH539" i="1"/>
  <c r="BI541" i="1"/>
  <c r="BB161" i="1"/>
  <c r="CO161" i="1" s="1"/>
  <c r="CR317" i="1"/>
  <c r="BL22" i="1"/>
  <c r="CQ22" i="1" s="1"/>
  <c r="CQ19" i="1"/>
  <c r="CQ383" i="1"/>
  <c r="BX653" i="1"/>
  <c r="BL384" i="1"/>
  <c r="CQ384" i="1" s="1"/>
  <c r="BX126" i="1"/>
  <c r="BO22" i="1"/>
  <c r="BO431" i="1" s="1"/>
  <c r="BL500" i="1"/>
  <c r="BL527" i="1" s="1"/>
  <c r="CQ329" i="1"/>
  <c r="CC92" i="2"/>
  <c r="BX336" i="1"/>
  <c r="BX348" i="1" s="1"/>
  <c r="BX349" i="1" s="1"/>
  <c r="BV16" i="1"/>
  <c r="CS16" i="1" s="1"/>
  <c r="BX130" i="1"/>
  <c r="BL655" i="1"/>
  <c r="BL657" i="1" s="1"/>
  <c r="BL658" i="1" s="1"/>
  <c r="BL137" i="1"/>
  <c r="BL475" i="1" s="1"/>
  <c r="BN468" i="1"/>
  <c r="BJ144" i="1"/>
  <c r="BQ17" i="1"/>
  <c r="CR17" i="1" s="1"/>
  <c r="BO196" i="1"/>
  <c r="BO129" i="1" s="1"/>
  <c r="BX500" i="1"/>
  <c r="BX526" i="1" s="1"/>
  <c r="BX458" i="1"/>
  <c r="BJ337" i="1"/>
  <c r="BO334" i="1"/>
  <c r="BT649" i="1"/>
  <c r="BT650" i="1" s="1"/>
  <c r="BQ526" i="1"/>
  <c r="BJ339" i="1"/>
  <c r="BJ340" i="1" s="1"/>
  <c r="BG190" i="1"/>
  <c r="BP370" i="1"/>
  <c r="BK190" i="1"/>
  <c r="BL190" i="1" s="1"/>
  <c r="BT387" i="1"/>
  <c r="BT385" i="1"/>
  <c r="BT384" i="1" s="1"/>
  <c r="BT383" i="1" s="1"/>
  <c r="BV383" i="1" s="1"/>
  <c r="BV386" i="1"/>
  <c r="BJ132" i="1"/>
  <c r="BT370" i="1"/>
  <c r="BO190" i="1"/>
  <c r="AX98" i="7"/>
  <c r="AY53" i="7"/>
  <c r="AX26" i="7"/>
  <c r="AW71" i="7"/>
  <c r="AU72" i="7"/>
  <c r="AV25" i="7"/>
  <c r="BL334" i="1"/>
  <c r="CQ334" i="1" s="1"/>
  <c r="AH401" i="1"/>
  <c r="BQ652" i="1"/>
  <c r="BQ653" i="1" s="1"/>
  <c r="BI88" i="2"/>
  <c r="BO653" i="1"/>
  <c r="BT521" i="1"/>
  <c r="BN525" i="1"/>
  <c r="BM525" i="1"/>
  <c r="BK525" i="1"/>
  <c r="BJ525" i="1"/>
  <c r="BL525" i="1"/>
  <c r="AY513" i="1"/>
  <c r="AW513" i="1"/>
  <c r="AZ513" i="1"/>
  <c r="AX513" i="1"/>
  <c r="AV513" i="1"/>
  <c r="BT329" i="1"/>
  <c r="BT334" i="1" s="1"/>
  <c r="BQ329" i="1"/>
  <c r="BQ334" i="1" s="1"/>
  <c r="CR334" i="1" s="1"/>
  <c r="BD512" i="1"/>
  <c r="BT536" i="1"/>
  <c r="BS534" i="1"/>
  <c r="BO534" i="1"/>
  <c r="BP536" i="1"/>
  <c r="BP534" i="1" s="1"/>
  <c r="BW534" i="1"/>
  <c r="BX536" i="1"/>
  <c r="AT20" i="7"/>
  <c r="BP198" i="1"/>
  <c r="BP556" i="1" s="1"/>
  <c r="BN119" i="1"/>
  <c r="BO188" i="1"/>
  <c r="BO119" i="1" s="1"/>
  <c r="BT19" i="1"/>
  <c r="BV19" i="1" s="1"/>
  <c r="BE512" i="1"/>
  <c r="BJ512" i="1" s="1"/>
  <c r="BZ273" i="1"/>
  <c r="BZ274" i="1" s="1"/>
  <c r="E173" i="1"/>
  <c r="F162" i="1"/>
  <c r="F164" i="1" s="1"/>
  <c r="AH415" i="1"/>
  <c r="BT75" i="2"/>
  <c r="M85" i="2"/>
  <c r="D182" i="1"/>
  <c r="CE173" i="1"/>
  <c r="D419" i="1"/>
  <c r="D420" i="1" s="1"/>
  <c r="D421" i="1" s="1"/>
  <c r="BF512" i="1"/>
  <c r="BT652" i="1"/>
  <c r="BV652" i="1" s="1"/>
  <c r="BV653" i="1" s="1"/>
  <c r="BQ324" i="1"/>
  <c r="AM434" i="1"/>
  <c r="AN430" i="1" s="1"/>
  <c r="BY325" i="1"/>
  <c r="BY324" i="1"/>
  <c r="BY323" i="1" s="1"/>
  <c r="CA323" i="1" s="1"/>
  <c r="BY327" i="1"/>
  <c r="BX523" i="1"/>
  <c r="BB516" i="1"/>
  <c r="BY319" i="1"/>
  <c r="BY321" i="1"/>
  <c r="BY318" i="1"/>
  <c r="BY317" i="1" s="1"/>
  <c r="BY17" i="1" s="1"/>
  <c r="BA516" i="1"/>
  <c r="BS131" i="1"/>
  <c r="BT197" i="1"/>
  <c r="BW523" i="1"/>
  <c r="BD518" i="1"/>
  <c r="BY520" i="1"/>
  <c r="X71" i="1"/>
  <c r="CI61" i="1"/>
  <c r="BD516" i="1"/>
  <c r="BZ271" i="1"/>
  <c r="AE509" i="1"/>
  <c r="R502" i="1"/>
  <c r="Q531" i="1"/>
  <c r="CI134" i="1"/>
  <c r="X161" i="1"/>
  <c r="CI161" i="1" s="1"/>
  <c r="AW515" i="1"/>
  <c r="BB515" i="1" s="1"/>
  <c r="BC518" i="1"/>
  <c r="BB518" i="1"/>
  <c r="BG518" i="1" s="1"/>
  <c r="BF518" i="1"/>
  <c r="BL64" i="1"/>
  <c r="CQ64" i="1" s="1"/>
  <c r="BE518" i="1"/>
  <c r="BX132" i="1"/>
  <c r="BS342" i="1"/>
  <c r="BS340" i="1"/>
  <c r="AP173" i="1"/>
  <c r="AQ162" i="1"/>
  <c r="AQ164" i="1" s="1"/>
  <c r="AQ173" i="1" s="1"/>
  <c r="BM468" i="1"/>
  <c r="BM351" i="1"/>
  <c r="BM43" i="1"/>
  <c r="BW18" i="1"/>
  <c r="BW22" i="1"/>
  <c r="BW196" i="1"/>
  <c r="BX129" i="1" s="1"/>
  <c r="BM30" i="1"/>
  <c r="BM33" i="1"/>
  <c r="BM31" i="1"/>
  <c r="BM457" i="1"/>
  <c r="BR337" i="1"/>
  <c r="BR339" i="1"/>
  <c r="BR348" i="1"/>
  <c r="BR349" i="1" s="1"/>
  <c r="BW655" i="1"/>
  <c r="BW657" i="1" s="1"/>
  <c r="BW658" i="1" s="1"/>
  <c r="BW650" i="1"/>
  <c r="BR29" i="1"/>
  <c r="BR42" i="1"/>
  <c r="BR431" i="1"/>
  <c r="BX124" i="1"/>
  <c r="BX473" i="1" s="1"/>
  <c r="BX474" i="1" s="1"/>
  <c r="BH35" i="1"/>
  <c r="BH34" i="1"/>
  <c r="BH322" i="1" s="1"/>
  <c r="BW336" i="1"/>
  <c r="BW334" i="1"/>
  <c r="AM71" i="1"/>
  <c r="AM493" i="1"/>
  <c r="CL61" i="1"/>
  <c r="BM340" i="1"/>
  <c r="BM342" i="1"/>
  <c r="BS129" i="1"/>
  <c r="AO555" i="1"/>
  <c r="AO419" i="1"/>
  <c r="AO420" i="1" s="1"/>
  <c r="AO421" i="1" s="1"/>
  <c r="AO182" i="1"/>
  <c r="AO192" i="1" s="1"/>
  <c r="AO227" i="1" s="1"/>
  <c r="AL29" i="1"/>
  <c r="AL40" i="1"/>
  <c r="AL373" i="1"/>
  <c r="AL13" i="1"/>
  <c r="AL384" i="1"/>
  <c r="AL367" i="1"/>
  <c r="AL361" i="1"/>
  <c r="AQ13" i="1"/>
  <c r="AL368" i="1"/>
  <c r="AL25" i="1"/>
  <c r="AL372" i="1"/>
  <c r="AM12" i="1"/>
  <c r="AL18" i="1"/>
  <c r="AL365" i="1"/>
  <c r="AL370" i="1"/>
  <c r="AL20" i="1"/>
  <c r="AL42" i="1"/>
  <c r="AL369" i="1"/>
  <c r="AL371" i="1"/>
  <c r="W107" i="2"/>
  <c r="BV107" i="2" s="1"/>
  <c r="W105" i="2"/>
  <c r="BV105" i="2" s="1"/>
  <c r="BV86" i="2"/>
  <c r="W104" i="2"/>
  <c r="BV104" i="2" s="1"/>
  <c r="W103" i="2"/>
  <c r="BV103" i="2" s="1"/>
  <c r="W106" i="2"/>
  <c r="BV106" i="2" s="1"/>
  <c r="AL339" i="1"/>
  <c r="AL337" i="1"/>
  <c r="AL348" i="1"/>
  <c r="AL349" i="1" s="1"/>
  <c r="AB92" i="2"/>
  <c r="BW92" i="2" s="1"/>
  <c r="W91" i="2"/>
  <c r="BV91" i="2" s="1"/>
  <c r="AB91" i="2"/>
  <c r="BW91" i="2" s="1"/>
  <c r="BV90" i="2"/>
  <c r="AP544" i="1"/>
  <c r="AR71" i="1"/>
  <c r="AW161" i="1"/>
  <c r="CN161" i="1" s="1"/>
  <c r="CN134" i="1"/>
  <c r="W147" i="2"/>
  <c r="W148" i="2" s="1"/>
  <c r="W145" i="2"/>
  <c r="CM134" i="1"/>
  <c r="AR161" i="1"/>
  <c r="CM61" i="1"/>
  <c r="AR493" i="1"/>
  <c r="AR60" i="1"/>
  <c r="AH161" i="1"/>
  <c r="CK161" i="1" s="1"/>
  <c r="CK134" i="1"/>
  <c r="AM332" i="1"/>
  <c r="CL332" i="1" s="1"/>
  <c r="AR314" i="1"/>
  <c r="CL313" i="1"/>
  <c r="AM336" i="1"/>
  <c r="AM314" i="1"/>
  <c r="CL314" i="1" s="1"/>
  <c r="AM324" i="1"/>
  <c r="CL324" i="1" s="1"/>
  <c r="AM318" i="1"/>
  <c r="CL318" i="1" s="1"/>
  <c r="CL14" i="1"/>
  <c r="AM15" i="1"/>
  <c r="CL15" i="1" s="1"/>
  <c r="AR15" i="1"/>
  <c r="CM15" i="1" s="1"/>
  <c r="CN60" i="1"/>
  <c r="AW544" i="1"/>
  <c r="CN71" i="1"/>
  <c r="AD505" i="1"/>
  <c r="AE505" i="1" s="1"/>
  <c r="AF505" i="1" s="1"/>
  <c r="AG505" i="1" s="1"/>
  <c r="BP127" i="1"/>
  <c r="BQ127" i="1" s="1"/>
  <c r="CR127" i="1" s="1"/>
  <c r="BQ130" i="1"/>
  <c r="CR130" i="1" s="1"/>
  <c r="AY519" i="1"/>
  <c r="BD519" i="1" s="1"/>
  <c r="BG514" i="1"/>
  <c r="BC516" i="1"/>
  <c r="BV116" i="1"/>
  <c r="CS116" i="1" s="1"/>
  <c r="BS437" i="1"/>
  <c r="BS436" i="1" s="1"/>
  <c r="BT438" i="1"/>
  <c r="BR63" i="1"/>
  <c r="AX515" i="1"/>
  <c r="BL398" i="1"/>
  <c r="BE476" i="1"/>
  <c r="BU37" i="1"/>
  <c r="BU40" i="1" s="1"/>
  <c r="BU114" i="1"/>
  <c r="BT37" i="1"/>
  <c r="BV38" i="1"/>
  <c r="BT114" i="1"/>
  <c r="CQ114" i="1"/>
  <c r="BL472" i="1"/>
  <c r="BQ37" i="1"/>
  <c r="BO40" i="1"/>
  <c r="CQ37" i="1"/>
  <c r="I12" i="5" s="1"/>
  <c r="I18" i="5" s="1"/>
  <c r="BL40" i="1"/>
  <c r="CR38" i="1"/>
  <c r="CR274" i="1"/>
  <c r="BV273" i="1"/>
  <c r="CS270" i="1"/>
  <c r="BV281" i="1"/>
  <c r="BV271" i="1"/>
  <c r="CS271" i="1" s="1"/>
  <c r="CQ274" i="1"/>
  <c r="BZ38" i="1"/>
  <c r="BZ350" i="1"/>
  <c r="BZ344" i="1"/>
  <c r="CA345" i="1"/>
  <c r="CA344" i="1" s="1"/>
  <c r="BY344" i="1"/>
  <c r="BY38" i="1"/>
  <c r="BQ114" i="1"/>
  <c r="BO472" i="1"/>
  <c r="BO474" i="1" s="1"/>
  <c r="BO398" i="1"/>
  <c r="CP40" i="1"/>
  <c r="BP472" i="1"/>
  <c r="BP474" i="1" s="1"/>
  <c r="BP398" i="1"/>
  <c r="CT263" i="1"/>
  <c r="CA270" i="1"/>
  <c r="CA268" i="1"/>
  <c r="CT268" i="1" s="1"/>
  <c r="BY350" i="1"/>
  <c r="BI476" i="1"/>
  <c r="BI478" i="1" s="1"/>
  <c r="BI460" i="1"/>
  <c r="BL473" i="1"/>
  <c r="CQ124" i="1"/>
  <c r="CP126" i="1"/>
  <c r="BC519" i="1"/>
  <c r="BU196" i="1"/>
  <c r="BU22" i="1"/>
  <c r="BU18" i="1"/>
  <c r="S71" i="1"/>
  <c r="CH61" i="1"/>
  <c r="BZ13" i="1"/>
  <c r="BZ175" i="1"/>
  <c r="CA175" i="1" s="1"/>
  <c r="BZ360" i="1"/>
  <c r="BZ117" i="1" s="1"/>
  <c r="BZ200" i="1"/>
  <c r="BZ207" i="1"/>
  <c r="BZ208" i="1"/>
  <c r="CA208" i="1" s="1"/>
  <c r="BZ180" i="1"/>
  <c r="CA180" i="1" s="1"/>
  <c r="BZ15" i="1"/>
  <c r="BZ25" i="1"/>
  <c r="BZ647" i="1"/>
  <c r="BJ87" i="2"/>
  <c r="BJ108" i="2"/>
  <c r="BI105" i="2"/>
  <c r="BI91" i="2"/>
  <c r="BI103" i="2"/>
  <c r="BI104" i="2"/>
  <c r="BI107" i="2"/>
  <c r="BI106" i="2"/>
  <c r="CA520" i="1"/>
  <c r="BF35" i="1"/>
  <c r="BF34" i="1"/>
  <c r="BF322" i="1" s="1"/>
  <c r="BB55" i="7"/>
  <c r="CS175" i="1"/>
  <c r="BW126" i="1"/>
  <c r="BV365" i="1"/>
  <c r="N70" i="1"/>
  <c r="CG70" i="1" s="1"/>
  <c r="N61" i="1"/>
  <c r="CG59" i="1"/>
  <c r="AU24" i="7"/>
  <c r="AT70" i="7"/>
  <c r="CJ59" i="1"/>
  <c r="AC70" i="1"/>
  <c r="CJ70" i="1" s="1"/>
  <c r="BA515" i="1"/>
  <c r="CP18" i="1"/>
  <c r="CR25" i="1"/>
  <c r="BK92" i="2"/>
  <c r="Z503" i="1"/>
  <c r="BE446" i="1"/>
  <c r="BK612" i="1"/>
  <c r="BR521" i="1"/>
  <c r="BW521" i="1" s="1"/>
  <c r="BQ650" i="1"/>
  <c r="BD514" i="1"/>
  <c r="BI514" i="1" s="1"/>
  <c r="CR200" i="1"/>
  <c r="BQ367" i="1"/>
  <c r="BR130" i="1"/>
  <c r="BL129" i="1"/>
  <c r="CQ129" i="1" s="1"/>
  <c r="BJ457" i="1"/>
  <c r="BJ33" i="1"/>
  <c r="BJ30" i="1"/>
  <c r="BJ31" i="1"/>
  <c r="BK557" i="1"/>
  <c r="BK559" i="1" s="1"/>
  <c r="AJ510" i="1"/>
  <c r="AN510" i="1"/>
  <c r="BF87" i="2"/>
  <c r="CC87" i="2" s="1"/>
  <c r="CC86" i="2"/>
  <c r="BF108" i="2"/>
  <c r="CC108" i="2" s="1"/>
  <c r="BT117" i="1"/>
  <c r="BV117" i="1" s="1"/>
  <c r="CS117" i="1" s="1"/>
  <c r="BV360" i="1"/>
  <c r="BV361" i="1" s="1"/>
  <c r="BT124" i="1"/>
  <c r="BT473" i="1" s="1"/>
  <c r="BG144" i="1"/>
  <c r="CP144" i="1" s="1"/>
  <c r="CP137" i="1"/>
  <c r="H16" i="5" s="1"/>
  <c r="BG475" i="1"/>
  <c r="N134" i="1"/>
  <c r="CG113" i="1"/>
  <c r="BG337" i="1"/>
  <c r="CP337" i="1" s="1"/>
  <c r="CP336" i="1"/>
  <c r="BG339" i="1"/>
  <c r="BG348" i="1"/>
  <c r="BG349" i="1" s="1"/>
  <c r="CD32" i="2"/>
  <c r="CA569" i="1"/>
  <c r="BA519" i="1"/>
  <c r="AZ515" i="1"/>
  <c r="AJ506" i="1"/>
  <c r="AN506" i="1"/>
  <c r="AY515" i="1"/>
  <c r="BU521" i="1"/>
  <c r="BY178" i="1"/>
  <c r="BU655" i="1"/>
  <c r="BU657" i="1" s="1"/>
  <c r="BU658" i="1" s="1"/>
  <c r="BU650" i="1"/>
  <c r="BY647" i="1"/>
  <c r="CA646" i="1"/>
  <c r="I134" i="1"/>
  <c r="CF113" i="1"/>
  <c r="BK351" i="1"/>
  <c r="BK468" i="1"/>
  <c r="BK43" i="1"/>
  <c r="CQ18" i="1"/>
  <c r="BU130" i="1"/>
  <c r="BV200" i="1"/>
  <c r="CS180" i="1"/>
  <c r="BV369" i="1"/>
  <c r="BE340" i="1"/>
  <c r="BE342" i="1"/>
  <c r="BG512" i="1"/>
  <c r="BJ105" i="2"/>
  <c r="BJ91" i="2"/>
  <c r="BJ103" i="2"/>
  <c r="BJ104" i="2"/>
  <c r="BJ107" i="2"/>
  <c r="BJ106" i="2"/>
  <c r="CR214" i="1"/>
  <c r="BR214" i="1"/>
  <c r="BI512" i="1"/>
  <c r="BV521" i="1"/>
  <c r="AP517" i="1"/>
  <c r="AL517" i="1"/>
  <c r="AS517" i="1" s="1"/>
  <c r="BS187" i="1"/>
  <c r="CP20" i="1"/>
  <c r="AB71" i="1"/>
  <c r="AC61" i="1"/>
  <c r="BP337" i="1"/>
  <c r="BP348" i="1"/>
  <c r="BP349" i="1" s="1"/>
  <c r="BP339" i="1"/>
  <c r="BF91" i="2"/>
  <c r="CC91" i="2" s="1"/>
  <c r="BF105" i="2"/>
  <c r="CC105" i="2" s="1"/>
  <c r="CC90" i="2"/>
  <c r="BF103" i="2"/>
  <c r="CC103" i="2" s="1"/>
  <c r="BF107" i="2"/>
  <c r="CC107" i="2" s="1"/>
  <c r="BF104" i="2"/>
  <c r="CC104" i="2" s="1"/>
  <c r="BF106" i="2"/>
  <c r="CC106" i="2" s="1"/>
  <c r="CO544" i="1"/>
  <c r="CO72" i="1"/>
  <c r="BZ520" i="1"/>
  <c r="BF514" i="1"/>
  <c r="BO215" i="1"/>
  <c r="CQ196" i="1"/>
  <c r="BL204" i="1"/>
  <c r="BL366" i="1"/>
  <c r="BM129" i="1"/>
  <c r="BJ468" i="1"/>
  <c r="BJ43" i="1"/>
  <c r="BJ351" i="1"/>
  <c r="BK549" i="1"/>
  <c r="BS521" i="1"/>
  <c r="BP431" i="1"/>
  <c r="BP29" i="1"/>
  <c r="BP42" i="1"/>
  <c r="CS12" i="1"/>
  <c r="BV25" i="1"/>
  <c r="BV13" i="1"/>
  <c r="BV15" i="1"/>
  <c r="CS314" i="1"/>
  <c r="BV315" i="1"/>
  <c r="BV581" i="1"/>
  <c r="CC77" i="2"/>
  <c r="BG397" i="1"/>
  <c r="CD81" i="2"/>
  <c r="BK90" i="2"/>
  <c r="BK98" i="2"/>
  <c r="CD98" i="2" s="1"/>
  <c r="BK82" i="2"/>
  <c r="CD82" i="2" s="1"/>
  <c r="BK99" i="2"/>
  <c r="CD99" i="2" s="1"/>
  <c r="BK96" i="2"/>
  <c r="CD96" i="2" s="1"/>
  <c r="CB309" i="1"/>
  <c r="CA313" i="1"/>
  <c r="AZ519" i="1"/>
  <c r="BY523" i="1"/>
  <c r="BE460" i="1"/>
  <c r="BZ649" i="1"/>
  <c r="BZ17" i="1"/>
  <c r="BQ206" i="1"/>
  <c r="AU60" i="7"/>
  <c r="AU61" i="7" s="1"/>
  <c r="BP481" i="1"/>
  <c r="BP424" i="1"/>
  <c r="CR318" i="1"/>
  <c r="BK33" i="1"/>
  <c r="BK30" i="1"/>
  <c r="BK457" i="1"/>
  <c r="BK31" i="1"/>
  <c r="BM473" i="1"/>
  <c r="BM474" i="1" s="1"/>
  <c r="BQ124" i="1"/>
  <c r="CR207" i="1"/>
  <c r="BQ371" i="1"/>
  <c r="BR124" i="1"/>
  <c r="CR16" i="1"/>
  <c r="BZ523" i="1"/>
  <c r="AJ432" i="1"/>
  <c r="AJ434" i="1" s="1"/>
  <c r="AK430" i="1" s="1"/>
  <c r="CP22" i="1"/>
  <c r="BG27" i="1"/>
  <c r="CP27" i="1" s="1"/>
  <c r="BG431" i="1"/>
  <c r="BG29" i="1"/>
  <c r="BH557" i="1" s="1"/>
  <c r="BH559" i="1" s="1"/>
  <c r="BG42" i="1"/>
  <c r="BG473" i="1"/>
  <c r="BG474" i="1" s="1"/>
  <c r="CP124" i="1"/>
  <c r="BV318" i="1"/>
  <c r="CS317" i="1"/>
  <c r="BS221" i="1"/>
  <c r="BL339" i="1"/>
  <c r="BL348" i="1"/>
  <c r="BL349" i="1" s="1"/>
  <c r="BL337" i="1"/>
  <c r="CQ337" i="1" s="1"/>
  <c r="CQ336" i="1"/>
  <c r="BE468" i="1"/>
  <c r="BE43" i="1"/>
  <c r="BE351" i="1"/>
  <c r="BP218" i="1"/>
  <c r="BO141" i="1"/>
  <c r="BO449" i="1"/>
  <c r="I450" i="1"/>
  <c r="I452" i="1" s="1"/>
  <c r="AN105" i="7"/>
  <c r="BI480" i="1"/>
  <c r="CA580" i="1"/>
  <c r="BK77" i="2"/>
  <c r="CD76" i="2"/>
  <c r="BK86" i="2"/>
  <c r="BK100" i="2"/>
  <c r="CD100" i="2" s="1"/>
  <c r="BK97" i="2"/>
  <c r="CD97" i="2" s="1"/>
  <c r="BY176" i="1"/>
  <c r="CQ20" i="1"/>
  <c r="CA523" i="1"/>
  <c r="BO348" i="1"/>
  <c r="BO349" i="1" s="1"/>
  <c r="BO339" i="1"/>
  <c r="BO337" i="1"/>
  <c r="AI504" i="1"/>
  <c r="AM504" i="1"/>
  <c r="BV216" i="1"/>
  <c r="BZ16" i="1"/>
  <c r="BJ88" i="2"/>
  <c r="S161" i="1"/>
  <c r="CH134" i="1"/>
  <c r="BV329" i="1"/>
  <c r="CS323" i="1"/>
  <c r="BV324" i="1"/>
  <c r="BH512" i="1"/>
  <c r="BZ652" i="1"/>
  <c r="BZ653" i="1" s="1"/>
  <c r="BZ329" i="1"/>
  <c r="BZ19" i="1"/>
  <c r="BZ20" i="1" s="1"/>
  <c r="BY25" i="1"/>
  <c r="BY208" i="1"/>
  <c r="BY15" i="1"/>
  <c r="BY207" i="1"/>
  <c r="BY175" i="1"/>
  <c r="BY360" i="1"/>
  <c r="BY13" i="1"/>
  <c r="BY180" i="1"/>
  <c r="BY200" i="1"/>
  <c r="BY130" i="1" s="1"/>
  <c r="BO425" i="1"/>
  <c r="BB519" i="1"/>
  <c r="BU124" i="1"/>
  <c r="BU473" i="1" s="1"/>
  <c r="BV207" i="1"/>
  <c r="BU458" i="1"/>
  <c r="BU137" i="1"/>
  <c r="BU500" i="1"/>
  <c r="BU526" i="1" s="1"/>
  <c r="CS208" i="1"/>
  <c r="BV372" i="1"/>
  <c r="BV647" i="1"/>
  <c r="BP157" i="1"/>
  <c r="BQ155" i="1"/>
  <c r="CR19" i="1"/>
  <c r="BQ20" i="1"/>
  <c r="BP397" i="1"/>
  <c r="BU334" i="1"/>
  <c r="BU336" i="1"/>
  <c r="CR13" i="1"/>
  <c r="J6" i="5" s="1"/>
  <c r="BK373" i="1"/>
  <c r="BK177" i="1" s="1"/>
  <c r="BL177" i="1" s="1"/>
  <c r="BJ177" i="1"/>
  <c r="BJ611" i="1"/>
  <c r="BL638" i="1"/>
  <c r="BL639" i="1" s="1"/>
  <c r="BM639" i="1" s="1"/>
  <c r="AR430" i="1"/>
  <c r="BE30" i="1"/>
  <c r="BE33" i="1"/>
  <c r="BE457" i="1"/>
  <c r="BE31" i="1"/>
  <c r="BF557" i="1"/>
  <c r="BF559" i="1" s="1"/>
  <c r="BE557" i="1"/>
  <c r="BE559" i="1" s="1"/>
  <c r="BX179" i="1"/>
  <c r="BG211" i="1"/>
  <c r="CP211" i="1" s="1"/>
  <c r="CP204" i="1"/>
  <c r="BK340" i="1"/>
  <c r="BK342" i="1"/>
  <c r="CJ113" i="1"/>
  <c r="AC134" i="1"/>
  <c r="BQ196" i="1"/>
  <c r="BP204" i="1"/>
  <c r="BP211" i="1" s="1"/>
  <c r="BU126" i="1"/>
  <c r="BT126" i="1"/>
  <c r="BQ126" i="1"/>
  <c r="I70" i="1"/>
  <c r="CF70" i="1" s="1"/>
  <c r="I61" i="1"/>
  <c r="CF59" i="1"/>
  <c r="BE514" i="1"/>
  <c r="BJ514" i="1" s="1"/>
  <c r="BR189" i="1"/>
  <c r="BR127" i="1" s="1"/>
  <c r="CR189" i="1"/>
  <c r="BI87" i="2"/>
  <c r="BI108" i="2"/>
  <c r="AG432" i="1"/>
  <c r="AG434" i="1" s="1"/>
  <c r="AN507" i="1"/>
  <c r="AJ507" i="1"/>
  <c r="BQ63" i="1"/>
  <c r="BK629" i="1"/>
  <c r="BK631" i="1" s="1"/>
  <c r="BJ67" i="1"/>
  <c r="BL67" i="1"/>
  <c r="BL65" i="1"/>
  <c r="CQ63" i="1"/>
  <c r="BM64" i="1"/>
  <c r="BP64" i="1"/>
  <c r="BN35" i="1" l="1"/>
  <c r="BX522" i="1"/>
  <c r="CA522" i="1"/>
  <c r="BO475" i="1"/>
  <c r="BO144" i="1"/>
  <c r="BO397" i="1"/>
  <c r="BQ397" i="1" s="1"/>
  <c r="BW116" i="1"/>
  <c r="AL438" i="1"/>
  <c r="AM438" i="1"/>
  <c r="BS468" i="1"/>
  <c r="BS33" i="1"/>
  <c r="BS34" i="1" s="1"/>
  <c r="BS351" i="1"/>
  <c r="BS457" i="1"/>
  <c r="BS31" i="1"/>
  <c r="BX42" i="1"/>
  <c r="BX468" i="1" s="1"/>
  <c r="AQ550" i="1"/>
  <c r="BX29" i="1"/>
  <c r="BX33" i="1" s="1"/>
  <c r="BQ458" i="1"/>
  <c r="BT18" i="1"/>
  <c r="BV17" i="1"/>
  <c r="BV18" i="1" s="1"/>
  <c r="CR383" i="1"/>
  <c r="BQ384" i="1"/>
  <c r="CR384" i="1" s="1"/>
  <c r="BE519" i="1"/>
  <c r="BJ519" i="1" s="1"/>
  <c r="BE516" i="1"/>
  <c r="AO511" i="1"/>
  <c r="AL511" i="1"/>
  <c r="AQ511" i="1" s="1"/>
  <c r="AI508" i="1"/>
  <c r="AN508" i="1" s="1"/>
  <c r="AK511" i="1"/>
  <c r="BO204" i="1"/>
  <c r="BO211" i="1" s="1"/>
  <c r="BY649" i="1"/>
  <c r="BY650" i="1" s="1"/>
  <c r="BV526" i="1"/>
  <c r="BP129" i="1"/>
  <c r="BQ129" i="1" s="1"/>
  <c r="CR129" i="1" s="1"/>
  <c r="AH408" i="1"/>
  <c r="BG516" i="1"/>
  <c r="BF541" i="1"/>
  <c r="BF539" i="1" s="1"/>
  <c r="BE539" i="1"/>
  <c r="AE138" i="7"/>
  <c r="AD139" i="7"/>
  <c r="BG426" i="1"/>
  <c r="BG422" i="1"/>
  <c r="BG427" i="1"/>
  <c r="BD5" i="7"/>
  <c r="BD19" i="7" s="1"/>
  <c r="BD67" i="7" s="1"/>
  <c r="BB19" i="7"/>
  <c r="BB67" i="7" s="1"/>
  <c r="BM539" i="1"/>
  <c r="BN541" i="1"/>
  <c r="AX97" i="7"/>
  <c r="AY52" i="7"/>
  <c r="AR63" i="7"/>
  <c r="AR64" i="7" s="1"/>
  <c r="AR58" i="7"/>
  <c r="BZ522" i="1"/>
  <c r="BJ342" i="1"/>
  <c r="BF516" i="1"/>
  <c r="BK516" i="1" s="1"/>
  <c r="BL512" i="1"/>
  <c r="BT336" i="1"/>
  <c r="BT337" i="1" s="1"/>
  <c r="BC5" i="7"/>
  <c r="BA19" i="7"/>
  <c r="AO102" i="7"/>
  <c r="AN101" i="7"/>
  <c r="AN104" i="7" s="1"/>
  <c r="AT31" i="7"/>
  <c r="AS77" i="7"/>
  <c r="AS57" i="7"/>
  <c r="BY522" i="1"/>
  <c r="BG519" i="1"/>
  <c r="BJ541" i="1"/>
  <c r="BI539" i="1"/>
  <c r="BR541" i="1"/>
  <c r="BQ539" i="1"/>
  <c r="BV541" i="1"/>
  <c r="BP142" i="1"/>
  <c r="BQ209" i="1"/>
  <c r="AM109" i="7"/>
  <c r="BH423" i="1"/>
  <c r="AT91" i="7"/>
  <c r="AU45" i="7"/>
  <c r="BL42" i="1"/>
  <c r="BL468" i="1" s="1"/>
  <c r="BL431" i="1"/>
  <c r="BO42" i="1"/>
  <c r="BO351" i="1" s="1"/>
  <c r="BO29" i="1"/>
  <c r="BO33" i="1" s="1"/>
  <c r="CQ137" i="1"/>
  <c r="I16" i="5" s="1"/>
  <c r="I19" i="5" s="1"/>
  <c r="BL29" i="1"/>
  <c r="BL27" i="1"/>
  <c r="CQ27" i="1" s="1"/>
  <c r="BX339" i="1"/>
  <c r="BX340" i="1" s="1"/>
  <c r="BX337" i="1"/>
  <c r="BQ22" i="1"/>
  <c r="BQ431" i="1" s="1"/>
  <c r="BQ18" i="1"/>
  <c r="CR18" i="1" s="1"/>
  <c r="BL144" i="1"/>
  <c r="CQ144" i="1" s="1"/>
  <c r="BT655" i="1"/>
  <c r="BT657" i="1" s="1"/>
  <c r="BT658" i="1" s="1"/>
  <c r="BT500" i="1"/>
  <c r="BT526" i="1" s="1"/>
  <c r="BT458" i="1"/>
  <c r="BT22" i="1"/>
  <c r="BT29" i="1" s="1"/>
  <c r="BY19" i="1"/>
  <c r="BY22" i="1" s="1"/>
  <c r="BT137" i="1"/>
  <c r="BV137" i="1" s="1"/>
  <c r="BQ655" i="1"/>
  <c r="BQ657" i="1" s="1"/>
  <c r="BQ658" i="1" s="1"/>
  <c r="BV649" i="1"/>
  <c r="BV650" i="1" s="1"/>
  <c r="BY652" i="1"/>
  <c r="BK132" i="1"/>
  <c r="BY385" i="1"/>
  <c r="BY384" i="1" s="1"/>
  <c r="BY383" i="1" s="1"/>
  <c r="BY458" i="1" s="1"/>
  <c r="BY387" i="1"/>
  <c r="CA386" i="1"/>
  <c r="BU370" i="1"/>
  <c r="BP190" i="1"/>
  <c r="BQ190" i="1" s="1"/>
  <c r="BF460" i="1"/>
  <c r="BG132" i="1"/>
  <c r="BF476" i="1"/>
  <c r="BO132" i="1"/>
  <c r="BG370" i="1"/>
  <c r="CP190" i="1"/>
  <c r="BH132" i="1"/>
  <c r="BY370" i="1"/>
  <c r="BY190" i="1" s="1"/>
  <c r="BY132" i="1" s="1"/>
  <c r="BT190" i="1"/>
  <c r="BM132" i="1"/>
  <c r="BL370" i="1"/>
  <c r="CQ190" i="1"/>
  <c r="AZ53" i="7"/>
  <c r="AY98" i="7"/>
  <c r="AX71" i="7"/>
  <c r="AY26" i="7"/>
  <c r="AV72" i="7"/>
  <c r="AW25" i="7"/>
  <c r="BT20" i="1"/>
  <c r="BQ336" i="1"/>
  <c r="CR336" i="1" s="1"/>
  <c r="AM396" i="1"/>
  <c r="AI396" i="1"/>
  <c r="AI399" i="1" s="1"/>
  <c r="AM399" i="1" s="1"/>
  <c r="CR329" i="1"/>
  <c r="BT653" i="1"/>
  <c r="BQ525" i="1"/>
  <c r="BS525" i="1"/>
  <c r="BO525" i="1"/>
  <c r="BP525" i="1"/>
  <c r="BA513" i="1"/>
  <c r="BC513" i="1"/>
  <c r="BE513" i="1"/>
  <c r="BD513" i="1"/>
  <c r="BB513" i="1"/>
  <c r="BG513" i="1" s="1"/>
  <c r="BR525" i="1"/>
  <c r="BJ516" i="1"/>
  <c r="BP188" i="1"/>
  <c r="BQ188" i="1" s="1"/>
  <c r="BO514" i="1"/>
  <c r="BM512" i="1"/>
  <c r="CA317" i="1"/>
  <c r="CT317" i="1" s="1"/>
  <c r="BD515" i="1"/>
  <c r="BC515" i="1"/>
  <c r="BI515" i="1" s="1"/>
  <c r="BT534" i="1"/>
  <c r="BU536" i="1"/>
  <c r="BU534" i="1" s="1"/>
  <c r="BY329" i="1"/>
  <c r="BY336" i="1" s="1"/>
  <c r="BI516" i="1"/>
  <c r="BK512" i="1"/>
  <c r="BQ198" i="1"/>
  <c r="BQ424" i="1" s="1"/>
  <c r="AU20" i="7"/>
  <c r="BX534" i="1"/>
  <c r="BY536" i="1"/>
  <c r="BG515" i="1"/>
  <c r="BT85" i="2"/>
  <c r="AC14" i="1"/>
  <c r="E419" i="1"/>
  <c r="E420" i="1" s="1"/>
  <c r="E421" i="1" s="1"/>
  <c r="E182" i="1"/>
  <c r="E192" i="1" s="1"/>
  <c r="BX521" i="1"/>
  <c r="CR324" i="1"/>
  <c r="AM411" i="1"/>
  <c r="AI411" i="1"/>
  <c r="AI413" i="1" s="1"/>
  <c r="AM413" i="1" s="1"/>
  <c r="D192" i="1"/>
  <c r="CE182" i="1"/>
  <c r="G162" i="1"/>
  <c r="G164" i="1" s="1"/>
  <c r="F173" i="1"/>
  <c r="BT131" i="1"/>
  <c r="BU197" i="1"/>
  <c r="BL518" i="1"/>
  <c r="CI71" i="1"/>
  <c r="CI544" i="1" s="1"/>
  <c r="R531" i="1"/>
  <c r="T502" i="1"/>
  <c r="AF509" i="1"/>
  <c r="BK518" i="1"/>
  <c r="BI518" i="1"/>
  <c r="BQ64" i="1"/>
  <c r="CR64" i="1" s="1"/>
  <c r="BJ518" i="1"/>
  <c r="BH518" i="1"/>
  <c r="BW339" i="1"/>
  <c r="BW348" i="1"/>
  <c r="BW349" i="1" s="1"/>
  <c r="BW337" i="1"/>
  <c r="BR43" i="1"/>
  <c r="BR351" i="1"/>
  <c r="BR468" i="1"/>
  <c r="BW431" i="1"/>
  <c r="BW29" i="1"/>
  <c r="BW42" i="1"/>
  <c r="BR33" i="1"/>
  <c r="BR457" i="1"/>
  <c r="BR30" i="1"/>
  <c r="BR31" i="1"/>
  <c r="BR342" i="1"/>
  <c r="BR340" i="1"/>
  <c r="BM34" i="1"/>
  <c r="BM35" i="1"/>
  <c r="AM544" i="1"/>
  <c r="CL71" i="1"/>
  <c r="CL544" i="1" s="1"/>
  <c r="AQ555" i="1"/>
  <c r="AQ558" i="1" s="1"/>
  <c r="AQ182" i="1"/>
  <c r="AQ192" i="1" s="1"/>
  <c r="AQ227" i="1" s="1"/>
  <c r="AQ419" i="1"/>
  <c r="AP182" i="1"/>
  <c r="AP192" i="1" s="1"/>
  <c r="AP227" i="1" s="1"/>
  <c r="AP555" i="1"/>
  <c r="AP419" i="1"/>
  <c r="CM60" i="1"/>
  <c r="AM348" i="1"/>
  <c r="AM349" i="1" s="1"/>
  <c r="AM337" i="1"/>
  <c r="CL337" i="1" s="1"/>
  <c r="AM339" i="1"/>
  <c r="CL336" i="1"/>
  <c r="AL468" i="1"/>
  <c r="AL43" i="1"/>
  <c r="AL49" i="1"/>
  <c r="AL351" i="1"/>
  <c r="AN557" i="1"/>
  <c r="AQ31" i="1"/>
  <c r="AP557" i="1"/>
  <c r="AL557" i="1"/>
  <c r="AL559" i="1" s="1"/>
  <c r="AO557" i="1"/>
  <c r="AL457" i="1"/>
  <c r="AL463" i="1" s="1"/>
  <c r="AL31" i="1"/>
  <c r="AL30" i="1"/>
  <c r="AL33" i="1"/>
  <c r="CN544" i="1"/>
  <c r="CN72" i="1"/>
  <c r="AR544" i="1"/>
  <c r="CM71" i="1"/>
  <c r="AM18" i="1"/>
  <c r="CL18" i="1" s="1"/>
  <c r="AM372" i="1"/>
  <c r="AM365" i="1"/>
  <c r="AM29" i="1"/>
  <c r="AM367" i="1"/>
  <c r="AM361" i="1"/>
  <c r="AM40" i="1"/>
  <c r="CL40" i="1" s="1"/>
  <c r="AM373" i="1"/>
  <c r="AM368" i="1"/>
  <c r="AM371" i="1"/>
  <c r="AM42" i="1"/>
  <c r="AM369" i="1"/>
  <c r="AM20" i="1"/>
  <c r="CL20" i="1" s="1"/>
  <c r="CL12" i="1"/>
  <c r="AM13" i="1"/>
  <c r="CL13" i="1" s="1"/>
  <c r="D6" i="5" s="1"/>
  <c r="AM25" i="1"/>
  <c r="CL25" i="1" s="1"/>
  <c r="AM384" i="1"/>
  <c r="CL384" i="1" s="1"/>
  <c r="AM370" i="1"/>
  <c r="AR13" i="1"/>
  <c r="CM13" i="1" s="1"/>
  <c r="E6" i="5" s="1"/>
  <c r="AR647" i="1"/>
  <c r="CM314" i="1"/>
  <c r="CM161" i="1"/>
  <c r="AR164" i="1"/>
  <c r="AL342" i="1"/>
  <c r="AQ342" i="1"/>
  <c r="AL340" i="1"/>
  <c r="AM505" i="1"/>
  <c r="AI505" i="1"/>
  <c r="BS63" i="1"/>
  <c r="BE515" i="1"/>
  <c r="BU438" i="1"/>
  <c r="BT437" i="1"/>
  <c r="BT436" i="1" s="1"/>
  <c r="BK128" i="1"/>
  <c r="BQ398" i="1"/>
  <c r="BU398" i="1"/>
  <c r="BU472" i="1"/>
  <c r="BU474" i="1" s="1"/>
  <c r="CS273" i="1"/>
  <c r="BV274" i="1"/>
  <c r="BT472" i="1"/>
  <c r="BT474" i="1" s="1"/>
  <c r="BT398" i="1"/>
  <c r="BV114" i="1"/>
  <c r="BZ114" i="1"/>
  <c r="BZ37" i="1"/>
  <c r="BZ40" i="1" s="1"/>
  <c r="CQ40" i="1"/>
  <c r="CR114" i="1"/>
  <c r="BQ472" i="1"/>
  <c r="CS38" i="1"/>
  <c r="BL474" i="1"/>
  <c r="CA281" i="1"/>
  <c r="CT270" i="1"/>
  <c r="CA273" i="1"/>
  <c r="CA271" i="1"/>
  <c r="CT271" i="1" s="1"/>
  <c r="BY37" i="1"/>
  <c r="BY114" i="1"/>
  <c r="CA38" i="1"/>
  <c r="CT38" i="1" s="1"/>
  <c r="CS281" i="1"/>
  <c r="BV282" i="1"/>
  <c r="CS282" i="1" s="1"/>
  <c r="BQ40" i="1"/>
  <c r="CR37" i="1"/>
  <c r="J12" i="5" s="1"/>
  <c r="J18" i="5" s="1"/>
  <c r="BT40" i="1"/>
  <c r="BV37" i="1"/>
  <c r="CR196" i="1"/>
  <c r="BQ366" i="1"/>
  <c r="BR129" i="1"/>
  <c r="AC161" i="1"/>
  <c r="CJ134" i="1"/>
  <c r="BN639" i="1"/>
  <c r="BM638" i="1"/>
  <c r="BT129" i="1"/>
  <c r="CQ177" i="1"/>
  <c r="BL373" i="1"/>
  <c r="BM373" i="1" s="1"/>
  <c r="CR20" i="1"/>
  <c r="BU397" i="1"/>
  <c r="BY124" i="1"/>
  <c r="BY473" i="1" s="1"/>
  <c r="BV334" i="1"/>
  <c r="CS334" i="1" s="1"/>
  <c r="CS329" i="1"/>
  <c r="BV336" i="1"/>
  <c r="CS216" i="1"/>
  <c r="BW216" i="1"/>
  <c r="BQ218" i="1"/>
  <c r="BP449" i="1"/>
  <c r="BP141" i="1"/>
  <c r="BP144" i="1" s="1"/>
  <c r="BL342" i="1"/>
  <c r="CQ339" i="1"/>
  <c r="BL340" i="1"/>
  <c r="BJ128" i="1"/>
  <c r="BV126" i="1"/>
  <c r="BG30" i="1"/>
  <c r="CP30" i="1" s="1"/>
  <c r="BG33" i="1"/>
  <c r="CP29" i="1"/>
  <c r="E64" i="5" s="1"/>
  <c r="BG31" i="1"/>
  <c r="CP31" i="1" s="1"/>
  <c r="BG457" i="1"/>
  <c r="BJ557" i="1"/>
  <c r="BJ559" i="1" s="1"/>
  <c r="BG557" i="1"/>
  <c r="BG559" i="1" s="1"/>
  <c r="BI557" i="1"/>
  <c r="BI559" i="1" s="1"/>
  <c r="BK91" i="2"/>
  <c r="CD91" i="2" s="1"/>
  <c r="BK105" i="2"/>
  <c r="CD105" i="2" s="1"/>
  <c r="CD90" i="2"/>
  <c r="BK103" i="2"/>
  <c r="CD103" i="2" s="1"/>
  <c r="BK107" i="2"/>
  <c r="CD107" i="2" s="1"/>
  <c r="BK104" i="2"/>
  <c r="CD104" i="2" s="1"/>
  <c r="BK106" i="2"/>
  <c r="CD106" i="2" s="1"/>
  <c r="CS15" i="1"/>
  <c r="CB15" i="1"/>
  <c r="BL549" i="1"/>
  <c r="CQ204" i="1"/>
  <c r="BL211" i="1"/>
  <c r="CQ211" i="1" s="1"/>
  <c r="BP215" i="1"/>
  <c r="CJ61" i="1"/>
  <c r="AC71" i="1"/>
  <c r="BN512" i="1"/>
  <c r="BS214" i="1"/>
  <c r="BR155" i="1"/>
  <c r="CF134" i="1"/>
  <c r="I161" i="1"/>
  <c r="BZ178" i="1"/>
  <c r="CA178" i="1" s="1"/>
  <c r="CT178" i="1" s="1"/>
  <c r="BF519" i="1"/>
  <c r="BN514" i="1"/>
  <c r="BL516" i="1"/>
  <c r="BQ516" i="1" s="1"/>
  <c r="BK88" i="2"/>
  <c r="CD92" i="2"/>
  <c r="CA16" i="1"/>
  <c r="CT16" i="1" s="1"/>
  <c r="BF515" i="1"/>
  <c r="CT208" i="1"/>
  <c r="BZ124" i="1"/>
  <c r="BZ473" i="1" s="1"/>
  <c r="CA207" i="1"/>
  <c r="CT175" i="1"/>
  <c r="CH71" i="1"/>
  <c r="CH544" i="1" s="1"/>
  <c r="BV196" i="1"/>
  <c r="BU129" i="1"/>
  <c r="BI519" i="1"/>
  <c r="BL514" i="1"/>
  <c r="BI483" i="1"/>
  <c r="BI487" i="1" s="1"/>
  <c r="CR126" i="1"/>
  <c r="BX116" i="1"/>
  <c r="BY116" i="1" s="1"/>
  <c r="BZ116" i="1" s="1"/>
  <c r="BE35" i="1"/>
  <c r="BE34" i="1"/>
  <c r="BE322" i="1" s="1"/>
  <c r="AR432" i="1"/>
  <c r="BJ612" i="1"/>
  <c r="BL611" i="1"/>
  <c r="BL612" i="1" s="1"/>
  <c r="BK87" i="2"/>
  <c r="CD87" i="2" s="1"/>
  <c r="CD86" i="2"/>
  <c r="BK108" i="2"/>
  <c r="CD108" i="2" s="1"/>
  <c r="CR124" i="1"/>
  <c r="BQ473" i="1"/>
  <c r="BK35" i="1"/>
  <c r="BK34" i="1"/>
  <c r="BK322" i="1" s="1"/>
  <c r="BZ196" i="1"/>
  <c r="BZ18" i="1"/>
  <c r="BZ22" i="1"/>
  <c r="BP512" i="1"/>
  <c r="BP468" i="1"/>
  <c r="BP43" i="1"/>
  <c r="BP351" i="1"/>
  <c r="BJ469" i="1"/>
  <c r="BJ471" i="1" s="1"/>
  <c r="BK514" i="1"/>
  <c r="BP514" i="1" s="1"/>
  <c r="BP342" i="1"/>
  <c r="BP340" i="1"/>
  <c r="AQ517" i="1"/>
  <c r="AV517" i="1" s="1"/>
  <c r="AR517" i="1"/>
  <c r="BK469" i="1"/>
  <c r="BK471" i="1" s="1"/>
  <c r="CA647" i="1"/>
  <c r="BY196" i="1"/>
  <c r="BY18" i="1"/>
  <c r="CA17" i="1"/>
  <c r="H20" i="5"/>
  <c r="H19" i="5"/>
  <c r="BV130" i="1"/>
  <c r="CS130" i="1" s="1"/>
  <c r="AA503" i="1"/>
  <c r="N71" i="1"/>
  <c r="CG71" i="1" s="1"/>
  <c r="CG544" i="1" s="1"/>
  <c r="CG61" i="1"/>
  <c r="CA200" i="1"/>
  <c r="BZ130" i="1"/>
  <c r="BM514" i="1"/>
  <c r="BY521" i="1"/>
  <c r="AT517" i="1"/>
  <c r="AK507" i="1"/>
  <c r="AO507" i="1"/>
  <c r="I71" i="1"/>
  <c r="CF71" i="1" s="1"/>
  <c r="CF61" i="1"/>
  <c r="AN432" i="1"/>
  <c r="AN434" i="1" s="1"/>
  <c r="AO430" i="1" s="1"/>
  <c r="BU337" i="1"/>
  <c r="BU348" i="1"/>
  <c r="BU349" i="1" s="1"/>
  <c r="BU339" i="1"/>
  <c r="BQ157" i="1"/>
  <c r="CR157" i="1" s="1"/>
  <c r="CR155" i="1"/>
  <c r="CS207" i="1"/>
  <c r="BV371" i="1"/>
  <c r="BW124" i="1"/>
  <c r="BY117" i="1"/>
  <c r="CA117" i="1" s="1"/>
  <c r="CT117" i="1" s="1"/>
  <c r="CA360" i="1"/>
  <c r="CS324" i="1"/>
  <c r="CH161" i="1"/>
  <c r="AJ504" i="1"/>
  <c r="AN504" i="1"/>
  <c r="BO340" i="1"/>
  <c r="BO342" i="1"/>
  <c r="BZ176" i="1"/>
  <c r="CA176" i="1" s="1"/>
  <c r="CT176" i="1" s="1"/>
  <c r="BT221" i="1"/>
  <c r="BV124" i="1"/>
  <c r="BR473" i="1"/>
  <c r="BR474" i="1" s="1"/>
  <c r="BZ650" i="1"/>
  <c r="BZ655" i="1"/>
  <c r="BZ657" i="1" s="1"/>
  <c r="BZ658" i="1" s="1"/>
  <c r="CT313" i="1"/>
  <c r="CA332" i="1"/>
  <c r="CT332" i="1" s="1"/>
  <c r="CA314" i="1"/>
  <c r="CA347" i="1"/>
  <c r="CA12" i="1"/>
  <c r="CS13" i="1"/>
  <c r="K6" i="5" s="1"/>
  <c r="BP31" i="1"/>
  <c r="BP457" i="1"/>
  <c r="BP33" i="1"/>
  <c r="BP30" i="1"/>
  <c r="BT187" i="1"/>
  <c r="AU517" i="1"/>
  <c r="CS200" i="1"/>
  <c r="BV367" i="1"/>
  <c r="BW130" i="1"/>
  <c r="AK506" i="1"/>
  <c r="AO506" i="1"/>
  <c r="CS383" i="1"/>
  <c r="BV384" i="1"/>
  <c r="CS384" i="1" s="1"/>
  <c r="BV500" i="1"/>
  <c r="BV527" i="1" s="1"/>
  <c r="BV458" i="1"/>
  <c r="AK510" i="1"/>
  <c r="AO510" i="1"/>
  <c r="BJ35" i="1"/>
  <c r="BJ34" i="1"/>
  <c r="AC60" i="1"/>
  <c r="CJ60" i="1" s="1"/>
  <c r="BP425" i="1"/>
  <c r="BS189" i="1"/>
  <c r="BS127" i="1" s="1"/>
  <c r="BY179" i="1"/>
  <c r="CT323" i="1"/>
  <c r="CA324" i="1"/>
  <c r="CT324" i="1" s="1"/>
  <c r="BZ126" i="1"/>
  <c r="BY126" i="1"/>
  <c r="BZ334" i="1"/>
  <c r="BZ336" i="1"/>
  <c r="CA581" i="1"/>
  <c r="CD77" i="2"/>
  <c r="I453" i="1"/>
  <c r="J444" i="1"/>
  <c r="J452" i="1" s="1"/>
  <c r="N444" i="1"/>
  <c r="N452" i="1" s="1"/>
  <c r="CS318" i="1"/>
  <c r="BG351" i="1"/>
  <c r="BG468" i="1"/>
  <c r="CP42" i="1"/>
  <c r="H5" i="5" s="1"/>
  <c r="BG43" i="1"/>
  <c r="AK432" i="1"/>
  <c r="AK434" i="1" s="1"/>
  <c r="AL430" i="1" s="1"/>
  <c r="CR137" i="1"/>
  <c r="J16" i="5" s="1"/>
  <c r="AO105" i="7"/>
  <c r="BJ480" i="1"/>
  <c r="AV60" i="7"/>
  <c r="AV61" i="7" s="1"/>
  <c r="CR206" i="1"/>
  <c r="BQ556" i="1"/>
  <c r="BR206" i="1"/>
  <c r="BV20" i="1"/>
  <c r="CS19" i="1"/>
  <c r="BG184" i="1"/>
  <c r="CP184" i="1" s="1"/>
  <c r="CS25" i="1"/>
  <c r="BO512" i="1"/>
  <c r="CA521" i="1"/>
  <c r="BZ521" i="1"/>
  <c r="CP339" i="1"/>
  <c r="BG340" i="1"/>
  <c r="BG342" i="1"/>
  <c r="CG134" i="1"/>
  <c r="N161" i="1"/>
  <c r="AU70" i="7"/>
  <c r="AV24" i="7"/>
  <c r="BC55" i="7"/>
  <c r="CT180" i="1"/>
  <c r="BZ458" i="1"/>
  <c r="BZ500" i="1"/>
  <c r="BZ526" i="1" s="1"/>
  <c r="BZ137" i="1"/>
  <c r="BU431" i="1"/>
  <c r="BU42" i="1"/>
  <c r="BU29" i="1"/>
  <c r="BH519" i="1"/>
  <c r="CQ65" i="1"/>
  <c r="BM65" i="1"/>
  <c r="CQ67" i="1"/>
  <c r="J31" i="5" s="1"/>
  <c r="BJ629" i="1"/>
  <c r="BJ631" i="1" s="1"/>
  <c r="BR64" i="1"/>
  <c r="CR63" i="1"/>
  <c r="BL31" i="1" l="1"/>
  <c r="CQ31" i="1" s="1"/>
  <c r="BL33" i="1"/>
  <c r="BL34" i="1" s="1"/>
  <c r="CA526" i="1"/>
  <c r="BX351" i="1"/>
  <c r="BS35" i="1"/>
  <c r="BX43" i="1"/>
  <c r="BJ322" i="1"/>
  <c r="BX457" i="1"/>
  <c r="AR550" i="1"/>
  <c r="AQ551" i="1"/>
  <c r="BX34" i="1"/>
  <c r="BX35" i="1"/>
  <c r="BX30" i="1"/>
  <c r="BX31" i="1"/>
  <c r="CS17" i="1"/>
  <c r="BV22" i="1"/>
  <c r="BV29" i="1" s="1"/>
  <c r="BW557" i="1" s="1"/>
  <c r="I20" i="5"/>
  <c r="BQ42" i="1"/>
  <c r="BQ43" i="1" s="1"/>
  <c r="CA649" i="1"/>
  <c r="CA650" i="1" s="1"/>
  <c r="BT339" i="1"/>
  <c r="BT342" i="1" s="1"/>
  <c r="BY655" i="1"/>
  <c r="BY657" i="1" s="1"/>
  <c r="BY658" i="1" s="1"/>
  <c r="BJ515" i="1"/>
  <c r="BH515" i="1"/>
  <c r="BK519" i="1"/>
  <c r="BP519" i="1" s="1"/>
  <c r="AP511" i="1"/>
  <c r="AS511" i="1"/>
  <c r="AR511" i="1"/>
  <c r="AT511" i="1"/>
  <c r="AU511" i="1"/>
  <c r="BP516" i="1"/>
  <c r="AJ508" i="1"/>
  <c r="AK508" i="1"/>
  <c r="AO508" i="1"/>
  <c r="BO30" i="1"/>
  <c r="BY137" i="1"/>
  <c r="BY397" i="1" s="1"/>
  <c r="BO457" i="1"/>
  <c r="BP557" i="1"/>
  <c r="BP559" i="1" s="1"/>
  <c r="BO31" i="1"/>
  <c r="BM516" i="1"/>
  <c r="BR516" i="1" s="1"/>
  <c r="AM404" i="1"/>
  <c r="AI404" i="1"/>
  <c r="AI406" i="1" s="1"/>
  <c r="AM406" i="1" s="1"/>
  <c r="BL519" i="1"/>
  <c r="BQ512" i="1"/>
  <c r="BW512" i="1" s="1"/>
  <c r="BH426" i="1"/>
  <c r="BH427" i="1"/>
  <c r="BH422" i="1"/>
  <c r="BM519" i="1"/>
  <c r="BO43" i="1"/>
  <c r="BN516" i="1"/>
  <c r="AU91" i="7"/>
  <c r="AV45" i="7"/>
  <c r="BV539" i="1"/>
  <c r="BW541" i="1"/>
  <c r="CA541" i="1"/>
  <c r="CA539" i="1" s="1"/>
  <c r="BJ539" i="1"/>
  <c r="BK541" i="1"/>
  <c r="BK539" i="1" s="1"/>
  <c r="AU31" i="7"/>
  <c r="AT77" i="7"/>
  <c r="AT57" i="7"/>
  <c r="BI423" i="1"/>
  <c r="AN109" i="7"/>
  <c r="AY97" i="7"/>
  <c r="AZ52" i="7"/>
  <c r="BT512" i="1"/>
  <c r="BQ141" i="1"/>
  <c r="CR141" i="1" s="1"/>
  <c r="BO516" i="1"/>
  <c r="BT348" i="1"/>
  <c r="BT349" i="1" s="1"/>
  <c r="BY653" i="1"/>
  <c r="CQ29" i="1"/>
  <c r="F64" i="5" s="1"/>
  <c r="BO468" i="1"/>
  <c r="BY20" i="1"/>
  <c r="BR209" i="1"/>
  <c r="CR209" i="1"/>
  <c r="AP102" i="7"/>
  <c r="AO101" i="7"/>
  <c r="AO104" i="7" s="1"/>
  <c r="BC19" i="7"/>
  <c r="BC67" i="7" s="1"/>
  <c r="BE5" i="7"/>
  <c r="BN539" i="1"/>
  <c r="BO541" i="1"/>
  <c r="AE139" i="7"/>
  <c r="AF138" i="7"/>
  <c r="AF139" i="7" s="1"/>
  <c r="BS512" i="1"/>
  <c r="BL43" i="1"/>
  <c r="CQ43" i="1" s="1"/>
  <c r="BQ142" i="1"/>
  <c r="BP475" i="1"/>
  <c r="BR539" i="1"/>
  <c r="BS541" i="1"/>
  <c r="AG138" i="7"/>
  <c r="AS58" i="7"/>
  <c r="AS63" i="7"/>
  <c r="AS64" i="7" s="1"/>
  <c r="CQ42" i="1"/>
  <c r="I5" i="5" s="1"/>
  <c r="I8" i="5" s="1"/>
  <c r="BL351" i="1"/>
  <c r="BM557" i="1"/>
  <c r="BM559" i="1" s="1"/>
  <c r="BQ348" i="1"/>
  <c r="BQ349" i="1" s="1"/>
  <c r="BL557" i="1"/>
  <c r="BL559" i="1" s="1"/>
  <c r="BL30" i="1"/>
  <c r="CQ30" i="1" s="1"/>
  <c r="BQ27" i="1"/>
  <c r="CR27" i="1" s="1"/>
  <c r="BO557" i="1"/>
  <c r="BO559" i="1" s="1"/>
  <c r="CR22" i="1"/>
  <c r="BN557" i="1"/>
  <c r="BN559" i="1" s="1"/>
  <c r="BL457" i="1"/>
  <c r="BQ29" i="1"/>
  <c r="BS557" i="1" s="1"/>
  <c r="BX342" i="1"/>
  <c r="BV655" i="1"/>
  <c r="BV657" i="1" s="1"/>
  <c r="BV658" i="1" s="1"/>
  <c r="BY334" i="1"/>
  <c r="BT42" i="1"/>
  <c r="BT468" i="1" s="1"/>
  <c r="BT431" i="1"/>
  <c r="CA652" i="1"/>
  <c r="CA653" i="1" s="1"/>
  <c r="CA383" i="1"/>
  <c r="CT383" i="1" s="1"/>
  <c r="CA19" i="1"/>
  <c r="CT19" i="1" s="1"/>
  <c r="BY500" i="1"/>
  <c r="BY526" i="1" s="1"/>
  <c r="BT397" i="1"/>
  <c r="BV397" i="1" s="1"/>
  <c r="BK476" i="1"/>
  <c r="BK478" i="1" s="1"/>
  <c r="BP132" i="1"/>
  <c r="BQ132" i="1" s="1"/>
  <c r="CR132" i="1" s="1"/>
  <c r="BZ370" i="1"/>
  <c r="BZ190" i="1" s="1"/>
  <c r="BU190" i="1"/>
  <c r="BV190" i="1" s="1"/>
  <c r="BQ339" i="1"/>
  <c r="BQ340" i="1" s="1"/>
  <c r="BQ337" i="1"/>
  <c r="CR337" i="1" s="1"/>
  <c r="BR132" i="1"/>
  <c r="CR190" i="1"/>
  <c r="BQ370" i="1"/>
  <c r="BT132" i="1"/>
  <c r="CA318" i="1"/>
  <c r="CT318" i="1" s="1"/>
  <c r="CP132" i="1"/>
  <c r="H15" i="5" s="1"/>
  <c r="BG460" i="1"/>
  <c r="BG476" i="1"/>
  <c r="CA329" i="1"/>
  <c r="CA334" i="1" s="1"/>
  <c r="CT334" i="1" s="1"/>
  <c r="BL132" i="1"/>
  <c r="CQ132" i="1" s="1"/>
  <c r="BH460" i="1"/>
  <c r="BH476" i="1"/>
  <c r="BH478" i="1" s="1"/>
  <c r="BH483" i="1" s="1"/>
  <c r="BH487" i="1" s="1"/>
  <c r="BA53" i="7"/>
  <c r="BB53" i="7" s="1"/>
  <c r="AZ98" i="7"/>
  <c r="BA98" i="7" s="1"/>
  <c r="AZ26" i="7"/>
  <c r="AY71" i="7"/>
  <c r="AX25" i="7"/>
  <c r="AW72" i="7"/>
  <c r="BQ204" i="1"/>
  <c r="CR204" i="1" s="1"/>
  <c r="BQ481" i="1"/>
  <c r="AM401" i="1"/>
  <c r="BP119" i="1"/>
  <c r="BQ119" i="1" s="1"/>
  <c r="CR119" i="1" s="1"/>
  <c r="BW525" i="1"/>
  <c r="BX525" i="1"/>
  <c r="BT525" i="1"/>
  <c r="BV525" i="1"/>
  <c r="BU525" i="1"/>
  <c r="BF513" i="1"/>
  <c r="BK513" i="1" s="1"/>
  <c r="BI513" i="1"/>
  <c r="BH513" i="1"/>
  <c r="BJ513" i="1"/>
  <c r="CR198" i="1"/>
  <c r="AV20" i="7"/>
  <c r="BR198" i="1"/>
  <c r="CR188" i="1"/>
  <c r="BR188" i="1"/>
  <c r="BZ536" i="1"/>
  <c r="BZ534" i="1" s="1"/>
  <c r="BY534" i="1"/>
  <c r="BK515" i="1"/>
  <c r="BR512" i="1"/>
  <c r="G173" i="1"/>
  <c r="H162" i="1"/>
  <c r="H164" i="1" s="1"/>
  <c r="H173" i="1" s="1"/>
  <c r="AC15" i="1"/>
  <c r="CJ15" i="1" s="1"/>
  <c r="AH15" i="1"/>
  <c r="CK15" i="1" s="1"/>
  <c r="CJ14" i="1"/>
  <c r="D227" i="1"/>
  <c r="CE192" i="1"/>
  <c r="D491" i="1"/>
  <c r="AM415" i="1"/>
  <c r="F419" i="1"/>
  <c r="F420" i="1" s="1"/>
  <c r="F421" i="1" s="1"/>
  <c r="F182" i="1"/>
  <c r="F192" i="1" s="1"/>
  <c r="BU131" i="1"/>
  <c r="BV131" i="1" s="1"/>
  <c r="CS131" i="1" s="1"/>
  <c r="BV197" i="1"/>
  <c r="U502" i="1"/>
  <c r="T531" i="1"/>
  <c r="AG509" i="1"/>
  <c r="BP518" i="1"/>
  <c r="BQ518" i="1"/>
  <c r="BO518" i="1"/>
  <c r="BN518" i="1"/>
  <c r="BM518" i="1"/>
  <c r="AQ420" i="1"/>
  <c r="AQ421" i="1" s="1"/>
  <c r="AP420" i="1"/>
  <c r="AP421" i="1" s="1"/>
  <c r="AR420" i="1"/>
  <c r="AR421" i="1" s="1"/>
  <c r="BR34" i="1"/>
  <c r="BR35" i="1"/>
  <c r="BW43" i="1"/>
  <c r="BW468" i="1"/>
  <c r="BW351" i="1"/>
  <c r="BW30" i="1"/>
  <c r="BW33" i="1"/>
  <c r="BW31" i="1"/>
  <c r="BW457" i="1"/>
  <c r="BW342" i="1"/>
  <c r="BW340" i="1"/>
  <c r="BQ474" i="1"/>
  <c r="AM49" i="1"/>
  <c r="AM351" i="1"/>
  <c r="CL42" i="1"/>
  <c r="D5" i="5" s="1"/>
  <c r="AM43" i="1"/>
  <c r="CL43" i="1" s="1"/>
  <c r="AM468" i="1"/>
  <c r="AM30" i="1"/>
  <c r="CL30" i="1" s="1"/>
  <c r="AM31" i="1"/>
  <c r="CL31" i="1" s="1"/>
  <c r="CL29" i="1"/>
  <c r="AM33" i="1"/>
  <c r="AM557" i="1"/>
  <c r="AM457" i="1"/>
  <c r="AM463" i="1" s="1"/>
  <c r="AR31" i="1"/>
  <c r="CM31" i="1" s="1"/>
  <c r="AP559" i="1"/>
  <c r="AP558" i="1"/>
  <c r="AL380" i="1"/>
  <c r="AL54" i="1"/>
  <c r="AM340" i="1"/>
  <c r="CL340" i="1" s="1"/>
  <c r="AR342" i="1"/>
  <c r="AM342" i="1"/>
  <c r="CL339" i="1"/>
  <c r="D17" i="5"/>
  <c r="D18" i="5"/>
  <c r="D19" i="5"/>
  <c r="CM72" i="1"/>
  <c r="CM544" i="1"/>
  <c r="AQ464" i="1"/>
  <c r="AL464" i="1"/>
  <c r="AW162" i="1"/>
  <c r="AR173" i="1"/>
  <c r="AS162" i="1"/>
  <c r="AS164" i="1" s="1"/>
  <c r="CM164" i="1"/>
  <c r="AQ35" i="1"/>
  <c r="AL35" i="1"/>
  <c r="AL34" i="1"/>
  <c r="AO559" i="1"/>
  <c r="AO558" i="1"/>
  <c r="AN559" i="1"/>
  <c r="AN558" i="1"/>
  <c r="AJ505" i="1"/>
  <c r="AN505" i="1"/>
  <c r="BR514" i="1"/>
  <c r="AR434" i="1"/>
  <c r="AS430" i="1" s="1"/>
  <c r="CA116" i="1"/>
  <c r="CT116" i="1" s="1"/>
  <c r="BK460" i="1"/>
  <c r="BT63" i="1"/>
  <c r="BT64" i="1" s="1"/>
  <c r="AW517" i="1"/>
  <c r="BB517" i="1" s="1"/>
  <c r="BV438" i="1"/>
  <c r="BW438" i="1" s="1"/>
  <c r="BU437" i="1"/>
  <c r="BV437" i="1" s="1"/>
  <c r="BV436" i="1" s="1"/>
  <c r="BQ514" i="1"/>
  <c r="BW514" i="1" s="1"/>
  <c r="BS64" i="1"/>
  <c r="BO515" i="1"/>
  <c r="AY517" i="1"/>
  <c r="CA369" i="1"/>
  <c r="CA130" i="1"/>
  <c r="CT130" i="1" s="1"/>
  <c r="CS37" i="1"/>
  <c r="K12" i="5" s="1"/>
  <c r="K18" i="5" s="1"/>
  <c r="BV40" i="1"/>
  <c r="BY40" i="1"/>
  <c r="CA37" i="1"/>
  <c r="CT37" i="1" s="1"/>
  <c r="L12" i="5" s="1"/>
  <c r="M12" i="5" s="1"/>
  <c r="N12" i="5" s="1"/>
  <c r="O12" i="5" s="1"/>
  <c r="P12" i="5" s="1"/>
  <c r="Q12" i="5" s="1"/>
  <c r="CT281" i="1"/>
  <c r="CA282" i="1"/>
  <c r="CT282" i="1" s="1"/>
  <c r="CS114" i="1"/>
  <c r="BV472" i="1"/>
  <c r="CA361" i="1"/>
  <c r="BV398" i="1"/>
  <c r="CT273" i="1"/>
  <c r="CA274" i="1"/>
  <c r="CT274" i="1" s="1"/>
  <c r="CR40" i="1"/>
  <c r="BY472" i="1"/>
  <c r="BY474" i="1" s="1"/>
  <c r="CA114" i="1"/>
  <c r="BY398" i="1"/>
  <c r="BZ472" i="1"/>
  <c r="BZ474" i="1" s="1"/>
  <c r="BZ398" i="1"/>
  <c r="CS274" i="1"/>
  <c r="AL432" i="1"/>
  <c r="AL434" i="1" s="1"/>
  <c r="CQ46" i="1"/>
  <c r="AQ105" i="7"/>
  <c r="BD55" i="7"/>
  <c r="CG161" i="1"/>
  <c r="S444" i="1"/>
  <c r="S452" i="1" s="1"/>
  <c r="N453" i="1"/>
  <c r="O444" i="1"/>
  <c r="O452" i="1" s="1"/>
  <c r="BT457" i="1"/>
  <c r="BT30" i="1"/>
  <c r="BT33" i="1"/>
  <c r="BT31" i="1"/>
  <c r="BU557" i="1"/>
  <c r="AK504" i="1"/>
  <c r="AO504" i="1"/>
  <c r="AO432" i="1"/>
  <c r="AO434" i="1" s="1"/>
  <c r="AP430" i="1" s="1"/>
  <c r="BU33" i="1"/>
  <c r="BU30" i="1"/>
  <c r="BU31" i="1"/>
  <c r="BU457" i="1"/>
  <c r="BZ397" i="1"/>
  <c r="BM515" i="1"/>
  <c r="CS20" i="1"/>
  <c r="AW60" i="7"/>
  <c r="AW61" i="7" s="1"/>
  <c r="BS206" i="1"/>
  <c r="BR556" i="1"/>
  <c r="BR481" i="1"/>
  <c r="BR424" i="1"/>
  <c r="H7" i="5"/>
  <c r="H8" i="5"/>
  <c r="BZ348" i="1"/>
  <c r="BZ349" i="1" s="1"/>
  <c r="BZ339" i="1"/>
  <c r="BZ337" i="1"/>
  <c r="AZ517" i="1"/>
  <c r="AX517" i="1"/>
  <c r="BP34" i="1"/>
  <c r="BP35" i="1"/>
  <c r="BV473" i="1"/>
  <c r="CS124" i="1"/>
  <c r="BU221" i="1"/>
  <c r="BY348" i="1"/>
  <c r="BY349" i="1" s="1"/>
  <c r="BY339" i="1"/>
  <c r="BY337" i="1"/>
  <c r="CA124" i="1"/>
  <c r="BW473" i="1"/>
  <c r="BW474" i="1" s="1"/>
  <c r="BU340" i="1"/>
  <c r="BU342" i="1"/>
  <c r="AP507" i="1"/>
  <c r="AL507" i="1"/>
  <c r="AR507" i="1" s="1"/>
  <c r="BY431" i="1"/>
  <c r="BY42" i="1"/>
  <c r="BY29" i="1"/>
  <c r="BZ129" i="1"/>
  <c r="CA196" i="1"/>
  <c r="BN519" i="1"/>
  <c r="CA371" i="1"/>
  <c r="CT207" i="1"/>
  <c r="BT214" i="1"/>
  <c r="BS155" i="1"/>
  <c r="BS157" i="1" s="1"/>
  <c r="BQ215" i="1"/>
  <c r="CQ549" i="1"/>
  <c r="BG35" i="1"/>
  <c r="CP33" i="1"/>
  <c r="BG34" i="1"/>
  <c r="BO639" i="1"/>
  <c r="BN638" i="1"/>
  <c r="BN611" i="1" s="1"/>
  <c r="BU351" i="1"/>
  <c r="BU468" i="1"/>
  <c r="BU43" i="1"/>
  <c r="CP340" i="1"/>
  <c r="BQ425" i="1"/>
  <c r="CA25" i="1"/>
  <c r="CT25" i="1" s="1"/>
  <c r="CT12" i="1"/>
  <c r="CA13" i="1"/>
  <c r="CT13" i="1" s="1"/>
  <c r="L6" i="5" s="1"/>
  <c r="CA15" i="1"/>
  <c r="CT15" i="1" s="1"/>
  <c r="BL515" i="1"/>
  <c r="CS18" i="1"/>
  <c r="BO35" i="1"/>
  <c r="BO34" i="1"/>
  <c r="BY129" i="1"/>
  <c r="BU512" i="1"/>
  <c r="CA126" i="1"/>
  <c r="BN515" i="1"/>
  <c r="BX216" i="1"/>
  <c r="CJ161" i="1"/>
  <c r="BT514" i="1"/>
  <c r="AL510" i="1"/>
  <c r="AQ510" i="1" s="1"/>
  <c r="AP510" i="1"/>
  <c r="AP506" i="1"/>
  <c r="AL506" i="1"/>
  <c r="AQ506" i="1" s="1"/>
  <c r="BU187" i="1"/>
  <c r="BV187" i="1" s="1"/>
  <c r="CT200" i="1"/>
  <c r="CA367" i="1"/>
  <c r="AB503" i="1"/>
  <c r="CS137" i="1"/>
  <c r="K16" i="5" s="1"/>
  <c r="CT17" i="1"/>
  <c r="CA18" i="1"/>
  <c r="CT18" i="1" s="1"/>
  <c r="BZ431" i="1"/>
  <c r="BZ29" i="1"/>
  <c r="BZ42" i="1"/>
  <c r="AP105" i="7"/>
  <c r="BK480" i="1"/>
  <c r="CA365" i="1"/>
  <c r="CA372" i="1"/>
  <c r="CS126" i="1"/>
  <c r="CQ340" i="1"/>
  <c r="CR218" i="1"/>
  <c r="BR218" i="1"/>
  <c r="BQ449" i="1"/>
  <c r="BM177" i="1"/>
  <c r="BN373" i="1"/>
  <c r="AW24" i="7"/>
  <c r="BO519" i="1"/>
  <c r="AV70" i="7"/>
  <c r="J20" i="5"/>
  <c r="J19" i="5"/>
  <c r="CP43" i="1"/>
  <c r="J453" i="1"/>
  <c r="K444" i="1"/>
  <c r="K452" i="1" s="1"/>
  <c r="BZ179" i="1"/>
  <c r="CA179" i="1" s="1"/>
  <c r="CT179" i="1" s="1"/>
  <c r="BT189" i="1"/>
  <c r="BT127" i="1" s="1"/>
  <c r="CT314" i="1"/>
  <c r="CA315" i="1"/>
  <c r="BA517" i="1"/>
  <c r="BU514" i="1"/>
  <c r="AW430" i="1"/>
  <c r="BV366" i="1"/>
  <c r="CS196" i="1"/>
  <c r="BW129" i="1"/>
  <c r="BS514" i="1"/>
  <c r="CF161" i="1"/>
  <c r="I164" i="1"/>
  <c r="BR157" i="1"/>
  <c r="AC544" i="1"/>
  <c r="CJ71" i="1"/>
  <c r="CJ544" i="1" s="1"/>
  <c r="BJ476" i="1"/>
  <c r="BJ478" i="1" s="1"/>
  <c r="BJ483" i="1" s="1"/>
  <c r="BJ487" i="1" s="1"/>
  <c r="BJ460" i="1"/>
  <c r="BL128" i="1"/>
  <c r="BV339" i="1"/>
  <c r="BV348" i="1"/>
  <c r="BV349" i="1" s="1"/>
  <c r="CS336" i="1"/>
  <c r="BV337" i="1"/>
  <c r="CS337" i="1" s="1"/>
  <c r="BM611" i="1"/>
  <c r="BV129" i="1"/>
  <c r="CS129" i="1" s="1"/>
  <c r="BM67" i="1"/>
  <c r="BN65" i="1"/>
  <c r="BV42" i="1" l="1"/>
  <c r="BV351" i="1" s="1"/>
  <c r="BV431" i="1"/>
  <c r="BV27" i="1"/>
  <c r="CS27" i="1" s="1"/>
  <c r="CR42" i="1"/>
  <c r="J5" i="5" s="1"/>
  <c r="J8" i="5" s="1"/>
  <c r="R12" i="5"/>
  <c r="CM550" i="1"/>
  <c r="AR551" i="1"/>
  <c r="CM551" i="1" s="1"/>
  <c r="BQ468" i="1"/>
  <c r="CS22" i="1"/>
  <c r="BT340" i="1"/>
  <c r="BQ30" i="1"/>
  <c r="CR30" i="1" s="1"/>
  <c r="CA137" i="1"/>
  <c r="CT137" i="1" s="1"/>
  <c r="L16" i="5" s="1"/>
  <c r="BT43" i="1"/>
  <c r="BA511" i="1"/>
  <c r="BC511" i="1"/>
  <c r="BV512" i="1"/>
  <c r="BR519" i="1"/>
  <c r="AZ511" i="1"/>
  <c r="BV516" i="1"/>
  <c r="AP508" i="1"/>
  <c r="AL508" i="1"/>
  <c r="AS508" i="1" s="1"/>
  <c r="AX511" i="1"/>
  <c r="AW511" i="1"/>
  <c r="BB511" i="1" s="1"/>
  <c r="AY511" i="1"/>
  <c r="BZ512" i="1"/>
  <c r="BC517" i="1"/>
  <c r="BH517" i="1" s="1"/>
  <c r="BP515" i="1"/>
  <c r="BV515" i="1" s="1"/>
  <c r="AV511" i="1"/>
  <c r="CA655" i="1"/>
  <c r="CA657" i="1" s="1"/>
  <c r="CA658" i="1" s="1"/>
  <c r="I7" i="5"/>
  <c r="BQ519" i="1"/>
  <c r="BV514" i="1"/>
  <c r="BX512" i="1"/>
  <c r="AM408" i="1"/>
  <c r="BX514" i="1"/>
  <c r="BQ144" i="1"/>
  <c r="CR144" i="1" s="1"/>
  <c r="CR142" i="1"/>
  <c r="BQ475" i="1"/>
  <c r="BE19" i="7"/>
  <c r="BE67" i="7" s="1"/>
  <c r="BF67" i="7" s="1"/>
  <c r="BF5" i="7"/>
  <c r="BF19" i="7" s="1"/>
  <c r="AQ102" i="7"/>
  <c r="AP101" i="7"/>
  <c r="AP104" i="7" s="1"/>
  <c r="AQ104" i="7" s="1"/>
  <c r="AQ109" i="7" s="1"/>
  <c r="AT63" i="7"/>
  <c r="AT64" i="7" s="1"/>
  <c r="AT58" i="7"/>
  <c r="BQ515" i="1"/>
  <c r="BI427" i="1"/>
  <c r="BI422" i="1"/>
  <c r="BI426" i="1"/>
  <c r="BX541" i="1"/>
  <c r="BW539" i="1"/>
  <c r="BT516" i="1"/>
  <c r="BS516" i="1"/>
  <c r="BX516" i="1" s="1"/>
  <c r="CQ33" i="1"/>
  <c r="BU516" i="1"/>
  <c r="BW516" i="1"/>
  <c r="BY512" i="1"/>
  <c r="AG139" i="7"/>
  <c r="AH138" i="7"/>
  <c r="AU77" i="7"/>
  <c r="AV77" i="7" s="1"/>
  <c r="AV31" i="7"/>
  <c r="AU57" i="7"/>
  <c r="AV91" i="7"/>
  <c r="AW45" i="7"/>
  <c r="BL35" i="1"/>
  <c r="CQ35" i="1" s="1"/>
  <c r="BS519" i="1"/>
  <c r="BL513" i="1"/>
  <c r="BQ513" i="1" s="1"/>
  <c r="BZ525" i="1"/>
  <c r="BT541" i="1"/>
  <c r="BS539" i="1"/>
  <c r="BP541" i="1"/>
  <c r="BP539" i="1" s="1"/>
  <c r="BO539" i="1"/>
  <c r="BJ423" i="1"/>
  <c r="AO109" i="7"/>
  <c r="BR142" i="1"/>
  <c r="BR475" i="1" s="1"/>
  <c r="BS209" i="1"/>
  <c r="AZ97" i="7"/>
  <c r="BA97" i="7" s="1"/>
  <c r="BA52" i="7"/>
  <c r="BB52" i="7" s="1"/>
  <c r="BQ457" i="1"/>
  <c r="CR29" i="1"/>
  <c r="G64" i="5" s="1"/>
  <c r="BQ351" i="1"/>
  <c r="BQ557" i="1"/>
  <c r="BQ559" i="1" s="1"/>
  <c r="BQ33" i="1"/>
  <c r="CR33" i="1" s="1"/>
  <c r="BQ31" i="1"/>
  <c r="CR31" i="1" s="1"/>
  <c r="CT329" i="1"/>
  <c r="BT557" i="1"/>
  <c r="BR557" i="1"/>
  <c r="BR559" i="1" s="1"/>
  <c r="CA500" i="1"/>
  <c r="CA527" i="1" s="1"/>
  <c r="CR339" i="1"/>
  <c r="BT351" i="1"/>
  <c r="CA458" i="1"/>
  <c r="BQ342" i="1"/>
  <c r="CA384" i="1"/>
  <c r="CT384" i="1" s="1"/>
  <c r="CA22" i="1"/>
  <c r="CA42" i="1" s="1"/>
  <c r="CA468" i="1" s="1"/>
  <c r="CA336" i="1"/>
  <c r="CT336" i="1" s="1"/>
  <c r="BU132" i="1"/>
  <c r="BV132" i="1" s="1"/>
  <c r="CS132" i="1" s="1"/>
  <c r="CA20" i="1"/>
  <c r="CT20" i="1" s="1"/>
  <c r="BQ211" i="1"/>
  <c r="CR211" i="1" s="1"/>
  <c r="CS190" i="1"/>
  <c r="BW132" i="1"/>
  <c r="BV370" i="1"/>
  <c r="H17" i="5"/>
  <c r="H21" i="5"/>
  <c r="CA190" i="1"/>
  <c r="BZ132" i="1"/>
  <c r="BC53" i="7"/>
  <c r="BB98" i="7"/>
  <c r="BA26" i="7"/>
  <c r="AZ71" i="7"/>
  <c r="AY25" i="7"/>
  <c r="AX72" i="7"/>
  <c r="AN396" i="1"/>
  <c r="AN399" i="1" s="1"/>
  <c r="AR399" i="1" s="1"/>
  <c r="AR396" i="1"/>
  <c r="BV474" i="1"/>
  <c r="BY525" i="1"/>
  <c r="CA525" i="1"/>
  <c r="BP513" i="1"/>
  <c r="BN513" i="1"/>
  <c r="BS513" i="1" s="1"/>
  <c r="BO513" i="1"/>
  <c r="BM513" i="1"/>
  <c r="BR204" i="1"/>
  <c r="BR211" i="1" s="1"/>
  <c r="BS198" i="1"/>
  <c r="BS424" i="1" s="1"/>
  <c r="AW20" i="7"/>
  <c r="AT507" i="1"/>
  <c r="BR119" i="1"/>
  <c r="BS188" i="1"/>
  <c r="BS119" i="1" s="1"/>
  <c r="AR411" i="1"/>
  <c r="AN411" i="1"/>
  <c r="AN413" i="1" s="1"/>
  <c r="AR413" i="1" s="1"/>
  <c r="H182" i="1"/>
  <c r="H192" i="1" s="1"/>
  <c r="H227" i="1" s="1"/>
  <c r="H419" i="1"/>
  <c r="G182" i="1"/>
  <c r="G192" i="1" s="1"/>
  <c r="G419" i="1"/>
  <c r="CS197" i="1"/>
  <c r="BW197" i="1"/>
  <c r="BV368" i="1"/>
  <c r="BW368" i="1" s="1"/>
  <c r="BX368" i="1" s="1"/>
  <c r="BY368" i="1" s="1"/>
  <c r="BZ368" i="1" s="1"/>
  <c r="AI509" i="1"/>
  <c r="AN509" i="1" s="1"/>
  <c r="V502" i="1"/>
  <c r="BV518" i="1"/>
  <c r="BT515" i="1"/>
  <c r="U531" i="1"/>
  <c r="AM509" i="1"/>
  <c r="BF517" i="1"/>
  <c r="BS518" i="1"/>
  <c r="BT518" i="1"/>
  <c r="BU518" i="1"/>
  <c r="BR518" i="1"/>
  <c r="CA512" i="1"/>
  <c r="BW34" i="1"/>
  <c r="BW35" i="1"/>
  <c r="L18" i="5"/>
  <c r="AR555" i="1"/>
  <c r="AR558" i="1" s="1"/>
  <c r="AR419" i="1"/>
  <c r="AR182" i="1"/>
  <c r="CM173" i="1"/>
  <c r="AL480" i="1"/>
  <c r="AL469" i="1"/>
  <c r="AL471" i="1" s="1"/>
  <c r="AL478" i="1" s="1"/>
  <c r="AN549" i="1"/>
  <c r="AP549" i="1"/>
  <c r="AL549" i="1"/>
  <c r="AO549" i="1"/>
  <c r="AM559" i="1"/>
  <c r="AM558" i="1"/>
  <c r="CN162" i="1"/>
  <c r="AW164" i="1"/>
  <c r="AM35" i="1"/>
  <c r="CL35" i="1" s="1"/>
  <c r="AR35" i="1"/>
  <c r="CM35" i="1" s="1"/>
  <c r="AM34" i="1"/>
  <c r="CL33" i="1"/>
  <c r="D8" i="5"/>
  <c r="D7" i="5"/>
  <c r="E7" i="5"/>
  <c r="AS173" i="1"/>
  <c r="AS550" i="1" s="1"/>
  <c r="AS551" i="1" s="1"/>
  <c r="AT162" i="1"/>
  <c r="AT164" i="1" s="1"/>
  <c r="AL68" i="1"/>
  <c r="AL58" i="1"/>
  <c r="AR464" i="1"/>
  <c r="AM464" i="1"/>
  <c r="AM375" i="1"/>
  <c r="AM54" i="1"/>
  <c r="CL49" i="1"/>
  <c r="AV506" i="1"/>
  <c r="AO505" i="1"/>
  <c r="AK505" i="1"/>
  <c r="BG517" i="1"/>
  <c r="AV510" i="1"/>
  <c r="BE517" i="1"/>
  <c r="BT519" i="1"/>
  <c r="BY519" i="1" s="1"/>
  <c r="BU515" i="1"/>
  <c r="BS515" i="1"/>
  <c r="CA514" i="1"/>
  <c r="BX438" i="1"/>
  <c r="BW437" i="1"/>
  <c r="BW436" i="1" s="1"/>
  <c r="BW63" i="1" s="1"/>
  <c r="AU506" i="1"/>
  <c r="BU436" i="1"/>
  <c r="BU63" i="1" s="1"/>
  <c r="BV63" i="1" s="1"/>
  <c r="CA40" i="1"/>
  <c r="CT40" i="1" s="1"/>
  <c r="CA398" i="1"/>
  <c r="CS40" i="1"/>
  <c r="CA472" i="1"/>
  <c r="CT114" i="1"/>
  <c r="CA397" i="1"/>
  <c r="AP432" i="1"/>
  <c r="AP434" i="1" s="1"/>
  <c r="AQ430" i="1" s="1"/>
  <c r="BZ514" i="1"/>
  <c r="BM612" i="1"/>
  <c r="BM619" i="1"/>
  <c r="CS339" i="1"/>
  <c r="BV342" i="1"/>
  <c r="BV340" i="1"/>
  <c r="CQ128" i="1"/>
  <c r="I15" i="5" s="1"/>
  <c r="BL476" i="1"/>
  <c r="BL460" i="1"/>
  <c r="CA129" i="1"/>
  <c r="CT129" i="1" s="1"/>
  <c r="L444" i="1"/>
  <c r="L452" i="1" s="1"/>
  <c r="K453" i="1"/>
  <c r="AX24" i="7"/>
  <c r="AW70" i="7"/>
  <c r="BN177" i="1"/>
  <c r="BN128" i="1" s="1"/>
  <c r="BO373" i="1"/>
  <c r="BS218" i="1"/>
  <c r="BR141" i="1"/>
  <c r="BR449" i="1"/>
  <c r="AS506" i="1"/>
  <c r="AR506" i="1"/>
  <c r="AW506" i="1" s="1"/>
  <c r="AU510" i="1"/>
  <c r="BY216" i="1"/>
  <c r="BN619" i="1"/>
  <c r="BN612" i="1"/>
  <c r="CP34" i="1"/>
  <c r="H9" i="5" s="1"/>
  <c r="BX519" i="1"/>
  <c r="CR43" i="1"/>
  <c r="CS29" i="1"/>
  <c r="BV30" i="1"/>
  <c r="CS30" i="1" s="1"/>
  <c r="BV33" i="1"/>
  <c r="BY557" i="1"/>
  <c r="BV557" i="1"/>
  <c r="BV31" i="1"/>
  <c r="CS31" i="1" s="1"/>
  <c r="BV457" i="1"/>
  <c r="CT124" i="1"/>
  <c r="CA473" i="1"/>
  <c r="BX557" i="1"/>
  <c r="BU35" i="1"/>
  <c r="BU34" i="1"/>
  <c r="BD517" i="1"/>
  <c r="AL504" i="1"/>
  <c r="AT504" i="1" s="1"/>
  <c r="AP504" i="1"/>
  <c r="BT35" i="1"/>
  <c r="BT34" i="1"/>
  <c r="P444" i="1"/>
  <c r="P452" i="1" s="1"/>
  <c r="O453" i="1"/>
  <c r="AS432" i="1"/>
  <c r="AS434" i="1" s="1"/>
  <c r="AT430" i="1" s="1"/>
  <c r="BM128" i="1"/>
  <c r="BZ43" i="1"/>
  <c r="BZ351" i="1"/>
  <c r="BZ468" i="1"/>
  <c r="AD503" i="1"/>
  <c r="CS187" i="1"/>
  <c r="BW187" i="1"/>
  <c r="CQ34" i="1"/>
  <c r="I9" i="5" s="1"/>
  <c r="AT506" i="1"/>
  <c r="BP639" i="1"/>
  <c r="BP638" i="1" s="1"/>
  <c r="BP611" i="1" s="1"/>
  <c r="BO638" i="1"/>
  <c r="AQ507" i="1"/>
  <c r="AV507" i="1" s="1"/>
  <c r="AS507" i="1"/>
  <c r="AW432" i="1"/>
  <c r="BZ30" i="1"/>
  <c r="BZ457" i="1"/>
  <c r="BZ31" i="1"/>
  <c r="BZ33" i="1"/>
  <c r="K19" i="5"/>
  <c r="K20" i="5"/>
  <c r="AT510" i="1"/>
  <c r="CP35" i="1"/>
  <c r="BU519" i="1"/>
  <c r="CA366" i="1"/>
  <c r="CT196" i="1"/>
  <c r="BY33" i="1"/>
  <c r="BY457" i="1"/>
  <c r="BY31" i="1"/>
  <c r="BY30" i="1"/>
  <c r="BZ557" i="1"/>
  <c r="AU507" i="1"/>
  <c r="BY340" i="1"/>
  <c r="BY342" i="1"/>
  <c r="BV221" i="1"/>
  <c r="BK483" i="1"/>
  <c r="BK487" i="1" s="1"/>
  <c r="BZ342" i="1"/>
  <c r="BZ340" i="1"/>
  <c r="BR425" i="1"/>
  <c r="BR515" i="1"/>
  <c r="S453" i="1"/>
  <c r="T444" i="1"/>
  <c r="T452" i="1" s="1"/>
  <c r="X444" i="1"/>
  <c r="X452" i="1" s="1"/>
  <c r="AS510" i="1"/>
  <c r="CF164" i="1"/>
  <c r="N162" i="1"/>
  <c r="J162" i="1"/>
  <c r="J164" i="1" s="1"/>
  <c r="I173" i="1"/>
  <c r="BW519" i="1"/>
  <c r="BV519" i="1"/>
  <c r="BU189" i="1"/>
  <c r="BV189" i="1" s="1"/>
  <c r="AR510" i="1"/>
  <c r="AW510" i="1" s="1"/>
  <c r="BY514" i="1"/>
  <c r="CT126" i="1"/>
  <c r="CR340" i="1"/>
  <c r="BR215" i="1"/>
  <c r="CR215" i="1"/>
  <c r="BU214" i="1"/>
  <c r="BT155" i="1"/>
  <c r="BY43" i="1"/>
  <c r="BY351" i="1"/>
  <c r="BY468" i="1"/>
  <c r="AX60" i="7"/>
  <c r="AX61" i="7" s="1"/>
  <c r="BT206" i="1"/>
  <c r="BS481" i="1"/>
  <c r="BE55" i="7"/>
  <c r="BN67" i="1"/>
  <c r="BO65" i="1"/>
  <c r="BM629" i="1"/>
  <c r="BM631" i="1" s="1"/>
  <c r="BV43" i="1" l="1"/>
  <c r="CS43" i="1" s="1"/>
  <c r="BV468" i="1"/>
  <c r="CS42" i="1"/>
  <c r="K5" i="5" s="1"/>
  <c r="K8" i="5" s="1"/>
  <c r="J7" i="5"/>
  <c r="BI517" i="1"/>
  <c r="R16" i="5"/>
  <c r="R20" i="5" s="1"/>
  <c r="BQ35" i="1"/>
  <c r="CR35" i="1" s="1"/>
  <c r="BW515" i="1"/>
  <c r="BJ511" i="1"/>
  <c r="BY516" i="1"/>
  <c r="BD511" i="1"/>
  <c r="BI511" i="1" s="1"/>
  <c r="BE511" i="1"/>
  <c r="BK511" i="1" s="1"/>
  <c r="BH511" i="1"/>
  <c r="AR508" i="1"/>
  <c r="BF511" i="1"/>
  <c r="AT508" i="1"/>
  <c r="AU508" i="1"/>
  <c r="AQ508" i="1"/>
  <c r="AW508" i="1" s="1"/>
  <c r="AX508" i="1"/>
  <c r="BG511" i="1"/>
  <c r="BQ34" i="1"/>
  <c r="CR34" i="1" s="1"/>
  <c r="J9" i="5" s="1"/>
  <c r="BS556" i="1"/>
  <c r="BS559" i="1" s="1"/>
  <c r="AN404" i="1"/>
  <c r="AN406" i="1" s="1"/>
  <c r="AR406" i="1" s="1"/>
  <c r="AR404" i="1"/>
  <c r="AW31" i="7"/>
  <c r="AV57" i="7"/>
  <c r="BY541" i="1"/>
  <c r="BX539" i="1"/>
  <c r="BK423" i="1"/>
  <c r="AP109" i="7"/>
  <c r="BR513" i="1"/>
  <c r="BW513" i="1" s="1"/>
  <c r="BT539" i="1"/>
  <c r="BU541" i="1"/>
  <c r="BU539" i="1" s="1"/>
  <c r="AQ101" i="7"/>
  <c r="AR102" i="7"/>
  <c r="CA431" i="1"/>
  <c r="CA516" i="1"/>
  <c r="BZ516" i="1"/>
  <c r="BV513" i="1"/>
  <c r="BC52" i="7"/>
  <c r="BB97" i="7"/>
  <c r="BS142" i="1"/>
  <c r="BS475" i="1" s="1"/>
  <c r="BT209" i="1"/>
  <c r="BJ427" i="1"/>
  <c r="BJ422" i="1"/>
  <c r="BJ426" i="1"/>
  <c r="AW91" i="7"/>
  <c r="AX45" i="7"/>
  <c r="AU58" i="7"/>
  <c r="AU63" i="7"/>
  <c r="AU64" i="7" s="1"/>
  <c r="AI138" i="7"/>
  <c r="AH139" i="7"/>
  <c r="CT22" i="1"/>
  <c r="CA29" i="1"/>
  <c r="CB29" i="1" s="1"/>
  <c r="CA27" i="1"/>
  <c r="CT27" i="1" s="1"/>
  <c r="CA339" i="1"/>
  <c r="CT339" i="1" s="1"/>
  <c r="CA348" i="1"/>
  <c r="CA349" i="1" s="1"/>
  <c r="CA337" i="1"/>
  <c r="CT337" i="1" s="1"/>
  <c r="H420" i="1"/>
  <c r="H421" i="1" s="1"/>
  <c r="CT190" i="1"/>
  <c r="CA370" i="1"/>
  <c r="CA132" i="1"/>
  <c r="CT132" i="1" s="1"/>
  <c r="BC98" i="7"/>
  <c r="BD53" i="7"/>
  <c r="BA71" i="7"/>
  <c r="BB26" i="7"/>
  <c r="AY72" i="7"/>
  <c r="AZ25" i="7"/>
  <c r="CT42" i="1"/>
  <c r="L5" i="5" s="1"/>
  <c r="L8" i="5" s="1"/>
  <c r="CA43" i="1"/>
  <c r="CT43" i="1" s="1"/>
  <c r="AR401" i="1"/>
  <c r="BT513" i="1"/>
  <c r="BU513" i="1"/>
  <c r="BS204" i="1"/>
  <c r="BS211" i="1" s="1"/>
  <c r="AX20" i="7"/>
  <c r="BT198" i="1"/>
  <c r="BX518" i="1"/>
  <c r="BT188" i="1"/>
  <c r="AJ509" i="1"/>
  <c r="AO509" i="1" s="1"/>
  <c r="AY506" i="1"/>
  <c r="CA518" i="1"/>
  <c r="AR415" i="1"/>
  <c r="AK509" i="1"/>
  <c r="AP509" i="1" s="1"/>
  <c r="G420" i="1"/>
  <c r="BU127" i="1"/>
  <c r="BV127" i="1" s="1"/>
  <c r="BZ518" i="1"/>
  <c r="BX197" i="1"/>
  <c r="BW131" i="1"/>
  <c r="BA506" i="1"/>
  <c r="AL483" i="1"/>
  <c r="AL487" i="1" s="1"/>
  <c r="V531" i="1"/>
  <c r="W502" i="1"/>
  <c r="BW518" i="1"/>
  <c r="BY518" i="1"/>
  <c r="CA519" i="1"/>
  <c r="BZ519" i="1"/>
  <c r="AZ506" i="1"/>
  <c r="AX507" i="1"/>
  <c r="CA474" i="1"/>
  <c r="AS182" i="1"/>
  <c r="AS192" i="1" s="1"/>
  <c r="AS227" i="1" s="1"/>
  <c r="AS419" i="1"/>
  <c r="AS420" i="1" s="1"/>
  <c r="AS421" i="1" s="1"/>
  <c r="AS555" i="1"/>
  <c r="AS558" i="1" s="1"/>
  <c r="AM58" i="1"/>
  <c r="CL54" i="1"/>
  <c r="AM68" i="1"/>
  <c r="CL68" i="1" s="1"/>
  <c r="AL447" i="1"/>
  <c r="AL69" i="1"/>
  <c r="AL113" i="1"/>
  <c r="AL59" i="1"/>
  <c r="BB162" i="1"/>
  <c r="AX162" i="1"/>
  <c r="AX164" i="1" s="1"/>
  <c r="CN164" i="1"/>
  <c r="AW173" i="1"/>
  <c r="AM380" i="1"/>
  <c r="AU162" i="1"/>
  <c r="AU164" i="1" s="1"/>
  <c r="AT173" i="1"/>
  <c r="AT550" i="1" s="1"/>
  <c r="AT551" i="1" s="1"/>
  <c r="CL34" i="1"/>
  <c r="D9" i="5" s="1"/>
  <c r="AM549" i="1"/>
  <c r="CM182" i="1"/>
  <c r="AR192" i="1"/>
  <c r="AL505" i="1"/>
  <c r="AP505" i="1"/>
  <c r="BN517" i="1"/>
  <c r="BU64" i="1"/>
  <c r="BV64" i="1" s="1"/>
  <c r="CS64" i="1" s="1"/>
  <c r="CS63" i="1"/>
  <c r="BW64" i="1"/>
  <c r="BB510" i="1"/>
  <c r="BY438" i="1"/>
  <c r="BX437" i="1"/>
  <c r="BX436" i="1" s="1"/>
  <c r="BX63" i="1" s="1"/>
  <c r="BX64" i="1" s="1"/>
  <c r="AQ432" i="1"/>
  <c r="AQ434" i="1" s="1"/>
  <c r="AT432" i="1"/>
  <c r="AT434" i="1" s="1"/>
  <c r="AU430" i="1" s="1"/>
  <c r="BF55" i="7"/>
  <c r="BY35" i="1"/>
  <c r="BY34" i="1"/>
  <c r="BT157" i="1"/>
  <c r="L20" i="5"/>
  <c r="L19" i="5"/>
  <c r="M16" i="5"/>
  <c r="BS425" i="1"/>
  <c r="AY60" i="7"/>
  <c r="AY61" i="7" s="1"/>
  <c r="BU206" i="1"/>
  <c r="BT556" i="1"/>
  <c r="BT559" i="1" s="1"/>
  <c r="BT424" i="1"/>
  <c r="BT481" i="1"/>
  <c r="BU155" i="1"/>
  <c r="BU157" i="1" s="1"/>
  <c r="BV214" i="1"/>
  <c r="BS215" i="1"/>
  <c r="CS189" i="1"/>
  <c r="BW189" i="1"/>
  <c r="BW127" i="1" s="1"/>
  <c r="AY507" i="1"/>
  <c r="AR105" i="7"/>
  <c r="J173" i="1"/>
  <c r="J550" i="1" s="1"/>
  <c r="J551" i="1" s="1"/>
  <c r="K162" i="1"/>
  <c r="K164" i="1" s="1"/>
  <c r="AX510" i="1"/>
  <c r="BC510" i="1" s="1"/>
  <c r="AZ507" i="1"/>
  <c r="CA515" i="1"/>
  <c r="AW434" i="1"/>
  <c r="BJ517" i="1"/>
  <c r="BO611" i="1"/>
  <c r="BQ638" i="1"/>
  <c r="BQ639" i="1" s="1"/>
  <c r="BR639" i="1" s="1"/>
  <c r="BA510" i="1"/>
  <c r="AE503" i="1"/>
  <c r="Q444" i="1"/>
  <c r="Q452" i="1" s="1"/>
  <c r="P453" i="1"/>
  <c r="AU504" i="1"/>
  <c r="AZ510" i="1"/>
  <c r="BP373" i="1"/>
  <c r="BP177" i="1" s="1"/>
  <c r="BQ177" i="1" s="1"/>
  <c r="BO177" i="1"/>
  <c r="AX70" i="7"/>
  <c r="AY24" i="7"/>
  <c r="M444" i="1"/>
  <c r="M452" i="1" s="1"/>
  <c r="M453" i="1" s="1"/>
  <c r="L453" i="1"/>
  <c r="BK517" i="1"/>
  <c r="I21" i="5"/>
  <c r="I17" i="5"/>
  <c r="X453" i="1"/>
  <c r="Y444" i="1"/>
  <c r="Y452" i="1" s="1"/>
  <c r="AC444" i="1"/>
  <c r="AC452" i="1" s="1"/>
  <c r="BW221" i="1"/>
  <c r="CS221" i="1"/>
  <c r="BP612" i="1"/>
  <c r="BP619" i="1"/>
  <c r="AQ504" i="1"/>
  <c r="AV504" i="1" s="1"/>
  <c r="AS504" i="1"/>
  <c r="AR504" i="1"/>
  <c r="BB506" i="1"/>
  <c r="BR144" i="1"/>
  <c r="CS340" i="1"/>
  <c r="BL517" i="1"/>
  <c r="CG162" i="1"/>
  <c r="N164" i="1"/>
  <c r="U444" i="1"/>
  <c r="U452" i="1" s="1"/>
  <c r="T453" i="1"/>
  <c r="BZ34" i="1"/>
  <c r="BZ35" i="1"/>
  <c r="BA507" i="1"/>
  <c r="BM460" i="1"/>
  <c r="BM476" i="1"/>
  <c r="CS33" i="1"/>
  <c r="BV35" i="1"/>
  <c r="BV34" i="1"/>
  <c r="BN621" i="1"/>
  <c r="BN626" i="1" s="1"/>
  <c r="BT218" i="1"/>
  <c r="BS141" i="1"/>
  <c r="BS144" i="1" s="1"/>
  <c r="BS449" i="1"/>
  <c r="BZ515" i="1"/>
  <c r="I419" i="1"/>
  <c r="CF173" i="1"/>
  <c r="I182" i="1"/>
  <c r="AY510" i="1"/>
  <c r="BX515" i="1"/>
  <c r="AW507" i="1"/>
  <c r="BB507" i="1" s="1"/>
  <c r="BX187" i="1"/>
  <c r="BN460" i="1"/>
  <c r="BN476" i="1"/>
  <c r="BY515" i="1"/>
  <c r="BM517" i="1"/>
  <c r="BZ216" i="1"/>
  <c r="AX506" i="1"/>
  <c r="BC506" i="1" s="1"/>
  <c r="BM621" i="1"/>
  <c r="BM626" i="1" s="1"/>
  <c r="BM632" i="1" s="1"/>
  <c r="BO67" i="1"/>
  <c r="BP65" i="1"/>
  <c r="BP67" i="1" s="1"/>
  <c r="BN629" i="1"/>
  <c r="BN631" i="1" s="1"/>
  <c r="BO517" i="1" l="1"/>
  <c r="K7" i="5"/>
  <c r="AR408" i="1"/>
  <c r="AS404" i="1" s="1"/>
  <c r="AS406" i="1" s="1"/>
  <c r="AW406" i="1" s="1"/>
  <c r="BE508" i="1"/>
  <c r="BN511" i="1"/>
  <c r="BP511" i="1"/>
  <c r="AV508" i="1"/>
  <c r="BA508" i="1"/>
  <c r="AY508" i="1"/>
  <c r="AZ508" i="1"/>
  <c r="BL511" i="1"/>
  <c r="BR511" i="1" s="1"/>
  <c r="BO511" i="1"/>
  <c r="BX513" i="1"/>
  <c r="BM511" i="1"/>
  <c r="AW404" i="1"/>
  <c r="AY45" i="7"/>
  <c r="AX91" i="7"/>
  <c r="AS102" i="7"/>
  <c r="AR101" i="7"/>
  <c r="AR104" i="7" s="1"/>
  <c r="AX31" i="7"/>
  <c r="AW77" i="7"/>
  <c r="AW57" i="7"/>
  <c r="BK422" i="1"/>
  <c r="BK426" i="1"/>
  <c r="BK427" i="1"/>
  <c r="BL423" i="1"/>
  <c r="BD510" i="1"/>
  <c r="BI510" i="1" s="1"/>
  <c r="BD52" i="7"/>
  <c r="BC97" i="7"/>
  <c r="BH614" i="1" s="1"/>
  <c r="BH615" i="1" s="1"/>
  <c r="BH617" i="1" s="1"/>
  <c r="BH619" i="1" s="1"/>
  <c r="BH621" i="1" s="1"/>
  <c r="BH626" i="1" s="1"/>
  <c r="BH632" i="1" s="1"/>
  <c r="BY539" i="1"/>
  <c r="BZ541" i="1"/>
  <c r="BZ539" i="1" s="1"/>
  <c r="CA33" i="1"/>
  <c r="CT33" i="1" s="1"/>
  <c r="AJ138" i="7"/>
  <c r="AI139" i="7"/>
  <c r="BT142" i="1"/>
  <c r="BT475" i="1" s="1"/>
  <c r="BU209" i="1"/>
  <c r="AV58" i="7"/>
  <c r="AV63" i="7"/>
  <c r="AV64" i="7" s="1"/>
  <c r="CA342" i="1"/>
  <c r="CA30" i="1"/>
  <c r="CT30" i="1" s="1"/>
  <c r="CA340" i="1"/>
  <c r="CT340" i="1" s="1"/>
  <c r="CA557" i="1"/>
  <c r="CA457" i="1"/>
  <c r="CA31" i="1"/>
  <c r="CT31" i="1" s="1"/>
  <c r="CT29" i="1"/>
  <c r="CA351" i="1"/>
  <c r="L7" i="5"/>
  <c r="M5" i="5"/>
  <c r="N5" i="5" s="1"/>
  <c r="BD98" i="7"/>
  <c r="BE53" i="7"/>
  <c r="BB71" i="7"/>
  <c r="BC26" i="7"/>
  <c r="BA25" i="7"/>
  <c r="AZ72" i="7"/>
  <c r="AW396" i="1"/>
  <c r="AS396" i="1"/>
  <c r="AS399" i="1" s="1"/>
  <c r="AW399" i="1" s="1"/>
  <c r="BU511" i="1"/>
  <c r="BZ513" i="1"/>
  <c r="BY513" i="1"/>
  <c r="CA513" i="1"/>
  <c r="BT204" i="1"/>
  <c r="BT211" i="1" s="1"/>
  <c r="BU198" i="1"/>
  <c r="BU481" i="1" s="1"/>
  <c r="AY20" i="7"/>
  <c r="BU188" i="1"/>
  <c r="BV188" i="1" s="1"/>
  <c r="BQ67" i="1"/>
  <c r="CR67" i="1" s="1"/>
  <c r="K31" i="5" s="1"/>
  <c r="BT119" i="1"/>
  <c r="AL509" i="1"/>
  <c r="AQ509" i="1" s="1"/>
  <c r="G421" i="1"/>
  <c r="I420" i="1"/>
  <c r="I421" i="1" s="1"/>
  <c r="AS411" i="1"/>
  <c r="AS413" i="1" s="1"/>
  <c r="AW413" i="1" s="1"/>
  <c r="AW411" i="1"/>
  <c r="BX131" i="1"/>
  <c r="BY197" i="1"/>
  <c r="W531" i="1"/>
  <c r="Y502" i="1"/>
  <c r="BR517" i="1"/>
  <c r="BH506" i="1"/>
  <c r="BG510" i="1"/>
  <c r="AT555" i="1"/>
  <c r="AT558" i="1" s="1"/>
  <c r="AT182" i="1"/>
  <c r="AT192" i="1" s="1"/>
  <c r="AT227" i="1" s="1"/>
  <c r="F28" i="5"/>
  <c r="AT419" i="1"/>
  <c r="AT420" i="1" s="1"/>
  <c r="AT421" i="1" s="1"/>
  <c r="CO162" i="1"/>
  <c r="BB164" i="1"/>
  <c r="CL58" i="1"/>
  <c r="AM69" i="1"/>
  <c r="CL69" i="1" s="1"/>
  <c r="AM447" i="1"/>
  <c r="AM59" i="1"/>
  <c r="CL549" i="1"/>
  <c r="AU173" i="1"/>
  <c r="AU550" i="1" s="1"/>
  <c r="AU551" i="1" s="1"/>
  <c r="AV162" i="1"/>
  <c r="AV164" i="1" s="1"/>
  <c r="AV173" i="1" s="1"/>
  <c r="AW182" i="1"/>
  <c r="AW555" i="1"/>
  <c r="AW558" i="1" s="1"/>
  <c r="CN173" i="1"/>
  <c r="AW419" i="1"/>
  <c r="CM192" i="1"/>
  <c r="AR227" i="1"/>
  <c r="AR491" i="1"/>
  <c r="AM469" i="1"/>
  <c r="AM471" i="1" s="1"/>
  <c r="AM478" i="1" s="1"/>
  <c r="AM480" i="1"/>
  <c r="D10" i="5"/>
  <c r="D11" i="5" s="1"/>
  <c r="D13" i="5" s="1"/>
  <c r="D23" i="5" s="1"/>
  <c r="AL70" i="1"/>
  <c r="AL60" i="1"/>
  <c r="AX173" i="1"/>
  <c r="AY162" i="1"/>
  <c r="AY164" i="1" s="1"/>
  <c r="AL134" i="1"/>
  <c r="AL161" i="1" s="1"/>
  <c r="AM113" i="1"/>
  <c r="BQ517" i="1"/>
  <c r="AS505" i="1"/>
  <c r="AT505" i="1"/>
  <c r="AQ505" i="1"/>
  <c r="AR505" i="1"/>
  <c r="AU505" i="1"/>
  <c r="BG507" i="1"/>
  <c r="BP517" i="1"/>
  <c r="BY437" i="1"/>
  <c r="BY436" i="1" s="1"/>
  <c r="BY63" i="1" s="1"/>
  <c r="BZ438" i="1"/>
  <c r="BS517" i="1"/>
  <c r="BA504" i="1"/>
  <c r="BV155" i="1"/>
  <c r="CS155" i="1" s="1"/>
  <c r="BP128" i="1"/>
  <c r="BP460" i="1" s="1"/>
  <c r="BO128" i="1"/>
  <c r="CS127" i="1"/>
  <c r="BN632" i="1"/>
  <c r="BF507" i="1"/>
  <c r="AY504" i="1"/>
  <c r="AX504" i="1"/>
  <c r="BP621" i="1"/>
  <c r="BP626" i="1" s="1"/>
  <c r="BO619" i="1"/>
  <c r="BO612" i="1"/>
  <c r="BQ611" i="1"/>
  <c r="BQ612" i="1" s="1"/>
  <c r="BX189" i="1"/>
  <c r="BX127" i="1" s="1"/>
  <c r="BT215" i="1"/>
  <c r="M20" i="5"/>
  <c r="N16" i="5"/>
  <c r="BG506" i="1"/>
  <c r="BF506" i="1"/>
  <c r="BX221" i="1"/>
  <c r="AZ504" i="1"/>
  <c r="AF503" i="1"/>
  <c r="BE507" i="1"/>
  <c r="BH510" i="1"/>
  <c r="BY187" i="1"/>
  <c r="BD506" i="1"/>
  <c r="BI506" i="1" s="1"/>
  <c r="V444" i="1"/>
  <c r="V452" i="1" s="1"/>
  <c r="U453" i="1"/>
  <c r="CG164" i="1"/>
  <c r="S162" i="1"/>
  <c r="O162" i="1"/>
  <c r="O164" i="1" s="1"/>
  <c r="N173" i="1"/>
  <c r="BC507" i="1"/>
  <c r="BH507" i="1" s="1"/>
  <c r="AH444" i="1"/>
  <c r="AH452" i="1" s="1"/>
  <c r="AD444" i="1"/>
  <c r="AD452" i="1" s="1"/>
  <c r="AC453" i="1"/>
  <c r="CR177" i="1"/>
  <c r="BQ373" i="1"/>
  <c r="BR373" i="1" s="1"/>
  <c r="BF510" i="1"/>
  <c r="L162" i="1"/>
  <c r="L164" i="1" s="1"/>
  <c r="K173" i="1"/>
  <c r="K550" i="1" s="1"/>
  <c r="K551" i="1" s="1"/>
  <c r="BD507" i="1"/>
  <c r="CS214" i="1"/>
  <c r="BW214" i="1"/>
  <c r="BV206" i="1"/>
  <c r="BU556" i="1"/>
  <c r="BU559" i="1" s="1"/>
  <c r="AZ60" i="7"/>
  <c r="AZ61" i="7" s="1"/>
  <c r="I192" i="1"/>
  <c r="CF182" i="1"/>
  <c r="BU218" i="1"/>
  <c r="BT449" i="1"/>
  <c r="BT141" i="1"/>
  <c r="BT144" i="1" s="1"/>
  <c r="CS34" i="1"/>
  <c r="K9" i="5" s="1"/>
  <c r="CA216" i="1"/>
  <c r="CS35" i="1"/>
  <c r="AW504" i="1"/>
  <c r="BB504" i="1" s="1"/>
  <c r="Y453" i="1"/>
  <c r="Z444" i="1"/>
  <c r="Z452" i="1" s="1"/>
  <c r="AY70" i="7"/>
  <c r="AZ24" i="7"/>
  <c r="BE510" i="1"/>
  <c r="BJ510" i="1" s="1"/>
  <c r="R444" i="1"/>
  <c r="R452" i="1" s="1"/>
  <c r="R453" i="1" s="1"/>
  <c r="Q453" i="1"/>
  <c r="BS639" i="1"/>
  <c r="BR638" i="1"/>
  <c r="BT517" i="1"/>
  <c r="BB430" i="1"/>
  <c r="AX430" i="1"/>
  <c r="J419" i="1"/>
  <c r="J182" i="1"/>
  <c r="J192" i="1" s="1"/>
  <c r="J227" i="1" s="1"/>
  <c r="BE506" i="1"/>
  <c r="BT425" i="1"/>
  <c r="AU432" i="1"/>
  <c r="AU434" i="1" s="1"/>
  <c r="AV430" i="1" s="1"/>
  <c r="BO629" i="1"/>
  <c r="BO631" i="1" s="1"/>
  <c r="BQ65" i="1"/>
  <c r="BP629" i="1"/>
  <c r="BP631" i="1" s="1"/>
  <c r="AX550" i="1" l="1"/>
  <c r="AX551" i="1" s="1"/>
  <c r="AV550" i="1"/>
  <c r="AV551" i="1" s="1"/>
  <c r="BV511" i="1"/>
  <c r="BT511" i="1"/>
  <c r="BS511" i="1"/>
  <c r="BZ511" i="1" s="1"/>
  <c r="BC508" i="1"/>
  <c r="BD508" i="1"/>
  <c r="BF508" i="1"/>
  <c r="BQ511" i="1"/>
  <c r="BW511" i="1" s="1"/>
  <c r="BB508" i="1"/>
  <c r="BJ508" i="1" s="1"/>
  <c r="CA35" i="1"/>
  <c r="CT35" i="1" s="1"/>
  <c r="AW408" i="1"/>
  <c r="BU424" i="1"/>
  <c r="BU142" i="1"/>
  <c r="BU475" i="1" s="1"/>
  <c r="BV209" i="1"/>
  <c r="AK138" i="7"/>
  <c r="AK139" i="7" s="1"/>
  <c r="AJ139" i="7"/>
  <c r="AW63" i="7"/>
  <c r="AW64" i="7" s="1"/>
  <c r="AW58" i="7"/>
  <c r="AR109" i="7"/>
  <c r="BM423" i="1"/>
  <c r="CA34" i="1"/>
  <c r="CT34" i="1" s="1"/>
  <c r="L9" i="5" s="1"/>
  <c r="AL138" i="7"/>
  <c r="AM138" i="7" s="1"/>
  <c r="BL427" i="1"/>
  <c r="BL422" i="1"/>
  <c r="BL426" i="1"/>
  <c r="BV142" i="1"/>
  <c r="AT102" i="7"/>
  <c r="AS101" i="7"/>
  <c r="AS104" i="7" s="1"/>
  <c r="AZ45" i="7"/>
  <c r="AY91" i="7"/>
  <c r="BE52" i="7"/>
  <c r="BD97" i="7"/>
  <c r="BI614" i="1" s="1"/>
  <c r="BI615" i="1" s="1"/>
  <c r="BI617" i="1" s="1"/>
  <c r="BI619" i="1" s="1"/>
  <c r="BI621" i="1" s="1"/>
  <c r="BI626" i="1" s="1"/>
  <c r="BI632" i="1" s="1"/>
  <c r="AY31" i="7"/>
  <c r="AX77" i="7"/>
  <c r="AX57" i="7"/>
  <c r="BW517" i="1"/>
  <c r="BF53" i="7"/>
  <c r="BE98" i="7"/>
  <c r="BC71" i="7"/>
  <c r="BD26" i="7"/>
  <c r="BB25" i="7"/>
  <c r="BA72" i="7"/>
  <c r="BV157" i="1"/>
  <c r="CS157" i="1" s="1"/>
  <c r="BU119" i="1"/>
  <c r="BV119" i="1" s="1"/>
  <c r="CS119" i="1" s="1"/>
  <c r="AW401" i="1"/>
  <c r="AT509" i="1"/>
  <c r="AS509" i="1"/>
  <c r="AR509" i="1"/>
  <c r="AU509" i="1"/>
  <c r="BV198" i="1"/>
  <c r="BV424" i="1" s="1"/>
  <c r="BU204" i="1"/>
  <c r="BU211" i="1" s="1"/>
  <c r="AZ20" i="7"/>
  <c r="CS188" i="1"/>
  <c r="BW188" i="1"/>
  <c r="AL139" i="7"/>
  <c r="AW415" i="1"/>
  <c r="BU517" i="1"/>
  <c r="BZ517" i="1" s="1"/>
  <c r="BZ197" i="1"/>
  <c r="BY131" i="1"/>
  <c r="BV517" i="1"/>
  <c r="BY517" i="1"/>
  <c r="AV509" i="1"/>
  <c r="Y531" i="1"/>
  <c r="Z502" i="1"/>
  <c r="AY505" i="1"/>
  <c r="BO510" i="1"/>
  <c r="AY173" i="1"/>
  <c r="AY550" i="1" s="1"/>
  <c r="AY551" i="1" s="1"/>
  <c r="AZ162" i="1"/>
  <c r="AZ164" i="1" s="1"/>
  <c r="AX419" i="1"/>
  <c r="AX420" i="1" s="1"/>
  <c r="AX421" i="1" s="1"/>
  <c r="AX555" i="1"/>
  <c r="AX558" i="1" s="1"/>
  <c r="AX182" i="1"/>
  <c r="AX192" i="1" s="1"/>
  <c r="AX227" i="1" s="1"/>
  <c r="E24" i="5"/>
  <c r="D24" i="5"/>
  <c r="AW494" i="1"/>
  <c r="AR492" i="1"/>
  <c r="AW192" i="1"/>
  <c r="CN182" i="1"/>
  <c r="AV555" i="1"/>
  <c r="AV558" i="1" s="1"/>
  <c r="AV419" i="1"/>
  <c r="AV182" i="1"/>
  <c r="AV192" i="1" s="1"/>
  <c r="AV227" i="1" s="1"/>
  <c r="AU555" i="1"/>
  <c r="AU558" i="1" s="1"/>
  <c r="AU182" i="1"/>
  <c r="AU192" i="1" s="1"/>
  <c r="AU227" i="1" s="1"/>
  <c r="AU419" i="1"/>
  <c r="AM70" i="1"/>
  <c r="CL70" i="1" s="1"/>
  <c r="AM60" i="1"/>
  <c r="CL60" i="1" s="1"/>
  <c r="CL59" i="1"/>
  <c r="CO164" i="1"/>
  <c r="BC162" i="1"/>
  <c r="BC164" i="1" s="1"/>
  <c r="BG162" i="1"/>
  <c r="CP162" i="1" s="1"/>
  <c r="BB173" i="1"/>
  <c r="AM134" i="1"/>
  <c r="CL113" i="1"/>
  <c r="AM483" i="1"/>
  <c r="AM487" i="1" s="1"/>
  <c r="BJ506" i="1"/>
  <c r="BO506" i="1" s="1"/>
  <c r="AW505" i="1"/>
  <c r="AV505" i="1"/>
  <c r="BA505" i="1" s="1"/>
  <c r="AZ505" i="1"/>
  <c r="AX505" i="1"/>
  <c r="BE504" i="1"/>
  <c r="BX517" i="1"/>
  <c r="BZ437" i="1"/>
  <c r="CA437" i="1" s="1"/>
  <c r="CA436" i="1" s="1"/>
  <c r="CA438" i="1"/>
  <c r="BM507" i="1"/>
  <c r="BP476" i="1"/>
  <c r="BQ128" i="1"/>
  <c r="BO460" i="1"/>
  <c r="BO476" i="1"/>
  <c r="AV432" i="1"/>
  <c r="AV434" i="1" s="1"/>
  <c r="AX432" i="1"/>
  <c r="AX434" i="1" s="1"/>
  <c r="AY430" i="1" s="1"/>
  <c r="BB432" i="1"/>
  <c r="BB434" i="1" s="1"/>
  <c r="AH453" i="1"/>
  <c r="AM444" i="1"/>
  <c r="AM452" i="1" s="1"/>
  <c r="AI444" i="1"/>
  <c r="AI452" i="1" s="1"/>
  <c r="BG504" i="1"/>
  <c r="CT216" i="1"/>
  <c r="BV218" i="1"/>
  <c r="BU141" i="1"/>
  <c r="BU144" i="1" s="1"/>
  <c r="BU449" i="1"/>
  <c r="BM506" i="1"/>
  <c r="BX214" i="1"/>
  <c r="BW155" i="1"/>
  <c r="BI507" i="1"/>
  <c r="BN507" i="1" s="1"/>
  <c r="BR177" i="1"/>
  <c r="BS373" i="1"/>
  <c r="O173" i="1"/>
  <c r="P162" i="1"/>
  <c r="P164" i="1" s="1"/>
  <c r="V453" i="1"/>
  <c r="W444" i="1"/>
  <c r="W452" i="1" s="1"/>
  <c r="W453" i="1" s="1"/>
  <c r="BF504" i="1"/>
  <c r="BY189" i="1"/>
  <c r="BY127" i="1" s="1"/>
  <c r="BY64" i="1"/>
  <c r="BN510" i="1"/>
  <c r="BP632" i="1"/>
  <c r="BR611" i="1"/>
  <c r="BA24" i="7"/>
  <c r="AZ70" i="7"/>
  <c r="BA70" i="7" s="1"/>
  <c r="Z453" i="1"/>
  <c r="AA444" i="1"/>
  <c r="AA452" i="1" s="1"/>
  <c r="K419" i="1"/>
  <c r="K182" i="1"/>
  <c r="K192" i="1" s="1"/>
  <c r="K227" i="1" s="1"/>
  <c r="CH162" i="1"/>
  <c r="S164" i="1"/>
  <c r="AG503" i="1"/>
  <c r="BL506" i="1"/>
  <c r="BD504" i="1"/>
  <c r="BL507" i="1"/>
  <c r="BU425" i="1"/>
  <c r="BS638" i="1"/>
  <c r="BS611" i="1" s="1"/>
  <c r="BT639" i="1"/>
  <c r="CF192" i="1"/>
  <c r="I491" i="1"/>
  <c r="I227" i="1"/>
  <c r="CS206" i="1"/>
  <c r="BW206" i="1"/>
  <c r="BA60" i="7"/>
  <c r="BA61" i="7" s="1"/>
  <c r="L173" i="1"/>
  <c r="L550" i="1" s="1"/>
  <c r="L551" i="1" s="1"/>
  <c r="M162" i="1"/>
  <c r="M164" i="1" s="1"/>
  <c r="M173" i="1" s="1"/>
  <c r="BK510" i="1"/>
  <c r="BP510" i="1" s="1"/>
  <c r="AD453" i="1"/>
  <c r="AE444" i="1"/>
  <c r="AE452" i="1" s="1"/>
  <c r="BN506" i="1"/>
  <c r="BZ187" i="1"/>
  <c r="CA187" i="1" s="1"/>
  <c r="CT187" i="1" s="1"/>
  <c r="BM510" i="1"/>
  <c r="N20" i="5"/>
  <c r="O16" i="5"/>
  <c r="BU215" i="1"/>
  <c r="BO621" i="1"/>
  <c r="BO626" i="1" s="1"/>
  <c r="BO632" i="1" s="1"/>
  <c r="BC504" i="1"/>
  <c r="BH504" i="1" s="1"/>
  <c r="BK507" i="1"/>
  <c r="N419" i="1"/>
  <c r="CG173" i="1"/>
  <c r="N182" i="1"/>
  <c r="BJ507" i="1"/>
  <c r="BY221" i="1"/>
  <c r="BK506" i="1"/>
  <c r="BP506" i="1" s="1"/>
  <c r="O5" i="5"/>
  <c r="J420" i="1"/>
  <c r="BL510" i="1"/>
  <c r="CR65" i="1"/>
  <c r="BR65" i="1"/>
  <c r="M550" i="1" l="1"/>
  <c r="N550" i="1" s="1"/>
  <c r="N551" i="1" s="1"/>
  <c r="AW550" i="1"/>
  <c r="AW551" i="1" s="1"/>
  <c r="CN551" i="1" s="1"/>
  <c r="O550" i="1"/>
  <c r="O551" i="1" s="1"/>
  <c r="CA511" i="1"/>
  <c r="BY511" i="1"/>
  <c r="BK508" i="1"/>
  <c r="BI508" i="1"/>
  <c r="BX511" i="1"/>
  <c r="BG508" i="1"/>
  <c r="BM508" i="1" s="1"/>
  <c r="BH508" i="1"/>
  <c r="BL508" i="1"/>
  <c r="BO508" i="1"/>
  <c r="BV481" i="1"/>
  <c r="BV556" i="1"/>
  <c r="BV559" i="1" s="1"/>
  <c r="AX404" i="1"/>
  <c r="AX406" i="1" s="1"/>
  <c r="BB406" i="1" s="1"/>
  <c r="BB404" i="1"/>
  <c r="AZ509" i="1"/>
  <c r="AY77" i="7"/>
  <c r="AZ31" i="7"/>
  <c r="AY57" i="7"/>
  <c r="BA45" i="7"/>
  <c r="AZ91" i="7"/>
  <c r="CS142" i="1"/>
  <c r="BV475" i="1"/>
  <c r="AS109" i="7"/>
  <c r="AS105" i="7" s="1"/>
  <c r="BN423" i="1"/>
  <c r="AX63" i="7"/>
  <c r="AX64" i="7" s="1"/>
  <c r="AX58" i="7"/>
  <c r="AU102" i="7"/>
  <c r="AT101" i="7"/>
  <c r="AT104" i="7" s="1"/>
  <c r="AY509" i="1"/>
  <c r="BF52" i="7"/>
  <c r="BE97" i="7"/>
  <c r="BF97" i="7" s="1"/>
  <c r="BM426" i="1"/>
  <c r="BM427" i="1"/>
  <c r="BM422" i="1"/>
  <c r="CS209" i="1"/>
  <c r="BW209" i="1"/>
  <c r="CA517" i="1"/>
  <c r="BF98" i="7"/>
  <c r="BJ614" i="1"/>
  <c r="BJ615" i="1" s="1"/>
  <c r="BJ617" i="1" s="1"/>
  <c r="BJ619" i="1" s="1"/>
  <c r="BJ621" i="1" s="1"/>
  <c r="BJ626" i="1" s="1"/>
  <c r="BJ632" i="1" s="1"/>
  <c r="BD71" i="7"/>
  <c r="BE26" i="7"/>
  <c r="BC25" i="7"/>
  <c r="BB72" i="7"/>
  <c r="BB396" i="1"/>
  <c r="AX396" i="1"/>
  <c r="AX399" i="1" s="1"/>
  <c r="BB399" i="1" s="1"/>
  <c r="BV141" i="1"/>
  <c r="CS141" i="1" s="1"/>
  <c r="AW509" i="1"/>
  <c r="AX509" i="1"/>
  <c r="BQ510" i="1"/>
  <c r="BV510" i="1" s="1"/>
  <c r="AN138" i="7"/>
  <c r="AM139" i="7"/>
  <c r="BW119" i="1"/>
  <c r="BX188" i="1"/>
  <c r="BY188" i="1" s="1"/>
  <c r="BV204" i="1"/>
  <c r="CS198" i="1"/>
  <c r="BA20" i="7"/>
  <c r="BW198" i="1"/>
  <c r="BW556" i="1" s="1"/>
  <c r="BW559" i="1" s="1"/>
  <c r="BB411" i="1"/>
  <c r="AX411" i="1"/>
  <c r="AX413" i="1" s="1"/>
  <c r="BB413" i="1" s="1"/>
  <c r="BO507" i="1"/>
  <c r="BT507" i="1" s="1"/>
  <c r="BZ131" i="1"/>
  <c r="CA131" i="1" s="1"/>
  <c r="CT131" i="1" s="1"/>
  <c r="CA197" i="1"/>
  <c r="BA509" i="1"/>
  <c r="Z531" i="1"/>
  <c r="AA502" i="1"/>
  <c r="BU506" i="1"/>
  <c r="BM504" i="1"/>
  <c r="BD505" i="1"/>
  <c r="BC505" i="1"/>
  <c r="BB505" i="1"/>
  <c r="BD162" i="1"/>
  <c r="BD164" i="1" s="1"/>
  <c r="BC173" i="1"/>
  <c r="AM161" i="1"/>
  <c r="CL161" i="1" s="1"/>
  <c r="CL134" i="1"/>
  <c r="CN192" i="1"/>
  <c r="AW491" i="1"/>
  <c r="AW227" i="1"/>
  <c r="BB555" i="1"/>
  <c r="BB558" i="1" s="1"/>
  <c r="CO173" i="1"/>
  <c r="H28" i="5" s="1"/>
  <c r="BB182" i="1"/>
  <c r="BB419" i="1"/>
  <c r="BA162" i="1"/>
  <c r="BA164" i="1" s="1"/>
  <c r="BA173" i="1" s="1"/>
  <c r="AZ173" i="1"/>
  <c r="AZ550" i="1" s="1"/>
  <c r="AZ551" i="1" s="1"/>
  <c r="AV420" i="1"/>
  <c r="AV421" i="1" s="1"/>
  <c r="AW420" i="1"/>
  <c r="AW421" i="1" s="1"/>
  <c r="AU420" i="1"/>
  <c r="AU421" i="1" s="1"/>
  <c r="G28" i="5"/>
  <c r="AY182" i="1"/>
  <c r="AY192" i="1" s="1"/>
  <c r="AY227" i="1" s="1"/>
  <c r="AY419" i="1"/>
  <c r="AY420" i="1" s="1"/>
  <c r="AY421" i="1" s="1"/>
  <c r="AY555" i="1"/>
  <c r="AY558" i="1" s="1"/>
  <c r="BF505" i="1"/>
  <c r="BE505" i="1"/>
  <c r="BZ436" i="1"/>
  <c r="BZ63" i="1" s="1"/>
  <c r="BQ476" i="1"/>
  <c r="CR128" i="1"/>
  <c r="J15" i="5" s="1"/>
  <c r="BQ460" i="1"/>
  <c r="BG430" i="1"/>
  <c r="BC430" i="1"/>
  <c r="AY432" i="1"/>
  <c r="AY434" i="1" s="1"/>
  <c r="AZ430" i="1" s="1"/>
  <c r="J421" i="1"/>
  <c r="P5" i="5"/>
  <c r="BZ221" i="1"/>
  <c r="BP507" i="1"/>
  <c r="O20" i="5"/>
  <c r="P16" i="5"/>
  <c r="BU510" i="1"/>
  <c r="BT510" i="1"/>
  <c r="BJ504" i="1"/>
  <c r="M419" i="1"/>
  <c r="M182" i="1"/>
  <c r="M192" i="1" s="1"/>
  <c r="M227" i="1" s="1"/>
  <c r="BX206" i="1"/>
  <c r="BB60" i="7"/>
  <c r="BB61" i="7" s="1"/>
  <c r="BS612" i="1"/>
  <c r="BS619" i="1"/>
  <c r="BQ507" i="1"/>
  <c r="AI503" i="1"/>
  <c r="AM503" i="1"/>
  <c r="AA453" i="1"/>
  <c r="AB444" i="1"/>
  <c r="AB452" i="1" s="1"/>
  <c r="AB453" i="1" s="1"/>
  <c r="P173" i="1"/>
  <c r="P550" i="1" s="1"/>
  <c r="P551" i="1" s="1"/>
  <c r="Q162" i="1"/>
  <c r="Q164" i="1" s="1"/>
  <c r="BR128" i="1"/>
  <c r="BV425" i="1"/>
  <c r="BL504" i="1"/>
  <c r="N192" i="1"/>
  <c r="CG182" i="1"/>
  <c r="BR510" i="1"/>
  <c r="L419" i="1"/>
  <c r="L420" i="1" s="1"/>
  <c r="L421" i="1" s="1"/>
  <c r="L182" i="1"/>
  <c r="L192" i="1" s="1"/>
  <c r="L227" i="1" s="1"/>
  <c r="BT506" i="1"/>
  <c r="BI504" i="1"/>
  <c r="BN504" i="1" s="1"/>
  <c r="BQ506" i="1"/>
  <c r="BV506" i="1" s="1"/>
  <c r="BR507" i="1"/>
  <c r="BR612" i="1"/>
  <c r="BR619" i="1"/>
  <c r="BS510" i="1"/>
  <c r="O182" i="1"/>
  <c r="O192" i="1" s="1"/>
  <c r="O227" i="1" s="1"/>
  <c r="O419" i="1"/>
  <c r="O420" i="1" s="1"/>
  <c r="BS507" i="1"/>
  <c r="BW157" i="1"/>
  <c r="CS218" i="1"/>
  <c r="BW218" i="1"/>
  <c r="BV449" i="1"/>
  <c r="AJ444" i="1"/>
  <c r="AJ452" i="1" s="1"/>
  <c r="AI453" i="1"/>
  <c r="BV144" i="1"/>
  <c r="CS144" i="1" s="1"/>
  <c r="S173" i="1"/>
  <c r="T162" i="1"/>
  <c r="T164" i="1" s="1"/>
  <c r="CH164" i="1"/>
  <c r="X162" i="1"/>
  <c r="BZ189" i="1"/>
  <c r="CA189" i="1" s="1"/>
  <c r="CT189" i="1" s="1"/>
  <c r="BK504" i="1"/>
  <c r="BY214" i="1"/>
  <c r="BX155" i="1"/>
  <c r="BX157" i="1" s="1"/>
  <c r="BR506" i="1"/>
  <c r="AN444" i="1"/>
  <c r="AN452" i="1" s="1"/>
  <c r="AR444" i="1"/>
  <c r="AR452" i="1" s="1"/>
  <c r="AM453" i="1"/>
  <c r="BV215" i="1"/>
  <c r="BS506" i="1"/>
  <c r="AF444" i="1"/>
  <c r="AF452" i="1" s="1"/>
  <c r="AE453" i="1"/>
  <c r="BU639" i="1"/>
  <c r="BU638" i="1" s="1"/>
  <c r="BU611" i="1" s="1"/>
  <c r="BT638" i="1"/>
  <c r="BB24" i="7"/>
  <c r="K420" i="1"/>
  <c r="K421" i="1" s="1"/>
  <c r="BQ632" i="1"/>
  <c r="BT373" i="1"/>
  <c r="BS177" i="1"/>
  <c r="BR67" i="1"/>
  <c r="BS65" i="1"/>
  <c r="BW424" i="1" l="1"/>
  <c r="BW425" i="1" s="1"/>
  <c r="CN550" i="1"/>
  <c r="M551" i="1"/>
  <c r="BA550" i="1"/>
  <c r="BB550" i="1" s="1"/>
  <c r="BC550" i="1"/>
  <c r="BC551" i="1" s="1"/>
  <c r="BU508" i="1"/>
  <c r="BP508" i="1"/>
  <c r="BW508" i="1" s="1"/>
  <c r="BR508" i="1"/>
  <c r="CA508" i="1" s="1"/>
  <c r="BQ508" i="1"/>
  <c r="BT508" i="1"/>
  <c r="BN508" i="1"/>
  <c r="BV508" i="1" s="1"/>
  <c r="BS508" i="1"/>
  <c r="BC509" i="1"/>
  <c r="BW510" i="1"/>
  <c r="BB408" i="1"/>
  <c r="AT109" i="7"/>
  <c r="AT105" i="7" s="1"/>
  <c r="BO423" i="1"/>
  <c r="AZ77" i="7"/>
  <c r="BA77" i="7" s="1"/>
  <c r="BA31" i="7"/>
  <c r="AZ57" i="7"/>
  <c r="BU507" i="1"/>
  <c r="BZ507" i="1" s="1"/>
  <c r="BE509" i="1"/>
  <c r="BK614" i="1"/>
  <c r="BK615" i="1" s="1"/>
  <c r="BK617" i="1" s="1"/>
  <c r="BK619" i="1" s="1"/>
  <c r="BK621" i="1" s="1"/>
  <c r="BK626" i="1" s="1"/>
  <c r="BK632" i="1" s="1"/>
  <c r="BL632" i="1" s="1"/>
  <c r="BX209" i="1"/>
  <c r="BW142" i="1"/>
  <c r="BW475" i="1" s="1"/>
  <c r="AV102" i="7"/>
  <c r="AU101" i="7"/>
  <c r="AU104" i="7" s="1"/>
  <c r="AV104" i="7" s="1"/>
  <c r="AV109" i="7" s="1"/>
  <c r="BN426" i="1"/>
  <c r="BN427" i="1"/>
  <c r="BN422" i="1"/>
  <c r="BA91" i="7"/>
  <c r="BB45" i="7"/>
  <c r="BD509" i="1"/>
  <c r="BW481" i="1"/>
  <c r="AY63" i="7"/>
  <c r="AY64" i="7" s="1"/>
  <c r="AY58" i="7"/>
  <c r="BB401" i="1"/>
  <c r="BG396" i="1" s="1"/>
  <c r="BE71" i="7"/>
  <c r="BF26" i="7"/>
  <c r="BF71" i="7" s="1"/>
  <c r="BD25" i="7"/>
  <c r="BC72" i="7"/>
  <c r="BX119" i="1"/>
  <c r="BF509" i="1"/>
  <c r="BB509" i="1"/>
  <c r="BG509" i="1" s="1"/>
  <c r="BI505" i="1"/>
  <c r="BB415" i="1"/>
  <c r="BG411" i="1" s="1"/>
  <c r="BY119" i="1"/>
  <c r="BZ188" i="1"/>
  <c r="CS204" i="1"/>
  <c r="BV211" i="1"/>
  <c r="CS211" i="1" s="1"/>
  <c r="BW204" i="1"/>
  <c r="BW211" i="1" s="1"/>
  <c r="BX198" i="1"/>
  <c r="BX424" i="1" s="1"/>
  <c r="BB20" i="7"/>
  <c r="AN139" i="7"/>
  <c r="AO138" i="7"/>
  <c r="BJ505" i="1"/>
  <c r="BH505" i="1"/>
  <c r="BC411" i="1"/>
  <c r="BC413" i="1" s="1"/>
  <c r="BG413" i="1" s="1"/>
  <c r="BG505" i="1"/>
  <c r="CT197" i="1"/>
  <c r="CA368" i="1"/>
  <c r="AA531" i="1"/>
  <c r="AB502" i="1"/>
  <c r="BV507" i="1"/>
  <c r="CA510" i="1"/>
  <c r="BW506" i="1"/>
  <c r="BP504" i="1"/>
  <c r="BX510" i="1"/>
  <c r="BO505" i="1"/>
  <c r="CO182" i="1"/>
  <c r="BB192" i="1"/>
  <c r="BC182" i="1"/>
  <c r="BC192" i="1" s="1"/>
  <c r="BC227" i="1" s="1"/>
  <c r="BC555" i="1"/>
  <c r="BC558" i="1" s="1"/>
  <c r="BC419" i="1"/>
  <c r="BC420" i="1" s="1"/>
  <c r="BC421" i="1" s="1"/>
  <c r="AZ555" i="1"/>
  <c r="AZ558" i="1" s="1"/>
  <c r="AZ419" i="1"/>
  <c r="AZ420" i="1" s="1"/>
  <c r="AZ421" i="1" s="1"/>
  <c r="AZ182" i="1"/>
  <c r="AZ192" i="1" s="1"/>
  <c r="AZ227" i="1" s="1"/>
  <c r="AW492" i="1"/>
  <c r="BB494" i="1"/>
  <c r="BD173" i="1"/>
  <c r="BD550" i="1" s="1"/>
  <c r="BD551" i="1" s="1"/>
  <c r="BE162" i="1"/>
  <c r="BA555" i="1"/>
  <c r="BA558" i="1" s="1"/>
  <c r="BA419" i="1"/>
  <c r="BA182" i="1"/>
  <c r="BA192" i="1" s="1"/>
  <c r="BA227" i="1" s="1"/>
  <c r="M420" i="1"/>
  <c r="M421" i="1" s="1"/>
  <c r="BK505" i="1"/>
  <c r="BW507" i="1"/>
  <c r="BX506" i="1"/>
  <c r="CA63" i="1"/>
  <c r="CT63" i="1" s="1"/>
  <c r="BZ64" i="1"/>
  <c r="CA64" i="1" s="1"/>
  <c r="CT64" i="1" s="1"/>
  <c r="J21" i="5"/>
  <c r="J17" i="5"/>
  <c r="O421" i="1"/>
  <c r="AZ432" i="1"/>
  <c r="AZ434" i="1" s="1"/>
  <c r="BA430" i="1" s="1"/>
  <c r="BT177" i="1"/>
  <c r="BT128" i="1" s="1"/>
  <c r="BU373" i="1"/>
  <c r="BU177" i="1" s="1"/>
  <c r="BV177" i="1" s="1"/>
  <c r="AG444" i="1"/>
  <c r="AG452" i="1" s="1"/>
  <c r="AG453" i="1" s="1"/>
  <c r="AF453" i="1"/>
  <c r="CS215" i="1"/>
  <c r="BW215" i="1"/>
  <c r="AR453" i="1"/>
  <c r="AW444" i="1"/>
  <c r="AW452" i="1" s="1"/>
  <c r="AS444" i="1"/>
  <c r="AS452" i="1" s="1"/>
  <c r="S182" i="1"/>
  <c r="CH173" i="1"/>
  <c r="S419" i="1"/>
  <c r="BX507" i="1"/>
  <c r="CA506" i="1"/>
  <c r="CG192" i="1"/>
  <c r="N227" i="1"/>
  <c r="N491" i="1"/>
  <c r="BQ504" i="1"/>
  <c r="Q173" i="1"/>
  <c r="Q550" i="1" s="1"/>
  <c r="Q551" i="1" s="1"/>
  <c r="R162" i="1"/>
  <c r="R164" i="1" s="1"/>
  <c r="R173" i="1" s="1"/>
  <c r="BZ510" i="1"/>
  <c r="Q5" i="5"/>
  <c r="BC432" i="1"/>
  <c r="BC434" i="1" s="1"/>
  <c r="BD430" i="1" s="1"/>
  <c r="BB70" i="7"/>
  <c r="BC24" i="7"/>
  <c r="BT611" i="1"/>
  <c r="BV638" i="1"/>
  <c r="BV639" i="1" s="1"/>
  <c r="BW639" i="1" s="1"/>
  <c r="AO444" i="1"/>
  <c r="AO452" i="1" s="1"/>
  <c r="AN453" i="1"/>
  <c r="CI162" i="1"/>
  <c r="X164" i="1"/>
  <c r="AJ453" i="1"/>
  <c r="AK444" i="1"/>
  <c r="AK452" i="1" s="1"/>
  <c r="BR621" i="1"/>
  <c r="BR626" i="1" s="1"/>
  <c r="BY507" i="1"/>
  <c r="P419" i="1"/>
  <c r="P182" i="1"/>
  <c r="P192" i="1" s="1"/>
  <c r="P227" i="1" s="1"/>
  <c r="CA507" i="1"/>
  <c r="P20" i="5"/>
  <c r="Q16" i="5"/>
  <c r="Q20" i="5" s="1"/>
  <c r="BG432" i="1"/>
  <c r="BG434" i="1" s="1"/>
  <c r="AV105" i="7"/>
  <c r="CR46" i="1"/>
  <c r="BU612" i="1"/>
  <c r="BU619" i="1"/>
  <c r="BZ214" i="1"/>
  <c r="BY155" i="1"/>
  <c r="BY157" i="1" s="1"/>
  <c r="BZ127" i="1"/>
  <c r="BY506" i="1"/>
  <c r="BZ506" i="1"/>
  <c r="BR476" i="1"/>
  <c r="BR460" i="1"/>
  <c r="BS621" i="1"/>
  <c r="BS626" i="1" s="1"/>
  <c r="BY206" i="1"/>
  <c r="BC60" i="7"/>
  <c r="BC61" i="7" s="1"/>
  <c r="BX481" i="1"/>
  <c r="CA221" i="1"/>
  <c r="U162" i="1"/>
  <c r="U164" i="1" s="1"/>
  <c r="T173" i="1"/>
  <c r="BX218" i="1"/>
  <c r="BW141" i="1"/>
  <c r="BW449" i="1"/>
  <c r="BS504" i="1"/>
  <c r="BS128" i="1"/>
  <c r="AN503" i="1"/>
  <c r="AJ503" i="1"/>
  <c r="BO504" i="1"/>
  <c r="BT504" i="1" s="1"/>
  <c r="BY510" i="1"/>
  <c r="BR504" i="1"/>
  <c r="BS67" i="1"/>
  <c r="BT65" i="1"/>
  <c r="BR629" i="1"/>
  <c r="BR631" i="1" s="1"/>
  <c r="T550" i="1" l="1"/>
  <c r="T551" i="1" s="1"/>
  <c r="R550" i="1"/>
  <c r="S550" i="1" s="1"/>
  <c r="S551" i="1" s="1"/>
  <c r="BA551" i="1"/>
  <c r="CO550" i="1"/>
  <c r="BB551" i="1"/>
  <c r="CO551" i="1" s="1"/>
  <c r="BW504" i="1"/>
  <c r="BN505" i="1"/>
  <c r="BX508" i="1"/>
  <c r="BZ508" i="1"/>
  <c r="BY508" i="1"/>
  <c r="BL509" i="1"/>
  <c r="BC404" i="1"/>
  <c r="BC406" i="1" s="1"/>
  <c r="BG406" i="1" s="1"/>
  <c r="BG404" i="1"/>
  <c r="BX556" i="1"/>
  <c r="BX559" i="1" s="1"/>
  <c r="BH509" i="1"/>
  <c r="BM509" i="1" s="1"/>
  <c r="BP423" i="1"/>
  <c r="BQ423" i="1" s="1"/>
  <c r="AU109" i="7"/>
  <c r="AU105" i="7" s="1"/>
  <c r="BO426" i="1"/>
  <c r="BO427" i="1"/>
  <c r="BO422" i="1"/>
  <c r="BJ509" i="1"/>
  <c r="AW102" i="7"/>
  <c r="AV101" i="7"/>
  <c r="BX142" i="1"/>
  <c r="BX475" i="1" s="1"/>
  <c r="BY209" i="1"/>
  <c r="AZ58" i="7"/>
  <c r="AZ63" i="7"/>
  <c r="AZ64" i="7" s="1"/>
  <c r="BM505" i="1"/>
  <c r="BI509" i="1"/>
  <c r="BC45" i="7"/>
  <c r="BB91" i="7"/>
  <c r="BB31" i="7"/>
  <c r="BA57" i="7"/>
  <c r="N420" i="1"/>
  <c r="N421" i="1" s="1"/>
  <c r="BC396" i="1"/>
  <c r="BC399" i="1" s="1"/>
  <c r="BG399" i="1" s="1"/>
  <c r="BG401" i="1" s="1"/>
  <c r="BL396" i="1" s="1"/>
  <c r="BL401" i="1" s="1"/>
  <c r="BE25" i="7"/>
  <c r="BD72" i="7"/>
  <c r="BL505" i="1"/>
  <c r="BK509" i="1"/>
  <c r="BG415" i="1"/>
  <c r="BH411" i="1" s="1"/>
  <c r="BH415" i="1" s="1"/>
  <c r="BX204" i="1"/>
  <c r="BX211" i="1" s="1"/>
  <c r="BC20" i="7"/>
  <c r="BY198" i="1"/>
  <c r="BY556" i="1" s="1"/>
  <c r="BY559" i="1" s="1"/>
  <c r="CA188" i="1"/>
  <c r="CT188" i="1" s="1"/>
  <c r="BZ119" i="1"/>
  <c r="CA119" i="1" s="1"/>
  <c r="CT119" i="1" s="1"/>
  <c r="AO139" i="7"/>
  <c r="AP138" i="7"/>
  <c r="AP139" i="7" s="1"/>
  <c r="AB531" i="1"/>
  <c r="AD502" i="1"/>
  <c r="BO509" i="1"/>
  <c r="BD555" i="1"/>
  <c r="BD558" i="1" s="1"/>
  <c r="BD419" i="1"/>
  <c r="BD182" i="1"/>
  <c r="BD192" i="1" s="1"/>
  <c r="BD227" i="1" s="1"/>
  <c r="BB491" i="1"/>
  <c r="BB227" i="1"/>
  <c r="CO192" i="1"/>
  <c r="BA420" i="1"/>
  <c r="BA421" i="1" s="1"/>
  <c r="BB420" i="1"/>
  <c r="BB421" i="1" s="1"/>
  <c r="BP505" i="1"/>
  <c r="BQ505" i="1"/>
  <c r="BR632" i="1"/>
  <c r="BU128" i="1"/>
  <c r="BU476" i="1" s="1"/>
  <c r="BA432" i="1"/>
  <c r="BA434" i="1" s="1"/>
  <c r="T182" i="1"/>
  <c r="T192" i="1" s="1"/>
  <c r="T227" i="1" s="1"/>
  <c r="T419" i="1"/>
  <c r="T420" i="1" s="1"/>
  <c r="AW105" i="7"/>
  <c r="BU621" i="1"/>
  <c r="BU626" i="1" s="1"/>
  <c r="CI164" i="1"/>
  <c r="X173" i="1"/>
  <c r="Y162" i="1"/>
  <c r="Y164" i="1" s="1"/>
  <c r="AC162" i="1"/>
  <c r="BU504" i="1"/>
  <c r="BZ504" i="1" s="1"/>
  <c r="BT612" i="1"/>
  <c r="BT619" i="1"/>
  <c r="BV611" i="1"/>
  <c r="BV612" i="1" s="1"/>
  <c r="BD432" i="1"/>
  <c r="BD434" i="1" s="1"/>
  <c r="BE430" i="1" s="1"/>
  <c r="Q182" i="1"/>
  <c r="Q192" i="1" s="1"/>
  <c r="Q227" i="1" s="1"/>
  <c r="Q419" i="1"/>
  <c r="Q420" i="1" s="1"/>
  <c r="Q421" i="1" s="1"/>
  <c r="AS453" i="1"/>
  <c r="AT444" i="1"/>
  <c r="AT452" i="1" s="1"/>
  <c r="BT476" i="1"/>
  <c r="BT460" i="1"/>
  <c r="CS177" i="1"/>
  <c r="BV373" i="1"/>
  <c r="BW373" i="1" s="1"/>
  <c r="BX425" i="1"/>
  <c r="AO503" i="1"/>
  <c r="AK503" i="1"/>
  <c r="BS476" i="1"/>
  <c r="BS460" i="1"/>
  <c r="V162" i="1"/>
  <c r="V164" i="1" s="1"/>
  <c r="U173" i="1"/>
  <c r="U550" i="1" s="1"/>
  <c r="U551" i="1" s="1"/>
  <c r="CT221" i="1"/>
  <c r="BD60" i="7"/>
  <c r="BD61" i="7" s="1"/>
  <c r="BZ206" i="1"/>
  <c r="BY424" i="1"/>
  <c r="BY425" i="1" s="1"/>
  <c r="BH430" i="1"/>
  <c r="BL430" i="1"/>
  <c r="P420" i="1"/>
  <c r="BV504" i="1"/>
  <c r="AW453" i="1"/>
  <c r="BB444" i="1"/>
  <c r="BB452" i="1" s="1"/>
  <c r="AX444" i="1"/>
  <c r="AX452" i="1" s="1"/>
  <c r="BX215" i="1"/>
  <c r="BX504" i="1"/>
  <c r="BW144" i="1"/>
  <c r="CA127" i="1"/>
  <c r="BZ155" i="1"/>
  <c r="BZ157" i="1" s="1"/>
  <c r="CA214" i="1"/>
  <c r="AK453" i="1"/>
  <c r="AL444" i="1"/>
  <c r="AL452" i="1" s="1"/>
  <c r="AL453" i="1" s="1"/>
  <c r="AO453" i="1"/>
  <c r="AP444" i="1"/>
  <c r="AP452" i="1" s="1"/>
  <c r="BD24" i="7"/>
  <c r="BC70" i="7"/>
  <c r="S192" i="1"/>
  <c r="CH182" i="1"/>
  <c r="BY504" i="1"/>
  <c r="BY218" i="1"/>
  <c r="BX141" i="1"/>
  <c r="BX144" i="1" s="1"/>
  <c r="BX449" i="1"/>
  <c r="BX639" i="1"/>
  <c r="BW638" i="1"/>
  <c r="R5" i="5"/>
  <c r="R182" i="1"/>
  <c r="R192" i="1" s="1"/>
  <c r="R227" i="1" s="1"/>
  <c r="R419" i="1"/>
  <c r="BT67" i="1"/>
  <c r="BU65" i="1"/>
  <c r="BV65" i="1" s="1"/>
  <c r="BS629" i="1"/>
  <c r="BS631" i="1" s="1"/>
  <c r="BS632" i="1" s="1"/>
  <c r="R551" i="1" l="1"/>
  <c r="BY481" i="1"/>
  <c r="BG408" i="1"/>
  <c r="BS505" i="1"/>
  <c r="BN509" i="1"/>
  <c r="BC91" i="7"/>
  <c r="BD45" i="7"/>
  <c r="BZ209" i="1"/>
  <c r="BY142" i="1"/>
  <c r="BQ509" i="1"/>
  <c r="BA58" i="7"/>
  <c r="BA63" i="7"/>
  <c r="BA64" i="7" s="1"/>
  <c r="BR509" i="1"/>
  <c r="BR505" i="1"/>
  <c r="BW505" i="1" s="1"/>
  <c r="BC31" i="7"/>
  <c r="BB77" i="7"/>
  <c r="BB57" i="7"/>
  <c r="BQ427" i="1"/>
  <c r="BQ422" i="1"/>
  <c r="BQ426" i="1"/>
  <c r="BP427" i="1"/>
  <c r="BP426" i="1"/>
  <c r="BP422" i="1"/>
  <c r="BE432" i="1"/>
  <c r="BE434" i="1" s="1"/>
  <c r="BF430" i="1" s="1"/>
  <c r="BP509" i="1"/>
  <c r="AX102" i="7"/>
  <c r="AW101" i="7"/>
  <c r="AW104" i="7" s="1"/>
  <c r="BE72" i="7"/>
  <c r="BF25" i="7"/>
  <c r="BF72" i="7" s="1"/>
  <c r="BH396" i="1"/>
  <c r="BH401" i="1" s="1"/>
  <c r="BI396" i="1" s="1"/>
  <c r="BI401" i="1" s="1"/>
  <c r="BQ396" i="1"/>
  <c r="BQ401" i="1" s="1"/>
  <c r="BM396" i="1"/>
  <c r="BM401" i="1" s="1"/>
  <c r="CA504" i="1"/>
  <c r="BT505" i="1"/>
  <c r="BT509" i="1"/>
  <c r="AQ138" i="7"/>
  <c r="AR138" i="7" s="1"/>
  <c r="BY204" i="1"/>
  <c r="BY211" i="1" s="1"/>
  <c r="BZ198" i="1"/>
  <c r="BZ556" i="1" s="1"/>
  <c r="BZ559" i="1" s="1"/>
  <c r="BD20" i="7"/>
  <c r="BL411" i="1"/>
  <c r="BL415" i="1" s="1"/>
  <c r="BQ411" i="1" s="1"/>
  <c r="BQ415" i="1" s="1"/>
  <c r="BU460" i="1"/>
  <c r="BV128" i="1"/>
  <c r="CS128" i="1" s="1"/>
  <c r="K15" i="5" s="1"/>
  <c r="BS509" i="1"/>
  <c r="BI411" i="1"/>
  <c r="BI415" i="1" s="1"/>
  <c r="BH185" i="1"/>
  <c r="AD531" i="1"/>
  <c r="AE502" i="1"/>
  <c r="BD420" i="1"/>
  <c r="BD421" i="1" s="1"/>
  <c r="BB492" i="1"/>
  <c r="BG494" i="1"/>
  <c r="BX505" i="1"/>
  <c r="BY505" i="1"/>
  <c r="BV505" i="1"/>
  <c r="BU505" i="1"/>
  <c r="BW611" i="1"/>
  <c r="AP453" i="1"/>
  <c r="AQ444" i="1"/>
  <c r="AQ452" i="1" s="1"/>
  <c r="AQ453" i="1" s="1"/>
  <c r="AY444" i="1"/>
  <c r="AY452" i="1" s="1"/>
  <c r="AX453" i="1"/>
  <c r="BL432" i="1"/>
  <c r="BL434" i="1" s="1"/>
  <c r="BX373" i="1"/>
  <c r="BW177" i="1"/>
  <c r="R420" i="1"/>
  <c r="R421" i="1" s="1"/>
  <c r="X182" i="1"/>
  <c r="X419" i="1"/>
  <c r="B28" i="5"/>
  <c r="CI173" i="1"/>
  <c r="BY639" i="1"/>
  <c r="BX638" i="1"/>
  <c r="BX611" i="1" s="1"/>
  <c r="BD70" i="7"/>
  <c r="BE24" i="7"/>
  <c r="CT214" i="1"/>
  <c r="BC444" i="1"/>
  <c r="BC452" i="1" s="1"/>
  <c r="BG444" i="1"/>
  <c r="BB453" i="1"/>
  <c r="BH432" i="1"/>
  <c r="BH434" i="1" s="1"/>
  <c r="BI430" i="1" s="1"/>
  <c r="BE60" i="7"/>
  <c r="BE61" i="7" s="1"/>
  <c r="CA206" i="1"/>
  <c r="BZ424" i="1"/>
  <c r="BZ481" i="1"/>
  <c r="U419" i="1"/>
  <c r="U420" i="1" s="1"/>
  <c r="U421" i="1" s="1"/>
  <c r="U182" i="1"/>
  <c r="U192" i="1" s="1"/>
  <c r="U227" i="1" s="1"/>
  <c r="BT621" i="1"/>
  <c r="BT626" i="1" s="1"/>
  <c r="BZ218" i="1"/>
  <c r="BY141" i="1"/>
  <c r="BY449" i="1"/>
  <c r="S491" i="1"/>
  <c r="CH192" i="1"/>
  <c r="S227" i="1"/>
  <c r="T421" i="1"/>
  <c r="P421" i="1"/>
  <c r="V173" i="1"/>
  <c r="V550" i="1" s="1"/>
  <c r="V551" i="1" s="1"/>
  <c r="W162" i="1"/>
  <c r="W164" i="1" s="1"/>
  <c r="W173" i="1" s="1"/>
  <c r="AL503" i="1"/>
  <c r="AS503" i="1" s="1"/>
  <c r="AP503" i="1"/>
  <c r="AU444" i="1"/>
  <c r="AU452" i="1" s="1"/>
  <c r="AT453" i="1"/>
  <c r="CJ162" i="1"/>
  <c r="AC164" i="1"/>
  <c r="CA155" i="1"/>
  <c r="CT127" i="1"/>
  <c r="BY215" i="1"/>
  <c r="Y173" i="1"/>
  <c r="Z162" i="1"/>
  <c r="Z164" i="1" s="1"/>
  <c r="CS65" i="1"/>
  <c r="BW65" i="1"/>
  <c r="BU67" i="1"/>
  <c r="BV67" i="1"/>
  <c r="BT629" i="1"/>
  <c r="BT631" i="1" s="1"/>
  <c r="Y550" i="1" l="1"/>
  <c r="Y551" i="1" s="1"/>
  <c r="W550" i="1"/>
  <c r="BV509" i="1"/>
  <c r="CA509" i="1" s="1"/>
  <c r="BL404" i="1"/>
  <c r="BL408" i="1" s="1"/>
  <c r="BH404" i="1"/>
  <c r="BH408" i="1" s="1"/>
  <c r="AY102" i="7"/>
  <c r="AX101" i="7"/>
  <c r="AX104" i="7" s="1"/>
  <c r="BB63" i="7"/>
  <c r="BB64" i="7" s="1"/>
  <c r="BB58" i="7"/>
  <c r="BY475" i="1"/>
  <c r="BW509" i="1"/>
  <c r="BY509" i="1"/>
  <c r="BD31" i="7"/>
  <c r="BC77" i="7"/>
  <c r="BC57" i="7"/>
  <c r="CA209" i="1"/>
  <c r="CT209" i="1" s="1"/>
  <c r="BZ142" i="1"/>
  <c r="BZ475" i="1" s="1"/>
  <c r="BY144" i="1"/>
  <c r="BU509" i="1"/>
  <c r="AW109" i="7"/>
  <c r="BR423" i="1"/>
  <c r="BD91" i="7"/>
  <c r="BE45" i="7"/>
  <c r="AQ139" i="7"/>
  <c r="BH184" i="1"/>
  <c r="BM411" i="1"/>
  <c r="BM415" i="1" s="1"/>
  <c r="BR396" i="1"/>
  <c r="BR401" i="1" s="1"/>
  <c r="BV396" i="1"/>
  <c r="BV401" i="1" s="1"/>
  <c r="BM184" i="1"/>
  <c r="BN396" i="1"/>
  <c r="BN401" i="1" s="1"/>
  <c r="BI184" i="1"/>
  <c r="BJ396" i="1"/>
  <c r="BJ401" i="1" s="1"/>
  <c r="BV476" i="1"/>
  <c r="BV460" i="1"/>
  <c r="CA198" i="1"/>
  <c r="CA556" i="1" s="1"/>
  <c r="CA559" i="1" s="1"/>
  <c r="BE20" i="7"/>
  <c r="BZ204" i="1"/>
  <c r="BZ211" i="1" s="1"/>
  <c r="AR139" i="7"/>
  <c r="AS138" i="7"/>
  <c r="BV411" i="1"/>
  <c r="BV415" i="1" s="1"/>
  <c r="BR411" i="1"/>
  <c r="BR415" i="1" s="1"/>
  <c r="BX509" i="1"/>
  <c r="BI185" i="1"/>
  <c r="BJ411" i="1"/>
  <c r="BJ415" i="1" s="1"/>
  <c r="BN411" i="1"/>
  <c r="BN415" i="1" s="1"/>
  <c r="BM185" i="1"/>
  <c r="AE531" i="1"/>
  <c r="AF502" i="1"/>
  <c r="BZ509" i="1"/>
  <c r="CA505" i="1"/>
  <c r="BZ505" i="1"/>
  <c r="BE459" i="1"/>
  <c r="S420" i="1"/>
  <c r="S421" i="1" s="1"/>
  <c r="BM430" i="1"/>
  <c r="BQ430" i="1"/>
  <c r="AU503" i="1"/>
  <c r="CT206" i="1"/>
  <c r="BF60" i="7"/>
  <c r="BF61" i="7" s="1"/>
  <c r="CA481" i="1"/>
  <c r="BY373" i="1"/>
  <c r="BX177" i="1"/>
  <c r="BX128" i="1" s="1"/>
  <c r="BW612" i="1"/>
  <c r="BW619" i="1"/>
  <c r="AQ503" i="1"/>
  <c r="AR503" i="1"/>
  <c r="BZ425" i="1"/>
  <c r="X192" i="1"/>
  <c r="CI182" i="1"/>
  <c r="Y419" i="1"/>
  <c r="Y420" i="1" s="1"/>
  <c r="Y421" i="1" s="1"/>
  <c r="Y182" i="1"/>
  <c r="Y192" i="1" s="1"/>
  <c r="Y227" i="1" s="1"/>
  <c r="BZ215" i="1"/>
  <c r="CT155" i="1"/>
  <c r="CA157" i="1"/>
  <c r="CT157" i="1" s="1"/>
  <c r="AU453" i="1"/>
  <c r="AV444" i="1"/>
  <c r="AV452" i="1" s="1"/>
  <c r="AV453" i="1" s="1"/>
  <c r="W419" i="1"/>
  <c r="W182" i="1"/>
  <c r="W192" i="1" s="1"/>
  <c r="W227" i="1" s="1"/>
  <c r="CA218" i="1"/>
  <c r="BZ141" i="1"/>
  <c r="BZ449" i="1"/>
  <c r="BD444" i="1"/>
  <c r="BD452" i="1" s="1"/>
  <c r="BC453" i="1"/>
  <c r="BX612" i="1"/>
  <c r="BX619" i="1"/>
  <c r="AY453" i="1"/>
  <c r="AZ444" i="1"/>
  <c r="AZ452" i="1" s="1"/>
  <c r="Z173" i="1"/>
  <c r="Z550" i="1" s="1"/>
  <c r="Z551" i="1" s="1"/>
  <c r="AA162" i="1"/>
  <c r="AA164" i="1" s="1"/>
  <c r="BT632" i="1"/>
  <c r="BF432" i="1"/>
  <c r="BF434" i="1" s="1"/>
  <c r="AT503" i="1"/>
  <c r="AH162" i="1"/>
  <c r="AD162" i="1"/>
  <c r="AD164" i="1" s="1"/>
  <c r="CJ164" i="1"/>
  <c r="AC173" i="1"/>
  <c r="V182" i="1"/>
  <c r="V192" i="1" s="1"/>
  <c r="V227" i="1" s="1"/>
  <c r="V419" i="1"/>
  <c r="BI432" i="1"/>
  <c r="BI434" i="1" s="1"/>
  <c r="BJ430" i="1" s="1"/>
  <c r="BF24" i="7"/>
  <c r="BE70" i="7"/>
  <c r="BZ639" i="1"/>
  <c r="BZ638" i="1" s="1"/>
  <c r="BZ611" i="1" s="1"/>
  <c r="BY638" i="1"/>
  <c r="BY611" i="1" s="1"/>
  <c r="BW128" i="1"/>
  <c r="K17" i="5"/>
  <c r="K21" i="5"/>
  <c r="CS67" i="1"/>
  <c r="L31" i="5" s="1"/>
  <c r="BU629" i="1"/>
  <c r="BU631" i="1" s="1"/>
  <c r="BU632" i="1" s="1"/>
  <c r="BW67" i="1"/>
  <c r="BX65" i="1"/>
  <c r="X550" i="1" l="1"/>
  <c r="X551" i="1" s="1"/>
  <c r="W551" i="1"/>
  <c r="BH186" i="1"/>
  <c r="BI404" i="1"/>
  <c r="BI408" i="1" s="1"/>
  <c r="BQ404" i="1"/>
  <c r="BQ408" i="1" s="1"/>
  <c r="BM404" i="1"/>
  <c r="BM408" i="1" s="1"/>
  <c r="CA142" i="1"/>
  <c r="CA475" i="1" s="1"/>
  <c r="CA424" i="1"/>
  <c r="CA425" i="1" s="1"/>
  <c r="BE91" i="7"/>
  <c r="BF45" i="7"/>
  <c r="BF91" i="7" s="1"/>
  <c r="BC58" i="7"/>
  <c r="BC63" i="7"/>
  <c r="BC64" i="7" s="1"/>
  <c r="CT142" i="1"/>
  <c r="AZ102" i="7"/>
  <c r="AY101" i="7"/>
  <c r="AY104" i="7" s="1"/>
  <c r="BR427" i="1"/>
  <c r="BR422" i="1"/>
  <c r="BR426" i="1"/>
  <c r="BD77" i="7"/>
  <c r="BE31" i="7"/>
  <c r="BD57" i="7"/>
  <c r="BS423" i="1"/>
  <c r="AX109" i="7"/>
  <c r="AX105" i="7" s="1"/>
  <c r="BK396" i="1"/>
  <c r="BK401" i="1" s="1"/>
  <c r="BK184" i="1" s="1"/>
  <c r="BL184" i="1" s="1"/>
  <c r="CQ184" i="1" s="1"/>
  <c r="BJ184" i="1"/>
  <c r="BW396" i="1"/>
  <c r="BW401" i="1" s="1"/>
  <c r="CA396" i="1"/>
  <c r="CA401" i="1" s="1"/>
  <c r="BS396" i="1"/>
  <c r="BS401" i="1" s="1"/>
  <c r="BR184" i="1"/>
  <c r="BO396" i="1"/>
  <c r="BO401" i="1" s="1"/>
  <c r="BN184" i="1"/>
  <c r="AS139" i="7"/>
  <c r="AT138" i="7"/>
  <c r="CA204" i="1"/>
  <c r="BF20" i="7"/>
  <c r="CT198" i="1"/>
  <c r="CA411" i="1"/>
  <c r="CA415" i="1" s="1"/>
  <c r="BW411" i="1"/>
  <c r="BW415" i="1" s="1"/>
  <c r="AX503" i="1"/>
  <c r="BN185" i="1"/>
  <c r="BO411" i="1"/>
  <c r="BO415" i="1" s="1"/>
  <c r="BS411" i="1"/>
  <c r="BS415" i="1" s="1"/>
  <c r="BR185" i="1"/>
  <c r="BJ185" i="1"/>
  <c r="BK411" i="1"/>
  <c r="BK415" i="1" s="1"/>
  <c r="BK185" i="1" s="1"/>
  <c r="BL185" i="1" s="1"/>
  <c r="CQ185" i="1" s="1"/>
  <c r="W420" i="1"/>
  <c r="W421" i="1" s="1"/>
  <c r="AF531" i="1"/>
  <c r="AG502" i="1"/>
  <c r="AM502" i="1" s="1"/>
  <c r="AM531" i="1" s="1"/>
  <c r="BE49" i="1"/>
  <c r="BV632" i="1"/>
  <c r="BX476" i="1"/>
  <c r="BX460" i="1"/>
  <c r="AE162" i="1"/>
  <c r="AE164" i="1" s="1"/>
  <c r="AD173" i="1"/>
  <c r="BX621" i="1"/>
  <c r="BX626" i="1" s="1"/>
  <c r="BZ144" i="1"/>
  <c r="CA141" i="1"/>
  <c r="CA215" i="1"/>
  <c r="V420" i="1"/>
  <c r="BY177" i="1"/>
  <c r="BY128" i="1" s="1"/>
  <c r="BZ373" i="1"/>
  <c r="BZ177" i="1" s="1"/>
  <c r="CA177" i="1" s="1"/>
  <c r="BY619" i="1"/>
  <c r="BY612" i="1"/>
  <c r="BJ432" i="1"/>
  <c r="BJ434" i="1" s="1"/>
  <c r="BK430" i="1" s="1"/>
  <c r="CK162" i="1"/>
  <c r="AH164" i="1"/>
  <c r="CT218" i="1"/>
  <c r="CA449" i="1"/>
  <c r="AW503" i="1"/>
  <c r="AZ105" i="7"/>
  <c r="BZ612" i="1"/>
  <c r="BZ619" i="1"/>
  <c r="CJ173" i="1"/>
  <c r="AC182" i="1"/>
  <c r="C28" i="5"/>
  <c r="AC419" i="1"/>
  <c r="AY503" i="1"/>
  <c r="AA173" i="1"/>
  <c r="AA550" i="1" s="1"/>
  <c r="AA551" i="1" s="1"/>
  <c r="AB162" i="1"/>
  <c r="AB164" i="1" s="1"/>
  <c r="AB173" i="1" s="1"/>
  <c r="BA444" i="1"/>
  <c r="BA452" i="1" s="1"/>
  <c r="BA453" i="1" s="1"/>
  <c r="AZ453" i="1"/>
  <c r="BE444" i="1"/>
  <c r="BD453" i="1"/>
  <c r="X227" i="1"/>
  <c r="CI192" i="1"/>
  <c r="X491" i="1"/>
  <c r="AC494" i="1" s="1"/>
  <c r="BW621" i="1"/>
  <c r="BW626" i="1" s="1"/>
  <c r="BQ432" i="1"/>
  <c r="BQ434" i="1" s="1"/>
  <c r="BW460" i="1"/>
  <c r="BW476" i="1"/>
  <c r="Z419" i="1"/>
  <c r="Z182" i="1"/>
  <c r="Z192" i="1" s="1"/>
  <c r="Z227" i="1" s="1"/>
  <c r="CA638" i="1"/>
  <c r="CA639" i="1" s="1"/>
  <c r="BF70" i="7"/>
  <c r="AV503" i="1"/>
  <c r="CA611" i="1"/>
  <c r="CA612" i="1" s="1"/>
  <c r="AZ503" i="1"/>
  <c r="BM432" i="1"/>
  <c r="BM434" i="1" s="1"/>
  <c r="BN430" i="1" s="1"/>
  <c r="BW629" i="1"/>
  <c r="BW631" i="1" s="1"/>
  <c r="BX67" i="1"/>
  <c r="BY65" i="1"/>
  <c r="AB550" i="1" l="1"/>
  <c r="AC550" i="1" s="1"/>
  <c r="AD550" i="1"/>
  <c r="AD551" i="1" s="1"/>
  <c r="BR404" i="1"/>
  <c r="BR408" i="1" s="1"/>
  <c r="BV404" i="1"/>
  <c r="BV408" i="1" s="1"/>
  <c r="BJ404" i="1"/>
  <c r="BJ408" i="1" s="1"/>
  <c r="BI186" i="1"/>
  <c r="BN404" i="1"/>
  <c r="BN408" i="1" s="1"/>
  <c r="BM186" i="1"/>
  <c r="BD58" i="7"/>
  <c r="BD63" i="7"/>
  <c r="BD64" i="7" s="1"/>
  <c r="BA102" i="7"/>
  <c r="AZ101" i="7"/>
  <c r="AZ104" i="7" s="1"/>
  <c r="BA104" i="7" s="1"/>
  <c r="BA109" i="7" s="1"/>
  <c r="BE77" i="7"/>
  <c r="BF77" i="7" s="1"/>
  <c r="BF31" i="7"/>
  <c r="BF57" i="7" s="1"/>
  <c r="BE57" i="7"/>
  <c r="BS427" i="1"/>
  <c r="BS426" i="1"/>
  <c r="BS422" i="1"/>
  <c r="BT423" i="1"/>
  <c r="AY109" i="7"/>
  <c r="AY105" i="7" s="1"/>
  <c r="BO184" i="1"/>
  <c r="BP396" i="1"/>
  <c r="BP401" i="1" s="1"/>
  <c r="BP184" i="1" s="1"/>
  <c r="BQ184" i="1" s="1"/>
  <c r="CR184" i="1" s="1"/>
  <c r="BW184" i="1"/>
  <c r="BX396" i="1"/>
  <c r="BX401" i="1" s="1"/>
  <c r="BS184" i="1"/>
  <c r="BT396" i="1"/>
  <c r="BT401" i="1" s="1"/>
  <c r="CT204" i="1"/>
  <c r="CA211" i="1"/>
  <c r="CT211" i="1" s="1"/>
  <c r="AU138" i="7"/>
  <c r="AT139" i="7"/>
  <c r="BS185" i="1"/>
  <c r="BT411" i="1"/>
  <c r="BT415" i="1" s="1"/>
  <c r="BW185" i="1"/>
  <c r="BX411" i="1"/>
  <c r="BX415" i="1" s="1"/>
  <c r="BO185" i="1"/>
  <c r="BP411" i="1"/>
  <c r="BP415" i="1" s="1"/>
  <c r="BP185" i="1" s="1"/>
  <c r="BQ185" i="1" s="1"/>
  <c r="CR185" i="1" s="1"/>
  <c r="AG531" i="1"/>
  <c r="AI502" i="1"/>
  <c r="AN502" i="1" s="1"/>
  <c r="AN531" i="1" s="1"/>
  <c r="BZ128" i="1"/>
  <c r="CA128" i="1" s="1"/>
  <c r="CT128" i="1" s="1"/>
  <c r="L15" i="5" s="1"/>
  <c r="BW632" i="1"/>
  <c r="BN432" i="1"/>
  <c r="BN434" i="1" s="1"/>
  <c r="BO430" i="1" s="1"/>
  <c r="BV430" i="1"/>
  <c r="BR430" i="1"/>
  <c r="BZ621" i="1"/>
  <c r="BZ626" i="1" s="1"/>
  <c r="BB503" i="1"/>
  <c r="BY621" i="1"/>
  <c r="BY626" i="1" s="1"/>
  <c r="CT215" i="1"/>
  <c r="AF162" i="1"/>
  <c r="AF164" i="1" s="1"/>
  <c r="AE173" i="1"/>
  <c r="AE550" i="1" s="1"/>
  <c r="AE551" i="1" s="1"/>
  <c r="BA503" i="1"/>
  <c r="BD503" i="1"/>
  <c r="CJ182" i="1"/>
  <c r="AC192" i="1"/>
  <c r="AI162" i="1"/>
  <c r="AI164" i="1" s="1"/>
  <c r="AH173" i="1"/>
  <c r="CK164" i="1"/>
  <c r="AM162" i="1"/>
  <c r="CL162" i="1" s="1"/>
  <c r="BK432" i="1"/>
  <c r="BK434" i="1" s="1"/>
  <c r="V421" i="1"/>
  <c r="X420" i="1"/>
  <c r="X421" i="1" s="1"/>
  <c r="CT141" i="1"/>
  <c r="CA144" i="1"/>
  <c r="CT144" i="1" s="1"/>
  <c r="BE503" i="1"/>
  <c r="BY460" i="1"/>
  <c r="BY476" i="1"/>
  <c r="AB419" i="1"/>
  <c r="AB182" i="1"/>
  <c r="AB192" i="1" s="1"/>
  <c r="AB227" i="1" s="1"/>
  <c r="BC503" i="1"/>
  <c r="Z420" i="1"/>
  <c r="Z421" i="1" s="1"/>
  <c r="AA419" i="1"/>
  <c r="AA182" i="1"/>
  <c r="AA192" i="1" s="1"/>
  <c r="AA227" i="1" s="1"/>
  <c r="CS46" i="1"/>
  <c r="BA105" i="7"/>
  <c r="CA373" i="1"/>
  <c r="CT177" i="1"/>
  <c r="AD419" i="1"/>
  <c r="AD182" i="1"/>
  <c r="AD192" i="1" s="1"/>
  <c r="AD227" i="1" s="1"/>
  <c r="BX629" i="1"/>
  <c r="BX631" i="1" s="1"/>
  <c r="BX632" i="1" s="1"/>
  <c r="BY67" i="1"/>
  <c r="BZ65" i="1"/>
  <c r="BZ67" i="1" s="1"/>
  <c r="AB551" i="1" l="1"/>
  <c r="CJ550" i="1"/>
  <c r="AC551" i="1"/>
  <c r="CJ551" i="1" s="1"/>
  <c r="BJ186" i="1"/>
  <c r="BK404" i="1"/>
  <c r="BK408" i="1" s="1"/>
  <c r="BK186" i="1" s="1"/>
  <c r="BL186" i="1" s="1"/>
  <c r="CQ186" i="1" s="1"/>
  <c r="BW404" i="1"/>
  <c r="BW408" i="1" s="1"/>
  <c r="CA404" i="1"/>
  <c r="CA408" i="1" s="1"/>
  <c r="BN186" i="1"/>
  <c r="BO404" i="1"/>
  <c r="BO408" i="1" s="1"/>
  <c r="BR186" i="1"/>
  <c r="BS404" i="1"/>
  <c r="BS408" i="1" s="1"/>
  <c r="BT426" i="1"/>
  <c r="BT427" i="1"/>
  <c r="BT422" i="1"/>
  <c r="BE63" i="7"/>
  <c r="BE64" i="7" s="1"/>
  <c r="BE58" i="7"/>
  <c r="BF58" i="7"/>
  <c r="BF63" i="7"/>
  <c r="BF64" i="7" s="1"/>
  <c r="BU423" i="1"/>
  <c r="AZ109" i="7"/>
  <c r="BB102" i="7"/>
  <c r="BA101" i="7"/>
  <c r="BY396" i="1"/>
  <c r="BY401" i="1" s="1"/>
  <c r="BX184" i="1"/>
  <c r="BU396" i="1"/>
  <c r="BU401" i="1" s="1"/>
  <c r="BU184" i="1" s="1"/>
  <c r="BV184" i="1" s="1"/>
  <c r="CS184" i="1" s="1"/>
  <c r="BT184" i="1"/>
  <c r="AV138" i="7"/>
  <c r="AU139" i="7"/>
  <c r="BY411" i="1"/>
  <c r="BY415" i="1" s="1"/>
  <c r="BX185" i="1"/>
  <c r="BU411" i="1"/>
  <c r="BU415" i="1" s="1"/>
  <c r="BU185" i="1" s="1"/>
  <c r="BV185" i="1" s="1"/>
  <c r="CS185" i="1" s="1"/>
  <c r="BT185" i="1"/>
  <c r="AI531" i="1"/>
  <c r="AJ502" i="1"/>
  <c r="AB420" i="1"/>
  <c r="AB421" i="1" s="1"/>
  <c r="BZ476" i="1"/>
  <c r="BE52" i="1"/>
  <c r="BE380" i="1" s="1"/>
  <c r="BZ460" i="1"/>
  <c r="CA476" i="1"/>
  <c r="CA460" i="1"/>
  <c r="CA65" i="1"/>
  <c r="CT65" i="1" s="1"/>
  <c r="BH503" i="1"/>
  <c r="AD420" i="1"/>
  <c r="AD421" i="1" s="1"/>
  <c r="BB105" i="7"/>
  <c r="AC227" i="1"/>
  <c r="CJ192" i="1"/>
  <c r="AC491" i="1"/>
  <c r="AH494" i="1" s="1"/>
  <c r="BG503" i="1"/>
  <c r="BR432" i="1"/>
  <c r="BR434" i="1" s="1"/>
  <c r="BS430" i="1" s="1"/>
  <c r="BJ503" i="1"/>
  <c r="L21" i="5"/>
  <c r="M15" i="5"/>
  <c r="L17" i="5"/>
  <c r="AE182" i="1"/>
  <c r="AE192" i="1" s="1"/>
  <c r="AE227" i="1" s="1"/>
  <c r="AE419" i="1"/>
  <c r="BV432" i="1"/>
  <c r="BV434" i="1" s="1"/>
  <c r="BO432" i="1"/>
  <c r="BO434" i="1" s="1"/>
  <c r="BP430" i="1" s="1"/>
  <c r="AA420" i="1"/>
  <c r="AA421" i="1" s="1"/>
  <c r="CK173" i="1"/>
  <c r="AH182" i="1"/>
  <c r="AH419" i="1"/>
  <c r="AF173" i="1"/>
  <c r="AF550" i="1" s="1"/>
  <c r="AF551" i="1" s="1"/>
  <c r="AG162" i="1"/>
  <c r="AG164" i="1" s="1"/>
  <c r="AG173" i="1" s="1"/>
  <c r="CA67" i="1"/>
  <c r="CT67" i="1" s="1"/>
  <c r="M31" i="5" s="1"/>
  <c r="AI173" i="1"/>
  <c r="AJ162" i="1"/>
  <c r="AJ164" i="1" s="1"/>
  <c r="BI503" i="1"/>
  <c r="BF503" i="1"/>
  <c r="AC420" i="1"/>
  <c r="AC421" i="1" s="1"/>
  <c r="BZ629" i="1"/>
  <c r="BZ631" i="1" s="1"/>
  <c r="BZ632" i="1" s="1"/>
  <c r="BY629" i="1"/>
  <c r="BY631" i="1" s="1"/>
  <c r="BY632" i="1" s="1"/>
  <c r="AG550" i="1" l="1"/>
  <c r="AH550" i="1" s="1"/>
  <c r="AI550" i="1"/>
  <c r="AI551" i="1" s="1"/>
  <c r="BT404" i="1"/>
  <c r="BT408" i="1" s="1"/>
  <c r="BS186" i="1"/>
  <c r="BX404" i="1"/>
  <c r="BX408" i="1" s="1"/>
  <c r="BW186" i="1"/>
  <c r="BP404" i="1"/>
  <c r="BP408" i="1" s="1"/>
  <c r="BP186" i="1" s="1"/>
  <c r="BQ186" i="1" s="1"/>
  <c r="CR186" i="1" s="1"/>
  <c r="BO186" i="1"/>
  <c r="BU426" i="1"/>
  <c r="BU427" i="1"/>
  <c r="BU422" i="1"/>
  <c r="BC102" i="7"/>
  <c r="BB101" i="7"/>
  <c r="BB104" i="7" s="1"/>
  <c r="BV423" i="1"/>
  <c r="BE469" i="1"/>
  <c r="BE471" i="1" s="1"/>
  <c r="BE478" i="1" s="1"/>
  <c r="BE480" i="1"/>
  <c r="BE375" i="1"/>
  <c r="BE549" i="1"/>
  <c r="BZ396" i="1"/>
  <c r="BZ401" i="1" s="1"/>
  <c r="BZ184" i="1" s="1"/>
  <c r="CA184" i="1" s="1"/>
  <c r="CT184" i="1" s="1"/>
  <c r="BY184" i="1"/>
  <c r="AV139" i="7"/>
  <c r="AW138" i="7"/>
  <c r="BY185" i="1"/>
  <c r="BZ411" i="1"/>
  <c r="BZ415" i="1" s="1"/>
  <c r="BZ185" i="1" s="1"/>
  <c r="CA185" i="1" s="1"/>
  <c r="CT185" i="1" s="1"/>
  <c r="AJ531" i="1"/>
  <c r="AK502" i="1"/>
  <c r="AL502" i="1" s="1"/>
  <c r="AQ502" i="1" s="1"/>
  <c r="AQ531" i="1" s="1"/>
  <c r="AO502" i="1"/>
  <c r="AO531" i="1" s="1"/>
  <c r="BE461" i="1"/>
  <c r="BE463" i="1" s="1"/>
  <c r="BE464" i="1" s="1"/>
  <c r="BE54" i="1"/>
  <c r="BP432" i="1"/>
  <c r="BP434" i="1" s="1"/>
  <c r="BW430" i="1"/>
  <c r="CA430" i="1"/>
  <c r="AF419" i="1"/>
  <c r="AF420" i="1" s="1"/>
  <c r="AF421" i="1" s="1"/>
  <c r="AF182" i="1"/>
  <c r="AF192" i="1" s="1"/>
  <c r="AF227" i="1" s="1"/>
  <c r="CA632" i="1"/>
  <c r="AK162" i="1"/>
  <c r="AK164" i="1" s="1"/>
  <c r="AJ173" i="1"/>
  <c r="AJ550" i="1" s="1"/>
  <c r="AJ551" i="1" s="1"/>
  <c r="BO503" i="1"/>
  <c r="BL503" i="1"/>
  <c r="AE420" i="1"/>
  <c r="AE421" i="1" s="1"/>
  <c r="BK503" i="1"/>
  <c r="AI182" i="1"/>
  <c r="AI192" i="1" s="1"/>
  <c r="AI227" i="1" s="1"/>
  <c r="AI419" i="1"/>
  <c r="AI555" i="1"/>
  <c r="AI558" i="1" s="1"/>
  <c r="N15" i="5"/>
  <c r="M21" i="5"/>
  <c r="BM503" i="1"/>
  <c r="BN503" i="1"/>
  <c r="D28" i="5"/>
  <c r="AG419" i="1"/>
  <c r="AG182" i="1"/>
  <c r="AG192" i="1" s="1"/>
  <c r="AG227" i="1" s="1"/>
  <c r="AH192" i="1"/>
  <c r="CK182" i="1"/>
  <c r="BS432" i="1"/>
  <c r="BS434" i="1" s="1"/>
  <c r="BT430" i="1" s="1"/>
  <c r="N31" i="5"/>
  <c r="AG551" i="1" l="1"/>
  <c r="CK550" i="1"/>
  <c r="AH551" i="1"/>
  <c r="CK551" i="1" s="1"/>
  <c r="BY404" i="1"/>
  <c r="BY408" i="1" s="1"/>
  <c r="BX186" i="1"/>
  <c r="BU404" i="1"/>
  <c r="BU408" i="1" s="1"/>
  <c r="BU186" i="1" s="1"/>
  <c r="BV186" i="1" s="1"/>
  <c r="CS186" i="1" s="1"/>
  <c r="BT186" i="1"/>
  <c r="BV427" i="1"/>
  <c r="BV426" i="1"/>
  <c r="BV422" i="1"/>
  <c r="BW423" i="1"/>
  <c r="BB109" i="7"/>
  <c r="BD102" i="7"/>
  <c r="BC101" i="7"/>
  <c r="BC104" i="7" s="1"/>
  <c r="BE483" i="1"/>
  <c r="BE487" i="1" s="1"/>
  <c r="AP502" i="1"/>
  <c r="AP531" i="1" s="1"/>
  <c r="AW139" i="7"/>
  <c r="AX138" i="7"/>
  <c r="AS502" i="1"/>
  <c r="AR502" i="1"/>
  <c r="AL531" i="1"/>
  <c r="AT502" i="1"/>
  <c r="AT531" i="1" s="1"/>
  <c r="AK531" i="1"/>
  <c r="AU502" i="1"/>
  <c r="AU531" i="1" s="1"/>
  <c r="BE58" i="1"/>
  <c r="BE59" i="1" s="1"/>
  <c r="BE68" i="1"/>
  <c r="AH420" i="1"/>
  <c r="AH421" i="1" s="1"/>
  <c r="BT432" i="1"/>
  <c r="BT434" i="1" s="1"/>
  <c r="BU430" i="1" s="1"/>
  <c r="AH227" i="1"/>
  <c r="CK192" i="1"/>
  <c r="AH491" i="1"/>
  <c r="BT503" i="1"/>
  <c r="AK173" i="1"/>
  <c r="AK550" i="1" s="1"/>
  <c r="AK551" i="1" s="1"/>
  <c r="AL162" i="1"/>
  <c r="AL164" i="1" s="1"/>
  <c r="AL173" i="1" s="1"/>
  <c r="N21" i="5"/>
  <c r="O15" i="5"/>
  <c r="AI420" i="1"/>
  <c r="AI421" i="1" s="1"/>
  <c r="BP503" i="1"/>
  <c r="BQ503" i="1"/>
  <c r="CA432" i="1"/>
  <c r="CA434" i="1" s="1"/>
  <c r="BS503" i="1"/>
  <c r="BR503" i="1"/>
  <c r="AJ555" i="1"/>
  <c r="AJ558" i="1" s="1"/>
  <c r="AJ182" i="1"/>
  <c r="AJ192" i="1" s="1"/>
  <c r="AJ227" i="1" s="1"/>
  <c r="AJ419" i="1"/>
  <c r="AG420" i="1"/>
  <c r="AG421" i="1" s="1"/>
  <c r="BW432" i="1"/>
  <c r="BW434" i="1" s="1"/>
  <c r="BX430" i="1" s="1"/>
  <c r="O31" i="5"/>
  <c r="AL550" i="1" l="1"/>
  <c r="AN550" i="1"/>
  <c r="AN551" i="1" s="1"/>
  <c r="AO550" i="1"/>
  <c r="AO551" i="1" s="1"/>
  <c r="AP550" i="1"/>
  <c r="AP551" i="1" s="1"/>
  <c r="BZ404" i="1"/>
  <c r="BZ408" i="1" s="1"/>
  <c r="BZ186" i="1" s="1"/>
  <c r="CA186" i="1" s="1"/>
  <c r="CT186" i="1" s="1"/>
  <c r="BY186" i="1"/>
  <c r="BX423" i="1"/>
  <c r="BC109" i="7"/>
  <c r="BC105" i="7" s="1"/>
  <c r="BE102" i="7"/>
  <c r="BD101" i="7"/>
  <c r="BD104" i="7" s="1"/>
  <c r="BW422" i="1"/>
  <c r="BW426" i="1"/>
  <c r="BW427" i="1"/>
  <c r="BE61" i="1"/>
  <c r="BE71" i="1" s="1"/>
  <c r="BE113" i="1"/>
  <c r="AV502" i="1"/>
  <c r="AV531" i="1" s="1"/>
  <c r="AY138" i="7"/>
  <c r="AX139" i="7"/>
  <c r="AY502" i="1"/>
  <c r="AY531" i="1" s="1"/>
  <c r="AZ502" i="1"/>
  <c r="AZ531" i="1" s="1"/>
  <c r="AW502" i="1"/>
  <c r="AS531" i="1"/>
  <c r="AX502" i="1"/>
  <c r="AR531" i="1"/>
  <c r="BE69" i="1"/>
  <c r="BE447" i="1"/>
  <c r="BE452" i="1" s="1"/>
  <c r="BF444" i="1" s="1"/>
  <c r="BU432" i="1"/>
  <c r="BU434" i="1" s="1"/>
  <c r="BX432" i="1"/>
  <c r="BX434" i="1" s="1"/>
  <c r="BY430" i="1" s="1"/>
  <c r="BW503" i="1"/>
  <c r="AK555" i="1"/>
  <c r="AK558" i="1" s="1"/>
  <c r="AK419" i="1"/>
  <c r="AK420" i="1" s="1"/>
  <c r="AK421" i="1" s="1"/>
  <c r="AK182" i="1"/>
  <c r="AK192" i="1" s="1"/>
  <c r="AK227" i="1" s="1"/>
  <c r="BY503" i="1"/>
  <c r="BV503" i="1"/>
  <c r="BX503" i="1"/>
  <c r="BU503" i="1"/>
  <c r="AJ420" i="1"/>
  <c r="AJ421" i="1" s="1"/>
  <c r="O21" i="5"/>
  <c r="P15" i="5"/>
  <c r="AL419" i="1"/>
  <c r="AL182" i="1"/>
  <c r="AL192" i="1" s="1"/>
  <c r="AL227" i="1" s="1"/>
  <c r="AL555" i="1"/>
  <c r="AL558" i="1" s="1"/>
  <c r="AH492" i="1"/>
  <c r="AM492" i="1"/>
  <c r="AM494" i="1"/>
  <c r="P31" i="5"/>
  <c r="AM550" i="1" l="1"/>
  <c r="AL551" i="1"/>
  <c r="BA502" i="1"/>
  <c r="BA531" i="1" s="1"/>
  <c r="BY423" i="1"/>
  <c r="BD109" i="7"/>
  <c r="BD105" i="7" s="1"/>
  <c r="BX427" i="1"/>
  <c r="BX426" i="1"/>
  <c r="BX422" i="1"/>
  <c r="BF102" i="7"/>
  <c r="BF101" i="7" s="1"/>
  <c r="BE101" i="7"/>
  <c r="BE104" i="7" s="1"/>
  <c r="AY139" i="7"/>
  <c r="AZ138" i="7"/>
  <c r="BE502" i="1"/>
  <c r="BE531" i="1" s="1"/>
  <c r="AX531" i="1"/>
  <c r="BC502" i="1"/>
  <c r="BF502" i="1"/>
  <c r="BF531" i="1" s="1"/>
  <c r="BD502" i="1"/>
  <c r="AW531" i="1"/>
  <c r="BB502" i="1"/>
  <c r="BE223" i="1"/>
  <c r="BE225" i="1" s="1"/>
  <c r="BE134" i="1"/>
  <c r="BE161" i="1" s="1"/>
  <c r="BE164" i="1" s="1"/>
  <c r="BE173" i="1" s="1"/>
  <c r="BE70" i="1"/>
  <c r="AM420" i="1"/>
  <c r="AM421" i="1" s="1"/>
  <c r="BY432" i="1"/>
  <c r="BY434" i="1" s="1"/>
  <c r="BZ430" i="1" s="1"/>
  <c r="BZ503" i="1"/>
  <c r="BF105" i="7"/>
  <c r="CT46" i="1"/>
  <c r="AL420" i="1"/>
  <c r="AL421" i="1" s="1"/>
  <c r="Q15" i="5"/>
  <c r="P21" i="5"/>
  <c r="CA503" i="1"/>
  <c r="Q31" i="5"/>
  <c r="BE419" i="1" l="1"/>
  <c r="BE420" i="1" s="1"/>
  <c r="BE421" i="1" s="1"/>
  <c r="BE550" i="1"/>
  <c r="BE551" i="1" s="1"/>
  <c r="CL550" i="1"/>
  <c r="AM551" i="1"/>
  <c r="CL551" i="1" s="1"/>
  <c r="BF104" i="7"/>
  <c r="BF109" i="7" s="1"/>
  <c r="BE109" i="7"/>
  <c r="BE105" i="7" s="1"/>
  <c r="BZ423" i="1"/>
  <c r="BY426" i="1"/>
  <c r="BY427" i="1"/>
  <c r="BY422" i="1"/>
  <c r="AZ139" i="7"/>
  <c r="BA138" i="7"/>
  <c r="BD531" i="1"/>
  <c r="BI502" i="1"/>
  <c r="BI531" i="1" s="1"/>
  <c r="BK502" i="1"/>
  <c r="BJ502" i="1"/>
  <c r="BB531" i="1"/>
  <c r="BG502" i="1"/>
  <c r="BC531" i="1"/>
  <c r="BH502" i="1"/>
  <c r="BE453" i="1"/>
  <c r="BF162" i="1"/>
  <c r="BZ432" i="1"/>
  <c r="BZ434" i="1" s="1"/>
  <c r="R15" i="5"/>
  <c r="R21" i="5" s="1"/>
  <c r="Q21" i="5"/>
  <c r="R31" i="5"/>
  <c r="BZ422" i="1" l="1"/>
  <c r="BZ427" i="1"/>
  <c r="BZ426" i="1"/>
  <c r="CA423" i="1"/>
  <c r="BA139" i="7"/>
  <c r="BB138" i="7"/>
  <c r="BG531" i="1"/>
  <c r="BL502" i="1"/>
  <c r="BH531" i="1"/>
  <c r="BM502" i="1"/>
  <c r="BJ531" i="1"/>
  <c r="BO502" i="1"/>
  <c r="BN502" i="1"/>
  <c r="BN531" i="1" s="1"/>
  <c r="BK531" i="1"/>
  <c r="BP502" i="1"/>
  <c r="BE544" i="1"/>
  <c r="BE182" i="1"/>
  <c r="BE192" i="1" s="1"/>
  <c r="BE227" i="1" s="1"/>
  <c r="BE555" i="1"/>
  <c r="BE558" i="1" s="1"/>
  <c r="CA422" i="1" l="1"/>
  <c r="CA427" i="1"/>
  <c r="CA426" i="1"/>
  <c r="BB139" i="7"/>
  <c r="BC138" i="7"/>
  <c r="BS502" i="1"/>
  <c r="BS531" i="1" s="1"/>
  <c r="BP531" i="1"/>
  <c r="BU502" i="1"/>
  <c r="BO531" i="1"/>
  <c r="BT502" i="1"/>
  <c r="BM531" i="1"/>
  <c r="BR502" i="1"/>
  <c r="BL531" i="1"/>
  <c r="BQ502" i="1"/>
  <c r="BD138" i="7" l="1"/>
  <c r="BC139" i="7"/>
  <c r="BX502" i="1"/>
  <c r="BX531" i="1" s="1"/>
  <c r="BT531" i="1"/>
  <c r="BY502" i="1"/>
  <c r="BY531" i="1" s="1"/>
  <c r="BR531" i="1"/>
  <c r="BW502" i="1"/>
  <c r="BW531" i="1" s="1"/>
  <c r="BZ502" i="1"/>
  <c r="BZ531" i="1" s="1"/>
  <c r="BU531" i="1"/>
  <c r="BQ531" i="1"/>
  <c r="BV502" i="1"/>
  <c r="BF459" i="1"/>
  <c r="BG418" i="1"/>
  <c r="BG459" i="1" s="1"/>
  <c r="BE138" i="7" l="1"/>
  <c r="BE139" i="7" s="1"/>
  <c r="BD139" i="7"/>
  <c r="BV531" i="1"/>
  <c r="CA502" i="1"/>
  <c r="CA531" i="1" s="1"/>
  <c r="BF49" i="1"/>
  <c r="BG45" i="1"/>
  <c r="BF138" i="7" l="1"/>
  <c r="BF139" i="7" s="1"/>
  <c r="BG49" i="1"/>
  <c r="CP45" i="1"/>
  <c r="CP49" i="1" l="1"/>
  <c r="BF52" i="1"/>
  <c r="BF380" i="1" s="1"/>
  <c r="BG50" i="1"/>
  <c r="BF549" i="1" l="1"/>
  <c r="BG549" i="1" s="1"/>
  <c r="CP549" i="1" s="1"/>
  <c r="BF480" i="1"/>
  <c r="BF469" i="1"/>
  <c r="BF471" i="1" s="1"/>
  <c r="BF478" i="1" s="1"/>
  <c r="BF461" i="1"/>
  <c r="BF463" i="1" s="1"/>
  <c r="BF464" i="1" s="1"/>
  <c r="BG52" i="1"/>
  <c r="BF54" i="1"/>
  <c r="BF483" i="1" l="1"/>
  <c r="BF487" i="1" s="1"/>
  <c r="BG461" i="1"/>
  <c r="BG463" i="1" s="1"/>
  <c r="BG375" i="1"/>
  <c r="BG380" i="1" s="1"/>
  <c r="CP52" i="1"/>
  <c r="BF68" i="1"/>
  <c r="BF58" i="1"/>
  <c r="BG54" i="1"/>
  <c r="BF61" i="1" l="1"/>
  <c r="BG480" i="1"/>
  <c r="BI549" i="1"/>
  <c r="H10" i="5"/>
  <c r="H11" i="5" s="1"/>
  <c r="H13" i="5" s="1"/>
  <c r="H23" i="5" s="1"/>
  <c r="H24" i="5" s="1"/>
  <c r="BG469" i="1"/>
  <c r="BG471" i="1" s="1"/>
  <c r="BG478" i="1" s="1"/>
  <c r="BJ549" i="1"/>
  <c r="BH549" i="1"/>
  <c r="BF69" i="1"/>
  <c r="BF447" i="1"/>
  <c r="BG58" i="1"/>
  <c r="BF59" i="1"/>
  <c r="BF113" i="1"/>
  <c r="BG464" i="1"/>
  <c r="E66" i="5"/>
  <c r="CP54" i="1"/>
  <c r="BG68" i="1"/>
  <c r="E177" i="4" l="1"/>
  <c r="E173" i="4"/>
  <c r="E169" i="4"/>
  <c r="E171" i="4"/>
  <c r="E170" i="4"/>
  <c r="E180" i="4"/>
  <c r="E182" i="4"/>
  <c r="E141" i="4"/>
  <c r="E179" i="4"/>
  <c r="E178" i="4"/>
  <c r="E131" i="4"/>
  <c r="E60" i="4"/>
  <c r="E93" i="4"/>
  <c r="E168" i="4"/>
  <c r="E184" i="4"/>
  <c r="E165" i="4"/>
  <c r="E132" i="4"/>
  <c r="E133" i="4"/>
  <c r="E185" i="4"/>
  <c r="E174" i="4"/>
  <c r="E172" i="4"/>
  <c r="BG483" i="1"/>
  <c r="BG487" i="1" s="1"/>
  <c r="CP68" i="1"/>
  <c r="BG113" i="1"/>
  <c r="BG59" i="1"/>
  <c r="BF70" i="1"/>
  <c r="J73" i="5"/>
  <c r="J83" i="5"/>
  <c r="J84" i="5"/>
  <c r="J72" i="5"/>
  <c r="CP58" i="1"/>
  <c r="BG447" i="1"/>
  <c r="BG69" i="1"/>
  <c r="K71" i="4"/>
  <c r="N71" i="4"/>
  <c r="N136" i="4"/>
  <c r="N17" i="4"/>
  <c r="N46" i="4"/>
  <c r="F15" i="4"/>
  <c r="F7" i="4"/>
  <c r="N30" i="4"/>
  <c r="N98" i="4"/>
  <c r="N83" i="4"/>
  <c r="N109" i="4"/>
  <c r="K33" i="4"/>
  <c r="F111" i="4"/>
  <c r="N47" i="4"/>
  <c r="F104" i="4"/>
  <c r="F112" i="4"/>
  <c r="K142" i="4"/>
  <c r="N135" i="4"/>
  <c r="K56" i="4"/>
  <c r="F88" i="4"/>
  <c r="N160" i="4"/>
  <c r="F123" i="4"/>
  <c r="N119" i="4"/>
  <c r="F147" i="4"/>
  <c r="N117" i="4"/>
  <c r="K46" i="4"/>
  <c r="K116" i="4"/>
  <c r="F69" i="4"/>
  <c r="N56" i="4"/>
  <c r="K101" i="4"/>
  <c r="F145" i="4"/>
  <c r="N104" i="4"/>
  <c r="N127" i="4"/>
  <c r="K155" i="4"/>
  <c r="K75" i="4"/>
  <c r="N158" i="4"/>
  <c r="F96" i="4"/>
  <c r="N145" i="4"/>
  <c r="F99" i="4"/>
  <c r="N112" i="4"/>
  <c r="N20" i="4"/>
  <c r="F150" i="4"/>
  <c r="K21" i="4"/>
  <c r="F65" i="4"/>
  <c r="N152" i="4"/>
  <c r="N36" i="4"/>
  <c r="F42" i="4"/>
  <c r="K100" i="4"/>
  <c r="F114" i="4"/>
  <c r="K10" i="4"/>
  <c r="N116" i="4"/>
  <c r="N68" i="4"/>
  <c r="K57" i="4"/>
  <c r="F101" i="4"/>
  <c r="K84" i="4"/>
  <c r="N49" i="4"/>
  <c r="F37" i="4"/>
  <c r="N72" i="4"/>
  <c r="F117" i="4"/>
  <c r="F17" i="4"/>
  <c r="K77" i="4"/>
  <c r="K145" i="4"/>
  <c r="K48" i="4"/>
  <c r="F21" i="4"/>
  <c r="F98" i="4"/>
  <c r="F34" i="4"/>
  <c r="N114" i="4"/>
  <c r="K37" i="4"/>
  <c r="K144" i="4"/>
  <c r="K11" i="4"/>
  <c r="F30" i="4"/>
  <c r="F24" i="4"/>
  <c r="F78" i="4"/>
  <c r="N34" i="4"/>
  <c r="K123" i="4"/>
  <c r="K78" i="4"/>
  <c r="F13" i="4"/>
  <c r="F116" i="4"/>
  <c r="N87" i="4"/>
  <c r="K112" i="4"/>
  <c r="K136" i="4"/>
  <c r="F106" i="4"/>
  <c r="N139" i="4"/>
  <c r="N53" i="4"/>
  <c r="K24" i="4"/>
  <c r="N45" i="4"/>
  <c r="N28" i="4"/>
  <c r="N153" i="4"/>
  <c r="N7" i="4"/>
  <c r="K74" i="4"/>
  <c r="N101" i="4"/>
  <c r="N54" i="4"/>
  <c r="K148" i="4"/>
  <c r="K64" i="4"/>
  <c r="K4" i="4"/>
  <c r="N24" i="4"/>
  <c r="K18" i="4"/>
  <c r="F18" i="4"/>
  <c r="K98" i="4"/>
  <c r="K30" i="4"/>
  <c r="N10" i="4"/>
  <c r="K41" i="4"/>
  <c r="F83" i="4"/>
  <c r="N106" i="4"/>
  <c r="K153" i="4"/>
  <c r="N111" i="4"/>
  <c r="N125" i="4"/>
  <c r="K36" i="4"/>
  <c r="N37" i="4"/>
  <c r="K26" i="4"/>
  <c r="F6" i="4"/>
  <c r="K150" i="4"/>
  <c r="K69" i="4"/>
  <c r="F68" i="4"/>
  <c r="K99" i="4"/>
  <c r="F100" i="4"/>
  <c r="N4" i="4"/>
  <c r="K22" i="4"/>
  <c r="F20" i="4"/>
  <c r="K65" i="4"/>
  <c r="K160" i="4"/>
  <c r="K97" i="4"/>
  <c r="N120" i="4"/>
  <c r="K147" i="4"/>
  <c r="K120" i="4"/>
  <c r="K55" i="4"/>
  <c r="F33" i="4"/>
  <c r="K114" i="4"/>
  <c r="K43" i="4"/>
  <c r="N15" i="4"/>
  <c r="K117" i="4"/>
  <c r="N100" i="4"/>
  <c r="E69" i="4"/>
  <c r="N69" i="4"/>
  <c r="F158" i="4"/>
  <c r="F46" i="4"/>
  <c r="N29" i="4"/>
  <c r="F26" i="4"/>
  <c r="N155" i="4"/>
  <c r="N22" i="4"/>
  <c r="F29" i="4"/>
  <c r="F109" i="4"/>
  <c r="F10" i="4"/>
  <c r="K125" i="4"/>
  <c r="N26" i="4"/>
  <c r="K6" i="4"/>
  <c r="N57" i="4"/>
  <c r="N74" i="4"/>
  <c r="N6" i="4"/>
  <c r="K68" i="4"/>
  <c r="F103" i="4"/>
  <c r="K111" i="4"/>
  <c r="N97" i="4"/>
  <c r="E75" i="4"/>
  <c r="N38" i="4"/>
  <c r="N148" i="4"/>
  <c r="K127" i="4"/>
  <c r="K157" i="4"/>
  <c r="N18" i="4"/>
  <c r="N75" i="4"/>
  <c r="F87" i="4"/>
  <c r="N65" i="4"/>
  <c r="F77" i="4"/>
  <c r="N55" i="4"/>
  <c r="F127" i="4"/>
  <c r="F107" i="4"/>
  <c r="E72" i="4"/>
  <c r="F41" i="4"/>
  <c r="N33" i="4"/>
  <c r="K72" i="4"/>
  <c r="F36" i="4"/>
  <c r="K38" i="4"/>
  <c r="K53" i="4"/>
  <c r="N77" i="4"/>
  <c r="N25" i="4"/>
  <c r="N84" i="4"/>
  <c r="F119" i="4"/>
  <c r="F28" i="4"/>
  <c r="F75" i="4"/>
  <c r="F155" i="4"/>
  <c r="N88" i="4"/>
  <c r="N157" i="4"/>
  <c r="K88" i="4"/>
  <c r="K152" i="4"/>
  <c r="F153" i="4"/>
  <c r="E65" i="4"/>
  <c r="K107" i="4"/>
  <c r="F97" i="4"/>
  <c r="N96" i="4"/>
  <c r="N64" i="4"/>
  <c r="K49" i="4"/>
  <c r="K42" i="4"/>
  <c r="N103" i="4"/>
  <c r="N13" i="4"/>
  <c r="K29" i="4"/>
  <c r="F157" i="4"/>
  <c r="K135" i="4"/>
  <c r="N40" i="4"/>
  <c r="F43" i="4"/>
  <c r="K161" i="4"/>
  <c r="N12" i="4"/>
  <c r="F71" i="4"/>
  <c r="N107" i="4"/>
  <c r="F25" i="4"/>
  <c r="K40" i="4"/>
  <c r="N31" i="4"/>
  <c r="K96" i="4"/>
  <c r="F160" i="4"/>
  <c r="F4" i="4"/>
  <c r="N41" i="4"/>
  <c r="N78" i="4"/>
  <c r="K83" i="4"/>
  <c r="N43" i="4"/>
  <c r="N50" i="4"/>
  <c r="F11" i="4"/>
  <c r="K87" i="4"/>
  <c r="K119" i="4"/>
  <c r="F64" i="4"/>
  <c r="K106" i="4"/>
  <c r="K103" i="4"/>
  <c r="N11" i="4"/>
  <c r="F40" i="4"/>
  <c r="K7" i="4"/>
  <c r="K51" i="4"/>
  <c r="F48" i="4"/>
  <c r="N144" i="4"/>
  <c r="F135" i="4"/>
  <c r="F74" i="4"/>
  <c r="K139" i="4"/>
  <c r="N123" i="4"/>
  <c r="K28" i="4"/>
  <c r="F152" i="4"/>
  <c r="F22" i="4"/>
  <c r="F161" i="4"/>
  <c r="F47" i="4"/>
  <c r="N42" i="4"/>
  <c r="F120" i="4"/>
  <c r="F53" i="4"/>
  <c r="K34" i="4"/>
  <c r="F12" i="4"/>
  <c r="N21" i="4"/>
  <c r="F84" i="4"/>
  <c r="K50" i="4"/>
  <c r="F31" i="4"/>
  <c r="N99" i="4"/>
  <c r="K47" i="4"/>
  <c r="N147" i="4"/>
  <c r="K45" i="4"/>
  <c r="E78" i="4"/>
  <c r="F144" i="4"/>
  <c r="K54" i="4"/>
  <c r="F125" i="4"/>
  <c r="F148" i="4"/>
  <c r="N142" i="4"/>
  <c r="N150" i="4"/>
  <c r="K31" i="4"/>
  <c r="F72" i="4"/>
  <c r="F45" i="4"/>
  <c r="F50" i="4"/>
  <c r="N161" i="4"/>
  <c r="K25" i="4"/>
  <c r="K15" i="4"/>
  <c r="F49" i="4"/>
  <c r="F38" i="4"/>
  <c r="K104" i="4"/>
  <c r="K158" i="4"/>
  <c r="K20" i="4"/>
  <c r="N51" i="4"/>
  <c r="K13" i="4"/>
  <c r="N48" i="4"/>
  <c r="K109" i="4"/>
  <c r="K17" i="4"/>
  <c r="K12" i="4"/>
  <c r="F54" i="4"/>
  <c r="F55" i="4"/>
  <c r="F51" i="4"/>
  <c r="F56" i="4"/>
  <c r="L55" i="4" l="1"/>
  <c r="O55" i="4"/>
  <c r="H55" i="4"/>
  <c r="I55" i="4"/>
  <c r="O54" i="4"/>
  <c r="I54" i="4"/>
  <c r="L54" i="4"/>
  <c r="H54" i="4"/>
  <c r="I38" i="4"/>
  <c r="H38" i="4"/>
  <c r="O38" i="4"/>
  <c r="O49" i="4"/>
  <c r="L49" i="4"/>
  <c r="H49" i="4"/>
  <c r="I49" i="4"/>
  <c r="H50" i="4"/>
  <c r="I50" i="4"/>
  <c r="O50" i="4"/>
  <c r="L50" i="4"/>
  <c r="I45" i="4"/>
  <c r="H45" i="4"/>
  <c r="O45" i="4"/>
  <c r="L45" i="4"/>
  <c r="O72" i="4"/>
  <c r="H72" i="4"/>
  <c r="L72" i="4"/>
  <c r="L148" i="4"/>
  <c r="O148" i="4"/>
  <c r="H148" i="4"/>
  <c r="I148" i="4"/>
  <c r="O125" i="4"/>
  <c r="F132" i="4"/>
  <c r="L125" i="4"/>
  <c r="F126" i="4"/>
  <c r="H125" i="4"/>
  <c r="I125" i="4"/>
  <c r="L144" i="4"/>
  <c r="I144" i="4"/>
  <c r="H144" i="4"/>
  <c r="O144" i="4"/>
  <c r="O31" i="4"/>
  <c r="I31" i="4"/>
  <c r="L31" i="4"/>
  <c r="H31" i="4"/>
  <c r="O84" i="4"/>
  <c r="I84" i="4"/>
  <c r="H84" i="4"/>
  <c r="L84" i="4"/>
  <c r="H12" i="4"/>
  <c r="I12" i="4"/>
  <c r="O12" i="4"/>
  <c r="L12" i="4"/>
  <c r="O53" i="4"/>
  <c r="H53" i="4"/>
  <c r="L53" i="4"/>
  <c r="I53" i="4"/>
  <c r="O120" i="4"/>
  <c r="L120" i="4"/>
  <c r="F180" i="4"/>
  <c r="H120" i="4"/>
  <c r="I120" i="4"/>
  <c r="H47" i="4"/>
  <c r="O47" i="4"/>
  <c r="I47" i="4"/>
  <c r="L47" i="4"/>
  <c r="L161" i="4"/>
  <c r="O161" i="4"/>
  <c r="H161" i="4"/>
  <c r="I161" i="4"/>
  <c r="F185" i="4"/>
  <c r="I22" i="4"/>
  <c r="L22" i="4"/>
  <c r="H22" i="4"/>
  <c r="O22" i="4"/>
  <c r="I152" i="4"/>
  <c r="O152" i="4"/>
  <c r="H152" i="4"/>
  <c r="L152" i="4"/>
  <c r="E124" i="4"/>
  <c r="H124" i="4" s="1"/>
  <c r="N131" i="4"/>
  <c r="L139" i="4"/>
  <c r="L74" i="4"/>
  <c r="O74" i="4"/>
  <c r="H74" i="4"/>
  <c r="I74" i="4"/>
  <c r="H135" i="4"/>
  <c r="L135" i="4"/>
  <c r="I135" i="4"/>
  <c r="O135" i="4"/>
  <c r="F182" i="4"/>
  <c r="F136" i="4"/>
  <c r="H136" i="4" s="1"/>
  <c r="F141" i="4"/>
  <c r="H48" i="4"/>
  <c r="L48" i="4"/>
  <c r="I48" i="4"/>
  <c r="H40" i="4"/>
  <c r="L40" i="4"/>
  <c r="I40" i="4"/>
  <c r="O40" i="4"/>
  <c r="H64" i="4"/>
  <c r="O64" i="4"/>
  <c r="I64" i="4"/>
  <c r="L64" i="4"/>
  <c r="O11" i="4"/>
  <c r="I11" i="4"/>
  <c r="L11" i="4"/>
  <c r="H11" i="4"/>
  <c r="F60" i="4"/>
  <c r="F93" i="4"/>
  <c r="F168" i="4"/>
  <c r="O160" i="4"/>
  <c r="L160" i="4"/>
  <c r="F165" i="4"/>
  <c r="I165" i="4" s="1"/>
  <c r="H160" i="4"/>
  <c r="F184" i="4"/>
  <c r="H184" i="4" s="1"/>
  <c r="I160" i="4"/>
  <c r="I25" i="4"/>
  <c r="H25" i="4"/>
  <c r="L25" i="4"/>
  <c r="F172" i="4"/>
  <c r="O25" i="4"/>
  <c r="O71" i="4"/>
  <c r="H71" i="4"/>
  <c r="I71" i="4"/>
  <c r="L71" i="4"/>
  <c r="L43" i="4"/>
  <c r="O43" i="4"/>
  <c r="I43" i="4"/>
  <c r="H43" i="4"/>
  <c r="K141" i="4"/>
  <c r="I157" i="4"/>
  <c r="L157" i="4"/>
  <c r="O157" i="4"/>
  <c r="H157" i="4"/>
  <c r="H97" i="4"/>
  <c r="L97" i="4"/>
  <c r="O97" i="4"/>
  <c r="H153" i="4"/>
  <c r="O153" i="4"/>
  <c r="I153" i="4"/>
  <c r="L153" i="4"/>
  <c r="I155" i="4"/>
  <c r="L155" i="4"/>
  <c r="O155" i="4"/>
  <c r="H155" i="4"/>
  <c r="L75" i="4"/>
  <c r="O75" i="4"/>
  <c r="H75" i="4"/>
  <c r="O28" i="4"/>
  <c r="L28" i="4"/>
  <c r="H28" i="4"/>
  <c r="I28" i="4"/>
  <c r="H119" i="4"/>
  <c r="O119" i="4"/>
  <c r="L119" i="4"/>
  <c r="F179" i="4"/>
  <c r="I119" i="4"/>
  <c r="H36" i="4"/>
  <c r="I36" i="4"/>
  <c r="L36" i="4"/>
  <c r="O36" i="4"/>
  <c r="L41" i="4"/>
  <c r="I41" i="4"/>
  <c r="O41" i="4"/>
  <c r="H41" i="4"/>
  <c r="O107" i="4"/>
  <c r="L107" i="4"/>
  <c r="I107" i="4"/>
  <c r="H107" i="4"/>
  <c r="O127" i="4"/>
  <c r="F128" i="4"/>
  <c r="F133" i="4"/>
  <c r="H127" i="4"/>
  <c r="I127" i="4"/>
  <c r="L127" i="4"/>
  <c r="O77" i="4"/>
  <c r="I77" i="4"/>
  <c r="L77" i="4"/>
  <c r="H77" i="4"/>
  <c r="H87" i="4"/>
  <c r="O87" i="4"/>
  <c r="L87" i="4"/>
  <c r="I87" i="4"/>
  <c r="K133" i="4"/>
  <c r="L103" i="4"/>
  <c r="O103" i="4"/>
  <c r="I103" i="4"/>
  <c r="H103" i="4"/>
  <c r="K132" i="4"/>
  <c r="L132" i="4" s="1"/>
  <c r="H10" i="4"/>
  <c r="L10" i="4"/>
  <c r="O10" i="4"/>
  <c r="I10" i="4"/>
  <c r="L109" i="4"/>
  <c r="H109" i="4"/>
  <c r="I109" i="4"/>
  <c r="O109" i="4"/>
  <c r="L29" i="4"/>
  <c r="I29" i="4"/>
  <c r="H29" i="4"/>
  <c r="O29" i="4"/>
  <c r="F173" i="4"/>
  <c r="H26" i="4"/>
  <c r="I26" i="4"/>
  <c r="L26" i="4"/>
  <c r="O26" i="4"/>
  <c r="L46" i="4"/>
  <c r="H46" i="4"/>
  <c r="I46" i="4"/>
  <c r="O46" i="4"/>
  <c r="O158" i="4"/>
  <c r="H158" i="4"/>
  <c r="L158" i="4"/>
  <c r="I158" i="4"/>
  <c r="H33" i="4"/>
  <c r="O33" i="4"/>
  <c r="L33" i="4"/>
  <c r="I33" i="4"/>
  <c r="K165" i="4"/>
  <c r="K166" i="4" s="1"/>
  <c r="H20" i="4"/>
  <c r="O20" i="4"/>
  <c r="I20" i="4"/>
  <c r="L20" i="4"/>
  <c r="N93" i="4"/>
  <c r="N60" i="4"/>
  <c r="O100" i="4"/>
  <c r="I100" i="4"/>
  <c r="F177" i="4"/>
  <c r="I177" i="4" s="1"/>
  <c r="H100" i="4"/>
  <c r="L100" i="4"/>
  <c r="O68" i="4"/>
  <c r="L68" i="4"/>
  <c r="I68" i="4"/>
  <c r="H68" i="4"/>
  <c r="I6" i="4"/>
  <c r="O6" i="4"/>
  <c r="H6" i="4"/>
  <c r="L6" i="4"/>
  <c r="F169" i="4"/>
  <c r="H169" i="4" s="1"/>
  <c r="Y6" i="4"/>
  <c r="Z6" i="4" s="1"/>
  <c r="E126" i="4"/>
  <c r="H126" i="4" s="1"/>
  <c r="N132" i="4"/>
  <c r="O132" i="4" s="1"/>
  <c r="H83" i="4"/>
  <c r="I83" i="4"/>
  <c r="O83" i="4"/>
  <c r="L83" i="4"/>
  <c r="H18" i="4"/>
  <c r="O18" i="4"/>
  <c r="I18" i="4"/>
  <c r="L18" i="4"/>
  <c r="K93" i="4"/>
  <c r="K60" i="4"/>
  <c r="O139" i="4"/>
  <c r="L106" i="4"/>
  <c r="H106" i="4"/>
  <c r="O106" i="4"/>
  <c r="I106" i="4"/>
  <c r="I116" i="4"/>
  <c r="O116" i="4"/>
  <c r="L116" i="4"/>
  <c r="H116" i="4"/>
  <c r="H13" i="4"/>
  <c r="O13" i="4"/>
  <c r="I13" i="4"/>
  <c r="L13" i="4"/>
  <c r="K131" i="4"/>
  <c r="H78" i="4"/>
  <c r="L78" i="4"/>
  <c r="O78" i="4"/>
  <c r="H24" i="4"/>
  <c r="L24" i="4"/>
  <c r="W24" i="4"/>
  <c r="W25" i="4" s="1"/>
  <c r="X25" i="4" s="1"/>
  <c r="Y24" i="4"/>
  <c r="O24" i="4"/>
  <c r="F171" i="4"/>
  <c r="H171" i="4" s="1"/>
  <c r="I24" i="4"/>
  <c r="L30" i="4"/>
  <c r="I30" i="4"/>
  <c r="H30" i="4"/>
  <c r="O30" i="4"/>
  <c r="L34" i="4"/>
  <c r="H34" i="4"/>
  <c r="I34" i="4"/>
  <c r="O34" i="4"/>
  <c r="I98" i="4"/>
  <c r="H98" i="4"/>
  <c r="O98" i="4"/>
  <c r="L98" i="4"/>
  <c r="L21" i="4"/>
  <c r="H21" i="4"/>
  <c r="I21" i="4"/>
  <c r="O21" i="4"/>
  <c r="I17" i="4"/>
  <c r="L17" i="4"/>
  <c r="O17" i="4"/>
  <c r="H17" i="4"/>
  <c r="H117" i="4"/>
  <c r="L117" i="4"/>
  <c r="I117" i="4"/>
  <c r="O117" i="4"/>
  <c r="O37" i="4"/>
  <c r="L37" i="4"/>
  <c r="I37" i="4"/>
  <c r="H37" i="4"/>
  <c r="F178" i="4"/>
  <c r="I178" i="4" s="1"/>
  <c r="L101" i="4"/>
  <c r="O101" i="4"/>
  <c r="H101" i="4"/>
  <c r="H114" i="4"/>
  <c r="L114" i="4"/>
  <c r="I114" i="4"/>
  <c r="O114" i="4"/>
  <c r="L42" i="4"/>
  <c r="I42" i="4"/>
  <c r="H42" i="4"/>
  <c r="O42" i="4"/>
  <c r="H65" i="4"/>
  <c r="L65" i="4"/>
  <c r="O65" i="4"/>
  <c r="O150" i="4"/>
  <c r="I150" i="4"/>
  <c r="H150" i="4"/>
  <c r="L150" i="4"/>
  <c r="L99" i="4"/>
  <c r="H99" i="4"/>
  <c r="O99" i="4"/>
  <c r="L96" i="4"/>
  <c r="H96" i="4"/>
  <c r="O96" i="4"/>
  <c r="I96" i="4"/>
  <c r="E128" i="4"/>
  <c r="N133" i="4"/>
  <c r="O133" i="4" s="1"/>
  <c r="H145" i="4"/>
  <c r="L145" i="4"/>
  <c r="O145" i="4"/>
  <c r="I145" i="4"/>
  <c r="O69" i="4"/>
  <c r="H69" i="4"/>
  <c r="L69" i="4"/>
  <c r="O147" i="4"/>
  <c r="I147" i="4"/>
  <c r="H147" i="4"/>
  <c r="L147" i="4"/>
  <c r="F124" i="4"/>
  <c r="O123" i="4"/>
  <c r="F131" i="4"/>
  <c r="O131" i="4" s="1"/>
  <c r="H123" i="4"/>
  <c r="L123" i="4"/>
  <c r="I123" i="4"/>
  <c r="N165" i="4"/>
  <c r="H88" i="4"/>
  <c r="O88" i="4"/>
  <c r="I88" i="4"/>
  <c r="L88" i="4"/>
  <c r="E136" i="4"/>
  <c r="E183" i="4" s="1"/>
  <c r="N141" i="4"/>
  <c r="E142" i="4" s="1"/>
  <c r="O112" i="4"/>
  <c r="I112" i="4"/>
  <c r="L112" i="4"/>
  <c r="H112" i="4"/>
  <c r="O104" i="4"/>
  <c r="H104" i="4"/>
  <c r="I104" i="4"/>
  <c r="L104" i="4"/>
  <c r="L111" i="4"/>
  <c r="O111" i="4"/>
  <c r="H111" i="4"/>
  <c r="I111" i="4"/>
  <c r="O7" i="4"/>
  <c r="I7" i="4"/>
  <c r="L7" i="4"/>
  <c r="F170" i="4"/>
  <c r="H170" i="4" s="1"/>
  <c r="H7" i="4"/>
  <c r="O15" i="4"/>
  <c r="I15" i="4"/>
  <c r="L15" i="4"/>
  <c r="H15" i="4"/>
  <c r="I132" i="4"/>
  <c r="H133" i="4"/>
  <c r="L133" i="4"/>
  <c r="H132" i="4"/>
  <c r="H185" i="4"/>
  <c r="I185" i="4"/>
  <c r="I184" i="4"/>
  <c r="I179" i="4"/>
  <c r="L131" i="4"/>
  <c r="O136" i="4"/>
  <c r="E166" i="4"/>
  <c r="H141" i="4"/>
  <c r="I180" i="4"/>
  <c r="I141" i="4"/>
  <c r="H180" i="4"/>
  <c r="H177" i="4"/>
  <c r="I133" i="4"/>
  <c r="H128" i="4"/>
  <c r="H172" i="4"/>
  <c r="I173" i="4"/>
  <c r="I131" i="4"/>
  <c r="F142" i="4"/>
  <c r="I172" i="4"/>
  <c r="H173" i="4"/>
  <c r="L141" i="4"/>
  <c r="N166" i="4"/>
  <c r="H179" i="4"/>
  <c r="H131" i="4"/>
  <c r="H182" i="4"/>
  <c r="I182" i="4"/>
  <c r="I170" i="4"/>
  <c r="H178" i="4"/>
  <c r="H56" i="4"/>
  <c r="O56" i="4"/>
  <c r="L56" i="4"/>
  <c r="I56" i="4"/>
  <c r="H51" i="4"/>
  <c r="O51" i="4"/>
  <c r="I51" i="4"/>
  <c r="Y51" i="4"/>
  <c r="L51" i="4"/>
  <c r="BG61" i="1"/>
  <c r="BF71" i="1"/>
  <c r="BG220" i="1"/>
  <c r="BG70" i="1"/>
  <c r="CP69" i="1"/>
  <c r="CP59" i="1"/>
  <c r="CP113" i="1"/>
  <c r="F57" i="4"/>
  <c r="L165" i="4" l="1"/>
  <c r="H165" i="4"/>
  <c r="O165" i="4"/>
  <c r="O141" i="4"/>
  <c r="F166" i="4"/>
  <c r="O166" i="4" s="1"/>
  <c r="Z24" i="4"/>
  <c r="Y25" i="4"/>
  <c r="I171" i="4"/>
  <c r="I169" i="4"/>
  <c r="F183" i="4"/>
  <c r="I136" i="4"/>
  <c r="L136" i="4"/>
  <c r="H166" i="4"/>
  <c r="O57" i="4"/>
  <c r="H57" i="4"/>
  <c r="I57" i="4"/>
  <c r="L57" i="4"/>
  <c r="F174" i="4"/>
  <c r="Z51" i="4"/>
  <c r="Y57" i="4"/>
  <c r="Z57" i="4" s="1"/>
  <c r="CP70" i="1"/>
  <c r="BG71" i="1"/>
  <c r="BF544" i="1"/>
  <c r="CP220" i="1"/>
  <c r="BG60" i="1"/>
  <c r="CP61" i="1"/>
  <c r="BG493" i="1"/>
  <c r="L166" i="4" l="1"/>
  <c r="I166" i="4"/>
  <c r="I183" i="4"/>
  <c r="H183" i="4"/>
  <c r="H174" i="4"/>
  <c r="I174" i="4"/>
  <c r="CP60" i="1"/>
  <c r="BG544" i="1"/>
  <c r="CP71" i="1"/>
  <c r="CP544" i="1" l="1"/>
  <c r="E65" i="5"/>
  <c r="CP72" i="1"/>
  <c r="H73" i="5" l="1"/>
  <c r="H83" i="5"/>
  <c r="H72" i="5"/>
  <c r="H84" i="5"/>
  <c r="BG117" i="1" l="1"/>
  <c r="BG134" i="1" s="1"/>
  <c r="BG161" i="1" s="1"/>
  <c r="BF134" i="1"/>
  <c r="BF161" i="1" s="1"/>
  <c r="BF164" i="1" s="1"/>
  <c r="BF173" i="1" s="1"/>
  <c r="BF419" i="1" s="1"/>
  <c r="BF420" i="1" s="1"/>
  <c r="BF421" i="1" s="1"/>
  <c r="BH421" i="1" s="1"/>
  <c r="BI421" i="1" s="1"/>
  <c r="BJ421" i="1" s="1"/>
  <c r="BK421" i="1" s="1"/>
  <c r="BM421" i="1" s="1"/>
  <c r="BN421" i="1" s="1"/>
  <c r="BO421" i="1" s="1"/>
  <c r="BP421" i="1" s="1"/>
  <c r="BR421" i="1" s="1"/>
  <c r="BS421" i="1" s="1"/>
  <c r="BT421" i="1" s="1"/>
  <c r="BU421" i="1" s="1"/>
  <c r="BW421" i="1" s="1"/>
  <c r="BX421" i="1" s="1"/>
  <c r="BY421" i="1" s="1"/>
  <c r="BZ421" i="1" s="1"/>
  <c r="BG217" i="1"/>
  <c r="BF360" i="1"/>
  <c r="BG360" i="1"/>
  <c r="BG361" i="1" s="1"/>
  <c r="BF361" i="1"/>
  <c r="BF446" i="1" l="1"/>
  <c r="BF452" i="1" s="1"/>
  <c r="BF223" i="1"/>
  <c r="BF225" i="1" s="1"/>
  <c r="BH217" i="1"/>
  <c r="BH446" i="1" s="1"/>
  <c r="BG446" i="1"/>
  <c r="BG452" i="1" s="1"/>
  <c r="BH444" i="1" s="1"/>
  <c r="BF555" i="1"/>
  <c r="BF558" i="1" s="1"/>
  <c r="BF550" i="1"/>
  <c r="J65" i="5"/>
  <c r="BF182" i="1"/>
  <c r="BF192" i="1" s="1"/>
  <c r="BG164" i="1"/>
  <c r="CP161" i="1"/>
  <c r="BG223" i="1"/>
  <c r="CP134" i="1"/>
  <c r="CP217" i="1"/>
  <c r="CP117" i="1"/>
  <c r="BI217" i="1" l="1"/>
  <c r="BJ217" i="1" s="1"/>
  <c r="BL444" i="1"/>
  <c r="BF227" i="1"/>
  <c r="BF453" i="1"/>
  <c r="BG550" i="1"/>
  <c r="BF551" i="1"/>
  <c r="BG420" i="1"/>
  <c r="BG421" i="1" s="1"/>
  <c r="E72" i="5"/>
  <c r="E76" i="5"/>
  <c r="E80" i="5"/>
  <c r="E71" i="5"/>
  <c r="E73" i="5"/>
  <c r="E75" i="5"/>
  <c r="E79" i="5"/>
  <c r="E83" i="5"/>
  <c r="E74" i="5"/>
  <c r="E78" i="5"/>
  <c r="E82" i="5"/>
  <c r="E84" i="5"/>
  <c r="E77" i="5"/>
  <c r="E81" i="5"/>
  <c r="E85" i="5"/>
  <c r="BG225" i="1"/>
  <c r="CP225" i="1" s="1"/>
  <c r="CP223" i="1"/>
  <c r="BG453" i="1"/>
  <c r="CP164" i="1"/>
  <c r="BH162" i="1"/>
  <c r="BL162" i="1"/>
  <c r="CQ162" i="1" s="1"/>
  <c r="BG173" i="1"/>
  <c r="BI446" i="1" l="1"/>
  <c r="CP550" i="1"/>
  <c r="BG551" i="1"/>
  <c r="CP551" i="1" s="1"/>
  <c r="G74" i="5"/>
  <c r="F74" i="5"/>
  <c r="G84" i="5"/>
  <c r="F84" i="5"/>
  <c r="F83" i="5"/>
  <c r="G83" i="5"/>
  <c r="F71" i="5"/>
  <c r="G71" i="5"/>
  <c r="F77" i="5"/>
  <c r="G77" i="5"/>
  <c r="F73" i="5"/>
  <c r="G73" i="5"/>
  <c r="F85" i="5"/>
  <c r="G85" i="5"/>
  <c r="G82" i="5"/>
  <c r="F82" i="5"/>
  <c r="F79" i="5"/>
  <c r="G79" i="5"/>
  <c r="F80" i="5"/>
  <c r="G80" i="5"/>
  <c r="BK217" i="1"/>
  <c r="BJ446" i="1"/>
  <c r="F72" i="5"/>
  <c r="G72" i="5"/>
  <c r="CP173" i="1"/>
  <c r="I28" i="5" s="1"/>
  <c r="BG182" i="1"/>
  <c r="BG419" i="1"/>
  <c r="BG555" i="1"/>
  <c r="BG558" i="1" s="1"/>
  <c r="F81" i="5"/>
  <c r="G81" i="5"/>
  <c r="G78" i="5"/>
  <c r="F78" i="5"/>
  <c r="F75" i="5"/>
  <c r="G75" i="5"/>
  <c r="F76" i="5"/>
  <c r="G76" i="5"/>
  <c r="BL217" i="1" l="1"/>
  <c r="BK446" i="1"/>
  <c r="BH418" i="1"/>
  <c r="BG192" i="1"/>
  <c r="CP182" i="1"/>
  <c r="BM217" i="1" l="1"/>
  <c r="CQ217" i="1"/>
  <c r="BL446" i="1"/>
  <c r="BH45" i="1"/>
  <c r="BH459" i="1"/>
  <c r="BG227" i="1"/>
  <c r="CP192" i="1"/>
  <c r="BG491" i="1"/>
  <c r="BN217" i="1" l="1"/>
  <c r="BM446" i="1"/>
  <c r="BH49" i="1"/>
  <c r="BG492" i="1"/>
  <c r="BL494" i="1"/>
  <c r="BO217" i="1" l="1"/>
  <c r="BN446" i="1"/>
  <c r="BH50" i="1"/>
  <c r="BH52" i="1" l="1"/>
  <c r="BP217" i="1"/>
  <c r="BO446" i="1"/>
  <c r="BQ217" i="1" l="1"/>
  <c r="BP446" i="1"/>
  <c r="BH461" i="1"/>
  <c r="BH463" i="1" s="1"/>
  <c r="BH464" i="1" s="1"/>
  <c r="BH54" i="1"/>
  <c r="BH58" i="1" l="1"/>
  <c r="BH68" i="1"/>
  <c r="BR217" i="1"/>
  <c r="CR217" i="1"/>
  <c r="BQ446" i="1"/>
  <c r="BS217" i="1" l="1"/>
  <c r="BR446" i="1"/>
  <c r="BH59" i="1"/>
  <c r="BH69" i="1"/>
  <c r="BH113" i="1"/>
  <c r="BH447" i="1"/>
  <c r="BH452" i="1" s="1"/>
  <c r="BH61" i="1" l="1"/>
  <c r="BH70" i="1"/>
  <c r="BT217" i="1"/>
  <c r="BS446" i="1"/>
  <c r="BH134" i="1"/>
  <c r="BH161" i="1" s="1"/>
  <c r="BH164" i="1" s="1"/>
  <c r="BH220" i="1"/>
  <c r="BI444" i="1"/>
  <c r="BH71" i="1" l="1"/>
  <c r="BH223" i="1"/>
  <c r="BI162" i="1"/>
  <c r="BH173" i="1"/>
  <c r="BU217" i="1"/>
  <c r="BT446" i="1"/>
  <c r="BH225" i="1" l="1"/>
  <c r="BH550" i="1"/>
  <c r="BH551" i="1" s="1"/>
  <c r="BH453" i="1"/>
  <c r="BV217" i="1"/>
  <c r="BU446" i="1"/>
  <c r="BH182" i="1"/>
  <c r="BH192" i="1" s="1"/>
  <c r="BH227" i="1" s="1"/>
  <c r="BH419" i="1"/>
  <c r="BH555" i="1"/>
  <c r="BH558" i="1" s="1"/>
  <c r="BH544" i="1"/>
  <c r="BW217" i="1" l="1"/>
  <c r="CS217" i="1"/>
  <c r="BV446" i="1"/>
  <c r="BI418" i="1"/>
  <c r="BH420" i="1"/>
  <c r="BX217" i="1" l="1"/>
  <c r="BW446" i="1"/>
  <c r="BI45" i="1"/>
  <c r="BI459" i="1"/>
  <c r="BI49" i="1" l="1"/>
  <c r="BY217" i="1"/>
  <c r="BX446" i="1"/>
  <c r="BZ217" i="1" l="1"/>
  <c r="BY446" i="1"/>
  <c r="BI50" i="1"/>
  <c r="BI52" i="1" l="1"/>
  <c r="CA217" i="1"/>
  <c r="BZ446" i="1"/>
  <c r="BI461" i="1" l="1"/>
  <c r="BI463" i="1" s="1"/>
  <c r="BI464" i="1" s="1"/>
  <c r="BI54" i="1"/>
  <c r="CT217" i="1"/>
  <c r="CA446" i="1"/>
  <c r="BI58" i="1" l="1"/>
  <c r="BI68" i="1"/>
  <c r="BI59" i="1" l="1"/>
  <c r="BI69" i="1"/>
  <c r="BI113" i="1"/>
  <c r="BI447" i="1"/>
  <c r="BI452" i="1" s="1"/>
  <c r="BI61" i="1" l="1"/>
  <c r="BI70" i="1"/>
  <c r="BJ444" i="1"/>
  <c r="BI134" i="1"/>
  <c r="BI161" i="1" s="1"/>
  <c r="BI164" i="1" s="1"/>
  <c r="BI220" i="1"/>
  <c r="BI71" i="1" l="1"/>
  <c r="BI223" i="1"/>
  <c r="BJ162" i="1"/>
  <c r="BI173" i="1"/>
  <c r="BI225" i="1" l="1"/>
  <c r="BI550" i="1"/>
  <c r="BI551" i="1" s="1"/>
  <c r="BI453" i="1"/>
  <c r="BI544" i="1"/>
  <c r="BI182" i="1"/>
  <c r="BI192" i="1" s="1"/>
  <c r="BI419" i="1"/>
  <c r="BI555" i="1"/>
  <c r="BI558" i="1" s="1"/>
  <c r="BI227" i="1" l="1"/>
  <c r="BJ418" i="1"/>
  <c r="BI420" i="1"/>
  <c r="BJ45" i="1" l="1"/>
  <c r="BJ459" i="1"/>
  <c r="BJ49" i="1" l="1"/>
  <c r="BJ50" i="1" l="1"/>
  <c r="BJ52" i="1" l="1"/>
  <c r="BJ461" i="1" l="1"/>
  <c r="BJ463" i="1" s="1"/>
  <c r="BJ464" i="1" s="1"/>
  <c r="BJ54" i="1"/>
  <c r="BJ58" i="1" l="1"/>
  <c r="BJ68" i="1"/>
  <c r="BJ113" i="1" l="1"/>
  <c r="BJ59" i="1"/>
  <c r="BJ69" i="1"/>
  <c r="BJ447" i="1"/>
  <c r="BJ452" i="1" s="1"/>
  <c r="BJ61" i="1" l="1"/>
  <c r="BJ70" i="1"/>
  <c r="BK444" i="1"/>
  <c r="BJ134" i="1"/>
  <c r="BJ161" i="1" s="1"/>
  <c r="BJ164" i="1" s="1"/>
  <c r="BJ220" i="1"/>
  <c r="BJ223" i="1" l="1"/>
  <c r="BK162" i="1"/>
  <c r="BJ173" i="1"/>
  <c r="BJ71" i="1"/>
  <c r="BJ544" i="1" l="1"/>
  <c r="BJ225" i="1"/>
  <c r="BJ550" i="1"/>
  <c r="BJ551" i="1" s="1"/>
  <c r="BJ453" i="1"/>
  <c r="BJ182" i="1"/>
  <c r="BJ192" i="1" s="1"/>
  <c r="BJ419" i="1"/>
  <c r="BJ555" i="1"/>
  <c r="BJ558" i="1" s="1"/>
  <c r="BJ227" i="1" l="1"/>
  <c r="BK418" i="1"/>
  <c r="BJ420" i="1"/>
  <c r="BK45" i="1" l="1"/>
  <c r="BK459" i="1"/>
  <c r="BL418" i="1"/>
  <c r="BL459" i="1" l="1"/>
  <c r="BK49" i="1"/>
  <c r="BL45" i="1"/>
  <c r="BK50" i="1" l="1"/>
  <c r="BL49" i="1"/>
  <c r="CQ45" i="1"/>
  <c r="BK52" i="1" l="1"/>
  <c r="BL50" i="1"/>
  <c r="CQ49" i="1"/>
  <c r="BK461" i="1" l="1"/>
  <c r="BK463" i="1" s="1"/>
  <c r="BK464" i="1" s="1"/>
  <c r="BL52" i="1"/>
  <c r="BK54" i="1"/>
  <c r="BK68" i="1" l="1"/>
  <c r="BK58" i="1"/>
  <c r="BL54" i="1"/>
  <c r="CQ52" i="1"/>
  <c r="BL375" i="1"/>
  <c r="BL380" i="1" s="1"/>
  <c r="BL461" i="1"/>
  <c r="BL463" i="1" s="1"/>
  <c r="I10" i="5" l="1"/>
  <c r="I11" i="5" s="1"/>
  <c r="I13" i="5" s="1"/>
  <c r="I23" i="5" s="1"/>
  <c r="BM380" i="1"/>
  <c r="BM549" i="1" s="1"/>
  <c r="BL469" i="1"/>
  <c r="BL471" i="1" s="1"/>
  <c r="BL478" i="1" s="1"/>
  <c r="BL480" i="1"/>
  <c r="CQ54" i="1"/>
  <c r="BL68" i="1"/>
  <c r="F66" i="5"/>
  <c r="BL464" i="1"/>
  <c r="BK69" i="1"/>
  <c r="BK113" i="1"/>
  <c r="BK59" i="1"/>
  <c r="BK447" i="1"/>
  <c r="BK452" i="1" s="1"/>
  <c r="BL58" i="1"/>
  <c r="BL483" i="1" l="1"/>
  <c r="BL487" i="1" s="1"/>
  <c r="CQ68" i="1"/>
  <c r="I24" i="5"/>
  <c r="CQ58" i="1"/>
  <c r="BL69" i="1"/>
  <c r="BL447" i="1"/>
  <c r="BL452" i="1" s="1"/>
  <c r="BK134" i="1"/>
  <c r="BK161" i="1" s="1"/>
  <c r="BK164" i="1" s="1"/>
  <c r="BK173" i="1" s="1"/>
  <c r="BL113" i="1"/>
  <c r="BK220" i="1"/>
  <c r="BK70" i="1"/>
  <c r="BL70" i="1" s="1"/>
  <c r="BK61" i="1"/>
  <c r="BL59" i="1"/>
  <c r="J77" i="5"/>
  <c r="J81" i="5"/>
  <c r="J85" i="5"/>
  <c r="J76" i="5"/>
  <c r="J80" i="5"/>
  <c r="J71" i="5"/>
  <c r="J75" i="5"/>
  <c r="J79" i="5"/>
  <c r="J74" i="5"/>
  <c r="J78" i="5"/>
  <c r="J82" i="5"/>
  <c r="BN380" i="1"/>
  <c r="BM469" i="1"/>
  <c r="BM471" i="1" s="1"/>
  <c r="BM478" i="1" s="1"/>
  <c r="BM480" i="1"/>
  <c r="BM483" i="1" l="1"/>
  <c r="BM487" i="1" s="1"/>
  <c r="BK182" i="1"/>
  <c r="BK192" i="1" s="1"/>
  <c r="BK419" i="1"/>
  <c r="BK555" i="1"/>
  <c r="BK558" i="1" s="1"/>
  <c r="CQ59" i="1"/>
  <c r="BM444" i="1"/>
  <c r="BQ444" i="1"/>
  <c r="BO380" i="1"/>
  <c r="BO549" i="1" s="1"/>
  <c r="BN469" i="1"/>
  <c r="BN471" i="1" s="1"/>
  <c r="BN478" i="1" s="1"/>
  <c r="BN480" i="1"/>
  <c r="BN549" i="1"/>
  <c r="BK71" i="1"/>
  <c r="BL61" i="1"/>
  <c r="BL220" i="1"/>
  <c r="BK223" i="1"/>
  <c r="CQ69" i="1"/>
  <c r="CQ70" i="1"/>
  <c r="CQ113" i="1"/>
  <c r="BL134" i="1"/>
  <c r="CQ61" i="1" l="1"/>
  <c r="BL493" i="1"/>
  <c r="BK544" i="1"/>
  <c r="BL71" i="1"/>
  <c r="BK225" i="1"/>
  <c r="BK227" i="1" s="1"/>
  <c r="BK550" i="1"/>
  <c r="BK453" i="1"/>
  <c r="BK420" i="1"/>
  <c r="BL420" i="1"/>
  <c r="BL421" i="1" s="1"/>
  <c r="CQ134" i="1"/>
  <c r="BL161" i="1"/>
  <c r="CQ220" i="1"/>
  <c r="BL223" i="1"/>
  <c r="BP380" i="1"/>
  <c r="BO469" i="1"/>
  <c r="BO471" i="1" s="1"/>
  <c r="BO478" i="1" s="1"/>
  <c r="BO480" i="1"/>
  <c r="BL60" i="1"/>
  <c r="BN483" i="1"/>
  <c r="BN487" i="1" s="1"/>
  <c r="BO483" i="1" l="1"/>
  <c r="BO487" i="1" s="1"/>
  <c r="CQ223" i="1"/>
  <c r="BL225" i="1"/>
  <c r="CQ225" i="1" s="1"/>
  <c r="BL453" i="1"/>
  <c r="CQ71" i="1"/>
  <c r="BL544" i="1"/>
  <c r="CQ60" i="1"/>
  <c r="BP469" i="1"/>
  <c r="BP471" i="1" s="1"/>
  <c r="BP478" i="1" s="1"/>
  <c r="BP480" i="1"/>
  <c r="BP549" i="1"/>
  <c r="BK551" i="1"/>
  <c r="BL550" i="1"/>
  <c r="BL164" i="1"/>
  <c r="CQ161" i="1"/>
  <c r="BL551" i="1" l="1"/>
  <c r="CQ551" i="1" s="1"/>
  <c r="CQ550" i="1"/>
  <c r="BP483" i="1"/>
  <c r="BP487" i="1" s="1"/>
  <c r="F65" i="5"/>
  <c r="CQ72" i="1"/>
  <c r="CQ544" i="1"/>
  <c r="BM162" i="1"/>
  <c r="BQ162" i="1"/>
  <c r="CR162" i="1" s="1"/>
  <c r="BL173" i="1"/>
  <c r="CQ164" i="1"/>
  <c r="BQ549" i="1"/>
  <c r="H71" i="5" l="1"/>
  <c r="H75" i="5"/>
  <c r="H79" i="5"/>
  <c r="H85" i="5"/>
  <c r="H74" i="5"/>
  <c r="H78" i="5"/>
  <c r="H82" i="5"/>
  <c r="H77" i="5"/>
  <c r="H81" i="5"/>
  <c r="H76" i="5"/>
  <c r="H80" i="5"/>
  <c r="CR549" i="1"/>
  <c r="CQ173" i="1"/>
  <c r="J28" i="5" s="1"/>
  <c r="BL182" i="1"/>
  <c r="BL419" i="1"/>
  <c r="BL555" i="1"/>
  <c r="BL558" i="1" s="1"/>
  <c r="BM418" i="1" l="1"/>
  <c r="CQ182" i="1"/>
  <c r="BL192" i="1"/>
  <c r="BL227" i="1" l="1"/>
  <c r="CQ192" i="1"/>
  <c r="BL491" i="1"/>
  <c r="BM45" i="1"/>
  <c r="BM459" i="1"/>
  <c r="BM49" i="1" l="1"/>
  <c r="BQ494" i="1"/>
  <c r="BL492" i="1"/>
  <c r="BM50" i="1" l="1"/>
  <c r="BM52" i="1" l="1"/>
  <c r="BM461" i="1" l="1"/>
  <c r="BM463" i="1" s="1"/>
  <c r="BM464" i="1" s="1"/>
  <c r="BM54" i="1"/>
  <c r="BM58" i="1" l="1"/>
  <c r="BM68" i="1"/>
  <c r="BM59" i="1" l="1"/>
  <c r="BM69" i="1"/>
  <c r="BM113" i="1"/>
  <c r="BM447" i="1"/>
  <c r="BM452" i="1" s="1"/>
  <c r="BM134" i="1" l="1"/>
  <c r="BM161" i="1" s="1"/>
  <c r="BM164" i="1" s="1"/>
  <c r="BM220" i="1"/>
  <c r="BM61" i="1"/>
  <c r="BM70" i="1"/>
  <c r="BN444" i="1"/>
  <c r="BM223" i="1" l="1"/>
  <c r="BN162" i="1"/>
  <c r="BM173" i="1"/>
  <c r="BM71" i="1"/>
  <c r="BM544" i="1" l="1"/>
  <c r="BM225" i="1"/>
  <c r="BM550" i="1"/>
  <c r="BM551" i="1" s="1"/>
  <c r="BM453" i="1"/>
  <c r="BM182" i="1"/>
  <c r="BM192" i="1" s="1"/>
  <c r="BM419" i="1"/>
  <c r="BM555" i="1"/>
  <c r="BM558" i="1" s="1"/>
  <c r="BM227" i="1" l="1"/>
  <c r="BN418" i="1"/>
  <c r="BM420" i="1"/>
  <c r="BN45" i="1" l="1"/>
  <c r="BN459" i="1"/>
  <c r="BN49" i="1" l="1"/>
  <c r="BN50" i="1" l="1"/>
  <c r="BN52" i="1" l="1"/>
  <c r="BN461" i="1" l="1"/>
  <c r="BN463" i="1" s="1"/>
  <c r="BN464" i="1" s="1"/>
  <c r="BN54" i="1"/>
  <c r="BN58" i="1" l="1"/>
  <c r="BN68" i="1"/>
  <c r="BN113" i="1" l="1"/>
  <c r="BN59" i="1"/>
  <c r="BN69" i="1"/>
  <c r="BN447" i="1"/>
  <c r="BN452" i="1" s="1"/>
  <c r="BN61" i="1" l="1"/>
  <c r="BN70" i="1"/>
  <c r="BO444" i="1"/>
  <c r="BN134" i="1"/>
  <c r="BN161" i="1" s="1"/>
  <c r="BN164" i="1" s="1"/>
  <c r="BN220" i="1"/>
  <c r="BN223" i="1" l="1"/>
  <c r="BO162" i="1"/>
  <c r="BN173" i="1"/>
  <c r="BN71" i="1"/>
  <c r="BN544" i="1" l="1"/>
  <c r="BN225" i="1"/>
  <c r="BN550" i="1"/>
  <c r="BN551" i="1" s="1"/>
  <c r="BN453" i="1"/>
  <c r="BN182" i="1"/>
  <c r="BN192" i="1" s="1"/>
  <c r="BN419" i="1"/>
  <c r="BN555" i="1"/>
  <c r="BN558" i="1" s="1"/>
  <c r="BN227" i="1" l="1"/>
  <c r="BO418" i="1"/>
  <c r="BN420" i="1"/>
  <c r="BO45" i="1" l="1"/>
  <c r="BO459" i="1"/>
  <c r="BO49" i="1" l="1"/>
  <c r="BO50" i="1" l="1"/>
  <c r="BO52" i="1" l="1"/>
  <c r="BO461" i="1" l="1"/>
  <c r="BO463" i="1" s="1"/>
  <c r="BO464" i="1" s="1"/>
  <c r="BO54" i="1"/>
  <c r="BO68" i="1" l="1"/>
  <c r="BO58" i="1"/>
  <c r="BO69" i="1" l="1"/>
  <c r="BO113" i="1"/>
  <c r="BO59" i="1"/>
  <c r="BO447" i="1"/>
  <c r="BO452" i="1" s="1"/>
  <c r="BP444" i="1" l="1"/>
  <c r="BO134" i="1"/>
  <c r="BO161" i="1" s="1"/>
  <c r="BO164" i="1" s="1"/>
  <c r="BO220" i="1"/>
  <c r="BO70" i="1"/>
  <c r="BO61" i="1"/>
  <c r="BP162" i="1" l="1"/>
  <c r="BO173" i="1"/>
  <c r="BO71" i="1"/>
  <c r="BO223" i="1"/>
  <c r="BO544" i="1" l="1"/>
  <c r="BO225" i="1"/>
  <c r="BO550" i="1"/>
  <c r="BO551" i="1" s="1"/>
  <c r="BO453" i="1"/>
  <c r="BO182" i="1"/>
  <c r="BO192" i="1" s="1"/>
  <c r="BO419" i="1"/>
  <c r="BO555" i="1"/>
  <c r="BO558" i="1" s="1"/>
  <c r="BO227" i="1" l="1"/>
  <c r="BP418" i="1"/>
  <c r="BO420" i="1"/>
  <c r="BP45" i="1" l="1"/>
  <c r="BP459" i="1"/>
  <c r="BQ418" i="1"/>
  <c r="BQ459" i="1" l="1"/>
  <c r="BP49" i="1"/>
  <c r="BQ45" i="1"/>
  <c r="BP50" i="1" l="1"/>
  <c r="BQ49" i="1"/>
  <c r="CR45" i="1"/>
  <c r="CR49" i="1" l="1"/>
  <c r="BP52" i="1"/>
  <c r="BQ50" i="1"/>
  <c r="BP461" i="1" l="1"/>
  <c r="BP463" i="1" s="1"/>
  <c r="BP464" i="1" s="1"/>
  <c r="BQ52" i="1"/>
  <c r="BP54" i="1"/>
  <c r="CR52" i="1" l="1"/>
  <c r="BQ375" i="1"/>
  <c r="BQ380" i="1" s="1"/>
  <c r="BQ461" i="1"/>
  <c r="BQ463" i="1" s="1"/>
  <c r="BP58" i="1"/>
  <c r="BP68" i="1"/>
  <c r="BQ54" i="1"/>
  <c r="J10" i="5" l="1"/>
  <c r="J11" i="5" s="1"/>
  <c r="J13" i="5" s="1"/>
  <c r="J23" i="5" s="1"/>
  <c r="BQ469" i="1"/>
  <c r="BQ471" i="1" s="1"/>
  <c r="BQ478" i="1" s="1"/>
  <c r="BQ480" i="1"/>
  <c r="BR380" i="1"/>
  <c r="BR549" i="1" s="1"/>
  <c r="CR54" i="1"/>
  <c r="BQ68" i="1"/>
  <c r="G66" i="5"/>
  <c r="BQ464" i="1"/>
  <c r="BP59" i="1"/>
  <c r="BP69" i="1"/>
  <c r="BP113" i="1"/>
  <c r="BP447" i="1"/>
  <c r="BP452" i="1" s="1"/>
  <c r="BQ58" i="1"/>
  <c r="BQ483" i="1" l="1"/>
  <c r="BQ487" i="1" s="1"/>
  <c r="BP134" i="1"/>
  <c r="BP161" i="1" s="1"/>
  <c r="BP164" i="1" s="1"/>
  <c r="BP173" i="1" s="1"/>
  <c r="BQ113" i="1"/>
  <c r="BP220" i="1"/>
  <c r="K72" i="5"/>
  <c r="K74" i="5"/>
  <c r="K78" i="5"/>
  <c r="K82" i="5"/>
  <c r="K73" i="5"/>
  <c r="K77" i="5"/>
  <c r="K81" i="5"/>
  <c r="K83" i="5"/>
  <c r="K85" i="5"/>
  <c r="K84" i="5"/>
  <c r="K76" i="5"/>
  <c r="K80" i="5"/>
  <c r="K71" i="5"/>
  <c r="K75" i="5"/>
  <c r="K79" i="5"/>
  <c r="J24" i="5"/>
  <c r="CR68" i="1"/>
  <c r="CR58" i="1"/>
  <c r="BQ69" i="1"/>
  <c r="BQ447" i="1"/>
  <c r="BQ452" i="1" s="1"/>
  <c r="BP61" i="1"/>
  <c r="BP70" i="1"/>
  <c r="BQ70" i="1" s="1"/>
  <c r="BQ59" i="1"/>
  <c r="BS380" i="1"/>
  <c r="BR469" i="1"/>
  <c r="BR471" i="1" s="1"/>
  <c r="BR478" i="1" s="1"/>
  <c r="BR480" i="1"/>
  <c r="BR444" i="1" l="1"/>
  <c r="BV444" i="1"/>
  <c r="CR113" i="1"/>
  <c r="BQ134" i="1"/>
  <c r="CR69" i="1"/>
  <c r="BP182" i="1"/>
  <c r="BP192" i="1" s="1"/>
  <c r="BP419" i="1"/>
  <c r="BP555" i="1"/>
  <c r="BP558" i="1" s="1"/>
  <c r="BT380" i="1"/>
  <c r="BS469" i="1"/>
  <c r="BS471" i="1" s="1"/>
  <c r="BS478" i="1" s="1"/>
  <c r="BS480" i="1"/>
  <c r="BS549" i="1"/>
  <c r="BR483" i="1"/>
  <c r="BR487" i="1" s="1"/>
  <c r="CR70" i="1"/>
  <c r="CR59" i="1"/>
  <c r="BP71" i="1"/>
  <c r="BQ61" i="1"/>
  <c r="BQ60" i="1" s="1"/>
  <c r="BQ220" i="1"/>
  <c r="BP223" i="1"/>
  <c r="BP225" i="1" l="1"/>
  <c r="BP227" i="1" s="1"/>
  <c r="BP550" i="1"/>
  <c r="BP453" i="1"/>
  <c r="CR60" i="1"/>
  <c r="BU380" i="1"/>
  <c r="BU549" i="1" s="1"/>
  <c r="BT469" i="1"/>
  <c r="BT471" i="1" s="1"/>
  <c r="BT478" i="1" s="1"/>
  <c r="BT480" i="1"/>
  <c r="CR134" i="1"/>
  <c r="BQ161" i="1"/>
  <c r="CR61" i="1"/>
  <c r="BQ493" i="1"/>
  <c r="BP544" i="1"/>
  <c r="BQ71" i="1"/>
  <c r="BS483" i="1"/>
  <c r="BS487" i="1" s="1"/>
  <c r="BP420" i="1"/>
  <c r="BQ420" i="1"/>
  <c r="BQ421" i="1" s="1"/>
  <c r="CR220" i="1"/>
  <c r="BQ223" i="1"/>
  <c r="BT549" i="1"/>
  <c r="CR71" i="1" l="1"/>
  <c r="BQ544" i="1"/>
  <c r="CR161" i="1"/>
  <c r="BQ164" i="1"/>
  <c r="CR223" i="1"/>
  <c r="BQ225" i="1"/>
  <c r="CR225" i="1" s="1"/>
  <c r="BQ453" i="1"/>
  <c r="BT483" i="1"/>
  <c r="BT487" i="1" s="1"/>
  <c r="BV549" i="1"/>
  <c r="BU469" i="1"/>
  <c r="BU471" i="1" s="1"/>
  <c r="BU478" i="1" s="1"/>
  <c r="BU480" i="1"/>
  <c r="BQ550" i="1"/>
  <c r="BP551" i="1"/>
  <c r="BU483" i="1" l="1"/>
  <c r="BU487" i="1" s="1"/>
  <c r="G65" i="5"/>
  <c r="CR72" i="1"/>
  <c r="CR544" i="1"/>
  <c r="CS549" i="1"/>
  <c r="CR550" i="1"/>
  <c r="BQ551" i="1"/>
  <c r="CR551" i="1" s="1"/>
  <c r="BR162" i="1"/>
  <c r="BV162" i="1"/>
  <c r="CS162" i="1" s="1"/>
  <c r="BQ173" i="1"/>
  <c r="CR164" i="1"/>
  <c r="BQ182" i="1" l="1"/>
  <c r="CR173" i="1"/>
  <c r="K28" i="5" s="1"/>
  <c r="BQ419" i="1"/>
  <c r="BQ555" i="1"/>
  <c r="BQ558" i="1" s="1"/>
  <c r="I73" i="5"/>
  <c r="I76" i="5"/>
  <c r="I80" i="5"/>
  <c r="I83" i="5"/>
  <c r="I71" i="5"/>
  <c r="I75" i="5"/>
  <c r="I79" i="5"/>
  <c r="I84" i="5"/>
  <c r="I74" i="5"/>
  <c r="I78" i="5"/>
  <c r="I82" i="5"/>
  <c r="I72" i="5"/>
  <c r="I77" i="5"/>
  <c r="I81" i="5"/>
  <c r="I85" i="5"/>
  <c r="BR418" i="1" l="1"/>
  <c r="CR182" i="1"/>
  <c r="BQ192" i="1"/>
  <c r="CR192" i="1" l="1"/>
  <c r="BQ227" i="1"/>
  <c r="BQ491" i="1"/>
  <c r="BR45" i="1"/>
  <c r="BR459" i="1"/>
  <c r="BR49" i="1" l="1"/>
  <c r="BQ492" i="1"/>
  <c r="BV494" i="1"/>
  <c r="BR50" i="1" l="1"/>
  <c r="BR52" i="1" l="1"/>
  <c r="BR461" i="1" l="1"/>
  <c r="BR463" i="1" s="1"/>
  <c r="BR464" i="1" s="1"/>
  <c r="BR54" i="1"/>
  <c r="BR58" i="1" l="1"/>
  <c r="BR68" i="1"/>
  <c r="BR113" i="1" l="1"/>
  <c r="BR59" i="1"/>
  <c r="BR69" i="1"/>
  <c r="BR447" i="1"/>
  <c r="BR452" i="1" s="1"/>
  <c r="BR61" i="1" l="1"/>
  <c r="BR70" i="1"/>
  <c r="BS444" i="1"/>
  <c r="BR134" i="1"/>
  <c r="BR161" i="1" s="1"/>
  <c r="BR164" i="1" s="1"/>
  <c r="BR220" i="1"/>
  <c r="BR223" i="1" l="1"/>
  <c r="BS162" i="1"/>
  <c r="BR173" i="1"/>
  <c r="BR71" i="1"/>
  <c r="BR544" i="1" l="1"/>
  <c r="BR182" i="1"/>
  <c r="BR192" i="1" s="1"/>
  <c r="BR419" i="1"/>
  <c r="BR555" i="1"/>
  <c r="BR558" i="1" s="1"/>
  <c r="BR225" i="1"/>
  <c r="BR550" i="1"/>
  <c r="BR551" i="1" s="1"/>
  <c r="BR453" i="1"/>
  <c r="BR227" i="1" l="1"/>
  <c r="BS418" i="1"/>
  <c r="BR420" i="1"/>
  <c r="BS45" i="1" l="1"/>
  <c r="BS459" i="1"/>
  <c r="BS49" i="1" l="1"/>
  <c r="BS50" i="1" l="1"/>
  <c r="BS52" i="1" l="1"/>
  <c r="BS461" i="1" l="1"/>
  <c r="BS463" i="1" s="1"/>
  <c r="BS464" i="1" s="1"/>
  <c r="BS54" i="1"/>
  <c r="BS68" i="1" l="1"/>
  <c r="BS58" i="1"/>
  <c r="BS69" i="1" l="1"/>
  <c r="BS113" i="1"/>
  <c r="BS59" i="1"/>
  <c r="BS447" i="1"/>
  <c r="BS452" i="1" s="1"/>
  <c r="BT444" i="1" l="1"/>
  <c r="BS70" i="1"/>
  <c r="BS61" i="1"/>
  <c r="BS134" i="1"/>
  <c r="BS161" i="1" s="1"/>
  <c r="BS164" i="1" s="1"/>
  <c r="BS220" i="1"/>
  <c r="BS223" i="1" l="1"/>
  <c r="BS71" i="1"/>
  <c r="BT162" i="1"/>
  <c r="BS173" i="1"/>
  <c r="BS544" i="1" l="1"/>
  <c r="BS182" i="1"/>
  <c r="BS192" i="1" s="1"/>
  <c r="BS419" i="1"/>
  <c r="BS555" i="1"/>
  <c r="BS558" i="1" s="1"/>
  <c r="BS225" i="1"/>
  <c r="BS550" i="1"/>
  <c r="BS551" i="1" s="1"/>
  <c r="BS453" i="1"/>
  <c r="BS227" i="1" l="1"/>
  <c r="BT418" i="1"/>
  <c r="BS420" i="1"/>
  <c r="BT45" i="1" l="1"/>
  <c r="BT459" i="1"/>
  <c r="BT49" i="1" l="1"/>
  <c r="BT50" i="1" l="1"/>
  <c r="BT52" i="1" l="1"/>
  <c r="BT461" i="1" l="1"/>
  <c r="BT463" i="1" s="1"/>
  <c r="BT464" i="1" s="1"/>
  <c r="BT54" i="1"/>
  <c r="BT58" i="1" l="1"/>
  <c r="BT68" i="1"/>
  <c r="BT59" i="1" l="1"/>
  <c r="BT69" i="1"/>
  <c r="BT113" i="1"/>
  <c r="BT447" i="1"/>
  <c r="BT452" i="1" s="1"/>
  <c r="BU444" i="1" l="1"/>
  <c r="BT134" i="1"/>
  <c r="BT161" i="1" s="1"/>
  <c r="BT164" i="1" s="1"/>
  <c r="BT220" i="1"/>
  <c r="BT61" i="1"/>
  <c r="BT70" i="1"/>
  <c r="BU162" i="1" l="1"/>
  <c r="BT173" i="1"/>
  <c r="BT71" i="1"/>
  <c r="BT223" i="1"/>
  <c r="BT544" i="1" l="1"/>
  <c r="BT225" i="1"/>
  <c r="BT550" i="1"/>
  <c r="BT551" i="1" s="1"/>
  <c r="BT453" i="1"/>
  <c r="BT182" i="1"/>
  <c r="BT192" i="1" s="1"/>
  <c r="BT419" i="1"/>
  <c r="BT555" i="1"/>
  <c r="BT558" i="1" s="1"/>
  <c r="BT227" i="1" l="1"/>
  <c r="BU418" i="1"/>
  <c r="BT420" i="1"/>
  <c r="BU45" i="1" l="1"/>
  <c r="BU459" i="1"/>
  <c r="BV418" i="1"/>
  <c r="BV459" i="1" l="1"/>
  <c r="BU49" i="1"/>
  <c r="BV45" i="1"/>
  <c r="BU50" i="1" l="1"/>
  <c r="BV49" i="1"/>
  <c r="CS45" i="1"/>
  <c r="CS49" i="1" l="1"/>
  <c r="BU52" i="1"/>
  <c r="BV50" i="1"/>
  <c r="BU461" i="1" l="1"/>
  <c r="BU463" i="1" s="1"/>
  <c r="BU464" i="1" s="1"/>
  <c r="BV52" i="1"/>
  <c r="BU54" i="1"/>
  <c r="CS52" i="1" l="1"/>
  <c r="BV461" i="1"/>
  <c r="BV463" i="1" s="1"/>
  <c r="BV464" i="1" s="1"/>
  <c r="BV375" i="1"/>
  <c r="BV380" i="1" s="1"/>
  <c r="BU58" i="1"/>
  <c r="BU68" i="1"/>
  <c r="BV54" i="1"/>
  <c r="K10" i="5" l="1"/>
  <c r="K11" i="5" s="1"/>
  <c r="K13" i="5" s="1"/>
  <c r="K23" i="5" s="1"/>
  <c r="BW380" i="1"/>
  <c r="BW549" i="1" s="1"/>
  <c r="BV469" i="1"/>
  <c r="BV471" i="1" s="1"/>
  <c r="BV478" i="1" s="1"/>
  <c r="BV480" i="1"/>
  <c r="CS54" i="1"/>
  <c r="BV68" i="1"/>
  <c r="BU59" i="1"/>
  <c r="BU69" i="1"/>
  <c r="BU113" i="1"/>
  <c r="BU447" i="1"/>
  <c r="BU452" i="1" s="1"/>
  <c r="BV58" i="1"/>
  <c r="BV483" i="1" l="1"/>
  <c r="BV487" i="1" s="1"/>
  <c r="CS58" i="1"/>
  <c r="BV69" i="1"/>
  <c r="BV447" i="1"/>
  <c r="BV452" i="1" s="1"/>
  <c r="BX380" i="1"/>
  <c r="BW469" i="1"/>
  <c r="BW471" i="1" s="1"/>
  <c r="BW478" i="1" s="1"/>
  <c r="BW480" i="1"/>
  <c r="CS68" i="1"/>
  <c r="K24" i="5"/>
  <c r="BU61" i="1"/>
  <c r="BU70" i="1"/>
  <c r="BV70" i="1" s="1"/>
  <c r="BV59" i="1"/>
  <c r="BU134" i="1"/>
  <c r="BU161" i="1" s="1"/>
  <c r="BU164" i="1" s="1"/>
  <c r="BU173" i="1" s="1"/>
  <c r="BV113" i="1"/>
  <c r="BU220" i="1"/>
  <c r="BW483" i="1" l="1"/>
  <c r="BW487" i="1" s="1"/>
  <c r="BU182" i="1"/>
  <c r="BU192" i="1" s="1"/>
  <c r="BU419" i="1"/>
  <c r="BU555" i="1"/>
  <c r="BU558" i="1" s="1"/>
  <c r="BY380" i="1"/>
  <c r="BX469" i="1"/>
  <c r="BX471" i="1" s="1"/>
  <c r="BX478" i="1" s="1"/>
  <c r="BX480" i="1"/>
  <c r="BX549" i="1"/>
  <c r="CS69" i="1"/>
  <c r="BU71" i="1"/>
  <c r="BV61" i="1"/>
  <c r="BV60" i="1" s="1"/>
  <c r="CS113" i="1"/>
  <c r="BV134" i="1"/>
  <c r="CS59" i="1"/>
  <c r="BV220" i="1"/>
  <c r="BU223" i="1"/>
  <c r="CS70" i="1"/>
  <c r="BW444" i="1"/>
  <c r="CA444" i="1"/>
  <c r="BX483" i="1" l="1"/>
  <c r="BX487" i="1" s="1"/>
  <c r="BY469" i="1"/>
  <c r="BY471" i="1" s="1"/>
  <c r="BY478" i="1" s="1"/>
  <c r="BY480" i="1"/>
  <c r="BZ380" i="1"/>
  <c r="CS61" i="1"/>
  <c r="BV493" i="1"/>
  <c r="BY549" i="1"/>
  <c r="CS60" i="1"/>
  <c r="BU225" i="1"/>
  <c r="BU227" i="1" s="1"/>
  <c r="BU550" i="1"/>
  <c r="BU453" i="1"/>
  <c r="BV161" i="1"/>
  <c r="CS134" i="1"/>
  <c r="BU544" i="1"/>
  <c r="BV71" i="1"/>
  <c r="CS220" i="1"/>
  <c r="BV223" i="1"/>
  <c r="BU420" i="1"/>
  <c r="BV420" i="1"/>
  <c r="BV421" i="1" s="1"/>
  <c r="BY483" i="1" l="1"/>
  <c r="BY487" i="1" s="1"/>
  <c r="BZ469" i="1"/>
  <c r="BZ471" i="1" s="1"/>
  <c r="BZ478" i="1" s="1"/>
  <c r="BZ480" i="1"/>
  <c r="BZ549" i="1"/>
  <c r="CS161" i="1"/>
  <c r="BV164" i="1"/>
  <c r="CS71" i="1"/>
  <c r="BV544" i="1"/>
  <c r="BV225" i="1"/>
  <c r="CS225" i="1" s="1"/>
  <c r="CS223" i="1"/>
  <c r="BV453" i="1"/>
  <c r="BV550" i="1"/>
  <c r="BU551" i="1"/>
  <c r="CS72" i="1" l="1"/>
  <c r="CS544" i="1"/>
  <c r="CS164" i="1"/>
  <c r="BW162" i="1"/>
  <c r="CA162" i="1"/>
  <c r="CT162" i="1" s="1"/>
  <c r="BV173" i="1"/>
  <c r="BZ483" i="1"/>
  <c r="BZ487" i="1" s="1"/>
  <c r="CS550" i="1"/>
  <c r="BV551" i="1"/>
  <c r="CS551" i="1" s="1"/>
  <c r="CA549" i="1"/>
  <c r="BV182" i="1" l="1"/>
  <c r="CS173" i="1"/>
  <c r="L28" i="5" s="1"/>
  <c r="BV419" i="1"/>
  <c r="BV555" i="1"/>
  <c r="BV558" i="1" s="1"/>
  <c r="CT549" i="1"/>
  <c r="BW418" i="1" l="1"/>
  <c r="BV192" i="1"/>
  <c r="CS182" i="1"/>
  <c r="CS192" i="1" l="1"/>
  <c r="BV227" i="1"/>
  <c r="BV491" i="1"/>
  <c r="BW45" i="1"/>
  <c r="BW459" i="1"/>
  <c r="BW49" i="1" l="1"/>
  <c r="BV492" i="1"/>
  <c r="CA494" i="1"/>
  <c r="BW50" i="1" l="1"/>
  <c r="BW52" i="1" l="1"/>
  <c r="BW461" i="1" l="1"/>
  <c r="BW463" i="1" s="1"/>
  <c r="BW464" i="1" s="1"/>
  <c r="BW54" i="1"/>
  <c r="BW68" i="1" l="1"/>
  <c r="BW58" i="1"/>
  <c r="BW69" i="1" l="1"/>
  <c r="BW113" i="1"/>
  <c r="BW59" i="1"/>
  <c r="BW447" i="1"/>
  <c r="BW452" i="1" s="1"/>
  <c r="BW70" i="1" l="1"/>
  <c r="BW61" i="1"/>
  <c r="BW134" i="1"/>
  <c r="BW161" i="1" s="1"/>
  <c r="BW164" i="1" s="1"/>
  <c r="BW220" i="1"/>
  <c r="BX444" i="1"/>
  <c r="BW71" i="1" l="1"/>
  <c r="BW223" i="1"/>
  <c r="BX162" i="1"/>
  <c r="BW173" i="1"/>
  <c r="BW182" i="1" l="1"/>
  <c r="BW192" i="1" s="1"/>
  <c r="BW419" i="1"/>
  <c r="BW555" i="1"/>
  <c r="BW558" i="1" s="1"/>
  <c r="BW225" i="1"/>
  <c r="BW550" i="1"/>
  <c r="BW551" i="1" s="1"/>
  <c r="BW453" i="1"/>
  <c r="BW544" i="1"/>
  <c r="BX418" i="1" l="1"/>
  <c r="BW420" i="1"/>
  <c r="BW227" i="1"/>
  <c r="BX45" i="1" l="1"/>
  <c r="BX459" i="1"/>
  <c r="BX49" i="1" l="1"/>
  <c r="BX50" i="1" l="1"/>
  <c r="BX52" i="1" l="1"/>
  <c r="BX461" i="1" l="1"/>
  <c r="BX463" i="1" s="1"/>
  <c r="BX464" i="1" s="1"/>
  <c r="BX54" i="1"/>
  <c r="BX58" i="1" l="1"/>
  <c r="BX68" i="1"/>
  <c r="BX59" i="1" l="1"/>
  <c r="BX69" i="1"/>
  <c r="BX113" i="1"/>
  <c r="BX447" i="1"/>
  <c r="BX452" i="1" s="1"/>
  <c r="BY444" i="1" l="1"/>
  <c r="BX134" i="1"/>
  <c r="BX161" i="1" s="1"/>
  <c r="BX164" i="1" s="1"/>
  <c r="BX220" i="1"/>
  <c r="BX61" i="1"/>
  <c r="BX70" i="1"/>
  <c r="BX71" i="1" l="1"/>
  <c r="BY162" i="1"/>
  <c r="BX173" i="1"/>
  <c r="BX223" i="1"/>
  <c r="BX225" i="1" l="1"/>
  <c r="BX550" i="1"/>
  <c r="BX551" i="1" s="1"/>
  <c r="BX453" i="1"/>
  <c r="BX544" i="1"/>
  <c r="BX182" i="1"/>
  <c r="BX192" i="1" s="1"/>
  <c r="BX227" i="1" s="1"/>
  <c r="BX419" i="1"/>
  <c r="BX555" i="1"/>
  <c r="BX558" i="1" s="1"/>
  <c r="BY418" i="1" l="1"/>
  <c r="BX420" i="1"/>
  <c r="BY45" i="1" l="1"/>
  <c r="BY459" i="1"/>
  <c r="BY49" i="1" l="1"/>
  <c r="BY50" i="1" l="1"/>
  <c r="BY52" i="1" l="1"/>
  <c r="BY461" i="1" l="1"/>
  <c r="BY463" i="1" s="1"/>
  <c r="BY464" i="1" s="1"/>
  <c r="BY54" i="1"/>
  <c r="BY58" i="1" l="1"/>
  <c r="BY68" i="1"/>
  <c r="BY59" i="1" l="1"/>
  <c r="BY69" i="1"/>
  <c r="BY113" i="1"/>
  <c r="BY447" i="1"/>
  <c r="BY452" i="1" s="1"/>
  <c r="BZ444" i="1" l="1"/>
  <c r="BY134" i="1"/>
  <c r="BY161" i="1" s="1"/>
  <c r="BY164" i="1" s="1"/>
  <c r="BY220" i="1"/>
  <c r="BY61" i="1"/>
  <c r="BY70" i="1"/>
  <c r="BZ162" i="1" l="1"/>
  <c r="BY173" i="1"/>
  <c r="BY71" i="1"/>
  <c r="BY223" i="1"/>
  <c r="BY544" i="1" l="1"/>
  <c r="BY182" i="1"/>
  <c r="BY192" i="1" s="1"/>
  <c r="BY419" i="1"/>
  <c r="BY555" i="1"/>
  <c r="BY558" i="1" s="1"/>
  <c r="BY225" i="1"/>
  <c r="BY550" i="1"/>
  <c r="BY551" i="1" s="1"/>
  <c r="BY453" i="1"/>
  <c r="BY227" i="1" l="1"/>
  <c r="BZ418" i="1"/>
  <c r="BY420" i="1"/>
  <c r="BZ45" i="1" l="1"/>
  <c r="BZ459" i="1"/>
  <c r="CA418" i="1"/>
  <c r="CA459" i="1" l="1"/>
  <c r="BZ49" i="1"/>
  <c r="CA45" i="1"/>
  <c r="CT45" i="1" s="1"/>
  <c r="BZ50" i="1" l="1"/>
  <c r="CA49" i="1"/>
  <c r="CT49" i="1" s="1"/>
  <c r="BZ52" i="1" l="1"/>
  <c r="CA50" i="1"/>
  <c r="BZ461" i="1" l="1"/>
  <c r="BZ463" i="1" s="1"/>
  <c r="BZ464" i="1" s="1"/>
  <c r="CA52" i="1"/>
  <c r="BZ54" i="1"/>
  <c r="CT52" i="1" l="1"/>
  <c r="CA375" i="1"/>
  <c r="CA380" i="1" s="1"/>
  <c r="CA461" i="1"/>
  <c r="CA463" i="1" s="1"/>
  <c r="CA464" i="1" s="1"/>
  <c r="BZ58" i="1"/>
  <c r="BZ68" i="1"/>
  <c r="CA54" i="1"/>
  <c r="L10" i="5" l="1"/>
  <c r="CA469" i="1"/>
  <c r="CA471" i="1" s="1"/>
  <c r="CA478" i="1" s="1"/>
  <c r="CA480" i="1"/>
  <c r="BZ113" i="1"/>
  <c r="BZ59" i="1"/>
  <c r="BZ69" i="1"/>
  <c r="BZ447" i="1"/>
  <c r="BZ452" i="1" s="1"/>
  <c r="CA58" i="1"/>
  <c r="CA68" i="1"/>
  <c r="CT68" i="1" s="1"/>
  <c r="CT54" i="1"/>
  <c r="BZ134" i="1" l="1"/>
  <c r="BZ161" i="1" s="1"/>
  <c r="BZ164" i="1" s="1"/>
  <c r="BZ173" i="1" s="1"/>
  <c r="CA113" i="1"/>
  <c r="BZ220" i="1"/>
  <c r="CA483" i="1"/>
  <c r="CA487" i="1" s="1"/>
  <c r="CA69" i="1"/>
  <c r="CT69" i="1" s="1"/>
  <c r="CT58" i="1"/>
  <c r="CA447" i="1"/>
  <c r="CA452" i="1" s="1"/>
  <c r="BZ61" i="1"/>
  <c r="BZ70" i="1"/>
  <c r="CA70" i="1" s="1"/>
  <c r="CT70" i="1" s="1"/>
  <c r="CA59" i="1"/>
  <c r="M10" i="5"/>
  <c r="L11" i="5"/>
  <c r="L13" i="5" s="1"/>
  <c r="L23" i="5" s="1"/>
  <c r="N10" i="5" l="1"/>
  <c r="M11" i="5"/>
  <c r="M13" i="5" s="1"/>
  <c r="M23" i="5" s="1"/>
  <c r="CT59" i="1"/>
  <c r="CA220" i="1"/>
  <c r="BZ223" i="1"/>
  <c r="CT113" i="1"/>
  <c r="CA134" i="1"/>
  <c r="L24" i="5"/>
  <c r="BZ71" i="1"/>
  <c r="CA61" i="1"/>
  <c r="BZ182" i="1"/>
  <c r="BZ192" i="1" s="1"/>
  <c r="BZ419" i="1"/>
  <c r="BZ555" i="1"/>
  <c r="BZ558" i="1" s="1"/>
  <c r="CA60" i="1" l="1"/>
  <c r="CT60" i="1" s="1"/>
  <c r="CB61" i="1"/>
  <c r="CT61" i="1"/>
  <c r="CA493" i="1"/>
  <c r="BZ544" i="1"/>
  <c r="CA71" i="1"/>
  <c r="CB71" i="1" s="1"/>
  <c r="BZ225" i="1"/>
  <c r="BZ227" i="1" s="1"/>
  <c r="BZ550" i="1"/>
  <c r="BZ453" i="1"/>
  <c r="M24" i="5"/>
  <c r="BZ420" i="1"/>
  <c r="CA420" i="1"/>
  <c r="CA421" i="1" s="1"/>
  <c r="CA161" i="1"/>
  <c r="CT134" i="1"/>
  <c r="CT220" i="1"/>
  <c r="CA223" i="1"/>
  <c r="N11" i="5"/>
  <c r="N13" i="5" s="1"/>
  <c r="N23" i="5" s="1"/>
  <c r="O10" i="5"/>
  <c r="CA550" i="1" l="1"/>
  <c r="BZ551" i="1"/>
  <c r="P10" i="5"/>
  <c r="O11" i="5"/>
  <c r="O13" i="5" s="1"/>
  <c r="O23" i="5" s="1"/>
  <c r="N24" i="5"/>
  <c r="CA164" i="1"/>
  <c r="CT161" i="1"/>
  <c r="CT71" i="1"/>
  <c r="CA544" i="1"/>
  <c r="CA225" i="1"/>
  <c r="CT225" i="1" s="1"/>
  <c r="CT223" i="1"/>
  <c r="CA453" i="1"/>
  <c r="Q10" i="5" l="1"/>
  <c r="P11" i="5"/>
  <c r="P13" i="5" s="1"/>
  <c r="P23" i="5" s="1"/>
  <c r="CT164" i="1"/>
  <c r="CA173" i="1"/>
  <c r="CT72" i="1"/>
  <c r="CT544" i="1"/>
  <c r="CT550" i="1"/>
  <c r="CA551" i="1"/>
  <c r="CT551" i="1" s="1"/>
  <c r="O24" i="5"/>
  <c r="P24" i="5" l="1"/>
  <c r="R10" i="5"/>
  <c r="R11" i="5" s="1"/>
  <c r="R13" i="5" s="1"/>
  <c r="R23" i="5" s="1"/>
  <c r="Q11" i="5"/>
  <c r="Q13" i="5" s="1"/>
  <c r="Q23" i="5" s="1"/>
  <c r="CT173" i="1"/>
  <c r="M28" i="5" s="1"/>
  <c r="N28" i="5" s="1"/>
  <c r="O28" i="5" s="1"/>
  <c r="P28" i="5" s="1"/>
  <c r="Q28" i="5" s="1"/>
  <c r="R28" i="5" s="1"/>
  <c r="CA182" i="1"/>
  <c r="CA419" i="1"/>
  <c r="CA555" i="1"/>
  <c r="CA558" i="1" s="1"/>
  <c r="E52" i="5" l="1"/>
  <c r="R24" i="5"/>
  <c r="Q24" i="5"/>
  <c r="CA192" i="1"/>
  <c r="CT182" i="1"/>
  <c r="I52" i="5" l="1"/>
  <c r="D26" i="5" s="1"/>
  <c r="D30" i="5" s="1"/>
  <c r="D32" i="5" s="1"/>
  <c r="M52" i="5"/>
  <c r="H26" i="5" s="1"/>
  <c r="H30" i="5" s="1"/>
  <c r="H32" i="5" s="1"/>
  <c r="Q52" i="5"/>
  <c r="L26" i="5" s="1"/>
  <c r="L30" i="5" s="1"/>
  <c r="L32" i="5" s="1"/>
  <c r="U52" i="5"/>
  <c r="P26" i="5" s="1"/>
  <c r="P30" i="5" s="1"/>
  <c r="P32" i="5" s="1"/>
  <c r="J52" i="5"/>
  <c r="E26" i="5" s="1"/>
  <c r="E30" i="5" s="1"/>
  <c r="E32" i="5" s="1"/>
  <c r="N52" i="5"/>
  <c r="I26" i="5" s="1"/>
  <c r="I30" i="5" s="1"/>
  <c r="I32" i="5" s="1"/>
  <c r="R52" i="5"/>
  <c r="M26" i="5" s="1"/>
  <c r="M30" i="5" s="1"/>
  <c r="M32" i="5" s="1"/>
  <c r="V52" i="5"/>
  <c r="Q26" i="5" s="1"/>
  <c r="Q30" i="5" s="1"/>
  <c r="Q32" i="5" s="1"/>
  <c r="G52" i="5"/>
  <c r="B26" i="5" s="1"/>
  <c r="B30" i="5" s="1"/>
  <c r="B32" i="5" s="1"/>
  <c r="K52" i="5"/>
  <c r="F26" i="5" s="1"/>
  <c r="F30" i="5" s="1"/>
  <c r="F32" i="5" s="1"/>
  <c r="O52" i="5"/>
  <c r="J26" i="5" s="1"/>
  <c r="J30" i="5" s="1"/>
  <c r="J32" i="5" s="1"/>
  <c r="S52" i="5"/>
  <c r="N26" i="5" s="1"/>
  <c r="N30" i="5" s="1"/>
  <c r="N32" i="5" s="1"/>
  <c r="W52" i="5"/>
  <c r="R26" i="5" s="1"/>
  <c r="R30" i="5" s="1"/>
  <c r="R32" i="5" s="1"/>
  <c r="H52" i="5"/>
  <c r="C26" i="5" s="1"/>
  <c r="C30" i="5" s="1"/>
  <c r="C32" i="5" s="1"/>
  <c r="L52" i="5"/>
  <c r="G26" i="5" s="1"/>
  <c r="G30" i="5" s="1"/>
  <c r="G32" i="5" s="1"/>
  <c r="P52" i="5"/>
  <c r="K26" i="5" s="1"/>
  <c r="K30" i="5" s="1"/>
  <c r="K32" i="5" s="1"/>
  <c r="T52" i="5"/>
  <c r="O26" i="5" s="1"/>
  <c r="O30" i="5" s="1"/>
  <c r="O32" i="5" s="1"/>
  <c r="E53" i="5"/>
  <c r="CA227" i="1"/>
  <c r="CT192" i="1"/>
  <c r="CA491" i="1"/>
  <c r="CA492" i="1" s="1"/>
  <c r="I33" i="5" l="1"/>
</calcChain>
</file>

<file path=xl/comments1.xml><?xml version="1.0" encoding="utf-8"?>
<comments xmlns="http://schemas.openxmlformats.org/spreadsheetml/2006/main">
  <authors>
    <author>Halfmann, Patrick T (Research)</author>
    <author>Russo, Priscilla (Research)</author>
    <author>kapltoni</author>
    <author>Kaplan, Toni (Research)</author>
    <author>sestein</author>
    <author>Galindo, Denny</author>
    <author>dennyg</author>
    <author>Elmaghrabi, Sherif</author>
    <author>Halfmann, Patrick (Research)</author>
    <author>Cristina Colón García</author>
  </authors>
  <commentList>
    <comment ref="AW11" authorId="0">
      <text>
        <r>
          <rPr>
            <b/>
            <sz val="9"/>
            <color indexed="81"/>
            <rFont val="Tahoma"/>
            <family val="2"/>
          </rPr>
          <t>Halfmann, Patrick T (Research):</t>
        </r>
        <r>
          <rPr>
            <sz val="9"/>
            <color indexed="81"/>
            <rFont val="Tahoma"/>
            <family val="2"/>
          </rPr>
          <t xml:space="preserve">
Includes healthcare business; see ContinueOps tab for restated financials</t>
        </r>
      </text>
    </comment>
    <comment ref="AX11" authorId="0">
      <text>
        <r>
          <rPr>
            <b/>
            <sz val="9"/>
            <color indexed="81"/>
            <rFont val="Tahoma"/>
            <family val="2"/>
          </rPr>
          <t>Halfmann, Patrick T (Research):</t>
        </r>
        <r>
          <rPr>
            <sz val="9"/>
            <color indexed="81"/>
            <rFont val="Tahoma"/>
            <family val="2"/>
          </rPr>
          <t xml:space="preserve">
Includes healthcare in discontinued operations</t>
        </r>
      </text>
    </comment>
    <comment ref="BF12" authorId="1">
      <text>
        <r>
          <rPr>
            <b/>
            <sz val="9"/>
            <color indexed="81"/>
            <rFont val="Tahoma"/>
            <family val="2"/>
          </rPr>
          <t>4Q: total acquired rev was $26M; Aug Acquistions contributed $16M</t>
        </r>
        <r>
          <rPr>
            <sz val="9"/>
            <color indexed="81"/>
            <rFont val="Tahoma"/>
            <family val="2"/>
          </rPr>
          <t xml:space="preserve">
3Q: Aug acquisitions will contribute $17M in revenue</t>
        </r>
      </text>
    </comment>
    <comment ref="U13" authorId="2">
      <text>
        <r>
          <rPr>
            <b/>
            <sz val="8"/>
            <color indexed="81"/>
            <rFont val="Tahoma"/>
            <family val="2"/>
          </rPr>
          <t>kapltoni:</t>
        </r>
        <r>
          <rPr>
            <sz val="8"/>
            <color indexed="81"/>
            <rFont val="Tahoma"/>
            <family val="2"/>
          </rPr>
          <t xml:space="preserve">
10.1% adjusted for revenue recognized in Q209 as a result of a deferral</t>
        </r>
      </text>
    </comment>
    <comment ref="AS13" authorId="3">
      <text>
        <r>
          <rPr>
            <b/>
            <sz val="9"/>
            <color indexed="81"/>
            <rFont val="Tahoma"/>
            <family val="2"/>
          </rPr>
          <t>Kaplan, Toni (Research):</t>
        </r>
        <r>
          <rPr>
            <sz val="9"/>
            <color indexed="81"/>
            <rFont val="Tahoma"/>
            <family val="2"/>
          </rPr>
          <t xml:space="preserve">
boosted by non-recurring project rev in Fin Services</t>
        </r>
      </text>
    </comment>
    <comment ref="AX13" authorId="0">
      <text>
        <r>
          <rPr>
            <b/>
            <sz val="9"/>
            <color indexed="81"/>
            <rFont val="Tahoma"/>
            <family val="2"/>
          </rPr>
          <t>Halfmann, Patrick T (Research):</t>
        </r>
        <r>
          <rPr>
            <sz val="9"/>
            <color indexed="81"/>
            <rFont val="Tahoma"/>
            <family val="2"/>
          </rPr>
          <t xml:space="preserve">
From continuing ops</t>
        </r>
      </text>
    </comment>
    <comment ref="AY13" authorId="0">
      <text>
        <r>
          <rPr>
            <b/>
            <sz val="9"/>
            <color indexed="81"/>
            <rFont val="Tahoma"/>
            <family val="2"/>
          </rPr>
          <t>Halfmann, Patrick T (Research):</t>
        </r>
        <r>
          <rPr>
            <sz val="9"/>
            <color indexed="81"/>
            <rFont val="Tahoma"/>
            <family val="2"/>
          </rPr>
          <t xml:space="preserve">
From continuing ops</t>
        </r>
      </text>
    </comment>
    <comment ref="AZ13" authorId="0">
      <text>
        <r>
          <rPr>
            <b/>
            <sz val="9"/>
            <color indexed="81"/>
            <rFont val="Tahoma"/>
            <family val="2"/>
          </rPr>
          <t>Halfmann, Patrick T (Research):</t>
        </r>
        <r>
          <rPr>
            <sz val="9"/>
            <color indexed="81"/>
            <rFont val="Tahoma"/>
            <family val="2"/>
          </rPr>
          <t xml:space="preserve">
From continuing ops</t>
        </r>
      </text>
    </comment>
    <comment ref="BA13" authorId="0">
      <text>
        <r>
          <rPr>
            <b/>
            <sz val="9"/>
            <color indexed="81"/>
            <rFont val="Tahoma"/>
            <family val="2"/>
          </rPr>
          <t>Halfmann, Patrick T (Research):</t>
        </r>
        <r>
          <rPr>
            <sz val="9"/>
            <color indexed="81"/>
            <rFont val="Tahoma"/>
            <family val="2"/>
          </rPr>
          <t xml:space="preserve">
From continuing ops</t>
        </r>
      </text>
    </comment>
    <comment ref="BB13" authorId="0">
      <text>
        <r>
          <rPr>
            <b/>
            <sz val="9"/>
            <color indexed="81"/>
            <rFont val="Tahoma"/>
            <family val="2"/>
          </rPr>
          <t>Halfmann, Patrick T (Research):</t>
        </r>
        <r>
          <rPr>
            <sz val="9"/>
            <color indexed="81"/>
            <rFont val="Tahoma"/>
            <family val="2"/>
          </rPr>
          <t xml:space="preserve">
From continuing ops</t>
        </r>
      </text>
    </comment>
    <comment ref="AT16" authorId="3">
      <text>
        <r>
          <rPr>
            <b/>
            <sz val="9"/>
            <color indexed="81"/>
            <rFont val="Tahoma"/>
            <family val="2"/>
          </rPr>
          <t>Kaplan, Toni (Research):</t>
        </r>
        <r>
          <rPr>
            <sz val="9"/>
            <color indexed="81"/>
            <rFont val="Tahoma"/>
            <family val="2"/>
          </rPr>
          <t xml:space="preserve">
adj. for Healthcare change in reporting</t>
        </r>
      </text>
    </comment>
    <comment ref="AU16" authorId="3">
      <text>
        <r>
          <rPr>
            <b/>
            <sz val="9"/>
            <color indexed="81"/>
            <rFont val="Tahoma"/>
            <family val="2"/>
          </rPr>
          <t>Kaplan, Toni (Research):</t>
        </r>
        <r>
          <rPr>
            <sz val="9"/>
            <color indexed="81"/>
            <rFont val="Tahoma"/>
            <family val="2"/>
          </rPr>
          <t xml:space="preserve">
adj. for Healthcare change in reporting</t>
        </r>
      </text>
    </comment>
    <comment ref="AV16" authorId="3">
      <text>
        <r>
          <rPr>
            <b/>
            <sz val="9"/>
            <color indexed="81"/>
            <rFont val="Tahoma"/>
            <family val="2"/>
          </rPr>
          <t>Kaplan, Toni (Research):</t>
        </r>
        <r>
          <rPr>
            <sz val="9"/>
            <color indexed="81"/>
            <rFont val="Tahoma"/>
            <family val="2"/>
          </rPr>
          <t xml:space="preserve">
adj. for Healthcare change in reporting; +5.4% ex. acqs and healthcare segment entirely</t>
        </r>
      </text>
    </comment>
    <comment ref="AW16" authorId="0">
      <text>
        <r>
          <rPr>
            <b/>
            <sz val="9"/>
            <color indexed="81"/>
            <rFont val="Tahoma"/>
            <family val="2"/>
          </rPr>
          <t>Halfmann, Patrick T (Research):</t>
        </r>
        <r>
          <rPr>
            <sz val="9"/>
            <color indexed="81"/>
            <rFont val="Tahoma"/>
            <family val="2"/>
          </rPr>
          <t xml:space="preserve">
Reported pre divestiture</t>
        </r>
      </text>
    </comment>
    <comment ref="AX16" authorId="0">
      <text>
        <r>
          <rPr>
            <b/>
            <sz val="9"/>
            <color indexed="81"/>
            <rFont val="Tahoma"/>
            <family val="2"/>
          </rPr>
          <t>Halfmann, Patrick T (Research):</t>
        </r>
        <r>
          <rPr>
            <sz val="9"/>
            <color indexed="81"/>
            <rFont val="Tahoma"/>
            <family val="2"/>
          </rPr>
          <t xml:space="preserve">
From continuing operations</t>
        </r>
      </text>
    </comment>
    <comment ref="BL16" authorId="1">
      <text>
        <r>
          <rPr>
            <b/>
            <sz val="9"/>
            <color indexed="81"/>
            <rFont val="Tahoma"/>
            <family val="2"/>
          </rPr>
          <t>Russo, Priscilla (Research):</t>
        </r>
        <r>
          <rPr>
            <sz val="9"/>
            <color indexed="81"/>
            <rFont val="Tahoma"/>
            <family val="2"/>
          </rPr>
          <t xml:space="preserve">
4Q17: organic rev in-line with 2H17 (+7%)</t>
        </r>
      </text>
    </comment>
    <comment ref="AQ17" authorId="3">
      <text>
        <r>
          <rPr>
            <b/>
            <sz val="9"/>
            <color indexed="81"/>
            <rFont val="Tahoma"/>
            <family val="2"/>
          </rPr>
          <t>Kaplan, Toni (Research):</t>
        </r>
        <r>
          <rPr>
            <sz val="9"/>
            <color indexed="81"/>
            <rFont val="Tahoma"/>
            <family val="2"/>
          </rPr>
          <t xml:space="preserve">
includes $4.8M in Risk Assessment severance</t>
        </r>
      </text>
    </comment>
    <comment ref="R18" authorId="2">
      <text>
        <r>
          <rPr>
            <b/>
            <sz val="8"/>
            <color indexed="81"/>
            <rFont val="Tahoma"/>
            <family val="2"/>
          </rPr>
          <t>kapltoni:</t>
        </r>
        <r>
          <rPr>
            <sz val="8"/>
            <color indexed="81"/>
            <rFont val="Tahoma"/>
            <family val="2"/>
          </rPr>
          <t xml:space="preserve">
58.9% excluding ESOP charge - $44.4M allocated to COGS (10K p.30)</t>
        </r>
      </text>
    </comment>
    <comment ref="M19" authorId="4">
      <text>
        <r>
          <rPr>
            <b/>
            <sz val="8"/>
            <color indexed="81"/>
            <rFont val="Tahoma"/>
            <family val="2"/>
          </rPr>
          <t>sestein:</t>
        </r>
        <r>
          <rPr>
            <sz val="8"/>
            <color indexed="81"/>
            <rFont val="Tahoma"/>
            <family val="2"/>
          </rPr>
          <t xml:space="preserve">
Going public expenses</t>
        </r>
      </text>
    </comment>
    <comment ref="AN19" authorId="5">
      <text>
        <r>
          <rPr>
            <b/>
            <sz val="9"/>
            <color indexed="81"/>
            <rFont val="Tahoma"/>
            <family val="2"/>
          </rPr>
          <t>Galindo, Denny:</t>
        </r>
        <r>
          <rPr>
            <sz val="9"/>
            <color indexed="81"/>
            <rFont val="Tahoma"/>
            <family val="2"/>
          </rPr>
          <t xml:space="preserve">
$includes $1.4M in consulting anf IT expens of $1.1M offset by $1m decrease in slaaries and benefits </t>
        </r>
      </text>
    </comment>
    <comment ref="AP19" authorId="5">
      <text>
        <r>
          <rPr>
            <b/>
            <sz val="9"/>
            <color indexed="81"/>
            <rFont val="Tahoma"/>
            <family val="2"/>
          </rPr>
          <t>Galindo, Denny:</t>
        </r>
        <r>
          <rPr>
            <sz val="9"/>
            <color indexed="81"/>
            <rFont val="Tahoma"/>
            <family val="2"/>
          </rPr>
          <t xml:space="preserve">
included $2.8M from EVT acqusiition</t>
        </r>
      </text>
    </comment>
    <comment ref="AQ19" authorId="3">
      <text>
        <r>
          <rPr>
            <b/>
            <sz val="9"/>
            <color indexed="81"/>
            <rFont val="Tahoma"/>
            <family val="2"/>
          </rPr>
          <t>Kaplan, Toni (Research):</t>
        </r>
        <r>
          <rPr>
            <sz val="9"/>
            <color indexed="81"/>
            <rFont val="Tahoma"/>
            <family val="2"/>
          </rPr>
          <t xml:space="preserve">
includes $1.7M in fees related to EVT</t>
        </r>
      </text>
    </comment>
    <comment ref="AS19" authorId="3">
      <text>
        <r>
          <rPr>
            <b/>
            <sz val="9"/>
            <color indexed="81"/>
            <rFont val="Tahoma"/>
            <family val="2"/>
          </rPr>
          <t>Kaplan, Toni (Research):</t>
        </r>
        <r>
          <rPr>
            <sz val="9"/>
            <color indexed="81"/>
            <rFont val="Tahoma"/>
            <family val="2"/>
          </rPr>
          <t xml:space="preserve">
includes $4.4M of fees related to Wood Mac</t>
        </r>
      </text>
    </comment>
    <comment ref="R20" authorId="2">
      <text>
        <r>
          <rPr>
            <b/>
            <sz val="8"/>
            <color indexed="81"/>
            <rFont val="Tahoma"/>
            <family val="2"/>
          </rPr>
          <t>kapltoni:</t>
        </r>
        <r>
          <rPr>
            <sz val="8"/>
            <color indexed="81"/>
            <rFont val="Tahoma"/>
            <family val="2"/>
          </rPr>
          <t xml:space="preserve">
14.6% excluding ESOP charge - $13.3M allocated in SG&amp;A (10K p. 31)</t>
        </r>
      </text>
    </comment>
    <comment ref="AE20" authorId="2">
      <text>
        <r>
          <rPr>
            <b/>
            <sz val="8"/>
            <color indexed="81"/>
            <rFont val="Tahoma"/>
            <family val="2"/>
          </rPr>
          <t>kapltoni:</t>
        </r>
        <r>
          <rPr>
            <sz val="8"/>
            <color indexed="81"/>
            <rFont val="Tahoma"/>
            <family val="2"/>
          </rPr>
          <t xml:space="preserve">
integration cost for MC</t>
        </r>
      </text>
    </comment>
    <comment ref="Z24" authorId="2">
      <text>
        <r>
          <rPr>
            <b/>
            <sz val="8"/>
            <color indexed="81"/>
            <rFont val="Tahoma"/>
            <family val="2"/>
          </rPr>
          <t>kapltoni:</t>
        </r>
        <r>
          <rPr>
            <sz val="8"/>
            <color indexed="81"/>
            <rFont val="Tahoma"/>
            <family val="2"/>
          </rPr>
          <t xml:space="preserve">
acquisition related liabilities adjustment</t>
        </r>
      </text>
    </comment>
    <comment ref="AT24" authorId="0">
      <text>
        <r>
          <rPr>
            <b/>
            <sz val="9"/>
            <color indexed="81"/>
            <rFont val="Tahoma"/>
            <family val="2"/>
          </rPr>
          <t>Halfmann, Patrick T (Research):</t>
        </r>
        <r>
          <rPr>
            <sz val="9"/>
            <color indexed="81"/>
            <rFont val="Tahoma"/>
            <family val="2"/>
          </rPr>
          <t xml:space="preserve">
Transaction costs associated with the Wood Mac acquisition</t>
        </r>
      </text>
    </comment>
    <comment ref="BA24" authorId="3">
      <text>
        <r>
          <rPr>
            <b/>
            <sz val="9"/>
            <color indexed="81"/>
            <rFont val="Tahoma"/>
            <family val="2"/>
          </rPr>
          <t>Kaplan, Toni (Research):</t>
        </r>
        <r>
          <rPr>
            <sz val="9"/>
            <color indexed="81"/>
            <rFont val="Tahoma"/>
            <family val="2"/>
          </rPr>
          <t xml:space="preserve">
1x ESOP charge (last one)</t>
        </r>
      </text>
    </comment>
    <comment ref="BF29" authorId="1">
      <text>
        <r>
          <rPr>
            <b/>
            <sz val="9"/>
            <color indexed="81"/>
            <rFont val="Tahoma"/>
            <family val="2"/>
          </rPr>
          <t>Russo, Priscilla (Research):</t>
        </r>
        <r>
          <rPr>
            <sz val="9"/>
            <color indexed="81"/>
            <rFont val="Tahoma"/>
            <family val="2"/>
          </rPr>
          <t xml:space="preserve">
3Q: Aug. acquisitions will contribute ~$5M to EBITDA</t>
        </r>
      </text>
    </comment>
    <comment ref="Z30" authorId="2">
      <text>
        <r>
          <rPr>
            <b/>
            <sz val="8"/>
            <color indexed="81"/>
            <rFont val="Tahoma"/>
            <family val="2"/>
          </rPr>
          <t>kapltoni:</t>
        </r>
        <r>
          <rPr>
            <sz val="8"/>
            <color indexed="81"/>
            <rFont val="Tahoma"/>
            <family val="2"/>
          </rPr>
          <t xml:space="preserve">
adjusted for the $2.2M in accelerated option vesting, would have been 43.5% </t>
        </r>
      </text>
    </comment>
    <comment ref="AR30" authorId="5">
      <text>
        <r>
          <rPr>
            <b/>
            <sz val="9"/>
            <color indexed="81"/>
            <rFont val="Tahoma"/>
            <family val="2"/>
          </rPr>
          <t>Galindo, Denny:</t>
        </r>
        <r>
          <rPr>
            <sz val="9"/>
            <color indexed="81"/>
            <rFont val="Tahoma"/>
            <family val="2"/>
          </rPr>
          <t xml:space="preserve">
4Q13 CC: 45-47%</t>
        </r>
      </text>
    </comment>
    <comment ref="Z33" authorId="2">
      <text>
        <r>
          <rPr>
            <b/>
            <sz val="8"/>
            <color indexed="81"/>
            <rFont val="Tahoma"/>
            <family val="2"/>
          </rPr>
          <t>kapltoni:</t>
        </r>
        <r>
          <rPr>
            <sz val="8"/>
            <color indexed="81"/>
            <rFont val="Tahoma"/>
            <family val="2"/>
          </rPr>
          <t xml:space="preserve">
Includes the benefit of an acquisition related liability adjustment of $3.4M</t>
        </r>
      </text>
    </comment>
    <comment ref="AU33" authorId="0">
      <text>
        <r>
          <rPr>
            <b/>
            <sz val="9"/>
            <color indexed="81"/>
            <rFont val="Tahoma"/>
            <family val="2"/>
          </rPr>
          <t>Halfmann, Patrick T (Research):</t>
        </r>
        <r>
          <rPr>
            <sz val="9"/>
            <color indexed="81"/>
            <rFont val="Tahoma"/>
            <family val="2"/>
          </rPr>
          <t xml:space="preserve">
Includes 15.6M benefit from gain on sale of 3rd party warrants</t>
        </r>
      </text>
    </comment>
    <comment ref="R34" authorId="2">
      <text>
        <r>
          <rPr>
            <b/>
            <sz val="8"/>
            <color indexed="81"/>
            <rFont val="Tahoma"/>
            <family val="2"/>
          </rPr>
          <t>kapltoni:</t>
        </r>
        <r>
          <rPr>
            <sz val="8"/>
            <color indexed="81"/>
            <rFont val="Tahoma"/>
            <family val="2"/>
          </rPr>
          <t xml:space="preserve">
included $2M insurance recovery and temporary reduction in 401k match of $1.8M</t>
        </r>
      </text>
    </comment>
    <comment ref="AK34" authorId="4">
      <text>
        <r>
          <rPr>
            <b/>
            <sz val="8"/>
            <color indexed="81"/>
            <rFont val="Tahoma"/>
            <family val="2"/>
          </rPr>
          <t>sestein: 3Q13</t>
        </r>
        <r>
          <rPr>
            <sz val="8"/>
            <color indexed="81"/>
            <rFont val="Tahoma"/>
            <family val="2"/>
          </rPr>
          <t xml:space="preserve">
Expect this to be the high water mark for margins, will spend on innovation</t>
        </r>
      </text>
    </comment>
    <comment ref="AM34" authorId="6">
      <text>
        <r>
          <rPr>
            <b/>
            <sz val="8"/>
            <color indexed="81"/>
            <rFont val="Tahoma"/>
            <family val="2"/>
          </rPr>
          <t>dennyg:</t>
        </r>
        <r>
          <rPr>
            <sz val="8"/>
            <color indexed="81"/>
            <rFont val="Tahoma"/>
            <family val="2"/>
          </rPr>
          <t xml:space="preserve">
3Q13 feel confident we will be near the top fo the 43-45% range</t>
        </r>
      </text>
    </comment>
    <comment ref="AR34" authorId="7">
      <text>
        <r>
          <rPr>
            <b/>
            <sz val="9"/>
            <color indexed="81"/>
            <rFont val="Tahoma"/>
            <family val="2"/>
          </rPr>
          <t>kapltoni:</t>
        </r>
        <r>
          <rPr>
            <sz val="9"/>
            <color indexed="81"/>
            <rFont val="Tahoma"/>
            <family val="2"/>
          </rPr>
          <t xml:space="preserve"> 46.6% ex. $6.9M of legal fees from EVT and 4.8M of Risk Assessment severance</t>
        </r>
        <r>
          <rPr>
            <b/>
            <sz val="9"/>
            <color indexed="81"/>
            <rFont val="Tahoma"/>
            <family val="2"/>
          </rPr>
          <t xml:space="preserve">
Elmaghrabi, Sherif:</t>
        </r>
        <r>
          <rPr>
            <sz val="9"/>
            <color indexed="81"/>
            <rFont val="Tahoma"/>
            <family val="2"/>
          </rPr>
          <t xml:space="preserve">
3Q13 Call: Margins in 2014 &amp; forward will likely stay in the current range"</t>
        </r>
      </text>
    </comment>
    <comment ref="AW34" authorId="3">
      <text>
        <r>
          <rPr>
            <b/>
            <sz val="9"/>
            <color indexed="81"/>
            <rFont val="Tahoma"/>
            <family val="2"/>
          </rPr>
          <t>Kaplan, Toni (Research):</t>
        </r>
        <r>
          <rPr>
            <sz val="9"/>
            <color indexed="81"/>
            <rFont val="Tahoma"/>
            <family val="2"/>
          </rPr>
          <t xml:space="preserve">
90bps from not booking the healthcare pass-through revenue</t>
        </r>
      </text>
    </comment>
    <comment ref="BC34" authorId="8">
      <text>
        <r>
          <rPr>
            <b/>
            <sz val="9"/>
            <color indexed="81"/>
            <rFont val="Tahoma"/>
            <family val="2"/>
          </rPr>
          <t>Halfmann, Patrick (Research):</t>
        </r>
        <r>
          <rPr>
            <sz val="9"/>
            <color indexed="81"/>
            <rFont val="Tahoma"/>
            <family val="2"/>
          </rPr>
          <t xml:space="preserve">
4Q: FX, inclusion of low-margin acquired revenue, hiring in RA will weigh on 1H17 margins; should see margins progress throughout year</t>
        </r>
      </text>
    </comment>
    <comment ref="BE34" authorId="1">
      <text>
        <r>
          <rPr>
            <b/>
            <sz val="9"/>
            <color indexed="81"/>
            <rFont val="Tahoma"/>
            <family val="2"/>
          </rPr>
          <t>Russo, Priscilla (Research):</t>
        </r>
        <r>
          <rPr>
            <sz val="9"/>
            <color indexed="81"/>
            <rFont val="Tahoma"/>
            <family val="2"/>
          </rPr>
          <t xml:space="preserve">
acquisitions and related fees had a -230bps effect on margins; storm benefited margins</t>
        </r>
      </text>
    </comment>
    <comment ref="BF34" authorId="1">
      <text>
        <r>
          <rPr>
            <b/>
            <sz val="9"/>
            <color indexed="81"/>
            <rFont val="Tahoma"/>
            <family val="2"/>
          </rPr>
          <t>4Q17: Aug acquisitions: 36% margins</t>
        </r>
        <r>
          <rPr>
            <sz val="9"/>
            <color indexed="81"/>
            <rFont val="Tahoma"/>
            <family val="2"/>
          </rPr>
          <t xml:space="preserve">
3Q: expect similar neg effect on margins from acquisitions and fees seen in 3Q (-230bps)</t>
        </r>
      </text>
    </comment>
    <comment ref="BL34" authorId="1">
      <text>
        <r>
          <rPr>
            <b/>
            <sz val="9"/>
            <color indexed="81"/>
            <rFont val="Tahoma"/>
            <family val="2"/>
          </rPr>
          <t>Russo, Priscilla (Research):</t>
        </r>
        <r>
          <rPr>
            <sz val="9"/>
            <color indexed="81"/>
            <rFont val="Tahoma"/>
            <family val="2"/>
          </rPr>
          <t xml:space="preserve">
4Q18: acquisitions will have dilutive impact on margins; includes reinvestment of cash from tax reform</t>
        </r>
      </text>
    </comment>
    <comment ref="AU35" authorId="0">
      <text>
        <r>
          <rPr>
            <b/>
            <sz val="9"/>
            <color indexed="81"/>
            <rFont val="Tahoma"/>
            <family val="2"/>
          </rPr>
          <t>Halfmann, Patrick T (Research):</t>
        </r>
        <r>
          <rPr>
            <sz val="9"/>
            <color indexed="81"/>
            <rFont val="Tahoma"/>
            <family val="2"/>
          </rPr>
          <t xml:space="preserve">
ex. acq and 15.6M gain on sale, adj. EBITDA up 7.2% y/y</t>
        </r>
      </text>
    </comment>
    <comment ref="AX35" authorId="0">
      <text>
        <r>
          <rPr>
            <b/>
            <sz val="9"/>
            <color indexed="81"/>
            <rFont val="Tahoma"/>
            <family val="2"/>
          </rPr>
          <t>Halfmann, Patrick T (Research):</t>
        </r>
        <r>
          <rPr>
            <sz val="9"/>
            <color indexed="81"/>
            <rFont val="Tahoma"/>
            <family val="2"/>
          </rPr>
          <t xml:space="preserve">
From continuing ops</t>
        </r>
      </text>
    </comment>
    <comment ref="AY35" authorId="0">
      <text>
        <r>
          <rPr>
            <b/>
            <sz val="9"/>
            <color indexed="81"/>
            <rFont val="Tahoma"/>
            <family val="2"/>
          </rPr>
          <t>Halfmann, Patrick T (Research):</t>
        </r>
        <r>
          <rPr>
            <sz val="9"/>
            <color indexed="81"/>
            <rFont val="Tahoma"/>
            <family val="2"/>
          </rPr>
          <t xml:space="preserve">
From continuing ops</t>
        </r>
      </text>
    </comment>
    <comment ref="AZ35" authorId="0">
      <text>
        <r>
          <rPr>
            <b/>
            <sz val="9"/>
            <color indexed="81"/>
            <rFont val="Tahoma"/>
            <family val="2"/>
          </rPr>
          <t>Halfmann, Patrick T (Research):</t>
        </r>
        <r>
          <rPr>
            <sz val="9"/>
            <color indexed="81"/>
            <rFont val="Tahoma"/>
            <family val="2"/>
          </rPr>
          <t xml:space="preserve">
From continuing ops</t>
        </r>
      </text>
    </comment>
    <comment ref="BA35" authorId="0">
      <text>
        <r>
          <rPr>
            <b/>
            <sz val="9"/>
            <color indexed="81"/>
            <rFont val="Tahoma"/>
            <family val="2"/>
          </rPr>
          <t>Halfmann, Patrick T (Research):</t>
        </r>
        <r>
          <rPr>
            <sz val="9"/>
            <color indexed="81"/>
            <rFont val="Tahoma"/>
            <family val="2"/>
          </rPr>
          <t xml:space="preserve">
From continuing ops</t>
        </r>
      </text>
    </comment>
    <comment ref="BB35" authorId="0">
      <text>
        <r>
          <rPr>
            <b/>
            <sz val="9"/>
            <color indexed="81"/>
            <rFont val="Tahoma"/>
            <family val="2"/>
          </rPr>
          <t>Halfmann, Patrick T (Research):</t>
        </r>
        <r>
          <rPr>
            <sz val="9"/>
            <color indexed="81"/>
            <rFont val="Tahoma"/>
            <family val="2"/>
          </rPr>
          <t xml:space="preserve">
From continuing ops</t>
        </r>
      </text>
    </comment>
    <comment ref="BF35" authorId="3">
      <text>
        <r>
          <rPr>
            <sz val="9"/>
            <color indexed="81"/>
            <rFont val="Tahoma"/>
            <family val="2"/>
          </rPr>
          <t>organic ~5%</t>
        </r>
      </text>
    </comment>
    <comment ref="BL35" authorId="1">
      <text>
        <r>
          <rPr>
            <b/>
            <sz val="9"/>
            <color indexed="81"/>
            <rFont val="Tahoma"/>
            <family val="2"/>
          </rPr>
          <t>Russo, Priscilla (Research):</t>
        </r>
        <r>
          <rPr>
            <sz val="9"/>
            <color indexed="81"/>
            <rFont val="Tahoma"/>
            <family val="2"/>
          </rPr>
          <t xml:space="preserve">
4Q17: Organic EBITDA growth will be greater than org. rev growth (+7%)</t>
        </r>
      </text>
    </comment>
    <comment ref="AR38" authorId="5">
      <text>
        <r>
          <rPr>
            <b/>
            <sz val="9"/>
            <color indexed="81"/>
            <rFont val="Tahoma"/>
            <family val="2"/>
          </rPr>
          <t>Galindo, Denny:</t>
        </r>
        <r>
          <rPr>
            <sz val="9"/>
            <color indexed="81"/>
            <rFont val="Tahoma"/>
            <family val="2"/>
          </rPr>
          <t xml:space="preserve">
4Q13 CC: $75-80M</t>
        </r>
      </text>
    </comment>
    <comment ref="AW38" authorId="3">
      <text>
        <r>
          <rPr>
            <b/>
            <sz val="9"/>
            <color indexed="81"/>
            <rFont val="Tahoma"/>
            <family val="2"/>
          </rPr>
          <t>Kaplan, Toni (Research):</t>
        </r>
        <r>
          <rPr>
            <sz val="9"/>
            <color indexed="81"/>
            <rFont val="Tahoma"/>
            <family val="2"/>
          </rPr>
          <t xml:space="preserve">
2Q: $125M
</t>
        </r>
        <r>
          <rPr>
            <b/>
            <sz val="9"/>
            <color indexed="81"/>
            <rFont val="Tahoma"/>
            <family val="2"/>
          </rPr>
          <t xml:space="preserve">5/19/15: </t>
        </r>
        <r>
          <rPr>
            <sz val="9"/>
            <color indexed="81"/>
            <rFont val="Tahoma"/>
            <family val="2"/>
          </rPr>
          <t>$120-125M
prior: $100M</t>
        </r>
      </text>
    </comment>
    <comment ref="BB38" authorId="0">
      <text>
        <r>
          <rPr>
            <b/>
            <sz val="9"/>
            <color indexed="81"/>
            <rFont val="Tahoma"/>
            <family val="2"/>
          </rPr>
          <t xml:space="preserve">Kaplan, Toni:
</t>
        </r>
        <r>
          <rPr>
            <sz val="9"/>
            <color indexed="81"/>
            <rFont val="Tahoma"/>
            <family val="2"/>
          </rPr>
          <t>3Q: $125</t>
        </r>
        <r>
          <rPr>
            <b/>
            <sz val="9"/>
            <color indexed="81"/>
            <rFont val="Tahoma"/>
            <family val="2"/>
          </rPr>
          <t xml:space="preserve">
</t>
        </r>
        <r>
          <rPr>
            <sz val="9"/>
            <color indexed="81"/>
            <rFont val="Tahoma"/>
            <family val="2"/>
          </rPr>
          <t>2Q: 132M</t>
        </r>
      </text>
    </comment>
    <comment ref="BG38" authorId="8">
      <text>
        <r>
          <rPr>
            <sz val="9"/>
            <color indexed="81"/>
            <rFont val="Tahoma"/>
            <family val="2"/>
          </rPr>
          <t>3Q: $135M
2Q: $140M
1Q: $130-135M
4Q: $125M</t>
        </r>
      </text>
    </comment>
    <comment ref="BL38" authorId="1">
      <text>
        <r>
          <rPr>
            <b/>
            <sz val="9"/>
            <color indexed="81"/>
            <rFont val="Tahoma"/>
            <family val="2"/>
          </rPr>
          <t>Russo, Priscilla (Research):</t>
        </r>
        <r>
          <rPr>
            <sz val="9"/>
            <color indexed="81"/>
            <rFont val="Tahoma"/>
            <family val="2"/>
          </rPr>
          <t xml:space="preserve">
4Q17: $150-160M</t>
        </r>
      </text>
    </comment>
    <comment ref="AH39" authorId="2">
      <text>
        <r>
          <rPr>
            <b/>
            <sz val="8"/>
            <color indexed="81"/>
            <rFont val="Tahoma"/>
            <family val="2"/>
          </rPr>
          <t>kapltoni:</t>
        </r>
        <r>
          <rPr>
            <sz val="8"/>
            <color indexed="81"/>
            <rFont val="Tahoma"/>
            <family val="2"/>
          </rPr>
          <t xml:space="preserve">
10Q $24M + $21M already incurred + $5M for Argus in '12</t>
        </r>
      </text>
    </comment>
    <comment ref="AM39" authorId="2">
      <text>
        <r>
          <rPr>
            <b/>
            <sz val="8"/>
            <color indexed="81"/>
            <rFont val="Tahoma"/>
            <family val="2"/>
          </rPr>
          <t>Q113: Estimate is $64M for the year</t>
        </r>
      </text>
    </comment>
    <comment ref="AR39" authorId="5">
      <text>
        <r>
          <rPr>
            <b/>
            <sz val="9"/>
            <color indexed="81"/>
            <rFont val="Tahoma"/>
            <family val="2"/>
          </rPr>
          <t>Galindo, Denny:</t>
        </r>
        <r>
          <rPr>
            <sz val="9"/>
            <color indexed="81"/>
            <rFont val="Tahoma"/>
            <family val="2"/>
          </rPr>
          <t xml:space="preserve">
4Q13 CC: Amort of $57M </t>
        </r>
      </text>
    </comment>
    <comment ref="AW39" authorId="2">
      <text>
        <r>
          <rPr>
            <b/>
            <sz val="8"/>
            <color indexed="81"/>
            <rFont val="Tahoma"/>
            <family val="2"/>
          </rPr>
          <t>kapltoni:</t>
        </r>
        <r>
          <rPr>
            <sz val="8"/>
            <color indexed="81"/>
            <rFont val="Tahoma"/>
            <family val="2"/>
          </rPr>
          <t xml:space="preserve">
3Q: $125M
2Q: $145M
$135-140 incl WM</t>
        </r>
      </text>
    </comment>
    <comment ref="AY39" authorId="0">
      <text>
        <r>
          <rPr>
            <b/>
            <sz val="9"/>
            <color indexed="81"/>
            <rFont val="Tahoma"/>
            <family val="2"/>
          </rPr>
          <t>Halfmann, Patrick T (Research):</t>
        </r>
        <r>
          <rPr>
            <sz val="9"/>
            <color indexed="81"/>
            <rFont val="Tahoma"/>
            <family val="2"/>
          </rPr>
          <t xml:space="preserve">
1Q16 10Q</t>
        </r>
      </text>
    </comment>
    <comment ref="AZ39" authorId="0">
      <text>
        <r>
          <rPr>
            <b/>
            <sz val="9"/>
            <color indexed="81"/>
            <rFont val="Tahoma"/>
            <family val="2"/>
          </rPr>
          <t>Halfmann, Patrick T (Research):</t>
        </r>
        <r>
          <rPr>
            <sz val="9"/>
            <color indexed="81"/>
            <rFont val="Tahoma"/>
            <family val="2"/>
          </rPr>
          <t xml:space="preserve">
2Q16: $95M
1Q16 10Q</t>
        </r>
      </text>
    </comment>
    <comment ref="BE39" authorId="8">
      <text>
        <r>
          <rPr>
            <b/>
            <sz val="9"/>
            <color indexed="81"/>
            <rFont val="Tahoma"/>
            <family val="2"/>
          </rPr>
          <t>Halfmann, Patrick (Research):</t>
        </r>
        <r>
          <rPr>
            <sz val="9"/>
            <color indexed="81"/>
            <rFont val="Tahoma"/>
            <family val="2"/>
          </rPr>
          <t xml:space="preserve">
2Q17 10Q</t>
        </r>
      </text>
    </comment>
    <comment ref="BG39" authorId="3">
      <text>
        <r>
          <rPr>
            <b/>
            <sz val="9"/>
            <color indexed="81"/>
            <rFont val="Tahoma"/>
            <family val="2"/>
          </rPr>
          <t>Kaplan, Toni (Research):</t>
        </r>
        <r>
          <rPr>
            <sz val="9"/>
            <color indexed="81"/>
            <rFont val="Tahoma"/>
            <family val="2"/>
          </rPr>
          <t xml:space="preserve">
$105</t>
        </r>
      </text>
    </comment>
    <comment ref="BH39" authorId="3">
      <text>
        <r>
          <rPr>
            <b/>
            <sz val="9"/>
            <color indexed="81"/>
            <rFont val="Tahoma"/>
            <family val="2"/>
          </rPr>
          <t>Kaplan, Toni (Research):</t>
        </r>
        <r>
          <rPr>
            <sz val="9"/>
            <color indexed="81"/>
            <rFont val="Tahoma"/>
            <family val="2"/>
          </rPr>
          <t xml:space="preserve">
10-Q</t>
        </r>
      </text>
    </comment>
    <comment ref="BL39" authorId="1">
      <text>
        <r>
          <rPr>
            <b/>
            <sz val="9"/>
            <color indexed="81"/>
            <rFont val="Tahoma"/>
            <family val="2"/>
          </rPr>
          <t>4Q17: $130M</t>
        </r>
        <r>
          <rPr>
            <sz val="9"/>
            <color indexed="81"/>
            <rFont val="Tahoma"/>
            <family val="2"/>
          </rPr>
          <t xml:space="preserve">
2017 10K: $129.1M
</t>
        </r>
      </text>
    </comment>
    <comment ref="BM39" authorId="3">
      <text>
        <r>
          <rPr>
            <b/>
            <sz val="9"/>
            <color indexed="81"/>
            <rFont val="Tahoma"/>
            <family val="2"/>
          </rPr>
          <t>Kaplan, Toni (Research):</t>
        </r>
        <r>
          <rPr>
            <sz val="9"/>
            <color indexed="81"/>
            <rFont val="Tahoma"/>
            <family val="2"/>
          </rPr>
          <t xml:space="preserve">
10-Q</t>
        </r>
      </text>
    </comment>
    <comment ref="BQ39" authorId="1">
      <text>
        <r>
          <rPr>
            <b/>
            <sz val="9"/>
            <color indexed="81"/>
            <rFont val="Tahoma"/>
            <family val="2"/>
          </rPr>
          <t>Russo, Priscilla (Research):</t>
        </r>
        <r>
          <rPr>
            <sz val="9"/>
            <color indexed="81"/>
            <rFont val="Tahoma"/>
            <family val="2"/>
          </rPr>
          <t xml:space="preserve">
2017 10K: $128.2M
</t>
        </r>
      </text>
    </comment>
    <comment ref="BR39" authorId="3">
      <text>
        <r>
          <rPr>
            <b/>
            <sz val="9"/>
            <color indexed="81"/>
            <rFont val="Tahoma"/>
            <family val="2"/>
          </rPr>
          <t>Kaplan, Toni (Research):</t>
        </r>
        <r>
          <rPr>
            <sz val="9"/>
            <color indexed="81"/>
            <rFont val="Tahoma"/>
            <family val="2"/>
          </rPr>
          <t xml:space="preserve">
10-Q</t>
        </r>
      </text>
    </comment>
    <comment ref="BV39" authorId="1">
      <text>
        <r>
          <rPr>
            <b/>
            <sz val="9"/>
            <color indexed="81"/>
            <rFont val="Tahoma"/>
            <family val="2"/>
          </rPr>
          <t>Russo, Priscilla (Research):</t>
        </r>
        <r>
          <rPr>
            <sz val="9"/>
            <color indexed="81"/>
            <rFont val="Tahoma"/>
            <family val="2"/>
          </rPr>
          <t xml:space="preserve">
2017 10K: $126M
</t>
        </r>
      </text>
    </comment>
    <comment ref="BW39" authorId="3">
      <text>
        <r>
          <rPr>
            <b/>
            <sz val="9"/>
            <color indexed="81"/>
            <rFont val="Tahoma"/>
            <family val="2"/>
          </rPr>
          <t>Kaplan, Toni (Research):</t>
        </r>
        <r>
          <rPr>
            <sz val="9"/>
            <color indexed="81"/>
            <rFont val="Tahoma"/>
            <family val="2"/>
          </rPr>
          <t xml:space="preserve">
10-Q</t>
        </r>
      </text>
    </comment>
    <comment ref="CA39" authorId="1">
      <text>
        <r>
          <rPr>
            <b/>
            <sz val="9"/>
            <color indexed="81"/>
            <rFont val="Tahoma"/>
            <family val="2"/>
          </rPr>
          <t>Russo, Priscilla (Research):</t>
        </r>
        <r>
          <rPr>
            <sz val="9"/>
            <color indexed="81"/>
            <rFont val="Tahoma"/>
            <family val="2"/>
          </rPr>
          <t xml:space="preserve">
2017 10K: $115.5M
</t>
        </r>
      </text>
    </comment>
    <comment ref="AN46" authorId="5">
      <text>
        <r>
          <rPr>
            <b/>
            <sz val="9"/>
            <color indexed="81"/>
            <rFont val="Tahoma"/>
            <family val="2"/>
          </rPr>
          <t>Galindo, Denny:</t>
        </r>
        <r>
          <rPr>
            <sz val="9"/>
            <color indexed="81"/>
            <rFont val="Tahoma"/>
            <family val="2"/>
          </rPr>
          <t xml:space="preserve">
$17-18M per qtr</t>
        </r>
      </text>
    </comment>
    <comment ref="AW46" authorId="3">
      <text>
        <r>
          <rPr>
            <b/>
            <sz val="9"/>
            <color indexed="81"/>
            <rFont val="Tahoma"/>
            <family val="2"/>
          </rPr>
          <t>Kaplan, Toni (Research):</t>
        </r>
        <r>
          <rPr>
            <sz val="9"/>
            <color indexed="81"/>
            <rFont val="Tahoma"/>
            <family val="2"/>
          </rPr>
          <t xml:space="preserve">
2Q: $110M ex make whole fees
guid $122.7M </t>
        </r>
      </text>
    </comment>
    <comment ref="BB46" authorId="0">
      <text>
        <r>
          <rPr>
            <b/>
            <sz val="9"/>
            <color indexed="81"/>
            <rFont val="Tahoma"/>
            <family val="2"/>
          </rPr>
          <t>Halfmann, Patrick T (Research):</t>
        </r>
        <r>
          <rPr>
            <sz val="9"/>
            <color indexed="81"/>
            <rFont val="Tahoma"/>
            <family val="2"/>
          </rPr>
          <t xml:space="preserve">
3Q: $120M
2Q: $120M</t>
        </r>
      </text>
    </comment>
    <comment ref="BG46" authorId="8">
      <text>
        <r>
          <rPr>
            <sz val="9"/>
            <color indexed="81"/>
            <rFont val="Tahoma"/>
            <family val="2"/>
          </rPr>
          <t>3Q: $119M
2Q: $115M
1Q: $113M 
4Q: $115M net</t>
        </r>
      </text>
    </comment>
    <comment ref="AU47" authorId="0">
      <text>
        <r>
          <rPr>
            <b/>
            <sz val="9"/>
            <color indexed="81"/>
            <rFont val="Tahoma"/>
            <family val="2"/>
          </rPr>
          <t>Halfmann, Patrick T (Research):</t>
        </r>
        <r>
          <rPr>
            <sz val="9"/>
            <color indexed="81"/>
            <rFont val="Tahoma"/>
            <family val="2"/>
          </rPr>
          <t xml:space="preserve">
Includes investment income</t>
        </r>
      </text>
    </comment>
    <comment ref="BA50" authorId="3">
      <text>
        <r>
          <rPr>
            <b/>
            <sz val="9"/>
            <color indexed="81"/>
            <rFont val="Tahoma"/>
            <family val="2"/>
          </rPr>
          <t>Kaplan, Toni (Research):</t>
        </r>
        <r>
          <rPr>
            <sz val="9"/>
            <color indexed="81"/>
            <rFont val="Tahoma"/>
            <family val="2"/>
          </rPr>
          <t xml:space="preserve">
adds back the ESOP charge to pre-tax income, like in 2009</t>
        </r>
      </text>
    </comment>
    <comment ref="A54" authorId="2">
      <text>
        <r>
          <rPr>
            <b/>
            <sz val="8"/>
            <color indexed="81"/>
            <rFont val="Tahoma"/>
            <family val="2"/>
          </rPr>
          <t>kapltoni:</t>
        </r>
        <r>
          <rPr>
            <sz val="8"/>
            <color indexed="81"/>
            <rFont val="Tahoma"/>
            <family val="2"/>
          </rPr>
          <t xml:space="preserve">
includes ESOP</t>
        </r>
      </text>
    </comment>
    <comment ref="AY55" authorId="0">
      <text>
        <r>
          <rPr>
            <b/>
            <sz val="9"/>
            <color indexed="81"/>
            <rFont val="Tahoma"/>
            <family val="2"/>
          </rPr>
          <t>Halfmann, Patrick T (Research):</t>
        </r>
        <r>
          <rPr>
            <sz val="9"/>
            <color indexed="81"/>
            <rFont val="Tahoma"/>
            <family val="2"/>
          </rPr>
          <t xml:space="preserve">
Related to net gain on sale from Healthcare </t>
        </r>
      </text>
    </comment>
    <comment ref="A58" authorId="2">
      <text>
        <r>
          <rPr>
            <b/>
            <sz val="8"/>
            <color indexed="81"/>
            <rFont val="Tahoma"/>
            <family val="2"/>
          </rPr>
          <t>kapltoni:</t>
        </r>
        <r>
          <rPr>
            <sz val="8"/>
            <color indexed="81"/>
            <rFont val="Tahoma"/>
            <family val="2"/>
          </rPr>
          <t xml:space="preserve">
incl. extra. items and ESOP</t>
        </r>
      </text>
    </comment>
    <comment ref="A59" authorId="2">
      <text>
        <r>
          <rPr>
            <b/>
            <sz val="8"/>
            <color indexed="81"/>
            <rFont val="Tahoma"/>
            <family val="2"/>
          </rPr>
          <t>kapltoni:</t>
        </r>
        <r>
          <rPr>
            <sz val="8"/>
            <color indexed="81"/>
            <rFont val="Tahoma"/>
            <family val="2"/>
          </rPr>
          <t xml:space="preserve">
excl ESOP &amp; extra. items</t>
        </r>
      </text>
    </comment>
    <comment ref="A61" authorId="2">
      <text>
        <r>
          <rPr>
            <b/>
            <sz val="8"/>
            <color indexed="81"/>
            <rFont val="Tahoma"/>
            <family val="2"/>
          </rPr>
          <t>kapltoni:</t>
        </r>
        <r>
          <rPr>
            <sz val="8"/>
            <color indexed="81"/>
            <rFont val="Tahoma"/>
            <family val="2"/>
          </rPr>
          <t xml:space="preserve">
excl. ESOP &amp; extra. items, incl. amort.</t>
        </r>
      </text>
    </comment>
    <comment ref="R61" authorId="2">
      <text>
        <r>
          <rPr>
            <b/>
            <sz val="8"/>
            <color indexed="81"/>
            <rFont val="Tahoma"/>
            <family val="2"/>
          </rPr>
          <t>kapltoni:</t>
        </r>
        <r>
          <rPr>
            <sz val="8"/>
            <color indexed="81"/>
            <rFont val="Tahoma"/>
            <family val="2"/>
          </rPr>
          <t xml:space="preserve">
minority investment impairment of $1.172</t>
        </r>
      </text>
    </comment>
    <comment ref="T61" authorId="2">
      <text>
        <r>
          <rPr>
            <b/>
            <sz val="8"/>
            <color indexed="81"/>
            <rFont val="Tahoma"/>
            <family val="2"/>
          </rPr>
          <t>kapltoni:</t>
        </r>
        <r>
          <rPr>
            <sz val="8"/>
            <color indexed="81"/>
            <rFont val="Tahoma"/>
            <family val="2"/>
          </rPr>
          <t xml:space="preserve">
Reduction in Medicare subsidy tax benefit</t>
        </r>
      </text>
    </comment>
    <comment ref="V61" authorId="2">
      <text>
        <r>
          <rPr>
            <b/>
            <sz val="8"/>
            <color indexed="81"/>
            <rFont val="Tahoma"/>
            <family val="2"/>
          </rPr>
          <t>kapltoni:</t>
        </r>
        <r>
          <rPr>
            <sz val="8"/>
            <color indexed="81"/>
            <rFont val="Tahoma"/>
            <family val="2"/>
          </rPr>
          <t xml:space="preserve">
amortization above includes a $.544M acquisition related liabilities adjustment which is backed out here</t>
        </r>
      </text>
    </comment>
    <comment ref="X61" authorId="2">
      <text>
        <r>
          <rPr>
            <b/>
            <sz val="8"/>
            <color indexed="81"/>
            <rFont val="Tahoma"/>
            <family val="2"/>
          </rPr>
          <t>kapltoni:</t>
        </r>
        <r>
          <rPr>
            <sz val="8"/>
            <color indexed="81"/>
            <rFont val="Tahoma"/>
            <family val="2"/>
          </rPr>
          <t xml:space="preserve">
amortization above includes a $.544M acquisition related liabilities adjustment which is backed out here
Medicare subsidy</t>
        </r>
      </text>
    </comment>
    <comment ref="AV61" authorId="3">
      <text>
        <r>
          <rPr>
            <b/>
            <sz val="9"/>
            <color indexed="81"/>
            <rFont val="Tahoma"/>
            <family val="2"/>
          </rPr>
          <t>Kaplan, Toni (Research):</t>
        </r>
        <r>
          <rPr>
            <sz val="9"/>
            <color indexed="81"/>
            <rFont val="Tahoma"/>
            <family val="2"/>
          </rPr>
          <t xml:space="preserve">
26% tax rate on amort provided in 2Q call</t>
        </r>
      </text>
    </comment>
    <comment ref="BA61" authorId="8">
      <text>
        <r>
          <rPr>
            <b/>
            <sz val="9"/>
            <color indexed="81"/>
            <rFont val="Tahoma"/>
            <family val="2"/>
          </rPr>
          <t>Halfmann, Patrick (Research):</t>
        </r>
        <r>
          <rPr>
            <sz val="9"/>
            <color indexed="81"/>
            <rFont val="Tahoma"/>
            <family val="2"/>
          </rPr>
          <t xml:space="preserve">
incl. 18.8M ESOP charge</t>
        </r>
      </text>
    </comment>
    <comment ref="BG61" authorId="8">
      <text>
        <r>
          <rPr>
            <sz val="9"/>
            <color indexed="81"/>
            <rFont val="Tahoma"/>
            <family val="2"/>
          </rPr>
          <t>3Q17: 26% to benchmark 
4Q: Still expecting 26% rate for amortization add back</t>
        </r>
      </text>
    </comment>
    <comment ref="A63" authorId="2">
      <text>
        <r>
          <rPr>
            <b/>
            <sz val="8"/>
            <color indexed="81"/>
            <rFont val="Tahoma"/>
            <family val="2"/>
          </rPr>
          <t>kapltoni:</t>
        </r>
        <r>
          <rPr>
            <sz val="8"/>
            <color indexed="81"/>
            <rFont val="Tahoma"/>
            <family val="2"/>
          </rPr>
          <t xml:space="preserve">
adding the outst shares in the balance sheet F-2</t>
        </r>
      </text>
    </comment>
    <comment ref="AQ63" authorId="3">
      <text>
        <r>
          <rPr>
            <b/>
            <sz val="9"/>
            <color indexed="81"/>
            <rFont val="Tahoma"/>
            <family val="2"/>
          </rPr>
          <t>Kaplan, Toni (Research):</t>
        </r>
        <r>
          <rPr>
            <sz val="9"/>
            <color indexed="81"/>
            <rFont val="Tahoma"/>
            <family val="2"/>
          </rPr>
          <t xml:space="preserve">
received 80% of shares</t>
        </r>
      </text>
    </comment>
    <comment ref="A64" authorId="2">
      <text>
        <r>
          <rPr>
            <b/>
            <sz val="8"/>
            <color indexed="81"/>
            <rFont val="Tahoma"/>
            <family val="2"/>
          </rPr>
          <t>kapltoni:</t>
        </r>
        <r>
          <rPr>
            <sz val="8"/>
            <color indexed="81"/>
            <rFont val="Tahoma"/>
            <family val="2"/>
          </rPr>
          <t xml:space="preserve">
S-1 p.9</t>
        </r>
      </text>
    </comment>
    <comment ref="AW67" authorId="3">
      <text>
        <r>
          <rPr>
            <b/>
            <sz val="9"/>
            <color indexed="81"/>
            <rFont val="Tahoma"/>
            <family val="2"/>
          </rPr>
          <t>Kaplan, Toni (Research):</t>
        </r>
        <r>
          <rPr>
            <sz val="9"/>
            <color indexed="81"/>
            <rFont val="Tahoma"/>
            <family val="2"/>
          </rPr>
          <t xml:space="preserve">
2Q: 169M</t>
        </r>
      </text>
    </comment>
    <comment ref="BB67" authorId="0">
      <text>
        <r>
          <rPr>
            <b/>
            <sz val="9"/>
            <color indexed="81"/>
            <rFont val="Tahoma"/>
            <family val="2"/>
          </rPr>
          <t>Halfmann, Patrick T (Research):</t>
        </r>
        <r>
          <rPr>
            <sz val="9"/>
            <color indexed="81"/>
            <rFont val="Tahoma"/>
            <family val="2"/>
          </rPr>
          <t xml:space="preserve">
2Q: 172M w/o incremental repurchases</t>
        </r>
      </text>
    </comment>
    <comment ref="BG67" authorId="8">
      <text>
        <r>
          <rPr>
            <sz val="9"/>
            <color indexed="81"/>
            <rFont val="Tahoma"/>
            <family val="2"/>
          </rPr>
          <t>3Q: 168-169M
2Q: 169-170M
4Q: 171.2 DSO assuming no repurchases</t>
        </r>
      </text>
    </comment>
    <comment ref="A68" authorId="2">
      <text>
        <r>
          <rPr>
            <b/>
            <sz val="8"/>
            <color indexed="81"/>
            <rFont val="Tahoma"/>
            <family val="2"/>
          </rPr>
          <t>kapltoni:</t>
        </r>
        <r>
          <rPr>
            <sz val="8"/>
            <color indexed="81"/>
            <rFont val="Tahoma"/>
            <family val="2"/>
          </rPr>
          <t xml:space="preserve">
incl. ESOP, but excl. extra. items</t>
        </r>
      </text>
    </comment>
    <comment ref="A69" authorId="2">
      <text>
        <r>
          <rPr>
            <b/>
            <sz val="8"/>
            <color indexed="81"/>
            <rFont val="Tahoma"/>
            <family val="2"/>
          </rPr>
          <t>kapltoni:</t>
        </r>
        <r>
          <rPr>
            <sz val="8"/>
            <color indexed="81"/>
            <rFont val="Tahoma"/>
            <family val="2"/>
          </rPr>
          <t xml:space="preserve">
incl. ESOP &amp; extra. items</t>
        </r>
      </text>
    </comment>
    <comment ref="A70" authorId="2">
      <text>
        <r>
          <rPr>
            <b/>
            <sz val="8"/>
            <color indexed="81"/>
            <rFont val="Tahoma"/>
            <family val="2"/>
          </rPr>
          <t>kapltoni:</t>
        </r>
        <r>
          <rPr>
            <sz val="8"/>
            <color indexed="81"/>
            <rFont val="Tahoma"/>
            <family val="2"/>
          </rPr>
          <t xml:space="preserve">
excl. ESOP &amp; extra. items</t>
        </r>
      </text>
    </comment>
    <comment ref="A71" authorId="2">
      <text>
        <r>
          <rPr>
            <b/>
            <sz val="8"/>
            <color indexed="81"/>
            <rFont val="Tahoma"/>
            <family val="2"/>
          </rPr>
          <t>kapltoni:</t>
        </r>
        <r>
          <rPr>
            <sz val="8"/>
            <color indexed="81"/>
            <rFont val="Tahoma"/>
            <family val="2"/>
          </rPr>
          <t xml:space="preserve">
excl. ESOP &amp; extra. items, incl. amort</t>
        </r>
      </text>
    </comment>
    <comment ref="BF71" authorId="1">
      <text>
        <r>
          <rPr>
            <b/>
            <sz val="9"/>
            <color indexed="81"/>
            <rFont val="Tahoma"/>
            <family val="2"/>
          </rPr>
          <t>Russo, Priscilla (Research):</t>
        </r>
        <r>
          <rPr>
            <sz val="9"/>
            <color indexed="81"/>
            <rFont val="Tahoma"/>
            <family val="2"/>
          </rPr>
          <t xml:space="preserve">
53 cent benefit from tax reform</t>
        </r>
      </text>
    </comment>
    <comment ref="A90" authorId="4">
      <text>
        <r>
          <rPr>
            <b/>
            <sz val="8"/>
            <color indexed="81"/>
            <rFont val="Tahoma"/>
            <family val="2"/>
          </rPr>
          <t>sestein:</t>
        </r>
        <r>
          <rPr>
            <sz val="8"/>
            <color indexed="81"/>
            <rFont val="Tahoma"/>
            <family val="2"/>
          </rPr>
          <t xml:space="preserve">
Xactware: fee + transaction cost</t>
        </r>
      </text>
    </comment>
    <comment ref="AN114" authorId="5">
      <text>
        <r>
          <rPr>
            <b/>
            <sz val="9"/>
            <color indexed="81"/>
            <rFont val="Tahoma"/>
            <family val="2"/>
          </rPr>
          <t>Galindo, Denny:</t>
        </r>
        <r>
          <rPr>
            <sz val="9"/>
            <color indexed="81"/>
            <rFont val="Tahoma"/>
            <family val="2"/>
          </rPr>
          <t xml:space="preserve">
Does not inlcude Discontinued</t>
        </r>
      </text>
    </comment>
    <comment ref="AN115" authorId="5">
      <text>
        <r>
          <rPr>
            <b/>
            <sz val="9"/>
            <color indexed="81"/>
            <rFont val="Tahoma"/>
            <family val="2"/>
          </rPr>
          <t>Galindo, Denny:</t>
        </r>
        <r>
          <rPr>
            <sz val="9"/>
            <color indexed="81"/>
            <rFont val="Tahoma"/>
            <family val="2"/>
          </rPr>
          <t xml:space="preserve">
Does not inlcude Discontinued</t>
        </r>
      </text>
    </comment>
    <comment ref="BA116" authorId="3">
      <text>
        <r>
          <rPr>
            <b/>
            <sz val="9"/>
            <color indexed="81"/>
            <rFont val="Tahoma"/>
            <family val="2"/>
          </rPr>
          <t>Kaplan, Toni (Research):</t>
        </r>
        <r>
          <rPr>
            <sz val="9"/>
            <color indexed="81"/>
            <rFont val="Tahoma"/>
            <family val="2"/>
          </rPr>
          <t xml:space="preserve">
ESOP charge is a cash charge</t>
        </r>
      </text>
    </comment>
    <comment ref="AJ124" authorId="5">
      <text>
        <r>
          <rPr>
            <b/>
            <sz val="9"/>
            <color indexed="81"/>
            <rFont val="Tahoma"/>
            <family val="2"/>
          </rPr>
          <t>Galindo, Denny:</t>
        </r>
        <r>
          <rPr>
            <sz val="9"/>
            <color indexed="81"/>
            <rFont val="Tahoma"/>
            <family val="2"/>
          </rPr>
          <t xml:space="preserve">
Inlcudes plug to accunt for Discontinued ops</t>
        </r>
      </text>
    </comment>
    <comment ref="AK124" authorId="5">
      <text>
        <r>
          <rPr>
            <b/>
            <sz val="9"/>
            <color indexed="81"/>
            <rFont val="Tahoma"/>
            <family val="2"/>
          </rPr>
          <t>Galindo, Denny:</t>
        </r>
        <r>
          <rPr>
            <sz val="9"/>
            <color indexed="81"/>
            <rFont val="Tahoma"/>
            <family val="2"/>
          </rPr>
          <t xml:space="preserve">
Inlcudes plug to accunt for Discontinued ops</t>
        </r>
      </text>
    </comment>
    <comment ref="AN124" authorId="5">
      <text>
        <r>
          <rPr>
            <b/>
            <sz val="9"/>
            <color indexed="81"/>
            <rFont val="Tahoma"/>
            <family val="2"/>
          </rPr>
          <t>Galindo, Denny:</t>
        </r>
        <r>
          <rPr>
            <sz val="9"/>
            <color indexed="81"/>
            <rFont val="Tahoma"/>
            <family val="2"/>
          </rPr>
          <t xml:space="preserve">
Includes discontinued part of D&amp;A</t>
        </r>
      </text>
    </comment>
    <comment ref="AO124" authorId="5">
      <text>
        <r>
          <rPr>
            <b/>
            <sz val="9"/>
            <color indexed="81"/>
            <rFont val="Tahoma"/>
            <family val="2"/>
          </rPr>
          <t>Galindo, Denny:</t>
        </r>
        <r>
          <rPr>
            <sz val="9"/>
            <color indexed="81"/>
            <rFont val="Tahoma"/>
            <family val="2"/>
          </rPr>
          <t xml:space="preserve">
Includes discontinued part of D&amp;A</t>
        </r>
      </text>
    </comment>
    <comment ref="AP124" authorId="5">
      <text>
        <r>
          <rPr>
            <b/>
            <sz val="9"/>
            <color indexed="81"/>
            <rFont val="Tahoma"/>
            <family val="2"/>
          </rPr>
          <t>Galindo, Denny:</t>
        </r>
        <r>
          <rPr>
            <sz val="9"/>
            <color indexed="81"/>
            <rFont val="Tahoma"/>
            <family val="2"/>
          </rPr>
          <t xml:space="preserve">
Includes discontinued part of D&amp;A</t>
        </r>
      </text>
    </comment>
    <comment ref="AY124" authorId="0">
      <text>
        <r>
          <rPr>
            <b/>
            <sz val="9"/>
            <color indexed="81"/>
            <rFont val="Tahoma"/>
            <family val="2"/>
          </rPr>
          <t>Halfmann, Patrick T (Research):</t>
        </r>
        <r>
          <rPr>
            <sz val="9"/>
            <color indexed="81"/>
            <rFont val="Tahoma"/>
            <family val="2"/>
          </rPr>
          <t xml:space="preserve">
Gain on sale of healthcare</t>
        </r>
      </text>
    </comment>
    <comment ref="BC124" authorId="8">
      <text>
        <r>
          <rPr>
            <b/>
            <sz val="9"/>
            <color indexed="81"/>
            <rFont val="Tahoma"/>
            <family val="2"/>
          </rPr>
          <t>Halfmann, Patrick (Research):</t>
        </r>
        <r>
          <rPr>
            <sz val="9"/>
            <color indexed="81"/>
            <rFont val="Tahoma"/>
            <family val="2"/>
          </rPr>
          <t xml:space="preserve">
Allowance for doubtful 0.8 + 1.1 amort of debt issuance costs</t>
        </r>
      </text>
    </comment>
    <comment ref="AM137" authorId="5">
      <text>
        <r>
          <rPr>
            <b/>
            <sz val="9"/>
            <color indexed="81"/>
            <rFont val="Tahoma"/>
            <family val="2"/>
          </rPr>
          <t>Galindo, Denny:</t>
        </r>
        <r>
          <rPr>
            <sz val="9"/>
            <color indexed="81"/>
            <rFont val="Tahoma"/>
            <family val="2"/>
          </rPr>
          <t xml:space="preserve">
Non Cash investment of $11m </t>
        </r>
      </text>
    </comment>
    <comment ref="AR137" authorId="5">
      <text>
        <r>
          <rPr>
            <b/>
            <sz val="9"/>
            <color indexed="81"/>
            <rFont val="Tahoma"/>
            <family val="2"/>
          </rPr>
          <t>Galindo, Denny:</t>
        </r>
        <r>
          <rPr>
            <sz val="9"/>
            <color indexed="81"/>
            <rFont val="Tahoma"/>
            <family val="2"/>
          </rPr>
          <t xml:space="preserve">
Non Cash Investment of  </t>
        </r>
      </text>
    </comment>
    <comment ref="Z138" authorId="2">
      <text>
        <r>
          <rPr>
            <b/>
            <sz val="8"/>
            <color indexed="81"/>
            <rFont val="Tahoma"/>
            <family val="2"/>
          </rPr>
          <t>kapltoni:</t>
        </r>
        <r>
          <rPr>
            <sz val="8"/>
            <color indexed="81"/>
            <rFont val="Tahoma"/>
            <family val="2"/>
          </rPr>
          <t xml:space="preserve">
Bloodhound $82M + Health Risk Partners $60M
Includes escrow and earnouts</t>
        </r>
      </text>
    </comment>
    <comment ref="AD138" authorId="2">
      <text>
        <r>
          <rPr>
            <b/>
            <sz val="8"/>
            <color indexed="81"/>
            <rFont val="Tahoma"/>
            <family val="2"/>
          </rPr>
          <t>kapltoni:</t>
        </r>
        <r>
          <rPr>
            <sz val="8"/>
            <color indexed="81"/>
            <rFont val="Tahoma"/>
            <family val="2"/>
          </rPr>
          <t xml:space="preserve">
MediConnect</t>
        </r>
      </text>
    </comment>
    <comment ref="AU138" authorId="0">
      <text>
        <r>
          <rPr>
            <b/>
            <sz val="9"/>
            <color indexed="81"/>
            <rFont val="Tahoma"/>
            <family val="2"/>
          </rPr>
          <t>Halfmann, Patrick T (Research):</t>
        </r>
        <r>
          <rPr>
            <sz val="9"/>
            <color indexed="81"/>
            <rFont val="Tahoma"/>
            <family val="2"/>
          </rPr>
          <t xml:space="preserve">
Includes escrow funding from acqs</t>
        </r>
      </text>
    </comment>
    <comment ref="AY138" authorId="0">
      <text>
        <r>
          <rPr>
            <b/>
            <sz val="9"/>
            <color indexed="81"/>
            <rFont val="Tahoma"/>
            <family val="2"/>
          </rPr>
          <t>Halfmann, Patrick T (Research):</t>
        </r>
        <r>
          <rPr>
            <sz val="9"/>
            <color indexed="81"/>
            <rFont val="Tahoma"/>
            <family val="2"/>
          </rPr>
          <t xml:space="preserve">
Proceeds from healthcare sale</t>
        </r>
      </text>
    </comment>
    <comment ref="BC138" authorId="8">
      <text>
        <r>
          <rPr>
            <b/>
            <sz val="9"/>
            <color indexed="81"/>
            <rFont val="Tahoma"/>
            <family val="2"/>
          </rPr>
          <t>Halfmann, Patrick (Research):</t>
        </r>
        <r>
          <rPr>
            <sz val="9"/>
            <color indexed="81"/>
            <rFont val="Tahoma"/>
            <family val="2"/>
          </rPr>
          <t xml:space="preserve">
Incl 9.8M of escrow funding</t>
        </r>
      </text>
    </comment>
    <comment ref="P142" authorId="9">
      <text>
        <r>
          <rPr>
            <b/>
            <sz val="8"/>
            <color indexed="81"/>
            <rFont val="Tahoma"/>
            <family val="2"/>
          </rPr>
          <t>Earnouts</t>
        </r>
      </text>
    </comment>
    <comment ref="BE142" authorId="1">
      <text>
        <r>
          <rPr>
            <b/>
            <sz val="9"/>
            <color indexed="81"/>
            <rFont val="Tahoma"/>
            <family val="2"/>
          </rPr>
          <t>Russo, Priscilla (Research):</t>
        </r>
        <r>
          <rPr>
            <sz val="9"/>
            <color indexed="81"/>
            <rFont val="Tahoma"/>
            <family val="2"/>
          </rPr>
          <t xml:space="preserve">
includes purchase of equity method investments in non-public companies</t>
        </r>
      </text>
    </comment>
    <comment ref="W147" authorId="2">
      <text>
        <r>
          <rPr>
            <b/>
            <sz val="8"/>
            <color indexed="81"/>
            <rFont val="Tahoma"/>
            <family val="2"/>
          </rPr>
          <t>kapltoni:</t>
        </r>
        <r>
          <rPr>
            <sz val="8"/>
            <color indexed="81"/>
            <rFont val="Tahoma"/>
            <family val="2"/>
          </rPr>
          <t xml:space="preserve">
additional debt taken on for repurchase $160M and $75M for Crowe Paradis acquisition and $100M for 3E Co. acq from credit facility (which was extended to $575M in Sept)</t>
        </r>
      </text>
    </comment>
    <comment ref="AD147" authorId="2">
      <text>
        <r>
          <rPr>
            <b/>
            <sz val="8"/>
            <color indexed="81"/>
            <rFont val="Tahoma"/>
            <family val="2"/>
          </rPr>
          <t>kapltoni:</t>
        </r>
        <r>
          <rPr>
            <sz val="8"/>
            <color indexed="81"/>
            <rFont val="Tahoma"/>
            <family val="2"/>
          </rPr>
          <t xml:space="preserve">
Borrowing $200M from credit facility to purchase MediConnect, $525M of remaining capacity per MediConnect Acq call</t>
        </r>
      </text>
    </comment>
    <comment ref="AQ147" authorId="3">
      <text>
        <r>
          <rPr>
            <b/>
            <sz val="9"/>
            <color indexed="81"/>
            <rFont val="Tahoma"/>
            <family val="2"/>
          </rPr>
          <t>Kaplan, Toni (Research):</t>
        </r>
        <r>
          <rPr>
            <sz val="9"/>
            <color indexed="81"/>
            <rFont val="Tahoma"/>
            <family val="2"/>
          </rPr>
          <t xml:space="preserve">
borrowing for ASR</t>
        </r>
      </text>
    </comment>
    <comment ref="AY147" authorId="0">
      <text>
        <r>
          <rPr>
            <b/>
            <sz val="9"/>
            <color indexed="81"/>
            <rFont val="Tahoma"/>
            <family val="2"/>
          </rPr>
          <t>Halfmann, Patrick T (Research):</t>
        </r>
        <r>
          <rPr>
            <sz val="9"/>
            <color indexed="81"/>
            <rFont val="Tahoma"/>
            <family val="2"/>
          </rPr>
          <t xml:space="preserve">
Used proceeds from healthcare sale to pay down revolver</t>
        </r>
      </text>
    </comment>
    <comment ref="BE147" authorId="1">
      <text>
        <r>
          <rPr>
            <b/>
            <sz val="9"/>
            <color indexed="81"/>
            <rFont val="Tahoma"/>
            <family val="2"/>
          </rPr>
          <t>Russo, Priscilla (Research):</t>
        </r>
        <r>
          <rPr>
            <sz val="9"/>
            <color indexed="81"/>
            <rFont val="Tahoma"/>
            <family val="2"/>
          </rPr>
          <t xml:space="preserve">
includes proceeds from issuance of short-term debt with orig. maturities greater than 3 months</t>
        </r>
      </text>
    </comment>
    <comment ref="AG148" authorId="2">
      <text>
        <r>
          <rPr>
            <b/>
            <sz val="8"/>
            <color indexed="81"/>
            <rFont val="Tahoma"/>
            <family val="2"/>
          </rPr>
          <t>kapltoni:</t>
        </r>
        <r>
          <rPr>
            <sz val="8"/>
            <color indexed="81"/>
            <rFont val="Tahoma"/>
            <family val="2"/>
          </rPr>
          <t xml:space="preserve">
paydown on revolver</t>
        </r>
      </text>
    </comment>
    <comment ref="AM148" authorId="2">
      <text>
        <r>
          <rPr>
            <b/>
            <sz val="8"/>
            <color indexed="81"/>
            <rFont val="Tahoma"/>
            <family val="2"/>
          </rPr>
          <t>kapltoni:</t>
        </r>
        <r>
          <rPr>
            <sz val="8"/>
            <color indexed="81"/>
            <rFont val="Tahoma"/>
            <family val="2"/>
          </rPr>
          <t xml:space="preserve">
paydown of Pru ($15M) and Aviva ($30M) debt, plus $100M paydown of revolver</t>
        </r>
      </text>
    </comment>
    <comment ref="AR148" authorId="2">
      <text>
        <r>
          <rPr>
            <b/>
            <sz val="8"/>
            <color indexed="81"/>
            <rFont val="Tahoma"/>
            <family val="2"/>
          </rPr>
          <t>kapltoni:</t>
        </r>
        <r>
          <rPr>
            <sz val="8"/>
            <color indexed="81"/>
            <rFont val="Tahoma"/>
            <family val="2"/>
          </rPr>
          <t xml:space="preserve">
paydown of Pru ($15M) and Aviva ($30M) debt, plus $100M paydown of revolver</t>
        </r>
      </text>
    </comment>
    <comment ref="Z149" authorId="2">
      <text>
        <r>
          <rPr>
            <b/>
            <sz val="8"/>
            <color indexed="81"/>
            <rFont val="Tahoma"/>
            <family val="2"/>
          </rPr>
          <t>kapltoni:</t>
        </r>
        <r>
          <rPr>
            <sz val="8"/>
            <color indexed="81"/>
            <rFont val="Tahoma"/>
            <family val="2"/>
          </rPr>
          <t xml:space="preserve">
issuance of sr notes on Apr 6 of $450M</t>
        </r>
      </text>
    </comment>
    <comment ref="AB149" authorId="2">
      <text>
        <r>
          <rPr>
            <b/>
            <sz val="8"/>
            <color indexed="81"/>
            <rFont val="Tahoma"/>
            <family val="2"/>
          </rPr>
          <t>kapltoni:</t>
        </r>
        <r>
          <rPr>
            <sz val="8"/>
            <color indexed="81"/>
            <rFont val="Tahoma"/>
            <family val="2"/>
          </rPr>
          <t xml:space="preserve">
$250M raised in Dec</t>
        </r>
      </text>
    </comment>
    <comment ref="AM149" authorId="2">
      <text>
        <r>
          <rPr>
            <b/>
            <sz val="8"/>
            <color indexed="81"/>
            <rFont val="Tahoma"/>
            <family val="2"/>
          </rPr>
          <t>kapltoni:</t>
        </r>
        <r>
          <rPr>
            <sz val="8"/>
            <color indexed="81"/>
            <rFont val="Tahoma"/>
            <family val="2"/>
          </rPr>
          <t xml:space="preserve">
repayment of LT debt maturing</t>
        </r>
      </text>
    </comment>
    <comment ref="BE149" authorId="8">
      <text>
        <r>
          <rPr>
            <b/>
            <sz val="9"/>
            <color indexed="81"/>
            <rFont val="Tahoma"/>
            <family val="2"/>
          </rPr>
          <t>Halfmann, Patrick (Research):</t>
        </r>
        <r>
          <rPr>
            <sz val="9"/>
            <color indexed="81"/>
            <rFont val="Tahoma"/>
            <family val="2"/>
          </rPr>
          <t xml:space="preserve">
Credit of debt issuance costs to long term debt to yield positive ex-note debt balance</t>
        </r>
      </text>
    </comment>
    <comment ref="W151" authorId="2">
      <text>
        <r>
          <rPr>
            <b/>
            <sz val="8"/>
            <color indexed="81"/>
            <rFont val="Tahoma"/>
            <family val="2"/>
          </rPr>
          <t>kapltoni:</t>
        </r>
        <r>
          <rPr>
            <sz val="8"/>
            <color indexed="81"/>
            <rFont val="Tahoma"/>
            <family val="2"/>
          </rPr>
          <t xml:space="preserve">
repurchase in conjunction with follow-on offering - amount disclosed on Q3 call</t>
        </r>
      </text>
    </comment>
    <comment ref="AG151" authorId="2">
      <text>
        <r>
          <rPr>
            <b/>
            <sz val="8"/>
            <color indexed="81"/>
            <rFont val="Tahoma"/>
            <family val="2"/>
          </rPr>
          <t>kapltoni:</t>
        </r>
        <r>
          <rPr>
            <sz val="8"/>
            <color indexed="81"/>
            <rFont val="Tahoma"/>
            <family val="2"/>
          </rPr>
          <t xml:space="preserve">
expect to be less aggressive with buybacks due to acquisitions</t>
        </r>
      </text>
    </comment>
    <comment ref="AK151" authorId="4">
      <text>
        <r>
          <rPr>
            <b/>
            <sz val="8"/>
            <color indexed="81"/>
            <rFont val="Tahoma"/>
            <family val="2"/>
          </rPr>
          <t>sestein:</t>
        </r>
        <r>
          <rPr>
            <sz val="8"/>
            <color indexed="81"/>
            <rFont val="Tahoma"/>
            <family val="2"/>
          </rPr>
          <t xml:space="preserve">
remaining authorization of $282M</t>
        </r>
      </text>
    </comment>
    <comment ref="AM151" authorId="2">
      <text>
        <r>
          <rPr>
            <b/>
            <sz val="8"/>
            <color indexed="81"/>
            <rFont val="Tahoma"/>
            <family val="2"/>
          </rPr>
          <t>kapltoni:</t>
        </r>
        <r>
          <rPr>
            <sz val="8"/>
            <color indexed="81"/>
            <rFont val="Tahoma"/>
            <family val="2"/>
          </rPr>
          <t xml:space="preserve">
expect to be less aggressive with buybacks due to acquisitions</t>
        </r>
      </text>
    </comment>
    <comment ref="AO151" authorId="5">
      <text>
        <r>
          <rPr>
            <b/>
            <sz val="9"/>
            <color indexed="81"/>
            <rFont val="Tahoma"/>
            <family val="2"/>
          </rPr>
          <t>Galindo, Denny:</t>
        </r>
        <r>
          <rPr>
            <sz val="9"/>
            <color indexed="81"/>
            <rFont val="Tahoma"/>
            <family val="2"/>
          </rPr>
          <t xml:space="preserve">
only $76.5m remaining but using as placeholder to give EPS credit for cash Flow before EVT closes</t>
        </r>
      </text>
    </comment>
    <comment ref="AP151" authorId="5">
      <text>
        <r>
          <rPr>
            <b/>
            <sz val="9"/>
            <color indexed="81"/>
            <rFont val="Tahoma"/>
            <family val="2"/>
          </rPr>
          <t>Galindo, Denny:</t>
        </r>
        <r>
          <rPr>
            <sz val="9"/>
            <color indexed="81"/>
            <rFont val="Tahoma"/>
            <family val="2"/>
          </rPr>
          <t xml:space="preserve">
3Q14: 280M remaining</t>
        </r>
      </text>
    </comment>
    <comment ref="AQ151" authorId="3">
      <text>
        <r>
          <rPr>
            <b/>
            <sz val="9"/>
            <color indexed="81"/>
            <rFont val="Tahoma"/>
            <family val="2"/>
          </rPr>
          <t>Kaplan, Toni (Research):</t>
        </r>
        <r>
          <rPr>
            <sz val="9"/>
            <color indexed="81"/>
            <rFont val="Tahoma"/>
            <family val="2"/>
          </rPr>
          <t xml:space="preserve">
ASR</t>
        </r>
      </text>
    </comment>
    <comment ref="AT151" authorId="0">
      <text>
        <r>
          <rPr>
            <b/>
            <sz val="9"/>
            <color indexed="81"/>
            <rFont val="Tahoma"/>
            <family val="2"/>
          </rPr>
          <t>Halfmann, Patrick T (Research):</t>
        </r>
        <r>
          <rPr>
            <sz val="9"/>
            <color indexed="81"/>
            <rFont val="Tahoma"/>
            <family val="2"/>
          </rPr>
          <t xml:space="preserve">
189.81m available under ASR</t>
        </r>
      </text>
    </comment>
    <comment ref="AV151" authorId="0">
      <text>
        <r>
          <rPr>
            <b/>
            <sz val="9"/>
            <color indexed="81"/>
            <rFont val="Tahoma"/>
            <family val="2"/>
          </rPr>
          <t>Halfmann, Patrick T (Research):</t>
        </r>
        <r>
          <rPr>
            <sz val="9"/>
            <color indexed="81"/>
            <rFont val="Tahoma"/>
            <family val="2"/>
          </rPr>
          <t xml:space="preserve">
4Q15: 469M remaining on repurchase authorization</t>
        </r>
      </text>
    </comment>
    <comment ref="BC151" authorId="8">
      <text>
        <r>
          <rPr>
            <b/>
            <sz val="9"/>
            <color indexed="81"/>
            <rFont val="Tahoma"/>
            <family val="2"/>
          </rPr>
          <t>Halfmann, Patrick (Research):</t>
        </r>
        <r>
          <rPr>
            <sz val="9"/>
            <color indexed="81"/>
            <rFont val="Tahoma"/>
            <family val="2"/>
          </rPr>
          <t xml:space="preserve">
4Q: $636M authorized at Dec 31 YE</t>
        </r>
      </text>
    </comment>
    <comment ref="BH151" authorId="3">
      <text>
        <r>
          <rPr>
            <b/>
            <sz val="9"/>
            <color indexed="81"/>
            <rFont val="Tahoma"/>
            <family val="2"/>
          </rPr>
          <t>Kaplan, Toni (Research):</t>
        </r>
        <r>
          <rPr>
            <sz val="9"/>
            <color indexed="81"/>
            <rFont val="Tahoma"/>
            <family val="2"/>
          </rPr>
          <t xml:space="preserve">
excess cash - in part from tax savings - to benefit shareholders</t>
        </r>
      </text>
    </comment>
    <comment ref="AU155" authorId="0">
      <text>
        <r>
          <rPr>
            <b/>
            <sz val="9"/>
            <color indexed="81"/>
            <rFont val="Tahoma"/>
            <family val="2"/>
          </rPr>
          <t>Halfmann, Patrick T (Research):</t>
        </r>
        <r>
          <rPr>
            <sz val="9"/>
            <color indexed="81"/>
            <rFont val="Tahoma"/>
            <family val="2"/>
          </rPr>
          <t xml:space="preserve">
Includes debt issuance costs</t>
        </r>
      </text>
    </comment>
    <comment ref="AD175" authorId="2">
      <text>
        <r>
          <rPr>
            <b/>
            <sz val="8"/>
            <color indexed="81"/>
            <rFont val="Tahoma"/>
            <family val="2"/>
          </rPr>
          <t>kapltoni:</t>
        </r>
        <r>
          <rPr>
            <sz val="8"/>
            <color indexed="81"/>
            <rFont val="Tahoma"/>
            <family val="2"/>
          </rPr>
          <t xml:space="preserve">
Assumes $16.5M working capital benefit from MediConnect deal</t>
        </r>
      </text>
    </comment>
    <comment ref="AD178" authorId="2">
      <text>
        <r>
          <rPr>
            <b/>
            <sz val="8"/>
            <color indexed="81"/>
            <rFont val="Tahoma"/>
            <family val="2"/>
          </rPr>
          <t>kapltoni:</t>
        </r>
        <r>
          <rPr>
            <sz val="8"/>
            <color indexed="81"/>
            <rFont val="Tahoma"/>
            <family val="2"/>
          </rPr>
          <t xml:space="preserve">
est $9Mbenefit from Mediconnect</t>
        </r>
      </text>
    </comment>
    <comment ref="AF178" authorId="2">
      <text>
        <r>
          <rPr>
            <b/>
            <sz val="8"/>
            <color indexed="81"/>
            <rFont val="Tahoma"/>
            <family val="2"/>
          </rPr>
          <t>kapltoni:</t>
        </r>
        <r>
          <rPr>
            <sz val="8"/>
            <color indexed="81"/>
            <rFont val="Tahoma"/>
            <family val="2"/>
          </rPr>
          <t xml:space="preserve">
Tax benefit expected to be recognized as part of Argus transaction</t>
        </r>
      </text>
    </comment>
    <comment ref="AL180" authorId="5">
      <text>
        <r>
          <rPr>
            <b/>
            <sz val="9"/>
            <color indexed="81"/>
            <rFont val="Tahoma"/>
            <family val="2"/>
          </rPr>
          <t>Galindo, Denny:</t>
        </r>
        <r>
          <rPr>
            <sz val="9"/>
            <color indexed="81"/>
            <rFont val="Tahoma"/>
            <family val="2"/>
          </rPr>
          <t xml:space="preserve">
includes 13M in assets held for sale</t>
        </r>
      </text>
    </comment>
    <comment ref="AX180" authorId="0">
      <text>
        <r>
          <rPr>
            <b/>
            <sz val="9"/>
            <color indexed="81"/>
            <rFont val="Tahoma"/>
            <family val="2"/>
          </rPr>
          <t>Halfmann, Patrick T (Research):</t>
        </r>
        <r>
          <rPr>
            <sz val="9"/>
            <color indexed="81"/>
            <rFont val="Tahoma"/>
            <family val="2"/>
          </rPr>
          <t xml:space="preserve">
Includes $62M held for sale</t>
        </r>
      </text>
    </comment>
    <comment ref="AL190" authorId="5">
      <text>
        <r>
          <rPr>
            <b/>
            <sz val="9"/>
            <color indexed="81"/>
            <rFont val="Tahoma"/>
            <family val="2"/>
          </rPr>
          <t>Galindo, Denny:</t>
        </r>
        <r>
          <rPr>
            <sz val="9"/>
            <color indexed="81"/>
            <rFont val="Tahoma"/>
            <family val="2"/>
          </rPr>
          <t xml:space="preserve">
includes 85m in assets held for sale</t>
        </r>
      </text>
    </comment>
    <comment ref="AO190" authorId="5">
      <text>
        <r>
          <rPr>
            <b/>
            <sz val="9"/>
            <color indexed="81"/>
            <rFont val="Tahoma"/>
            <family val="2"/>
          </rPr>
          <t>Galindo, Denny:</t>
        </r>
        <r>
          <rPr>
            <sz val="9"/>
            <color indexed="81"/>
            <rFont val="Tahoma"/>
            <family val="2"/>
          </rPr>
          <t xml:space="preserve">
$68Min pension assets and $24M in other</t>
        </r>
      </text>
    </comment>
    <comment ref="AP190" authorId="5">
      <text>
        <r>
          <rPr>
            <b/>
            <sz val="9"/>
            <color indexed="81"/>
            <rFont val="Tahoma"/>
            <family val="2"/>
          </rPr>
          <t>Galindo, Denny:</t>
        </r>
        <r>
          <rPr>
            <sz val="9"/>
            <color indexed="81"/>
            <rFont val="Tahoma"/>
            <family val="2"/>
          </rPr>
          <t xml:space="preserve">
Pensionj 72</t>
        </r>
      </text>
    </comment>
    <comment ref="AX190" authorId="0">
      <text>
        <r>
          <rPr>
            <b/>
            <sz val="9"/>
            <color indexed="81"/>
            <rFont val="Tahoma"/>
            <family val="2"/>
          </rPr>
          <t>Halfmann, Patrick T (Research):</t>
        </r>
        <r>
          <rPr>
            <sz val="9"/>
            <color indexed="81"/>
            <rFont val="Tahoma"/>
            <family val="2"/>
          </rPr>
          <t xml:space="preserve">
Healthcare assets held for sale of $574M</t>
        </r>
      </text>
    </comment>
    <comment ref="AL202" authorId="5">
      <text>
        <r>
          <rPr>
            <b/>
            <sz val="9"/>
            <color indexed="81"/>
            <rFont val="Tahoma"/>
            <family val="2"/>
          </rPr>
          <t>Galindo, Denny:</t>
        </r>
        <r>
          <rPr>
            <sz val="9"/>
            <color indexed="81"/>
            <rFont val="Tahoma"/>
            <family val="2"/>
          </rPr>
          <t xml:space="preserve">
liabilities held for sale</t>
        </r>
      </text>
    </comment>
    <comment ref="AX202" authorId="0">
      <text>
        <r>
          <rPr>
            <b/>
            <sz val="9"/>
            <color indexed="81"/>
            <rFont val="Tahoma"/>
            <family val="2"/>
          </rPr>
          <t>Halfmann, Patrick T (Research):</t>
        </r>
        <r>
          <rPr>
            <sz val="9"/>
            <color indexed="81"/>
            <rFont val="Tahoma"/>
            <family val="2"/>
          </rPr>
          <t xml:space="preserve">
Liabilities held for sale</t>
        </r>
      </text>
    </comment>
    <comment ref="AL209" authorId="5">
      <text>
        <r>
          <rPr>
            <b/>
            <sz val="9"/>
            <color indexed="81"/>
            <rFont val="Tahoma"/>
            <family val="2"/>
          </rPr>
          <t>Galindo, Denny:</t>
        </r>
        <r>
          <rPr>
            <sz val="9"/>
            <color indexed="81"/>
            <rFont val="Tahoma"/>
            <family val="2"/>
          </rPr>
          <t xml:space="preserve">
4.5M in liabilites held for sale</t>
        </r>
      </text>
    </comment>
    <comment ref="AX209" authorId="0">
      <text>
        <r>
          <rPr>
            <b/>
            <sz val="9"/>
            <color indexed="81"/>
            <rFont val="Tahoma"/>
            <family val="2"/>
          </rPr>
          <t>Halfmann, Patrick T (Research):</t>
        </r>
        <r>
          <rPr>
            <sz val="9"/>
            <color indexed="81"/>
            <rFont val="Tahoma"/>
            <family val="2"/>
          </rPr>
          <t xml:space="preserve">
Includes 69.66 held for sale</t>
        </r>
      </text>
    </comment>
    <comment ref="A213" authorId="2">
      <text>
        <r>
          <rPr>
            <b/>
            <sz val="8"/>
            <color indexed="81"/>
            <rFont val="Tahoma"/>
            <family val="2"/>
          </rPr>
          <t>kapltoni:</t>
        </r>
        <r>
          <rPr>
            <sz val="8"/>
            <color indexed="81"/>
            <rFont val="Tahoma"/>
            <family val="2"/>
          </rPr>
          <t xml:space="preserve">
Company adjusted some of the categories in the S-1 - p 24</t>
        </r>
      </text>
    </comment>
    <comment ref="G233" authorId="2">
      <text>
        <r>
          <rPr>
            <b/>
            <sz val="8"/>
            <color indexed="81"/>
            <rFont val="Tahoma"/>
            <family val="2"/>
          </rPr>
          <t>kapltoni:</t>
        </r>
        <r>
          <rPr>
            <sz val="8"/>
            <color indexed="81"/>
            <rFont val="Tahoma"/>
            <family val="2"/>
          </rPr>
          <t xml:space="preserve">
S/1</t>
        </r>
      </text>
    </comment>
    <comment ref="H233" authorId="2">
      <text>
        <r>
          <rPr>
            <b/>
            <sz val="8"/>
            <color indexed="81"/>
            <rFont val="Tahoma"/>
            <family val="2"/>
          </rPr>
          <t>kapltoni:</t>
        </r>
        <r>
          <rPr>
            <sz val="8"/>
            <color indexed="81"/>
            <rFont val="Tahoma"/>
            <family val="2"/>
          </rPr>
          <t xml:space="preserve">
S/1</t>
        </r>
      </text>
    </comment>
    <comment ref="J233" authorId="2">
      <text>
        <r>
          <rPr>
            <b/>
            <sz val="8"/>
            <color indexed="81"/>
            <rFont val="Tahoma"/>
            <family val="2"/>
          </rPr>
          <t>kapltoni:</t>
        </r>
        <r>
          <rPr>
            <sz val="8"/>
            <color indexed="81"/>
            <rFont val="Tahoma"/>
            <family val="2"/>
          </rPr>
          <t xml:space="preserve">
S/1</t>
        </r>
      </text>
    </comment>
    <comment ref="K233" authorId="2">
      <text>
        <r>
          <rPr>
            <b/>
            <sz val="8"/>
            <color indexed="81"/>
            <rFont val="Tahoma"/>
            <family val="2"/>
          </rPr>
          <t>kapltoni:</t>
        </r>
        <r>
          <rPr>
            <sz val="8"/>
            <color indexed="81"/>
            <rFont val="Tahoma"/>
            <family val="2"/>
          </rPr>
          <t xml:space="preserve">
prospectus</t>
        </r>
      </text>
    </comment>
    <comment ref="AN237" authorId="5">
      <text>
        <r>
          <rPr>
            <b/>
            <sz val="9"/>
            <color indexed="81"/>
            <rFont val="Tahoma"/>
            <family val="2"/>
          </rPr>
          <t>Galindo, Denny:</t>
        </r>
        <r>
          <rPr>
            <sz val="9"/>
            <color indexed="81"/>
            <rFont val="Tahoma"/>
            <family val="2"/>
          </rPr>
          <t xml:space="preserve">
New sales lead to higher volumes</t>
        </r>
      </text>
    </comment>
    <comment ref="U246" authorId="2">
      <text>
        <r>
          <rPr>
            <b/>
            <sz val="8"/>
            <color indexed="81"/>
            <rFont val="Tahoma"/>
            <family val="2"/>
          </rPr>
          <t>kapltoni:</t>
        </r>
        <r>
          <rPr>
            <sz val="8"/>
            <color indexed="81"/>
            <rFont val="Tahoma"/>
            <family val="2"/>
          </rPr>
          <t xml:space="preserve">
2.4% adjusted for revenue recognized in Q209 as a result of a previous deferral</t>
        </r>
      </text>
    </comment>
    <comment ref="W246" authorId="2">
      <text>
        <r>
          <rPr>
            <b/>
            <sz val="8"/>
            <color indexed="81"/>
            <rFont val="Tahoma"/>
            <family val="2"/>
          </rPr>
          <t>kapltoni:</t>
        </r>
        <r>
          <rPr>
            <sz val="8"/>
            <color indexed="81"/>
            <rFont val="Tahoma"/>
            <family val="2"/>
          </rPr>
          <t xml:space="preserve">
ISOnet distribution and premium leakage solutions drove growth in industry-standard insurance programs. LOCATION Analyst (geospatial underwriting platform) and commercial property services drove growth in property-specific rating services.</t>
        </r>
      </text>
    </comment>
    <comment ref="AQ251" authorId="3">
      <text>
        <r>
          <rPr>
            <b/>
            <sz val="9"/>
            <color indexed="81"/>
            <rFont val="Tahoma"/>
            <family val="2"/>
          </rPr>
          <t>Kaplan, Toni (Research):</t>
        </r>
        <r>
          <rPr>
            <sz val="9"/>
            <color indexed="81"/>
            <rFont val="Tahoma"/>
            <family val="2"/>
          </rPr>
          <t xml:space="preserve">
$4.8M in severance charges</t>
        </r>
      </text>
    </comment>
    <comment ref="R252" authorId="2">
      <text>
        <r>
          <rPr>
            <b/>
            <sz val="8"/>
            <color indexed="81"/>
            <rFont val="Tahoma"/>
            <family val="2"/>
          </rPr>
          <t>kapltoni:</t>
        </r>
        <r>
          <rPr>
            <sz val="8"/>
            <color indexed="81"/>
            <rFont val="Tahoma"/>
            <family val="2"/>
          </rPr>
          <t xml:space="preserve">
65% adjusted for ESOP charge of $25.4M</t>
        </r>
      </text>
    </comment>
    <comment ref="AQ254" authorId="3">
      <text>
        <r>
          <rPr>
            <b/>
            <sz val="9"/>
            <color indexed="81"/>
            <rFont val="Tahoma"/>
            <family val="2"/>
          </rPr>
          <t>Kaplan, Toni (Research):</t>
        </r>
        <r>
          <rPr>
            <sz val="9"/>
            <color indexed="81"/>
            <rFont val="Tahoma"/>
            <family val="2"/>
          </rPr>
          <t xml:space="preserve">
ex severance</t>
        </r>
      </text>
    </comment>
    <comment ref="AR254" authorId="3">
      <text>
        <r>
          <rPr>
            <b/>
            <sz val="9"/>
            <color indexed="81"/>
            <rFont val="Tahoma"/>
            <family val="2"/>
          </rPr>
          <t>Kaplan, Toni (Research):</t>
        </r>
        <r>
          <rPr>
            <sz val="9"/>
            <color indexed="81"/>
            <rFont val="Tahoma"/>
            <family val="2"/>
          </rPr>
          <t xml:space="preserve">
ex severance</t>
        </r>
      </text>
    </comment>
    <comment ref="BD254" authorId="8">
      <text>
        <r>
          <rPr>
            <b/>
            <sz val="9"/>
            <color indexed="81"/>
            <rFont val="Tahoma"/>
            <family val="2"/>
          </rPr>
          <t>Halfmann, Patrick (Research):</t>
        </r>
        <r>
          <rPr>
            <sz val="9"/>
            <color indexed="81"/>
            <rFont val="Tahoma"/>
            <family val="2"/>
          </rPr>
          <t xml:space="preserve">
Cycling talent realignment in 2Q16 and annual merit increase, easy comp</t>
        </r>
      </text>
    </comment>
    <comment ref="BE254" authorId="8">
      <text>
        <r>
          <rPr>
            <b/>
            <sz val="9"/>
            <color indexed="81"/>
            <rFont val="Tahoma"/>
            <family val="2"/>
          </rPr>
          <t>Halfmann, Patrick (Research):</t>
        </r>
        <r>
          <rPr>
            <sz val="9"/>
            <color indexed="81"/>
            <rFont val="Tahoma"/>
            <family val="2"/>
          </rPr>
          <t xml:space="preserve">
Cyclicing 2H16 RA hiring</t>
        </r>
      </text>
    </comment>
    <comment ref="BF254" authorId="8">
      <text>
        <r>
          <rPr>
            <b/>
            <sz val="9"/>
            <color indexed="81"/>
            <rFont val="Tahoma"/>
            <family val="2"/>
          </rPr>
          <t>Halfmann, Patrick (Research):</t>
        </r>
        <r>
          <rPr>
            <sz val="9"/>
            <color indexed="81"/>
            <rFont val="Tahoma"/>
            <family val="2"/>
          </rPr>
          <t xml:space="preserve">
Cyclicing 2H16 RA hiring, 4Q16 easy comp</t>
        </r>
      </text>
    </comment>
    <comment ref="CM254" authorId="3">
      <text>
        <r>
          <rPr>
            <b/>
            <sz val="9"/>
            <color indexed="81"/>
            <rFont val="Tahoma"/>
            <family val="2"/>
          </rPr>
          <t>Kaplan, Toni (Research):</t>
        </r>
        <r>
          <rPr>
            <sz val="9"/>
            <color indexed="81"/>
            <rFont val="Tahoma"/>
            <family val="2"/>
          </rPr>
          <t xml:space="preserve">
ex severance</t>
        </r>
      </text>
    </comment>
    <comment ref="BA255" authorId="8">
      <text>
        <r>
          <rPr>
            <b/>
            <sz val="9"/>
            <color indexed="81"/>
            <rFont val="Tahoma"/>
            <family val="2"/>
          </rPr>
          <t>Halfmann, Patrick (Research):</t>
        </r>
        <r>
          <rPr>
            <sz val="9"/>
            <color indexed="81"/>
            <rFont val="Tahoma"/>
            <family val="2"/>
          </rPr>
          <t xml:space="preserve">
Ex 8.3M ESOP charge</t>
        </r>
      </text>
    </comment>
    <comment ref="BB255" authorId="8">
      <text>
        <r>
          <rPr>
            <b/>
            <sz val="9"/>
            <color indexed="81"/>
            <rFont val="Tahoma"/>
            <family val="2"/>
          </rPr>
          <t>Halfmann, Patrick (Research):</t>
        </r>
        <r>
          <rPr>
            <sz val="9"/>
            <color indexed="81"/>
            <rFont val="Tahoma"/>
            <family val="2"/>
          </rPr>
          <t xml:space="preserve">
Ex ESOP charge</t>
        </r>
      </text>
    </comment>
    <comment ref="R258" authorId="2">
      <text>
        <r>
          <rPr>
            <b/>
            <sz val="8"/>
            <color indexed="81"/>
            <rFont val="Tahoma"/>
            <family val="2"/>
          </rPr>
          <t>kapltoni:</t>
        </r>
        <r>
          <rPr>
            <sz val="8"/>
            <color indexed="81"/>
            <rFont val="Tahoma"/>
            <family val="2"/>
          </rPr>
          <t xml:space="preserve">
14.1% adjusted for ESOP charge</t>
        </r>
      </text>
    </comment>
    <comment ref="AN258" authorId="5">
      <text>
        <r>
          <rPr>
            <b/>
            <sz val="9"/>
            <color indexed="81"/>
            <rFont val="Tahoma"/>
            <family val="2"/>
          </rPr>
          <t>Galindo, Denny:</t>
        </r>
        <r>
          <rPr>
            <sz val="9"/>
            <color indexed="81"/>
            <rFont val="Tahoma"/>
            <family val="2"/>
          </rPr>
          <t xml:space="preserve">
Decrease in Salary of $1.4M due to executive transition in 2013</t>
        </r>
      </text>
    </comment>
    <comment ref="AY260" authorId="0">
      <text>
        <r>
          <rPr>
            <b/>
            <sz val="9"/>
            <color indexed="81"/>
            <rFont val="Tahoma"/>
            <family val="2"/>
          </rPr>
          <t>Halfmann, Patrick T (Research):</t>
        </r>
        <r>
          <rPr>
            <sz val="9"/>
            <color indexed="81"/>
            <rFont val="Tahoma"/>
            <family val="2"/>
          </rPr>
          <t xml:space="preserve">
Depressed by talent realignment costs and annual merit increases</t>
        </r>
      </text>
    </comment>
    <comment ref="BF260" authorId="8">
      <text>
        <r>
          <rPr>
            <b/>
            <sz val="9"/>
            <color indexed="81"/>
            <rFont val="Tahoma"/>
            <family val="2"/>
          </rPr>
          <t>Halfmann, Patrick (Research):</t>
        </r>
        <r>
          <rPr>
            <sz val="9"/>
            <color indexed="81"/>
            <rFont val="Tahoma"/>
            <family val="2"/>
          </rPr>
          <t xml:space="preserve">
Challenging 4Q comp ex charges</t>
        </r>
      </text>
    </comment>
    <comment ref="BL260" authorId="3">
      <text>
        <r>
          <rPr>
            <b/>
            <sz val="9"/>
            <color indexed="81"/>
            <rFont val="Tahoma"/>
            <family val="2"/>
          </rPr>
          <t>Kaplan, Toni (Research):</t>
        </r>
        <r>
          <rPr>
            <sz val="9"/>
            <color indexed="81"/>
            <rFont val="Tahoma"/>
            <family val="2"/>
          </rPr>
          <t xml:space="preserve">
scale benefits offset by increased training and comp</t>
        </r>
      </text>
    </comment>
    <comment ref="BA261" authorId="8">
      <text>
        <r>
          <rPr>
            <b/>
            <sz val="9"/>
            <color indexed="81"/>
            <rFont val="Tahoma"/>
            <family val="2"/>
          </rPr>
          <t>Halfmann, Patrick (Research):</t>
        </r>
        <r>
          <rPr>
            <sz val="9"/>
            <color indexed="81"/>
            <rFont val="Tahoma"/>
            <family val="2"/>
          </rPr>
          <t xml:space="preserve">
Ex ESOP charge</t>
        </r>
      </text>
    </comment>
    <comment ref="BB261" authorId="8">
      <text>
        <r>
          <rPr>
            <b/>
            <sz val="9"/>
            <color indexed="81"/>
            <rFont val="Tahoma"/>
            <family val="2"/>
          </rPr>
          <t>Halfmann, Patrick (Research):</t>
        </r>
        <r>
          <rPr>
            <sz val="9"/>
            <color indexed="81"/>
            <rFont val="Tahoma"/>
            <family val="2"/>
          </rPr>
          <t xml:space="preserve">
Ex ESOP charge</t>
        </r>
      </text>
    </comment>
    <comment ref="BA265" authorId="8">
      <text>
        <r>
          <rPr>
            <b/>
            <sz val="9"/>
            <color indexed="81"/>
            <rFont val="Tahoma"/>
            <family val="2"/>
          </rPr>
          <t>Halfmann, Patrick (Research):</t>
        </r>
        <r>
          <rPr>
            <sz val="9"/>
            <color indexed="81"/>
            <rFont val="Tahoma"/>
            <family val="2"/>
          </rPr>
          <t xml:space="preserve">
excl 0.1 inv income &amp; 10.7M ESOP charge</t>
        </r>
      </text>
    </comment>
    <comment ref="AR274" authorId="5">
      <text>
        <r>
          <rPr>
            <b/>
            <sz val="9"/>
            <color indexed="81"/>
            <rFont val="Tahoma"/>
            <family val="2"/>
          </rPr>
          <t>Galindo, Denny:</t>
        </r>
        <r>
          <rPr>
            <sz val="9"/>
            <color indexed="81"/>
            <rFont val="Tahoma"/>
            <family val="2"/>
          </rPr>
          <t xml:space="preserve">
4Q13CC Margins Flat+</t>
        </r>
      </text>
    </comment>
    <comment ref="AY274" authorId="0">
      <text>
        <r>
          <rPr>
            <b/>
            <sz val="9"/>
            <color indexed="81"/>
            <rFont val="Tahoma"/>
            <family val="2"/>
          </rPr>
          <t>Halfmann, Patrick T (Research):</t>
        </r>
        <r>
          <rPr>
            <sz val="9"/>
            <color indexed="81"/>
            <rFont val="Tahoma"/>
            <family val="2"/>
          </rPr>
          <t xml:space="preserve">
Depressed by talent realignment costs and annual merit increases</t>
        </r>
      </text>
    </comment>
    <comment ref="A287" authorId="4">
      <text>
        <r>
          <rPr>
            <b/>
            <sz val="8"/>
            <color indexed="81"/>
            <rFont val="Tahoma"/>
            <family val="2"/>
          </rPr>
          <t>sestein:</t>
        </r>
        <r>
          <rPr>
            <sz val="8"/>
            <color indexed="81"/>
            <rFont val="Tahoma"/>
            <family val="2"/>
          </rPr>
          <t xml:space="preserve">
ClaimSearch &gt;60%
Interthinx (Fraudguard)
Healthcare (very small)</t>
        </r>
      </text>
    </comment>
    <comment ref="H287" authorId="2">
      <text>
        <r>
          <rPr>
            <b/>
            <sz val="8"/>
            <color indexed="81"/>
            <rFont val="Tahoma"/>
            <family val="2"/>
          </rPr>
          <t>kapltoni:</t>
        </r>
        <r>
          <rPr>
            <sz val="8"/>
            <color indexed="81"/>
            <rFont val="Tahoma"/>
            <family val="2"/>
          </rPr>
          <t xml:space="preserve">
Oct - Acquisition of NIA and HCI</t>
        </r>
      </text>
    </comment>
    <comment ref="AC287" authorId="2">
      <text>
        <r>
          <rPr>
            <b/>
            <sz val="8"/>
            <color indexed="81"/>
            <rFont val="Tahoma"/>
            <family val="2"/>
          </rPr>
          <t>kapltoni:</t>
        </r>
        <r>
          <rPr>
            <sz val="8"/>
            <color indexed="81"/>
            <rFont val="Tahoma"/>
            <family val="2"/>
          </rPr>
          <t xml:space="preserve">
Crowe Paradis</t>
        </r>
      </text>
    </comment>
    <comment ref="Z288" authorId="2">
      <text>
        <r>
          <rPr>
            <b/>
            <sz val="8"/>
            <color indexed="81"/>
            <rFont val="Tahoma"/>
            <family val="2"/>
          </rPr>
          <t>kapltoni:</t>
        </r>
        <r>
          <rPr>
            <sz val="8"/>
            <color indexed="81"/>
            <rFont val="Tahoma"/>
            <family val="2"/>
          </rPr>
          <t xml:space="preserve">
organic 7%</t>
        </r>
      </text>
    </comment>
    <comment ref="AA288" authorId="2">
      <text>
        <r>
          <rPr>
            <b/>
            <sz val="8"/>
            <color indexed="81"/>
            <rFont val="Tahoma"/>
            <family val="2"/>
          </rPr>
          <t>kapltoni:</t>
        </r>
        <r>
          <rPr>
            <sz val="8"/>
            <color indexed="81"/>
            <rFont val="Tahoma"/>
            <family val="2"/>
          </rPr>
          <t xml:space="preserve">
organic 4%</t>
        </r>
      </text>
    </comment>
    <comment ref="Y290" authorId="2">
      <text>
        <r>
          <rPr>
            <b/>
            <sz val="8"/>
            <color indexed="81"/>
            <rFont val="Tahoma"/>
            <family val="2"/>
          </rPr>
          <t>kapltoni:</t>
        </r>
        <r>
          <rPr>
            <sz val="8"/>
            <color indexed="81"/>
            <rFont val="Tahoma"/>
            <family val="2"/>
          </rPr>
          <t xml:space="preserve">
0.6% organic growth plus Crowe Paradis (~$7.3M)</t>
        </r>
      </text>
    </comment>
    <comment ref="Z290" authorId="2">
      <text>
        <r>
          <rPr>
            <b/>
            <sz val="8"/>
            <color indexed="81"/>
            <rFont val="Tahoma"/>
            <family val="2"/>
          </rPr>
          <t>kapltoni:</t>
        </r>
        <r>
          <rPr>
            <sz val="8"/>
            <color indexed="81"/>
            <rFont val="Tahoma"/>
            <family val="2"/>
          </rPr>
          <t xml:space="preserve">
acq rev of $8.3M - includes Crowe Paradis acqisition of est $5.5M+Bloodhound of $2M +11% growth</t>
        </r>
      </text>
    </comment>
    <comment ref="AA290" authorId="2">
      <text>
        <r>
          <rPr>
            <b/>
            <sz val="8"/>
            <color indexed="81"/>
            <rFont val="Tahoma"/>
            <family val="2"/>
          </rPr>
          <t>kapltoni:</t>
        </r>
        <r>
          <rPr>
            <sz val="8"/>
            <color indexed="81"/>
            <rFont val="Tahoma"/>
            <family val="2"/>
          </rPr>
          <t xml:space="preserve">
5% organic plus Crowe Paradis acqisition of est $5.5M+Bloodhound of $2M +11% of addl rev on the acq</t>
        </r>
      </text>
    </comment>
    <comment ref="AB290" authorId="2">
      <text>
        <r>
          <rPr>
            <b/>
            <sz val="8"/>
            <color indexed="81"/>
            <rFont val="Tahoma"/>
            <family val="2"/>
          </rPr>
          <t>kapltoni:</t>
        </r>
        <r>
          <rPr>
            <sz val="8"/>
            <color indexed="81"/>
            <rFont val="Tahoma"/>
            <family val="2"/>
          </rPr>
          <t xml:space="preserve">
5% organic plus Crowe Paradis acqisition of est $5.5M+Bloodhound of $2M +11% of addl rev on the acq</t>
        </r>
      </text>
    </comment>
    <comment ref="AD290" authorId="2">
      <text>
        <r>
          <rPr>
            <b/>
            <sz val="8"/>
            <color indexed="81"/>
            <rFont val="Tahoma"/>
            <family val="2"/>
          </rPr>
          <t>kapltoni:</t>
        </r>
        <r>
          <rPr>
            <sz val="8"/>
            <color indexed="81"/>
            <rFont val="Tahoma"/>
            <family val="2"/>
          </rPr>
          <t xml:space="preserve">
6% organic +Bloodhound of $2M +15% of addl rev on the acq</t>
        </r>
      </text>
    </comment>
    <comment ref="A294" authorId="4">
      <text>
        <r>
          <rPr>
            <b/>
            <sz val="8"/>
            <color indexed="81"/>
            <rFont val="Tahoma"/>
            <family val="2"/>
          </rPr>
          <t>sestein:</t>
        </r>
        <r>
          <rPr>
            <sz val="8"/>
            <color indexed="81"/>
            <rFont val="Tahoma"/>
            <family val="2"/>
          </rPr>
          <t xml:space="preserve">
AIR - Catastrophe Modelin
Verisk Health=Non-fraud healthcare + D2Hawkeye</t>
        </r>
      </text>
    </comment>
    <comment ref="O294" authorId="4">
      <text>
        <r>
          <rPr>
            <b/>
            <sz val="8"/>
            <color indexed="81"/>
            <rFont val="Tahoma"/>
            <family val="2"/>
          </rPr>
          <t>sestein:</t>
        </r>
        <r>
          <rPr>
            <sz val="8"/>
            <color indexed="81"/>
            <rFont val="Tahoma"/>
            <family val="2"/>
          </rPr>
          <t xml:space="preserve">
Bump up from acquisition of D2Hawkeye</t>
        </r>
      </text>
    </comment>
    <comment ref="AC294" authorId="2">
      <text>
        <r>
          <rPr>
            <b/>
            <sz val="8"/>
            <color indexed="81"/>
            <rFont val="Tahoma"/>
            <family val="2"/>
          </rPr>
          <t>kapltoni:</t>
        </r>
        <r>
          <rPr>
            <sz val="8"/>
            <color indexed="81"/>
            <rFont val="Tahoma"/>
            <family val="2"/>
          </rPr>
          <t xml:space="preserve">
3E</t>
        </r>
      </text>
    </comment>
    <comment ref="Y297" authorId="2">
      <text>
        <r>
          <rPr>
            <b/>
            <sz val="8"/>
            <color indexed="81"/>
            <rFont val="Tahoma"/>
            <family val="2"/>
          </rPr>
          <t>kapltoni:</t>
        </r>
        <r>
          <rPr>
            <sz val="8"/>
            <color indexed="81"/>
            <rFont val="Tahoma"/>
            <family val="2"/>
          </rPr>
          <t xml:space="preserve">
includes 12.6% organic growth plus 3E (~$11M)</t>
        </r>
      </text>
    </comment>
    <comment ref="Z297" authorId="2">
      <text>
        <r>
          <rPr>
            <b/>
            <sz val="8"/>
            <color indexed="81"/>
            <rFont val="Tahoma"/>
            <family val="2"/>
          </rPr>
          <t>kapltoni:</t>
        </r>
        <r>
          <rPr>
            <sz val="8"/>
            <color indexed="81"/>
            <rFont val="Tahoma"/>
            <family val="2"/>
          </rPr>
          <t xml:space="preserve">
7.7% organic plus $12.6M in acq rev = $12M for 3E Company (+5% growth)</t>
        </r>
      </text>
    </comment>
    <comment ref="AA297" authorId="2">
      <text>
        <r>
          <rPr>
            <b/>
            <sz val="8"/>
            <color indexed="81"/>
            <rFont val="Tahoma"/>
            <family val="2"/>
          </rPr>
          <t>kapltoni:</t>
        </r>
        <r>
          <rPr>
            <sz val="8"/>
            <color indexed="81"/>
            <rFont val="Tahoma"/>
            <family val="2"/>
          </rPr>
          <t xml:space="preserve">
10% organic plus $12M/qtr for 3E Company (+5% growth) +HRP of $2M est</t>
        </r>
      </text>
    </comment>
    <comment ref="AB297" authorId="2">
      <text>
        <r>
          <rPr>
            <b/>
            <sz val="8"/>
            <color indexed="81"/>
            <rFont val="Tahoma"/>
            <family val="2"/>
          </rPr>
          <t>kapltoni:</t>
        </r>
        <r>
          <rPr>
            <sz val="8"/>
            <color indexed="81"/>
            <rFont val="Tahoma"/>
            <family val="2"/>
          </rPr>
          <t xml:space="preserve">
10% organic plus $12M/qtr for 3E Company (+5% growth)+ $2M for HRP</t>
        </r>
      </text>
    </comment>
    <comment ref="AD297" authorId="2">
      <text>
        <r>
          <rPr>
            <b/>
            <sz val="8"/>
            <color indexed="81"/>
            <rFont val="Tahoma"/>
            <family val="2"/>
          </rPr>
          <t>kapltoni:</t>
        </r>
        <r>
          <rPr>
            <sz val="8"/>
            <color indexed="81"/>
            <rFont val="Tahoma"/>
            <family val="2"/>
          </rPr>
          <t xml:space="preserve">
includes $2M for HRP</t>
        </r>
      </text>
    </comment>
    <comment ref="AE297" authorId="2">
      <text>
        <r>
          <rPr>
            <b/>
            <sz val="8"/>
            <color indexed="81"/>
            <rFont val="Tahoma"/>
            <family val="2"/>
          </rPr>
          <t>kapltoni:</t>
        </r>
        <r>
          <rPr>
            <sz val="8"/>
            <color indexed="81"/>
            <rFont val="Tahoma"/>
            <family val="2"/>
          </rPr>
          <t xml:space="preserve">
includes $2M for HRP</t>
        </r>
      </text>
    </comment>
    <comment ref="A301" authorId="4">
      <text>
        <r>
          <rPr>
            <b/>
            <sz val="8"/>
            <color indexed="81"/>
            <rFont val="Tahoma"/>
            <family val="2"/>
          </rPr>
          <t>sestein:</t>
        </r>
        <r>
          <rPr>
            <sz val="8"/>
            <color indexed="81"/>
            <rFont val="Tahoma"/>
            <family val="2"/>
          </rPr>
          <t xml:space="preserve">
Xactware: fee + transaction cost</t>
        </r>
      </text>
    </comment>
    <comment ref="AC309" authorId="5">
      <text>
        <r>
          <rPr>
            <b/>
            <sz val="9"/>
            <color indexed="81"/>
            <rFont val="Tahoma"/>
            <family val="2"/>
          </rPr>
          <t>Galindo, Denny:</t>
        </r>
        <r>
          <rPr>
            <sz val="9"/>
            <color indexed="81"/>
            <rFont val="Tahoma"/>
            <family val="2"/>
          </rPr>
          <t xml:space="preserve">
Includes $129M in Mortgage</t>
        </r>
      </text>
    </comment>
    <comment ref="AX314" authorId="0">
      <text>
        <r>
          <rPr>
            <b/>
            <sz val="9"/>
            <color indexed="81"/>
            <rFont val="Tahoma"/>
            <family val="2"/>
          </rPr>
          <t>Halfmann, Patrick T (Research):</t>
        </r>
        <r>
          <rPr>
            <sz val="9"/>
            <color indexed="81"/>
            <rFont val="Tahoma"/>
            <family val="2"/>
          </rPr>
          <t xml:space="preserve">
From continuing operations</t>
        </r>
      </text>
    </comment>
    <comment ref="AV315" authorId="0">
      <text>
        <r>
          <rPr>
            <b/>
            <sz val="9"/>
            <color indexed="81"/>
            <rFont val="Tahoma"/>
            <family val="2"/>
          </rPr>
          <t>Halfmann, Patrick T (Research):</t>
        </r>
        <r>
          <rPr>
            <sz val="9"/>
            <color indexed="81"/>
            <rFont val="Tahoma"/>
            <family val="2"/>
          </rPr>
          <t xml:space="preserve">
MSe</t>
        </r>
      </text>
    </comment>
    <comment ref="AX315" authorId="0">
      <text>
        <r>
          <rPr>
            <b/>
            <sz val="9"/>
            <color indexed="81"/>
            <rFont val="Tahoma"/>
            <family val="2"/>
          </rPr>
          <t>Halfmann, Patrick T (Research):</t>
        </r>
        <r>
          <rPr>
            <sz val="9"/>
            <color indexed="81"/>
            <rFont val="Tahoma"/>
            <family val="2"/>
          </rPr>
          <t xml:space="preserve">
From continuing operations; soft due to tough compare in fin svcs</t>
        </r>
      </text>
    </comment>
    <comment ref="AN317" authorId="5">
      <text>
        <r>
          <rPr>
            <b/>
            <sz val="9"/>
            <color indexed="81"/>
            <rFont val="Tahoma"/>
            <family val="2"/>
          </rPr>
          <t>Galindo, Denny:</t>
        </r>
        <r>
          <rPr>
            <sz val="9"/>
            <color indexed="81"/>
            <rFont val="Tahoma"/>
            <family val="2"/>
          </rPr>
          <t xml:space="preserve">
+$11.7M in data processing costs mostly due to healthcare</t>
        </r>
      </text>
    </comment>
    <comment ref="AO317" authorId="5">
      <text>
        <r>
          <rPr>
            <b/>
            <sz val="9"/>
            <color indexed="81"/>
            <rFont val="Tahoma"/>
            <family val="2"/>
          </rPr>
          <t>Galindo, Denny:</t>
        </r>
        <r>
          <rPr>
            <sz val="9"/>
            <color indexed="81"/>
            <rFont val="Tahoma"/>
            <family val="2"/>
          </rPr>
          <t xml:space="preserve">
up 4.6M for salary/benefits
+9.6 for data and processing (Healthcare)</t>
        </r>
      </text>
    </comment>
    <comment ref="AQ317" authorId="3">
      <text>
        <r>
          <rPr>
            <b/>
            <sz val="9"/>
            <color indexed="81"/>
            <rFont val="Tahoma"/>
            <family val="2"/>
          </rPr>
          <t>Kaplan, Toni (Research):</t>
        </r>
        <r>
          <rPr>
            <sz val="9"/>
            <color indexed="81"/>
            <rFont val="Tahoma"/>
            <family val="2"/>
          </rPr>
          <t xml:space="preserve">
$0.5M from Maplecroft acquisition</t>
        </r>
      </text>
    </comment>
    <comment ref="R318" authorId="2">
      <text>
        <r>
          <rPr>
            <b/>
            <sz val="8"/>
            <color indexed="81"/>
            <rFont val="Tahoma"/>
            <family val="2"/>
          </rPr>
          <t>kapltoni:</t>
        </r>
        <r>
          <rPr>
            <sz val="8"/>
            <color indexed="81"/>
            <rFont val="Tahoma"/>
            <family val="2"/>
          </rPr>
          <t xml:space="preserve">
52.9% adjusted for ESOP charge of $19M</t>
        </r>
      </text>
    </comment>
    <comment ref="AO319" authorId="5">
      <text>
        <r>
          <rPr>
            <b/>
            <sz val="9"/>
            <color indexed="81"/>
            <rFont val="Tahoma"/>
            <family val="2"/>
          </rPr>
          <t>Galindo, Denny:</t>
        </r>
        <r>
          <rPr>
            <sz val="9"/>
            <color indexed="81"/>
            <rFont val="Tahoma"/>
            <family val="2"/>
          </rPr>
          <t xml:space="preserve">
Assume sweep related data processing is over in Q2
Old cost + 3.7% effect from Interthinx - 2% from helathcare cost</t>
        </r>
      </text>
    </comment>
    <comment ref="AP319" authorId="5">
      <text>
        <r>
          <rPr>
            <b/>
            <sz val="9"/>
            <color indexed="81"/>
            <rFont val="Tahoma"/>
            <family val="2"/>
          </rPr>
          <t>Galindo, Denny:</t>
        </r>
        <r>
          <rPr>
            <sz val="9"/>
            <color indexed="81"/>
            <rFont val="Tahoma"/>
            <family val="2"/>
          </rPr>
          <t xml:space="preserve">
Assume sweep related data processing is over in Q2
Old cost + 3.7% effect from Interthinx - 2% from helathcare cost</t>
        </r>
      </text>
    </comment>
    <comment ref="AU320" authorId="0">
      <text>
        <r>
          <rPr>
            <b/>
            <sz val="9"/>
            <color indexed="81"/>
            <rFont val="Tahoma"/>
            <family val="2"/>
          </rPr>
          <t>Halfmann, Patrick T (Research):</t>
        </r>
        <r>
          <rPr>
            <sz val="9"/>
            <color indexed="81"/>
            <rFont val="Tahoma"/>
            <family val="2"/>
          </rPr>
          <t xml:space="preserve">
Wood Mac supressed by purch acc margins (~40%)</t>
        </r>
      </text>
    </comment>
    <comment ref="BE320" authorId="3">
      <text>
        <r>
          <rPr>
            <b/>
            <sz val="9"/>
            <color indexed="81"/>
            <rFont val="Tahoma"/>
            <family val="2"/>
          </rPr>
          <t>Kaplan, Toni (Research):</t>
        </r>
        <r>
          <rPr>
            <sz val="9"/>
            <color indexed="81"/>
            <rFont val="Tahoma"/>
            <family val="2"/>
          </rPr>
          <t xml:space="preserve">
helped by hurricanes, but hurt from acqs ($5M EBITDA, 30% margin)</t>
        </r>
      </text>
    </comment>
    <comment ref="BF320" authorId="3">
      <text>
        <r>
          <rPr>
            <b/>
            <sz val="9"/>
            <color indexed="81"/>
            <rFont val="Tahoma"/>
            <family val="2"/>
          </rPr>
          <t>Kaplan, Toni (Research):</t>
        </r>
        <r>
          <rPr>
            <sz val="9"/>
            <color indexed="81"/>
            <rFont val="Tahoma"/>
            <family val="2"/>
          </rPr>
          <t xml:space="preserve">
230 bps drag from acqs on total company EBITDA</t>
        </r>
      </text>
    </comment>
    <comment ref="BG320" authorId="8">
      <text>
        <r>
          <rPr>
            <b/>
            <sz val="9"/>
            <color indexed="81"/>
            <rFont val="Tahoma"/>
            <family val="2"/>
          </rPr>
          <t>Halfmann, Patrick (Research):</t>
        </r>
        <r>
          <rPr>
            <sz val="9"/>
            <color indexed="81"/>
            <rFont val="Tahoma"/>
            <family val="2"/>
          </rPr>
          <t xml:space="preserve">
Decline driven by lower margin of acquired businesses</t>
        </r>
      </text>
    </comment>
    <comment ref="BH320" authorId="3">
      <text>
        <r>
          <rPr>
            <b/>
            <sz val="9"/>
            <color indexed="81"/>
            <rFont val="Tahoma"/>
            <family val="2"/>
          </rPr>
          <t>Kaplan, Toni (Research):</t>
        </r>
        <r>
          <rPr>
            <sz val="9"/>
            <color indexed="81"/>
            <rFont val="Tahoma"/>
            <family val="2"/>
          </rPr>
          <t xml:space="preserve">
assumes acqs drag on margins</t>
        </r>
      </text>
    </comment>
    <comment ref="BI320" authorId="3">
      <text>
        <r>
          <rPr>
            <b/>
            <sz val="9"/>
            <color indexed="81"/>
            <rFont val="Tahoma"/>
            <family val="2"/>
          </rPr>
          <t>Kaplan, Toni (Research):</t>
        </r>
        <r>
          <rPr>
            <sz val="9"/>
            <color indexed="81"/>
            <rFont val="Tahoma"/>
            <family val="2"/>
          </rPr>
          <t xml:space="preserve">
assumes acqs drag on margins</t>
        </r>
      </text>
    </comment>
    <comment ref="AS321" authorId="0">
      <text>
        <r>
          <rPr>
            <b/>
            <sz val="9"/>
            <color indexed="81"/>
            <rFont val="Tahoma"/>
            <family val="2"/>
          </rPr>
          <t>Halfmann, Patrick T (Research):</t>
        </r>
        <r>
          <rPr>
            <sz val="9"/>
            <color indexed="81"/>
            <rFont val="Tahoma"/>
            <family val="2"/>
          </rPr>
          <t xml:space="preserve">
Gross margin ex HC</t>
        </r>
      </text>
    </comment>
    <comment ref="AT321" authorId="0">
      <text>
        <r>
          <rPr>
            <b/>
            <sz val="9"/>
            <color indexed="81"/>
            <rFont val="Tahoma"/>
            <family val="2"/>
          </rPr>
          <t>Halfmann, Patrick T (Research):</t>
        </r>
        <r>
          <rPr>
            <sz val="9"/>
            <color indexed="81"/>
            <rFont val="Tahoma"/>
            <family val="2"/>
          </rPr>
          <t xml:space="preserve">
Gross margin ex HC</t>
        </r>
      </text>
    </comment>
    <comment ref="AU321" authorId="0">
      <text>
        <r>
          <rPr>
            <b/>
            <sz val="9"/>
            <color indexed="81"/>
            <rFont val="Tahoma"/>
            <family val="2"/>
          </rPr>
          <t>Halfmann, Patrick T (Research):</t>
        </r>
        <r>
          <rPr>
            <sz val="9"/>
            <color indexed="81"/>
            <rFont val="Tahoma"/>
            <family val="2"/>
          </rPr>
          <t xml:space="preserve">
Gross margin ex HC</t>
        </r>
      </text>
    </comment>
    <comment ref="AV321" authorId="0">
      <text>
        <r>
          <rPr>
            <b/>
            <sz val="9"/>
            <color indexed="81"/>
            <rFont val="Tahoma"/>
            <family val="2"/>
          </rPr>
          <t>Halfmann, Patrick T (Research):</t>
        </r>
        <r>
          <rPr>
            <sz val="9"/>
            <color indexed="81"/>
            <rFont val="Tahoma"/>
            <family val="2"/>
          </rPr>
          <t xml:space="preserve">
Gross margin ex HC</t>
        </r>
      </text>
    </comment>
    <comment ref="AW321" authorId="0">
      <text>
        <r>
          <rPr>
            <b/>
            <sz val="9"/>
            <color indexed="81"/>
            <rFont val="Tahoma"/>
            <family val="2"/>
          </rPr>
          <t>Halfmann, Patrick T (Research):</t>
        </r>
        <r>
          <rPr>
            <sz val="9"/>
            <color indexed="81"/>
            <rFont val="Tahoma"/>
            <family val="2"/>
          </rPr>
          <t xml:space="preserve">
Gross margin ex HC</t>
        </r>
      </text>
    </comment>
    <comment ref="BA321" authorId="8">
      <text>
        <r>
          <rPr>
            <b/>
            <sz val="9"/>
            <color indexed="81"/>
            <rFont val="Tahoma"/>
            <family val="2"/>
          </rPr>
          <t>Halfmann, Patrick (Research):</t>
        </r>
        <r>
          <rPr>
            <sz val="9"/>
            <color indexed="81"/>
            <rFont val="Tahoma"/>
            <family val="2"/>
          </rPr>
          <t xml:space="preserve">
ex. 6.2M ESOP charge</t>
        </r>
      </text>
    </comment>
    <comment ref="BB321" authorId="8">
      <text>
        <r>
          <rPr>
            <b/>
            <sz val="9"/>
            <color indexed="81"/>
            <rFont val="Tahoma"/>
            <family val="2"/>
          </rPr>
          <t>Halfmann, Patrick (Research):</t>
        </r>
        <r>
          <rPr>
            <sz val="9"/>
            <color indexed="81"/>
            <rFont val="Tahoma"/>
            <family val="2"/>
          </rPr>
          <t xml:space="preserve">
Ex ESOP charge</t>
        </r>
      </text>
    </comment>
    <comment ref="BF322" authorId="3">
      <text>
        <r>
          <rPr>
            <b/>
            <sz val="9"/>
            <color indexed="81"/>
            <rFont val="Tahoma"/>
            <family val="2"/>
          </rPr>
          <t>Kaplan, Toni (Research):</t>
        </r>
        <r>
          <rPr>
            <sz val="9"/>
            <color indexed="81"/>
            <rFont val="Tahoma"/>
            <family val="2"/>
          </rPr>
          <t xml:space="preserve">
total EBITDA margin contraction ~230 bps from acqs</t>
        </r>
      </text>
    </comment>
    <comment ref="BH322" authorId="3">
      <text>
        <r>
          <rPr>
            <b/>
            <sz val="9"/>
            <color indexed="81"/>
            <rFont val="Tahoma"/>
            <family val="2"/>
          </rPr>
          <t>Kaplan, Toni (Research):</t>
        </r>
        <r>
          <rPr>
            <sz val="9"/>
            <color indexed="81"/>
            <rFont val="Tahoma"/>
            <family val="2"/>
          </rPr>
          <t xml:space="preserve">
total EBITDA margin contraction</t>
        </r>
      </text>
    </comment>
    <comment ref="BI322" authorId="3">
      <text>
        <r>
          <rPr>
            <b/>
            <sz val="9"/>
            <color indexed="81"/>
            <rFont val="Tahoma"/>
            <family val="2"/>
          </rPr>
          <t>Kaplan, Toni (Research):</t>
        </r>
        <r>
          <rPr>
            <sz val="9"/>
            <color indexed="81"/>
            <rFont val="Tahoma"/>
            <family val="2"/>
          </rPr>
          <t xml:space="preserve">
total EBITDA margin contraction</t>
        </r>
      </text>
    </comment>
    <comment ref="BJ322" authorId="3">
      <text>
        <r>
          <rPr>
            <b/>
            <sz val="9"/>
            <color indexed="81"/>
            <rFont val="Tahoma"/>
            <family val="2"/>
          </rPr>
          <t>Kaplan, Toni (Research):</t>
        </r>
        <r>
          <rPr>
            <sz val="9"/>
            <color indexed="81"/>
            <rFont val="Tahoma"/>
            <family val="2"/>
          </rPr>
          <t xml:space="preserve">
total EBITDA margin contraction</t>
        </r>
      </text>
    </comment>
    <comment ref="BK322" authorId="3">
      <text>
        <r>
          <rPr>
            <b/>
            <sz val="9"/>
            <color indexed="81"/>
            <rFont val="Tahoma"/>
            <family val="2"/>
          </rPr>
          <t>Kaplan, Toni (Research):</t>
        </r>
        <r>
          <rPr>
            <sz val="9"/>
            <color indexed="81"/>
            <rFont val="Tahoma"/>
            <family val="2"/>
          </rPr>
          <t xml:space="preserve">
total EBITDA margin expansion</t>
        </r>
      </text>
    </comment>
    <comment ref="AL323" authorId="4">
      <text>
        <r>
          <rPr>
            <b/>
            <sz val="8"/>
            <color indexed="81"/>
            <rFont val="Tahoma"/>
            <family val="2"/>
          </rPr>
          <t>sestein:</t>
        </r>
        <r>
          <rPr>
            <sz val="8"/>
            <color indexed="81"/>
            <rFont val="Tahoma"/>
            <family val="2"/>
          </rPr>
          <t xml:space="preserve">
Spend $10M incremental for digital imagery</t>
        </r>
      </text>
    </comment>
    <comment ref="AP323" authorId="5">
      <text>
        <r>
          <rPr>
            <b/>
            <sz val="9"/>
            <color indexed="81"/>
            <rFont val="Tahoma"/>
            <family val="2"/>
          </rPr>
          <t>Galindo, Denny:</t>
        </r>
        <r>
          <rPr>
            <sz val="9"/>
            <color indexed="81"/>
            <rFont val="Tahoma"/>
            <family val="2"/>
          </rPr>
          <t xml:space="preserve">
includes 2.8M in fees from Evt acquisition</t>
        </r>
      </text>
    </comment>
    <comment ref="AQ323" authorId="3">
      <text>
        <r>
          <rPr>
            <b/>
            <sz val="9"/>
            <color indexed="81"/>
            <rFont val="Tahoma"/>
            <family val="2"/>
          </rPr>
          <t>Kaplan, Toni (Research):</t>
        </r>
        <r>
          <rPr>
            <sz val="9"/>
            <color indexed="81"/>
            <rFont val="Tahoma"/>
            <family val="2"/>
          </rPr>
          <t xml:space="preserve">
$0.1M Maplecroft</t>
        </r>
      </text>
    </comment>
    <comment ref="AT323" authorId="3">
      <text>
        <r>
          <rPr>
            <b/>
            <sz val="9"/>
            <color indexed="81"/>
            <rFont val="Tahoma"/>
            <family val="2"/>
          </rPr>
          <t>Kaplan, Toni (Research):</t>
        </r>
        <r>
          <rPr>
            <sz val="9"/>
            <color indexed="81"/>
            <rFont val="Tahoma"/>
            <family val="2"/>
          </rPr>
          <t xml:space="preserve">
includes $26M of integration charges</t>
        </r>
      </text>
    </comment>
    <comment ref="R324" authorId="2">
      <text>
        <r>
          <rPr>
            <b/>
            <sz val="8"/>
            <color indexed="81"/>
            <rFont val="Tahoma"/>
            <family val="2"/>
          </rPr>
          <t>kapltoni:</t>
        </r>
        <r>
          <rPr>
            <sz val="8"/>
            <color indexed="81"/>
            <rFont val="Tahoma"/>
            <family val="2"/>
          </rPr>
          <t xml:space="preserve">
15% adjusted for ESOP of $5.8M</t>
        </r>
      </text>
    </comment>
    <comment ref="AE326" authorId="2">
      <text>
        <r>
          <rPr>
            <b/>
            <sz val="8"/>
            <color indexed="81"/>
            <rFont val="Tahoma"/>
            <family val="2"/>
          </rPr>
          <t>kapltoni:</t>
        </r>
        <r>
          <rPr>
            <sz val="8"/>
            <color indexed="81"/>
            <rFont val="Tahoma"/>
            <family val="2"/>
          </rPr>
          <t xml:space="preserve">
MC Acq</t>
        </r>
      </text>
    </comment>
    <comment ref="AO326" authorId="5">
      <text>
        <r>
          <rPr>
            <b/>
            <sz val="9"/>
            <color indexed="81"/>
            <rFont val="Tahoma"/>
            <family val="2"/>
          </rPr>
          <t>Galindo, Denny:</t>
        </r>
        <r>
          <rPr>
            <sz val="9"/>
            <color indexed="81"/>
            <rFont val="Tahoma"/>
            <family val="2"/>
          </rPr>
          <t xml:space="preserve">
High q/q due to salary</t>
        </r>
      </text>
    </comment>
    <comment ref="AP326" authorId="5">
      <text>
        <r>
          <rPr>
            <b/>
            <sz val="9"/>
            <color indexed="81"/>
            <rFont val="Tahoma"/>
            <family val="2"/>
          </rPr>
          <t>Galindo, Denny:</t>
        </r>
        <r>
          <rPr>
            <sz val="9"/>
            <color indexed="81"/>
            <rFont val="Tahoma"/>
            <family val="2"/>
          </rPr>
          <t xml:space="preserve">
High q/q due to salary</t>
        </r>
      </text>
    </comment>
    <comment ref="AR326" authorId="3">
      <text>
        <r>
          <rPr>
            <b/>
            <sz val="9"/>
            <color indexed="81"/>
            <rFont val="Tahoma"/>
            <family val="2"/>
          </rPr>
          <t>Kaplan, Toni (Research):</t>
        </r>
        <r>
          <rPr>
            <sz val="9"/>
            <color indexed="81"/>
            <rFont val="Tahoma"/>
            <family val="2"/>
          </rPr>
          <t xml:space="preserve">
ex EVT fees</t>
        </r>
      </text>
    </comment>
    <comment ref="AX326" authorId="0">
      <text>
        <r>
          <rPr>
            <b/>
            <sz val="9"/>
            <color indexed="81"/>
            <rFont val="Tahoma"/>
            <family val="2"/>
          </rPr>
          <t>Halfmann, Patrick T (Research):</t>
        </r>
        <r>
          <rPr>
            <sz val="9"/>
            <color indexed="81"/>
            <rFont val="Tahoma"/>
            <family val="2"/>
          </rPr>
          <t xml:space="preserve">
Driven by recent acquisitions</t>
        </r>
      </text>
    </comment>
    <comment ref="BA326" authorId="8">
      <text>
        <r>
          <rPr>
            <b/>
            <sz val="9"/>
            <color indexed="81"/>
            <rFont val="Tahoma"/>
            <family val="2"/>
          </rPr>
          <t>Halfmann, Patrick (Research):</t>
        </r>
        <r>
          <rPr>
            <sz val="9"/>
            <color indexed="81"/>
            <rFont val="Tahoma"/>
            <family val="2"/>
          </rPr>
          <t xml:space="preserve">
Trying to be efficient with Wood Mac cost structure</t>
        </r>
      </text>
    </comment>
    <comment ref="BC326" authorId="8">
      <text>
        <r>
          <rPr>
            <b/>
            <sz val="9"/>
            <color indexed="81"/>
            <rFont val="Tahoma"/>
            <family val="2"/>
          </rPr>
          <t>Halfmann, Patrick (Research):</t>
        </r>
        <r>
          <rPr>
            <sz val="9"/>
            <color indexed="81"/>
            <rFont val="Tahoma"/>
            <family val="2"/>
          </rPr>
          <t xml:space="preserve">
To see drag in 1H from FX and inclusion of lower margin acquired revenue</t>
        </r>
      </text>
    </comment>
    <comment ref="AS327" authorId="0">
      <text>
        <r>
          <rPr>
            <b/>
            <sz val="9"/>
            <color indexed="81"/>
            <rFont val="Tahoma"/>
            <family val="2"/>
          </rPr>
          <t>Halfmann, Patrick T (Research):</t>
        </r>
        <r>
          <rPr>
            <sz val="9"/>
            <color indexed="81"/>
            <rFont val="Tahoma"/>
            <family val="2"/>
          </rPr>
          <t xml:space="preserve">
SG&amp;A/Sales ex. healthcare</t>
        </r>
      </text>
    </comment>
    <comment ref="AT327" authorId="0">
      <text>
        <r>
          <rPr>
            <b/>
            <sz val="9"/>
            <color indexed="81"/>
            <rFont val="Tahoma"/>
            <family val="2"/>
          </rPr>
          <t>Halfmann, Patrick T (Research):</t>
        </r>
        <r>
          <rPr>
            <sz val="9"/>
            <color indexed="81"/>
            <rFont val="Tahoma"/>
            <family val="2"/>
          </rPr>
          <t xml:space="preserve">
SG&amp;A/Sales ex. healthcare</t>
        </r>
      </text>
    </comment>
    <comment ref="AU327" authorId="0">
      <text>
        <r>
          <rPr>
            <b/>
            <sz val="9"/>
            <color indexed="81"/>
            <rFont val="Tahoma"/>
            <family val="2"/>
          </rPr>
          <t>Halfmann, Patrick T (Research):</t>
        </r>
        <r>
          <rPr>
            <sz val="9"/>
            <color indexed="81"/>
            <rFont val="Tahoma"/>
            <family val="2"/>
          </rPr>
          <t xml:space="preserve">
SG&amp;A/Sales ex. healthcare</t>
        </r>
      </text>
    </comment>
    <comment ref="AV327" authorId="0">
      <text>
        <r>
          <rPr>
            <b/>
            <sz val="9"/>
            <color indexed="81"/>
            <rFont val="Tahoma"/>
            <family val="2"/>
          </rPr>
          <t>Halfmann, Patrick T (Research):</t>
        </r>
        <r>
          <rPr>
            <sz val="9"/>
            <color indexed="81"/>
            <rFont val="Tahoma"/>
            <family val="2"/>
          </rPr>
          <t xml:space="preserve">
SG&amp;A/Sales ex. healthcare</t>
        </r>
      </text>
    </comment>
    <comment ref="AW327" authorId="0">
      <text>
        <r>
          <rPr>
            <b/>
            <sz val="9"/>
            <color indexed="81"/>
            <rFont val="Tahoma"/>
            <family val="2"/>
          </rPr>
          <t>Halfmann, Patrick T (Research):</t>
        </r>
        <r>
          <rPr>
            <sz val="9"/>
            <color indexed="81"/>
            <rFont val="Tahoma"/>
            <family val="2"/>
          </rPr>
          <t xml:space="preserve">
SG&amp;A/Sales ex. healthcare</t>
        </r>
      </text>
    </comment>
    <comment ref="BA327" authorId="8">
      <text>
        <r>
          <rPr>
            <b/>
            <sz val="9"/>
            <color indexed="81"/>
            <rFont val="Tahoma"/>
            <family val="2"/>
          </rPr>
          <t>Halfmann, Patrick (Research):</t>
        </r>
        <r>
          <rPr>
            <sz val="9"/>
            <color indexed="81"/>
            <rFont val="Tahoma"/>
            <family val="2"/>
          </rPr>
          <t xml:space="preserve">
Ex ESOP charge</t>
        </r>
      </text>
    </comment>
    <comment ref="BB327" authorId="8">
      <text>
        <r>
          <rPr>
            <b/>
            <sz val="9"/>
            <color indexed="81"/>
            <rFont val="Tahoma"/>
            <family val="2"/>
          </rPr>
          <t>Halfmann, Patrick (Research):</t>
        </r>
        <r>
          <rPr>
            <sz val="9"/>
            <color indexed="81"/>
            <rFont val="Tahoma"/>
            <family val="2"/>
          </rPr>
          <t xml:space="preserve">
Ex ESOP charge</t>
        </r>
      </text>
    </comment>
    <comment ref="AZ331" authorId="8">
      <text>
        <r>
          <rPr>
            <b/>
            <sz val="9"/>
            <color indexed="81"/>
            <rFont val="Tahoma"/>
            <family val="2"/>
          </rPr>
          <t>Halfmann, Patrick (Research):</t>
        </r>
        <r>
          <rPr>
            <sz val="9"/>
            <color indexed="81"/>
            <rFont val="Tahoma"/>
            <family val="2"/>
          </rPr>
          <t xml:space="preserve">
Nonrecurring reverance + investment income</t>
        </r>
      </text>
    </comment>
    <comment ref="BA331" authorId="8">
      <text>
        <r>
          <rPr>
            <b/>
            <sz val="9"/>
            <color indexed="81"/>
            <rFont val="Tahoma"/>
            <family val="2"/>
          </rPr>
          <t>Halfmann, Patrick (Research):</t>
        </r>
        <r>
          <rPr>
            <sz val="9"/>
            <color indexed="81"/>
            <rFont val="Tahoma"/>
            <family val="2"/>
          </rPr>
          <t xml:space="preserve">
8.1M esop charge, 3M inv income</t>
        </r>
      </text>
    </comment>
    <comment ref="AU339" authorId="0">
      <text>
        <r>
          <rPr>
            <b/>
            <sz val="9"/>
            <color indexed="81"/>
            <rFont val="Tahoma"/>
            <family val="2"/>
          </rPr>
          <t>Halfmann, Patrick T (Research):</t>
        </r>
        <r>
          <rPr>
            <sz val="9"/>
            <color indexed="81"/>
            <rFont val="Tahoma"/>
            <family val="2"/>
          </rPr>
          <t xml:space="preserve">
ex. acq and gain on sale, up 4.9% y/y</t>
        </r>
      </text>
    </comment>
    <comment ref="BG340" authorId="8">
      <text>
        <r>
          <rPr>
            <b/>
            <sz val="9"/>
            <color indexed="81"/>
            <rFont val="Tahoma"/>
            <family val="2"/>
          </rPr>
          <t>Halfmann, Patrick (Research):</t>
        </r>
        <r>
          <rPr>
            <sz val="9"/>
            <color indexed="81"/>
            <rFont val="Tahoma"/>
            <family val="2"/>
          </rPr>
          <t xml:space="preserve">
Down y/y driven by FX, investment spending, inclusion of acquired revenue</t>
        </r>
      </text>
    </comment>
    <comment ref="AX343" authorId="8">
      <text>
        <r>
          <rPr>
            <b/>
            <sz val="9"/>
            <color indexed="81"/>
            <rFont val="Tahoma"/>
            <family val="2"/>
          </rPr>
          <t>Halfmann, Patrick (Research):</t>
        </r>
        <r>
          <rPr>
            <sz val="9"/>
            <color indexed="81"/>
            <rFont val="Tahoma"/>
            <family val="2"/>
          </rPr>
          <t xml:space="preserve">
Margin ex 4M of high margin true up revenue (costs previously incurred)</t>
        </r>
      </text>
    </comment>
    <comment ref="BL343" authorId="3">
      <text>
        <r>
          <rPr>
            <b/>
            <sz val="9"/>
            <color indexed="81"/>
            <rFont val="Tahoma"/>
            <family val="2"/>
          </rPr>
          <t>Kaplan, Toni (Research):</t>
        </r>
        <r>
          <rPr>
            <sz val="9"/>
            <color indexed="81"/>
            <rFont val="Tahoma"/>
            <family val="2"/>
          </rPr>
          <t xml:space="preserve">
Total D $150-160M</t>
        </r>
      </text>
    </comment>
    <comment ref="BE345" authorId="8">
      <text>
        <r>
          <rPr>
            <b/>
            <sz val="9"/>
            <color indexed="81"/>
            <rFont val="Tahoma"/>
            <family val="2"/>
          </rPr>
          <t>Halfmann, Patrick (Research):</t>
        </r>
        <r>
          <rPr>
            <sz val="9"/>
            <color indexed="81"/>
            <rFont val="Tahoma"/>
            <family val="2"/>
          </rPr>
          <t xml:space="preserve">
2Q: 140M company total for year</t>
        </r>
      </text>
    </comment>
    <comment ref="BF345" authorId="8">
      <text>
        <r>
          <rPr>
            <b/>
            <sz val="9"/>
            <color indexed="81"/>
            <rFont val="Tahoma"/>
            <family val="2"/>
          </rPr>
          <t>3Q: 135M</t>
        </r>
        <r>
          <rPr>
            <sz val="9"/>
            <color indexed="81"/>
            <rFont val="Tahoma"/>
            <family val="2"/>
          </rPr>
          <t xml:space="preserve">
2Q: 140M company total for year</t>
        </r>
      </text>
    </comment>
    <comment ref="V346" authorId="2">
      <text>
        <r>
          <rPr>
            <b/>
            <sz val="8"/>
            <color indexed="81"/>
            <rFont val="Tahoma"/>
            <family val="2"/>
          </rPr>
          <t>kapltoni:</t>
        </r>
        <r>
          <rPr>
            <sz val="8"/>
            <color indexed="81"/>
            <rFont val="Tahoma"/>
            <family val="2"/>
          </rPr>
          <t xml:space="preserve">
includes acquisition related liabilities adjustment of ($.544)</t>
        </r>
      </text>
    </comment>
    <comment ref="W346" authorId="2">
      <text>
        <r>
          <rPr>
            <b/>
            <sz val="8"/>
            <color indexed="81"/>
            <rFont val="Tahoma"/>
            <family val="2"/>
          </rPr>
          <t>kapltoni:</t>
        </r>
        <r>
          <rPr>
            <sz val="8"/>
            <color indexed="81"/>
            <rFont val="Tahoma"/>
            <family val="2"/>
          </rPr>
          <t xml:space="preserve">
includes acquisition related liabilities adjustment of ($.544)</t>
        </r>
      </text>
    </comment>
    <comment ref="AR346" authorId="5">
      <text>
        <r>
          <rPr>
            <b/>
            <sz val="9"/>
            <color indexed="81"/>
            <rFont val="Tahoma"/>
            <family val="2"/>
          </rPr>
          <t>Galindo, Denny:</t>
        </r>
        <r>
          <rPr>
            <sz val="9"/>
            <color indexed="81"/>
            <rFont val="Tahoma"/>
            <family val="2"/>
          </rPr>
          <t xml:space="preserve">
10-K $56.6M</t>
        </r>
      </text>
    </comment>
    <comment ref="A353" authorId="2">
      <text>
        <r>
          <rPr>
            <b/>
            <sz val="8"/>
            <color indexed="81"/>
            <rFont val="Tahoma"/>
            <family val="2"/>
          </rPr>
          <t>kapltoni:</t>
        </r>
        <r>
          <rPr>
            <sz val="8"/>
            <color indexed="81"/>
            <rFont val="Tahoma"/>
            <family val="2"/>
          </rPr>
          <t xml:space="preserve">
Stock based comp on cash flow statement</t>
        </r>
      </text>
    </comment>
    <comment ref="AH380" authorId="2">
      <text>
        <r>
          <rPr>
            <b/>
            <sz val="8"/>
            <color indexed="81"/>
            <rFont val="Tahoma"/>
            <family val="2"/>
          </rPr>
          <t>kapltoni:</t>
        </r>
        <r>
          <rPr>
            <sz val="8"/>
            <color indexed="81"/>
            <rFont val="Tahoma"/>
            <family val="2"/>
          </rPr>
          <t xml:space="preserve">
guidance 40%</t>
        </r>
      </text>
    </comment>
    <comment ref="AM380" authorId="4">
      <text>
        <r>
          <rPr>
            <b/>
            <sz val="8"/>
            <color indexed="81"/>
            <rFont val="Tahoma"/>
            <family val="2"/>
          </rPr>
          <t>3Q13 - expect tax rate to be below 37% for FY13</t>
        </r>
      </text>
    </comment>
    <comment ref="AR380" authorId="4">
      <text>
        <r>
          <rPr>
            <b/>
            <sz val="8"/>
            <color indexed="81"/>
            <rFont val="Tahoma"/>
            <family val="2"/>
          </rPr>
          <t xml:space="preserve">Galindo:
4Q13 CC </t>
        </r>
        <r>
          <rPr>
            <sz val="8"/>
            <color indexed="81"/>
            <rFont val="Tahoma"/>
            <family val="2"/>
          </rPr>
          <t>38.5% is the right level to model
Assume taxes to be down 1% due to local taxes</t>
        </r>
      </text>
    </comment>
    <comment ref="AW380" authorId="3">
      <text>
        <r>
          <rPr>
            <b/>
            <sz val="9"/>
            <color indexed="81"/>
            <rFont val="Tahoma"/>
            <family val="2"/>
          </rPr>
          <t>Kaplan, Toni (Research):</t>
        </r>
        <r>
          <rPr>
            <sz val="9"/>
            <color indexed="81"/>
            <rFont val="Tahoma"/>
            <family val="2"/>
          </rPr>
          <t xml:space="preserve">
2Q: 2H tax rate 36%
37.5%</t>
        </r>
      </text>
    </comment>
    <comment ref="AY380" authorId="0">
      <text>
        <r>
          <rPr>
            <b/>
            <sz val="9"/>
            <color indexed="81"/>
            <rFont val="Tahoma"/>
            <family val="2"/>
          </rPr>
          <t>Halfmann, Patrick T (Research):</t>
        </r>
        <r>
          <rPr>
            <sz val="9"/>
            <color indexed="81"/>
            <rFont val="Tahoma"/>
            <family val="2"/>
          </rPr>
          <t xml:space="preserve">
1Q: reaffirmed 32-33%
4Q15: Guided to 32-33%</t>
        </r>
      </text>
    </comment>
    <comment ref="AZ380" authorId="3">
      <text>
        <r>
          <rPr>
            <b/>
            <sz val="9"/>
            <color indexed="81"/>
            <rFont val="Tahoma"/>
            <family val="2"/>
          </rPr>
          <t>Kaplan, Toni (Research):</t>
        </r>
        <r>
          <rPr>
            <sz val="9"/>
            <color indexed="81"/>
            <rFont val="Tahoma"/>
            <family val="2"/>
          </rPr>
          <t xml:space="preserve">
1x benefit on deferred tax and lower UK tax</t>
        </r>
      </text>
    </comment>
    <comment ref="BB380" authorId="0">
      <text>
        <r>
          <rPr>
            <b/>
            <sz val="9"/>
            <color indexed="81"/>
            <rFont val="Tahoma"/>
            <family val="2"/>
          </rPr>
          <t>Halfmann, Patrick T (Research):</t>
        </r>
        <r>
          <rPr>
            <sz val="9"/>
            <color indexed="81"/>
            <rFont val="Tahoma"/>
            <family val="2"/>
          </rPr>
          <t xml:space="preserve">
3Q: 31%, UK tax rate benefit of ~1pt
2Q: 32-33%</t>
        </r>
      </text>
    </comment>
    <comment ref="BF380" authorId="1">
      <text>
        <r>
          <rPr>
            <b/>
            <sz val="9"/>
            <color indexed="81"/>
            <rFont val="Tahoma"/>
            <family val="2"/>
          </rPr>
          <t>Russo, Priscilla (Research):</t>
        </r>
        <r>
          <rPr>
            <sz val="9"/>
            <color indexed="81"/>
            <rFont val="Tahoma"/>
            <family val="2"/>
          </rPr>
          <t xml:space="preserve">
3Q: higher tax rate in 4Q</t>
        </r>
      </text>
    </comment>
    <comment ref="BG380" authorId="8">
      <text>
        <r>
          <rPr>
            <sz val="9"/>
            <color indexed="81"/>
            <rFont val="Tahoma"/>
            <family val="2"/>
          </rPr>
          <t>3Q: 33%, possibly higher
2Q: 32-33%
1Q: Reiterated
4Q: 32-33%</t>
        </r>
      </text>
    </comment>
    <comment ref="BL380" authorId="1">
      <text>
        <r>
          <rPr>
            <b/>
            <sz val="9"/>
            <color indexed="81"/>
            <rFont val="Tahoma"/>
            <family val="2"/>
          </rPr>
          <t>Russo, Priscilla (Research):</t>
        </r>
        <r>
          <rPr>
            <sz val="9"/>
            <color indexed="81"/>
            <rFont val="Tahoma"/>
            <family val="2"/>
          </rPr>
          <t xml:space="preserve">
4Q17: effective tax rate 21-23%</t>
        </r>
      </text>
    </comment>
    <comment ref="BL381" authorId="1">
      <text>
        <r>
          <rPr>
            <b/>
            <sz val="9"/>
            <color indexed="81"/>
            <rFont val="Tahoma"/>
            <family val="2"/>
          </rPr>
          <t>Russo, Priscilla (Research):</t>
        </r>
        <r>
          <rPr>
            <sz val="9"/>
            <color indexed="81"/>
            <rFont val="Tahoma"/>
            <family val="2"/>
          </rPr>
          <t xml:space="preserve">
4Q17: use 21%</t>
        </r>
      </text>
    </comment>
    <comment ref="AC383" authorId="2">
      <text>
        <r>
          <rPr>
            <b/>
            <sz val="8"/>
            <color indexed="81"/>
            <rFont val="Tahoma"/>
            <family val="2"/>
          </rPr>
          <t>kapltoni:</t>
        </r>
        <r>
          <rPr>
            <sz val="8"/>
            <color indexed="81"/>
            <rFont val="Tahoma"/>
            <family val="2"/>
          </rPr>
          <t xml:space="preserve">
60M 10-K</t>
        </r>
      </text>
    </comment>
    <comment ref="AH383" authorId="2">
      <text>
        <r>
          <rPr>
            <b/>
            <sz val="8"/>
            <color indexed="81"/>
            <rFont val="Tahoma"/>
            <family val="2"/>
          </rPr>
          <t>kapltoni:</t>
        </r>
        <r>
          <rPr>
            <sz val="8"/>
            <color indexed="81"/>
            <rFont val="Tahoma"/>
            <family val="2"/>
          </rPr>
          <t xml:space="preserve">
$75M 10-K</t>
        </r>
      </text>
    </comment>
    <comment ref="AM383" authorId="4">
      <text>
        <r>
          <rPr>
            <b/>
            <sz val="8"/>
            <color indexed="81"/>
            <rFont val="Tahoma"/>
            <family val="2"/>
          </rPr>
          <t>sestein:</t>
        </r>
        <r>
          <rPr>
            <sz val="8"/>
            <color indexed="81"/>
            <rFont val="Tahoma"/>
            <family val="2"/>
          </rPr>
          <t xml:space="preserve">
Mgmt said ~$115 for F13 due to increased investment</t>
        </r>
      </text>
    </comment>
    <comment ref="AR383" authorId="4">
      <text>
        <r>
          <rPr>
            <b/>
            <sz val="8"/>
            <color indexed="81"/>
            <rFont val="Tahoma"/>
            <family val="2"/>
          </rPr>
          <t>Galindo:</t>
        </r>
        <r>
          <rPr>
            <sz val="8"/>
            <color indexed="81"/>
            <rFont val="Tahoma"/>
            <family val="2"/>
          </rPr>
          <t xml:space="preserve">
Mgmt said $147m we assume $8m occurs in non cash, accoutns payable, accrued liabilties</t>
        </r>
      </text>
    </comment>
    <comment ref="AW383" authorId="4">
      <text>
        <r>
          <rPr>
            <b/>
            <sz val="8"/>
            <color indexed="81"/>
            <rFont val="Tahoma"/>
            <family val="2"/>
          </rPr>
          <t>5/19: $170M
prior: $150M</t>
        </r>
      </text>
    </comment>
    <comment ref="BB383" authorId="0">
      <text>
        <r>
          <rPr>
            <b/>
            <sz val="9"/>
            <color indexed="81"/>
            <rFont val="Tahoma"/>
            <family val="2"/>
          </rPr>
          <t>Halfmann, Patrick T (Research):</t>
        </r>
        <r>
          <rPr>
            <sz val="9"/>
            <color indexed="81"/>
            <rFont val="Tahoma"/>
            <family val="2"/>
          </rPr>
          <t xml:space="preserve">
3Q16: $140 - 145 ex HC
2Q16: $150-155 ex HC
1Q16: $150-155 ex HC
4Q15: $175M</t>
        </r>
      </text>
    </comment>
    <comment ref="BG383" authorId="8">
      <text>
        <r>
          <rPr>
            <sz val="9"/>
            <color indexed="81"/>
            <rFont val="Tahoma"/>
            <family val="2"/>
          </rPr>
          <t>3Q: reiterate $185M
2Q: $185M
4Q: $160-165M</t>
        </r>
      </text>
    </comment>
    <comment ref="BL383" authorId="8">
      <text>
        <r>
          <rPr>
            <b/>
            <sz val="9"/>
            <color indexed="81"/>
            <rFont val="Tahoma"/>
            <family val="2"/>
          </rPr>
          <t>4Q: $220-230M</t>
        </r>
        <r>
          <rPr>
            <sz val="9"/>
            <color indexed="81"/>
            <rFont val="Tahoma"/>
            <family val="2"/>
          </rPr>
          <t xml:space="preserve">
2Q: Expect to invest $70M in aerial imagery ex. acqs, mostly in capex</t>
        </r>
      </text>
    </comment>
    <comment ref="BB384" authorId="8">
      <text>
        <r>
          <rPr>
            <b/>
            <sz val="9"/>
            <color indexed="81"/>
            <rFont val="Tahoma"/>
            <family val="2"/>
          </rPr>
          <t>Halfmann, Patrick (Research):</t>
        </r>
        <r>
          <rPr>
            <sz val="9"/>
            <color indexed="81"/>
            <rFont val="Tahoma"/>
            <family val="2"/>
          </rPr>
          <t xml:space="preserve">
7.3% normalized for sale of VRSK health</t>
        </r>
      </text>
    </comment>
    <comment ref="BG384" authorId="8">
      <text>
        <r>
          <rPr>
            <b/>
            <sz val="9"/>
            <color indexed="81"/>
            <rFont val="Tahoma"/>
            <family val="2"/>
          </rPr>
          <t>Halfmann, Patrick (Research):</t>
        </r>
        <r>
          <rPr>
            <sz val="9"/>
            <color indexed="81"/>
            <rFont val="Tahoma"/>
            <family val="2"/>
          </rPr>
          <t xml:space="preserve">
4Q: $160-165M</t>
        </r>
      </text>
    </comment>
    <comment ref="BQ384" authorId="1">
      <text>
        <r>
          <rPr>
            <b/>
            <sz val="9"/>
            <color indexed="81"/>
            <rFont val="Tahoma"/>
            <family val="2"/>
          </rPr>
          <t>Russo, Priscilla (Research):</t>
        </r>
        <r>
          <rPr>
            <sz val="9"/>
            <color indexed="81"/>
            <rFont val="Tahoma"/>
            <family val="2"/>
          </rPr>
          <t xml:space="preserve">
4Q17: expects capex as % of rev to decline after 2018</t>
        </r>
      </text>
    </comment>
    <comment ref="CA384" authorId="8">
      <text>
        <r>
          <rPr>
            <sz val="9"/>
            <color indexed="81"/>
            <rFont val="Tahoma"/>
            <family val="2"/>
          </rPr>
          <t>3Q17: reiterated 6%
2Q17: 6% by 2021</t>
        </r>
      </text>
    </comment>
    <comment ref="CT384" authorId="8">
      <text>
        <r>
          <rPr>
            <b/>
            <sz val="9"/>
            <color indexed="81"/>
            <rFont val="Tahoma"/>
            <family val="2"/>
          </rPr>
          <t>Halfmann, Patrick (Research):</t>
        </r>
        <r>
          <rPr>
            <sz val="9"/>
            <color indexed="81"/>
            <rFont val="Tahoma"/>
            <family val="2"/>
          </rPr>
          <t xml:space="preserve">
2Q17: 6% by 2021</t>
        </r>
      </text>
    </comment>
    <comment ref="W426" authorId="2">
      <text>
        <r>
          <rPr>
            <b/>
            <sz val="8"/>
            <color indexed="81"/>
            <rFont val="Tahoma"/>
            <family val="2"/>
          </rPr>
          <t>kapltoni:</t>
        </r>
        <r>
          <rPr>
            <sz val="8"/>
            <color indexed="81"/>
            <rFont val="Tahoma"/>
            <family val="2"/>
          </rPr>
          <t xml:space="preserve">
includes the additional debt taken on for share repurchase $160M at L+1.75%</t>
        </r>
      </text>
    </comment>
    <comment ref="AB426" authorId="2">
      <text>
        <r>
          <rPr>
            <b/>
            <sz val="8"/>
            <color indexed="81"/>
            <rFont val="Tahoma"/>
            <family val="2"/>
          </rPr>
          <t>kapltoni:</t>
        </r>
        <r>
          <rPr>
            <sz val="8"/>
            <color indexed="81"/>
            <rFont val="Tahoma"/>
            <family val="2"/>
          </rPr>
          <t xml:space="preserve">
issued $250M of senior notes due 2019 with 4.875% coupon</t>
        </r>
      </text>
    </comment>
    <comment ref="W437" authorId="2">
      <text>
        <r>
          <rPr>
            <b/>
            <sz val="8"/>
            <color indexed="81"/>
            <rFont val="Tahoma"/>
            <family val="2"/>
          </rPr>
          <t>kapltoni:</t>
        </r>
        <r>
          <rPr>
            <sz val="8"/>
            <color indexed="81"/>
            <rFont val="Tahoma"/>
            <family val="2"/>
          </rPr>
          <t xml:space="preserve">
repurchase reduces share count by ~6.3M shares after taking into account the impact of options exercised into the offering</t>
        </r>
      </text>
    </comment>
    <comment ref="T438" authorId="2">
      <text>
        <r>
          <rPr>
            <b/>
            <sz val="8"/>
            <color indexed="81"/>
            <rFont val="Tahoma"/>
            <family val="2"/>
          </rPr>
          <t>kapltoni:</t>
        </r>
        <r>
          <rPr>
            <sz val="8"/>
            <color indexed="81"/>
            <rFont val="Tahoma"/>
            <family val="2"/>
          </rPr>
          <t xml:space="preserve">
closing price 3/31/10</t>
        </r>
      </text>
    </comment>
    <comment ref="U438" authorId="2">
      <text>
        <r>
          <rPr>
            <b/>
            <sz val="8"/>
            <color indexed="81"/>
            <rFont val="Tahoma"/>
            <family val="2"/>
          </rPr>
          <t>kapltoni:</t>
        </r>
        <r>
          <rPr>
            <sz val="8"/>
            <color indexed="81"/>
            <rFont val="Tahoma"/>
            <family val="2"/>
          </rPr>
          <t xml:space="preserve">
closing price 6/30</t>
        </r>
      </text>
    </comment>
    <comment ref="V438" authorId="2">
      <text>
        <r>
          <rPr>
            <b/>
            <sz val="8"/>
            <color indexed="81"/>
            <rFont val="Tahoma"/>
            <family val="2"/>
          </rPr>
          <t>kapltoni:</t>
        </r>
        <r>
          <rPr>
            <sz val="8"/>
            <color indexed="81"/>
            <rFont val="Tahoma"/>
            <family val="2"/>
          </rPr>
          <t xml:space="preserve">
average repurchase price</t>
        </r>
      </text>
    </comment>
    <comment ref="W438" authorId="2">
      <text>
        <r>
          <rPr>
            <b/>
            <sz val="8"/>
            <color indexed="81"/>
            <rFont val="Tahoma"/>
            <family val="2"/>
          </rPr>
          <t>kapltoni:</t>
        </r>
        <r>
          <rPr>
            <sz val="8"/>
            <color indexed="81"/>
            <rFont val="Tahoma"/>
            <family val="2"/>
          </rPr>
          <t xml:space="preserve">
avg repurch price</t>
        </r>
      </text>
    </comment>
    <comment ref="X438" authorId="2">
      <text>
        <r>
          <rPr>
            <b/>
            <sz val="8"/>
            <color indexed="81"/>
            <rFont val="Tahoma"/>
            <family val="2"/>
          </rPr>
          <t>kapltoni:</t>
        </r>
        <r>
          <rPr>
            <sz val="8"/>
            <color indexed="81"/>
            <rFont val="Tahoma"/>
            <family val="2"/>
          </rPr>
          <t xml:space="preserve">
avg repurch price</t>
        </r>
      </text>
    </comment>
    <comment ref="Y438" authorId="2">
      <text>
        <r>
          <rPr>
            <b/>
            <sz val="8"/>
            <color indexed="81"/>
            <rFont val="Tahoma"/>
            <family val="2"/>
          </rPr>
          <t>kapltoni:</t>
        </r>
        <r>
          <rPr>
            <sz val="8"/>
            <color indexed="81"/>
            <rFont val="Tahoma"/>
            <family val="2"/>
          </rPr>
          <t xml:space="preserve">
avg repurch price</t>
        </r>
      </text>
    </comment>
    <comment ref="Z438" authorId="2">
      <text>
        <r>
          <rPr>
            <b/>
            <sz val="8"/>
            <color indexed="81"/>
            <rFont val="Tahoma"/>
            <family val="2"/>
          </rPr>
          <t>kapltoni:</t>
        </r>
        <r>
          <rPr>
            <sz val="8"/>
            <color indexed="81"/>
            <rFont val="Tahoma"/>
            <family val="2"/>
          </rPr>
          <t xml:space="preserve">
avg repurch price</t>
        </r>
      </text>
    </comment>
    <comment ref="AA438" authorId="2">
      <text>
        <r>
          <rPr>
            <b/>
            <sz val="8"/>
            <color indexed="81"/>
            <rFont val="Tahoma"/>
            <family val="2"/>
          </rPr>
          <t>kapltoni:</t>
        </r>
        <r>
          <rPr>
            <sz val="8"/>
            <color indexed="81"/>
            <rFont val="Tahoma"/>
            <family val="2"/>
          </rPr>
          <t xml:space="preserve">
9/30 close</t>
        </r>
      </text>
    </comment>
    <comment ref="AT483" authorId="0">
      <text>
        <r>
          <rPr>
            <b/>
            <sz val="9"/>
            <color indexed="81"/>
            <rFont val="Tahoma"/>
            <family val="2"/>
          </rPr>
          <t>Halfmann, Patrick T (Research):</t>
        </r>
        <r>
          <rPr>
            <sz val="9"/>
            <color indexed="81"/>
            <rFont val="Tahoma"/>
            <family val="2"/>
          </rPr>
          <t xml:space="preserve">
Includes borrowing related to Wood Mackenzie acquisition</t>
        </r>
      </text>
    </comment>
    <comment ref="Z537" authorId="2">
      <text>
        <r>
          <rPr>
            <sz val="8"/>
            <color indexed="81"/>
            <rFont val="Tahoma"/>
            <family val="2"/>
          </rPr>
          <t>$33M in acq rev in 2009, assumes 42.6% growth on that revenue (which is the 5 yr CAGR for acquisition revenue) plus another $33M divided by 4 spent in the quarter</t>
        </r>
      </text>
    </comment>
    <comment ref="AA537" authorId="2">
      <text>
        <r>
          <rPr>
            <sz val="8"/>
            <color indexed="81"/>
            <rFont val="Tahoma"/>
            <family val="2"/>
          </rPr>
          <t>$33M in acq rev in 2009, assumes 42.6% growth on that revenue (which is the 5 yr CAGR for acquisition revenue) plus another $33M divided by 4 spent in the quarter</t>
        </r>
      </text>
    </comment>
    <comment ref="AB537" authorId="2">
      <text>
        <r>
          <rPr>
            <sz val="8"/>
            <color indexed="81"/>
            <rFont val="Tahoma"/>
            <family val="2"/>
          </rPr>
          <t>$33M in acq rev in 2009, assumes 42.6% growth on that revenue (which is the 5 yr CAGR for acquisition revenue) plus another $33M divided by 4 spent in the quarter</t>
        </r>
      </text>
    </comment>
    <comment ref="AD537" authorId="2">
      <text>
        <r>
          <rPr>
            <sz val="8"/>
            <color indexed="81"/>
            <rFont val="Tahoma"/>
            <family val="2"/>
          </rPr>
          <t>assumes 25% growth on acquired revenue</t>
        </r>
      </text>
    </comment>
    <comment ref="AE537" authorId="2">
      <text>
        <r>
          <rPr>
            <sz val="8"/>
            <color indexed="81"/>
            <rFont val="Tahoma"/>
            <family val="2"/>
          </rPr>
          <t>assumes 25% growth on acquired revenue</t>
        </r>
      </text>
    </comment>
    <comment ref="AF537" authorId="2">
      <text>
        <r>
          <rPr>
            <sz val="8"/>
            <color indexed="81"/>
            <rFont val="Tahoma"/>
            <family val="2"/>
          </rPr>
          <t>assumes 25% growth on acquired revenue</t>
        </r>
      </text>
    </comment>
    <comment ref="AG537" authorId="2">
      <text>
        <r>
          <rPr>
            <sz val="8"/>
            <color indexed="81"/>
            <rFont val="Tahoma"/>
            <family val="2"/>
          </rPr>
          <t>assumes 25% growth on acquired revenue</t>
        </r>
      </text>
    </comment>
    <comment ref="AI537" authorId="2">
      <text>
        <r>
          <rPr>
            <sz val="8"/>
            <color indexed="81"/>
            <rFont val="Tahoma"/>
            <family val="2"/>
          </rPr>
          <t>assumes 25% growth on acquired revenue</t>
        </r>
      </text>
    </comment>
    <comment ref="AJ537" authorId="2">
      <text>
        <r>
          <rPr>
            <sz val="8"/>
            <color indexed="81"/>
            <rFont val="Tahoma"/>
            <family val="2"/>
          </rPr>
          <t>assumes 25% growth on acquired revenue</t>
        </r>
      </text>
    </comment>
    <comment ref="AK537" authorId="2">
      <text>
        <r>
          <rPr>
            <sz val="8"/>
            <color indexed="81"/>
            <rFont val="Tahoma"/>
            <family val="2"/>
          </rPr>
          <t>assumes 25% growth on acquired revenue</t>
        </r>
      </text>
    </comment>
    <comment ref="AL537" authorId="2">
      <text>
        <r>
          <rPr>
            <sz val="8"/>
            <color indexed="81"/>
            <rFont val="Tahoma"/>
            <family val="2"/>
          </rPr>
          <t>assumes 25% growth on acquired revenue</t>
        </r>
      </text>
    </comment>
    <comment ref="AM537" authorId="2">
      <text>
        <r>
          <rPr>
            <sz val="8"/>
            <color indexed="81"/>
            <rFont val="Tahoma"/>
            <family val="2"/>
          </rPr>
          <t>assumes 25% growth on acquired revenue</t>
        </r>
      </text>
    </comment>
    <comment ref="AN537" authorId="2">
      <text>
        <r>
          <rPr>
            <sz val="8"/>
            <color indexed="81"/>
            <rFont val="Tahoma"/>
            <family val="2"/>
          </rPr>
          <t>assumes 25% growth on acquired revenue</t>
        </r>
      </text>
    </comment>
    <comment ref="AR537" authorId="2">
      <text>
        <r>
          <rPr>
            <sz val="8"/>
            <color indexed="81"/>
            <rFont val="Tahoma"/>
            <family val="2"/>
          </rPr>
          <t>assumes 25% growth on acquired revenue</t>
        </r>
      </text>
    </comment>
    <comment ref="AW537" authorId="2">
      <text>
        <r>
          <rPr>
            <sz val="8"/>
            <color indexed="81"/>
            <rFont val="Tahoma"/>
            <family val="2"/>
          </rPr>
          <t>assumes 25% growth on acquired revenue</t>
        </r>
      </text>
    </comment>
    <comment ref="BG537" authorId="2">
      <text>
        <r>
          <rPr>
            <sz val="8"/>
            <color indexed="81"/>
            <rFont val="Tahoma"/>
            <family val="2"/>
          </rPr>
          <t>assumes 25% growth on acquired revenue</t>
        </r>
      </text>
    </comment>
    <comment ref="CB537" authorId="2">
      <text>
        <r>
          <rPr>
            <sz val="8"/>
            <color indexed="81"/>
            <rFont val="Tahoma"/>
            <family val="2"/>
          </rPr>
          <t>assumes 25% growth on acquired revenue</t>
        </r>
      </text>
    </comment>
    <comment ref="AA542" authorId="2">
      <text>
        <r>
          <rPr>
            <b/>
            <sz val="8"/>
            <color indexed="81"/>
            <rFont val="Tahoma"/>
            <family val="2"/>
          </rPr>
          <t>kapltoni:</t>
        </r>
        <r>
          <rPr>
            <sz val="8"/>
            <color indexed="81"/>
            <rFont val="Tahoma"/>
            <family val="2"/>
          </rPr>
          <t xml:space="preserve">
target of $125M/yr on acquisitions</t>
        </r>
      </text>
    </comment>
    <comment ref="AB542" authorId="2">
      <text>
        <r>
          <rPr>
            <b/>
            <sz val="8"/>
            <color indexed="81"/>
            <rFont val="Tahoma"/>
            <family val="2"/>
          </rPr>
          <t>kapltoni:</t>
        </r>
        <r>
          <rPr>
            <sz val="8"/>
            <color indexed="81"/>
            <rFont val="Tahoma"/>
            <family val="2"/>
          </rPr>
          <t xml:space="preserve">
target of $125M/yr on acquisitions</t>
        </r>
      </text>
    </comment>
    <comment ref="AC542" authorId="2">
      <text>
        <r>
          <rPr>
            <b/>
            <sz val="8"/>
            <color indexed="81"/>
            <rFont val="Tahoma"/>
            <family val="2"/>
          </rPr>
          <t>kapltoni:</t>
        </r>
        <r>
          <rPr>
            <sz val="8"/>
            <color indexed="81"/>
            <rFont val="Tahoma"/>
            <family val="2"/>
          </rPr>
          <t xml:space="preserve">
target of $125M/yr on acquisitions</t>
        </r>
      </text>
    </comment>
    <comment ref="AD542" authorId="2">
      <text>
        <r>
          <rPr>
            <b/>
            <sz val="8"/>
            <color indexed="81"/>
            <rFont val="Tahoma"/>
            <family val="2"/>
          </rPr>
          <t>kapltoni:</t>
        </r>
        <r>
          <rPr>
            <sz val="8"/>
            <color indexed="81"/>
            <rFont val="Tahoma"/>
            <family val="2"/>
          </rPr>
          <t xml:space="preserve">
target of $125M/yr on acquisitions</t>
        </r>
      </text>
    </comment>
    <comment ref="AE542" authorId="2">
      <text>
        <r>
          <rPr>
            <b/>
            <sz val="8"/>
            <color indexed="81"/>
            <rFont val="Tahoma"/>
            <family val="2"/>
          </rPr>
          <t>kapltoni:</t>
        </r>
        <r>
          <rPr>
            <sz val="8"/>
            <color indexed="81"/>
            <rFont val="Tahoma"/>
            <family val="2"/>
          </rPr>
          <t xml:space="preserve">
target of $125M/yr on acquisitions</t>
        </r>
      </text>
    </comment>
    <comment ref="AF542" authorId="2">
      <text>
        <r>
          <rPr>
            <b/>
            <sz val="8"/>
            <color indexed="81"/>
            <rFont val="Tahoma"/>
            <family val="2"/>
          </rPr>
          <t>kapltoni:</t>
        </r>
        <r>
          <rPr>
            <sz val="8"/>
            <color indexed="81"/>
            <rFont val="Tahoma"/>
            <family val="2"/>
          </rPr>
          <t xml:space="preserve">
target of $125M/yr on acquisitions</t>
        </r>
      </text>
    </comment>
    <comment ref="AG542" authorId="2">
      <text>
        <r>
          <rPr>
            <b/>
            <sz val="8"/>
            <color indexed="81"/>
            <rFont val="Tahoma"/>
            <family val="2"/>
          </rPr>
          <t>kapltoni:</t>
        </r>
        <r>
          <rPr>
            <sz val="8"/>
            <color indexed="81"/>
            <rFont val="Tahoma"/>
            <family val="2"/>
          </rPr>
          <t xml:space="preserve">
target of $125M/yr on acquisitions</t>
        </r>
      </text>
    </comment>
    <comment ref="AH542" authorId="2">
      <text>
        <r>
          <rPr>
            <b/>
            <sz val="8"/>
            <color indexed="81"/>
            <rFont val="Tahoma"/>
            <family val="2"/>
          </rPr>
          <t>kapltoni:</t>
        </r>
        <r>
          <rPr>
            <sz val="8"/>
            <color indexed="81"/>
            <rFont val="Tahoma"/>
            <family val="2"/>
          </rPr>
          <t xml:space="preserve">
target of $125M/yr on acquisitions</t>
        </r>
      </text>
    </comment>
    <comment ref="AI542" authorId="2">
      <text>
        <r>
          <rPr>
            <b/>
            <sz val="8"/>
            <color indexed="81"/>
            <rFont val="Tahoma"/>
            <family val="2"/>
          </rPr>
          <t>kapltoni:</t>
        </r>
        <r>
          <rPr>
            <sz val="8"/>
            <color indexed="81"/>
            <rFont val="Tahoma"/>
            <family val="2"/>
          </rPr>
          <t xml:space="preserve">
target of $125M/yr on acquisitions</t>
        </r>
      </text>
    </comment>
    <comment ref="AJ542" authorId="2">
      <text>
        <r>
          <rPr>
            <b/>
            <sz val="8"/>
            <color indexed="81"/>
            <rFont val="Tahoma"/>
            <family val="2"/>
          </rPr>
          <t>kapltoni:</t>
        </r>
        <r>
          <rPr>
            <sz val="8"/>
            <color indexed="81"/>
            <rFont val="Tahoma"/>
            <family val="2"/>
          </rPr>
          <t xml:space="preserve">
target of $125M/yr on acquisitions</t>
        </r>
      </text>
    </comment>
    <comment ref="AK542" authorId="2">
      <text>
        <r>
          <rPr>
            <b/>
            <sz val="8"/>
            <color indexed="81"/>
            <rFont val="Tahoma"/>
            <family val="2"/>
          </rPr>
          <t>kapltoni:</t>
        </r>
        <r>
          <rPr>
            <sz val="8"/>
            <color indexed="81"/>
            <rFont val="Tahoma"/>
            <family val="2"/>
          </rPr>
          <t xml:space="preserve">
target of $125M/yr on acquisitions</t>
        </r>
      </text>
    </comment>
    <comment ref="AL542" authorId="2">
      <text>
        <r>
          <rPr>
            <b/>
            <sz val="8"/>
            <color indexed="81"/>
            <rFont val="Tahoma"/>
            <family val="2"/>
          </rPr>
          <t>kapltoni:</t>
        </r>
        <r>
          <rPr>
            <sz val="8"/>
            <color indexed="81"/>
            <rFont val="Tahoma"/>
            <family val="2"/>
          </rPr>
          <t xml:space="preserve">
target of $125M/yr on acquisitions</t>
        </r>
      </text>
    </comment>
    <comment ref="AN542" authorId="2">
      <text>
        <r>
          <rPr>
            <b/>
            <sz val="8"/>
            <color indexed="81"/>
            <rFont val="Tahoma"/>
            <family val="2"/>
          </rPr>
          <t>kapltoni:</t>
        </r>
        <r>
          <rPr>
            <sz val="8"/>
            <color indexed="81"/>
            <rFont val="Tahoma"/>
            <family val="2"/>
          </rPr>
          <t xml:space="preserve">
target of $125M/yr on acquisitions</t>
        </r>
      </text>
    </comment>
    <comment ref="BA559" authorId="0">
      <text>
        <r>
          <rPr>
            <b/>
            <sz val="9"/>
            <color indexed="81"/>
            <rFont val="Tahoma"/>
            <family val="2"/>
          </rPr>
          <t>Halfmann, Patrick T (Research):</t>
        </r>
        <r>
          <rPr>
            <sz val="9"/>
            <color indexed="81"/>
            <rFont val="Tahoma"/>
            <family val="2"/>
          </rPr>
          <t xml:space="preserve">
4/25/16: Committed to 2.5x gross by 2016 YE</t>
        </r>
      </text>
    </comment>
    <comment ref="AW573" authorId="3">
      <text>
        <r>
          <rPr>
            <b/>
            <sz val="9"/>
            <color indexed="81"/>
            <rFont val="Tahoma"/>
            <family val="2"/>
          </rPr>
          <t>Kaplan, Toni (Research):</t>
        </r>
        <r>
          <rPr>
            <sz val="9"/>
            <color indexed="81"/>
            <rFont val="Tahoma"/>
            <family val="2"/>
          </rPr>
          <t xml:space="preserve">
pro forma for new contract language</t>
        </r>
      </text>
    </comment>
    <comment ref="AW665" authorId="0">
      <text>
        <r>
          <rPr>
            <b/>
            <sz val="9"/>
            <color indexed="81"/>
            <rFont val="Tahoma"/>
            <family val="2"/>
          </rPr>
          <t>Halfmann, Patrick T (Research):</t>
        </r>
        <r>
          <rPr>
            <sz val="9"/>
            <color indexed="81"/>
            <rFont val="Tahoma"/>
            <family val="2"/>
          </rPr>
          <t xml:space="preserve">
FY15 margins ~25%</t>
        </r>
      </text>
    </comment>
    <comment ref="AX665" authorId="0">
      <text>
        <r>
          <rPr>
            <b/>
            <sz val="9"/>
            <color indexed="81"/>
            <rFont val="Tahoma"/>
            <family val="2"/>
          </rPr>
          <t>Halfmann, Patrick T (Research):</t>
        </r>
        <r>
          <rPr>
            <sz val="9"/>
            <color indexed="81"/>
            <rFont val="Tahoma"/>
            <family val="2"/>
          </rPr>
          <t xml:space="preserve">
FY15 margins ~25%</t>
        </r>
      </text>
    </comment>
    <comment ref="AY665" authorId="0">
      <text>
        <r>
          <rPr>
            <b/>
            <sz val="9"/>
            <color indexed="81"/>
            <rFont val="Tahoma"/>
            <family val="2"/>
          </rPr>
          <t>Halfmann, Patrick T (Research):</t>
        </r>
        <r>
          <rPr>
            <sz val="9"/>
            <color indexed="81"/>
            <rFont val="Tahoma"/>
            <family val="2"/>
          </rPr>
          <t xml:space="preserve">
FY15 margins ~25%</t>
        </r>
      </text>
    </comment>
    <comment ref="AX667" authorId="0">
      <text>
        <r>
          <rPr>
            <b/>
            <sz val="9"/>
            <color indexed="81"/>
            <rFont val="Tahoma"/>
            <family val="2"/>
          </rPr>
          <t>Halfmann, Patrick T (Research):</t>
        </r>
        <r>
          <rPr>
            <sz val="9"/>
            <color indexed="81"/>
            <rFont val="Tahoma"/>
            <family val="2"/>
          </rPr>
          <t xml:space="preserve">
Assumed total firm DA/Revenue from pre-Wood Mac</t>
        </r>
      </text>
    </comment>
  </commentList>
</comments>
</file>

<file path=xl/comments2.xml><?xml version="1.0" encoding="utf-8"?>
<comments xmlns="http://schemas.openxmlformats.org/spreadsheetml/2006/main">
  <authors>
    <author>Galindo, Denny</author>
    <author>Kaplan, Toni (Research)</author>
    <author>Halfmann, Patrick (Research)</author>
    <author>Russo, Priscilla (Research)</author>
    <author>kapltoni</author>
    <author>Halfmann, Patrick T (Research)</author>
    <author>sestein</author>
    <author>dennyg</author>
  </authors>
  <commentList>
    <comment ref="Z5" authorId="0">
      <text>
        <r>
          <rPr>
            <b/>
            <sz val="9"/>
            <color indexed="81"/>
            <rFont val="Tahoma"/>
            <family val="2"/>
          </rPr>
          <t>Galindo, Denny:</t>
        </r>
        <r>
          <rPr>
            <sz val="9"/>
            <color indexed="81"/>
            <rFont val="Tahoma"/>
            <family val="2"/>
          </rPr>
          <t xml:space="preserve">
fewer reinsurance products</t>
        </r>
      </text>
    </comment>
    <comment ref="AE5" authorId="1">
      <text>
        <r>
          <rPr>
            <b/>
            <sz val="9"/>
            <color indexed="81"/>
            <rFont val="Tahoma"/>
            <family val="2"/>
          </rPr>
          <t>Kaplan, Toni (Research):</t>
        </r>
        <r>
          <rPr>
            <sz val="9"/>
            <color indexed="81"/>
            <rFont val="Tahoma"/>
            <family val="2"/>
          </rPr>
          <t xml:space="preserve">
3Q14 abnormally low</t>
        </r>
      </text>
    </comment>
    <comment ref="AJ5" authorId="2">
      <text>
        <r>
          <rPr>
            <b/>
            <sz val="9"/>
            <color indexed="81"/>
            <rFont val="Tahoma"/>
            <family val="2"/>
          </rPr>
          <t>Halfmann, Patrick (Research):</t>
        </r>
        <r>
          <rPr>
            <sz val="9"/>
            <color indexed="81"/>
            <rFont val="Tahoma"/>
            <family val="2"/>
          </rPr>
          <t xml:space="preserve">
5.1% organic, driven by annual pricing and new solutions</t>
        </r>
      </text>
    </comment>
    <comment ref="AK5" authorId="2">
      <text>
        <r>
          <rPr>
            <b/>
            <sz val="9"/>
            <color indexed="81"/>
            <rFont val="Tahoma"/>
            <family val="2"/>
          </rPr>
          <t>Halfmann, Patrick (Research):</t>
        </r>
        <r>
          <rPr>
            <sz val="9"/>
            <color indexed="81"/>
            <rFont val="Tahoma"/>
            <family val="2"/>
          </rPr>
          <t xml:space="preserve">
5.4% organic</t>
        </r>
      </text>
    </comment>
    <comment ref="AM5" authorId="2">
      <text>
        <r>
          <rPr>
            <b/>
            <sz val="9"/>
            <color indexed="81"/>
            <rFont val="Tahoma"/>
            <family val="2"/>
          </rPr>
          <t>Halfmann, Patrick (Research):</t>
        </r>
        <r>
          <rPr>
            <sz val="9"/>
            <color indexed="81"/>
            <rFont val="Tahoma"/>
            <family val="2"/>
          </rPr>
          <t xml:space="preserve">
4.6% org c/c</t>
        </r>
      </text>
    </comment>
    <comment ref="AN5" authorId="1">
      <text>
        <r>
          <rPr>
            <b/>
            <sz val="9"/>
            <color indexed="81"/>
            <rFont val="Tahoma"/>
            <family val="2"/>
          </rPr>
          <t>Kaplan, Toni (Research):</t>
        </r>
        <r>
          <rPr>
            <sz val="9"/>
            <color indexed="81"/>
            <rFont val="Tahoma"/>
            <family val="2"/>
          </rPr>
          <t xml:space="preserve">
4.5% organic</t>
        </r>
      </text>
    </comment>
    <comment ref="AO5" authorId="1">
      <text>
        <r>
          <rPr>
            <b/>
            <sz val="9"/>
            <color indexed="81"/>
            <rFont val="Tahoma"/>
            <family val="2"/>
          </rPr>
          <t>Kaplan, Toni (Research):</t>
        </r>
        <r>
          <rPr>
            <sz val="9"/>
            <color indexed="81"/>
            <rFont val="Tahoma"/>
            <family val="2"/>
          </rPr>
          <t xml:space="preserve">
5.5% organic</t>
        </r>
      </text>
    </comment>
    <comment ref="AP5" authorId="3">
      <text>
        <r>
          <rPr>
            <b/>
            <sz val="9"/>
            <color indexed="81"/>
            <rFont val="Tahoma"/>
            <family val="2"/>
          </rPr>
          <t>Russo, Priscilla (Research):</t>
        </r>
        <r>
          <rPr>
            <sz val="9"/>
            <color indexed="81"/>
            <rFont val="Tahoma"/>
            <family val="2"/>
          </rPr>
          <t xml:space="preserve">
5.9% organic
includes Risk Intelligence Ireland, MarketStance, Healix acquisitions</t>
        </r>
      </text>
    </comment>
    <comment ref="AV5" authorId="3">
      <text>
        <r>
          <rPr>
            <sz val="9"/>
            <color indexed="81"/>
            <rFont val="Tahoma"/>
            <family val="2"/>
          </rPr>
          <t>4Q17: 2018 will see lower growth due to slow down in market (5.1% organic in '17)</t>
        </r>
      </text>
    </comment>
    <comment ref="AW5" authorId="3">
      <text>
        <r>
          <rPr>
            <b/>
            <sz val="9"/>
            <color indexed="81"/>
            <rFont val="Tahoma"/>
            <family val="2"/>
          </rPr>
          <t>Russo, Priscilla (Research):</t>
        </r>
        <r>
          <rPr>
            <sz val="9"/>
            <color indexed="81"/>
            <rFont val="Tahoma"/>
            <family val="2"/>
          </rPr>
          <t xml:space="preserve">
4Q17: expect to be at or above 2017 (organic) growth (which was 5.1%)
</t>
        </r>
      </text>
    </comment>
    <comment ref="AX5" authorId="3">
      <text>
        <r>
          <rPr>
            <b/>
            <sz val="9"/>
            <color indexed="81"/>
            <rFont val="Tahoma"/>
            <family val="2"/>
          </rPr>
          <t>Russo, Priscilla (Research):</t>
        </r>
        <r>
          <rPr>
            <sz val="9"/>
            <color indexed="81"/>
            <rFont val="Tahoma"/>
            <family val="2"/>
          </rPr>
          <t xml:space="preserve">
4Q17: expect to be at or above 2017 growth
</t>
        </r>
      </text>
    </comment>
    <comment ref="AY5" authorId="3">
      <text>
        <r>
          <rPr>
            <b/>
            <sz val="9"/>
            <color indexed="81"/>
            <rFont val="Tahoma"/>
            <family val="2"/>
          </rPr>
          <t>Russo, Priscilla (Research):</t>
        </r>
        <r>
          <rPr>
            <sz val="9"/>
            <color indexed="81"/>
            <rFont val="Tahoma"/>
            <family val="2"/>
          </rPr>
          <t xml:space="preserve">
4Q17: expect to be at or above 2017 growth
</t>
        </r>
      </text>
    </comment>
    <comment ref="AZ5" authorId="3">
      <text>
        <r>
          <rPr>
            <b/>
            <sz val="9"/>
            <color indexed="81"/>
            <rFont val="Tahoma"/>
            <family val="2"/>
          </rPr>
          <t>Russo, Priscilla (Research):</t>
        </r>
        <r>
          <rPr>
            <sz val="9"/>
            <color indexed="81"/>
            <rFont val="Tahoma"/>
            <family val="2"/>
          </rPr>
          <t xml:space="preserve">
4Q17: expect to be at or above 2017 growth
</t>
        </r>
      </text>
    </comment>
    <comment ref="BA5" authorId="3">
      <text>
        <r>
          <rPr>
            <b/>
            <sz val="9"/>
            <color indexed="81"/>
            <rFont val="Tahoma"/>
            <family val="2"/>
          </rPr>
          <t>Russo, Priscilla (Research):</t>
        </r>
        <r>
          <rPr>
            <sz val="9"/>
            <color indexed="81"/>
            <rFont val="Tahoma"/>
            <family val="2"/>
          </rPr>
          <t xml:space="preserve">
4Q17: expect to be at or above 2017 (organic) growth (which was 5.1%)
</t>
        </r>
      </text>
    </comment>
    <comment ref="X8" authorId="0">
      <text>
        <r>
          <rPr>
            <b/>
            <sz val="9"/>
            <color indexed="81"/>
            <rFont val="Tahoma"/>
            <family val="2"/>
          </rPr>
          <t>Galindo, Denny:</t>
        </r>
        <r>
          <rPr>
            <sz val="9"/>
            <color indexed="81"/>
            <rFont val="Tahoma"/>
            <family val="2"/>
          </rPr>
          <t xml:space="preserve">
Easier Comp</t>
        </r>
      </text>
    </comment>
    <comment ref="Z8" authorId="0">
      <text>
        <r>
          <rPr>
            <b/>
            <sz val="9"/>
            <color indexed="81"/>
            <rFont val="Tahoma"/>
            <family val="2"/>
          </rPr>
          <t>Galindo, Denny:</t>
        </r>
        <r>
          <rPr>
            <sz val="9"/>
            <color indexed="81"/>
            <rFont val="Tahoma"/>
            <family val="2"/>
          </rPr>
          <t xml:space="preserve">
new sales and higher committed volumes</t>
        </r>
      </text>
    </comment>
    <comment ref="AJ8" authorId="2">
      <text>
        <r>
          <rPr>
            <b/>
            <sz val="9"/>
            <color indexed="81"/>
            <rFont val="Tahoma"/>
            <family val="2"/>
          </rPr>
          <t>Halfmann, Patrick (Research):</t>
        </r>
        <r>
          <rPr>
            <sz val="9"/>
            <color indexed="81"/>
            <rFont val="Tahoma"/>
            <family val="2"/>
          </rPr>
          <t xml:space="preserve">
Driven by increase in commercial underwriting solutions subs rev</t>
        </r>
      </text>
    </comment>
    <comment ref="AK8" authorId="2">
      <text>
        <r>
          <rPr>
            <b/>
            <sz val="9"/>
            <color indexed="81"/>
            <rFont val="Tahoma"/>
            <family val="2"/>
          </rPr>
          <t>Halfmann, Patrick (Research):</t>
        </r>
        <r>
          <rPr>
            <sz val="9"/>
            <color indexed="81"/>
            <rFont val="Tahoma"/>
            <family val="2"/>
          </rPr>
          <t xml:space="preserve">
1.4% organic - no commentary around source of weakness</t>
        </r>
      </text>
    </comment>
    <comment ref="AM8" authorId="2">
      <text>
        <r>
          <rPr>
            <b/>
            <sz val="9"/>
            <color indexed="81"/>
            <rFont val="Tahoma"/>
            <family val="2"/>
          </rPr>
          <t>Halfmann, Patrick (Research):</t>
        </r>
        <r>
          <rPr>
            <sz val="9"/>
            <color indexed="81"/>
            <rFont val="Tahoma"/>
            <family val="2"/>
          </rPr>
          <t xml:space="preserve">
2.8% org c/c</t>
        </r>
      </text>
    </comment>
    <comment ref="AP8" authorId="2">
      <text>
        <r>
          <rPr>
            <b/>
            <sz val="9"/>
            <color indexed="81"/>
            <rFont val="Tahoma"/>
            <family val="2"/>
          </rPr>
          <t>Halfmann, Patrick (Research):</t>
        </r>
        <r>
          <rPr>
            <sz val="9"/>
            <color indexed="81"/>
            <rFont val="Tahoma"/>
            <family val="2"/>
          </rPr>
          <t xml:space="preserve">
Easy comp
includes GeoInfo acquisition</t>
        </r>
      </text>
    </comment>
    <comment ref="A16" authorId="1">
      <text>
        <r>
          <rPr>
            <b/>
            <sz val="9"/>
            <color indexed="81"/>
            <rFont val="Tahoma"/>
            <family val="2"/>
          </rPr>
          <t>Kaplan, Toni (Research):</t>
        </r>
        <r>
          <rPr>
            <sz val="9"/>
            <color indexed="81"/>
            <rFont val="Tahoma"/>
            <family val="2"/>
          </rPr>
          <t xml:space="preserve">
pricing, claims, and property data, predictive modeling tools, policy writing rules and language, risk consulting, underwriting and policy management systems</t>
        </r>
      </text>
    </comment>
    <comment ref="N19" authorId="4">
      <text>
        <r>
          <rPr>
            <b/>
            <sz val="8"/>
            <color indexed="81"/>
            <rFont val="Tahoma"/>
            <family val="2"/>
          </rPr>
          <t>kapltoni:</t>
        </r>
        <r>
          <rPr>
            <sz val="8"/>
            <color indexed="81"/>
            <rFont val="Tahoma"/>
            <family val="2"/>
          </rPr>
          <t xml:space="preserve">
$2.75M for ACI property appraisal tools moved to mortgage ($11M annual)</t>
        </r>
      </text>
    </comment>
    <comment ref="O19" authorId="4">
      <text>
        <r>
          <rPr>
            <b/>
            <sz val="8"/>
            <color indexed="81"/>
            <rFont val="Tahoma"/>
            <family val="2"/>
          </rPr>
          <t>kapltoni:</t>
        </r>
        <r>
          <rPr>
            <sz val="8"/>
            <color indexed="81"/>
            <rFont val="Tahoma"/>
            <family val="2"/>
          </rPr>
          <t xml:space="preserve">
4.3% organic growth, $2.75M for ACI property appraisal tools moved to mortgage ($11M annual)</t>
        </r>
      </text>
    </comment>
    <comment ref="P19" authorId="4">
      <text>
        <r>
          <rPr>
            <b/>
            <sz val="8"/>
            <color indexed="81"/>
            <rFont val="Tahoma"/>
            <family val="2"/>
          </rPr>
          <t>kapltoni:</t>
        </r>
        <r>
          <rPr>
            <sz val="8"/>
            <color indexed="81"/>
            <rFont val="Tahoma"/>
            <family val="2"/>
          </rPr>
          <t xml:space="preserve">
organic growth, $2.75M for ACI property appraisal tools moved to mortgage ($11M annual)</t>
        </r>
      </text>
    </comment>
    <comment ref="Q19" authorId="4">
      <text>
        <r>
          <rPr>
            <b/>
            <sz val="8"/>
            <color indexed="81"/>
            <rFont val="Tahoma"/>
            <family val="2"/>
          </rPr>
          <t>kapltoni:</t>
        </r>
        <r>
          <rPr>
            <sz val="8"/>
            <color indexed="81"/>
            <rFont val="Tahoma"/>
            <family val="2"/>
          </rPr>
          <t xml:space="preserve">
organic growth, $2.75M for ACI property appraisal tools moved to mortgage ($11M annual)</t>
        </r>
      </text>
    </comment>
    <comment ref="S19" authorId="4">
      <text>
        <r>
          <rPr>
            <b/>
            <sz val="8"/>
            <color indexed="81"/>
            <rFont val="Tahoma"/>
            <family val="2"/>
          </rPr>
          <t>kapltoni:</t>
        </r>
        <r>
          <rPr>
            <sz val="8"/>
            <color indexed="81"/>
            <rFont val="Tahoma"/>
            <family val="2"/>
          </rPr>
          <t xml:space="preserve">
organic growth, $2.75M for ACI property appraisal tools moved to mortgage ($11M annual)</t>
        </r>
      </text>
    </comment>
    <comment ref="AJ19" authorId="5">
      <text>
        <r>
          <rPr>
            <b/>
            <sz val="9"/>
            <color indexed="81"/>
            <rFont val="Tahoma"/>
            <family val="2"/>
          </rPr>
          <t>Halfmann, Patrick T (Research):</t>
        </r>
        <r>
          <rPr>
            <sz val="9"/>
            <color indexed="81"/>
            <rFont val="Tahoma"/>
            <family val="2"/>
          </rPr>
          <t xml:space="preserve">
RII added 0.2% to 2Q</t>
        </r>
      </text>
    </comment>
    <comment ref="AO19" authorId="2">
      <text>
        <r>
          <rPr>
            <b/>
            <sz val="9"/>
            <color indexed="81"/>
            <rFont val="Tahoma"/>
            <family val="2"/>
          </rPr>
          <t>Halfmann, Patrick (Research):</t>
        </r>
        <r>
          <rPr>
            <sz val="9"/>
            <color indexed="81"/>
            <rFont val="Tahoma"/>
            <family val="2"/>
          </rPr>
          <t xml:space="preserve">
Risk Intelligence Ireland enters organic base</t>
        </r>
      </text>
    </comment>
    <comment ref="AP19" authorId="2">
      <text>
        <r>
          <rPr>
            <b/>
            <sz val="9"/>
            <color indexed="81"/>
            <rFont val="Tahoma"/>
            <family val="2"/>
          </rPr>
          <t>Halfmann, Patrick (Research):</t>
        </r>
        <r>
          <rPr>
            <sz val="9"/>
            <color indexed="81"/>
            <rFont val="Tahoma"/>
            <family val="2"/>
          </rPr>
          <t xml:space="preserve">
Easiest comp for organic growth</t>
        </r>
      </text>
    </comment>
    <comment ref="N21" authorId="4">
      <text>
        <r>
          <rPr>
            <b/>
            <sz val="8"/>
            <color indexed="81"/>
            <rFont val="Tahoma"/>
            <family val="2"/>
          </rPr>
          <t>kapltoni:</t>
        </r>
        <r>
          <rPr>
            <sz val="8"/>
            <color indexed="81"/>
            <rFont val="Tahoma"/>
            <family val="2"/>
          </rPr>
          <t xml:space="preserve">
excl transfer of property-specific rev to mortgage</t>
        </r>
      </text>
    </comment>
    <comment ref="O21" authorId="4">
      <text>
        <r>
          <rPr>
            <b/>
            <sz val="8"/>
            <color indexed="81"/>
            <rFont val="Tahoma"/>
            <family val="2"/>
          </rPr>
          <t>kapltoni:</t>
        </r>
        <r>
          <rPr>
            <sz val="8"/>
            <color indexed="81"/>
            <rFont val="Tahoma"/>
            <family val="2"/>
          </rPr>
          <t xml:space="preserve">
excl transfer of property-specific rev to mortgage</t>
        </r>
      </text>
    </comment>
    <comment ref="R21" authorId="0">
      <text>
        <r>
          <rPr>
            <b/>
            <sz val="9"/>
            <color indexed="81"/>
            <rFont val="Tahoma"/>
            <family val="2"/>
          </rPr>
          <t>Galindo, Denny:</t>
        </r>
        <r>
          <rPr>
            <sz val="9"/>
            <color indexed="81"/>
            <rFont val="Tahoma"/>
            <family val="2"/>
          </rPr>
          <t xml:space="preserve">
12m from appraisal tool</t>
        </r>
      </text>
    </comment>
    <comment ref="S21" authorId="6">
      <text>
        <r>
          <rPr>
            <b/>
            <sz val="8"/>
            <color indexed="81"/>
            <rFont val="Tahoma"/>
            <family val="2"/>
          </rPr>
          <t>sestein:</t>
        </r>
        <r>
          <rPr>
            <sz val="8"/>
            <color indexed="81"/>
            <rFont val="Tahoma"/>
            <family val="2"/>
          </rPr>
          <t xml:space="preserve">
Prior year includes ~$1 mil non-recurring licensing revenue, normalized would be 4.4%</t>
        </r>
      </text>
    </comment>
    <comment ref="T21" authorId="6">
      <text>
        <r>
          <rPr>
            <b/>
            <sz val="8"/>
            <color indexed="81"/>
            <rFont val="Tahoma"/>
            <family val="2"/>
          </rPr>
          <t>sestein:</t>
        </r>
        <r>
          <rPr>
            <sz val="8"/>
            <color indexed="81"/>
            <rFont val="Tahoma"/>
            <family val="2"/>
          </rPr>
          <t xml:space="preserve">
eliminated LT share agreement, will impact all qtrs of 13
</t>
        </r>
      </text>
    </comment>
    <comment ref="AB21" authorId="4">
      <text>
        <r>
          <rPr>
            <b/>
            <sz val="8"/>
            <color indexed="81"/>
            <rFont val="Tahoma"/>
            <family val="2"/>
          </rPr>
          <t>kapltoni:</t>
        </r>
        <r>
          <rPr>
            <sz val="8"/>
            <color indexed="81"/>
            <rFont val="Tahoma"/>
            <family val="2"/>
          </rPr>
          <t xml:space="preserve">
assumes mprovement in insurance end market in 2012 - impacts in 2014 due to 2 yr lag</t>
        </r>
      </text>
    </comment>
    <comment ref="AH21" authorId="5">
      <text>
        <r>
          <rPr>
            <b/>
            <sz val="9"/>
            <color indexed="81"/>
            <rFont val="Tahoma"/>
            <family val="2"/>
          </rPr>
          <t>Halfmann, Patrick T (Research):</t>
        </r>
        <r>
          <rPr>
            <sz val="9"/>
            <color indexed="81"/>
            <rFont val="Tahoma"/>
            <family val="2"/>
          </rPr>
          <t xml:space="preserve">
Still expect an acceleration in Insurance (DA+RA) in 2016</t>
        </r>
      </text>
    </comment>
    <comment ref="AI21" authorId="5">
      <text>
        <r>
          <rPr>
            <b/>
            <sz val="9"/>
            <color indexed="81"/>
            <rFont val="Tahoma"/>
            <family val="2"/>
          </rPr>
          <t>Halfmann, Patrick T (Research):</t>
        </r>
        <r>
          <rPr>
            <sz val="9"/>
            <color indexed="81"/>
            <rFont val="Tahoma"/>
            <family val="2"/>
          </rPr>
          <t xml:space="preserve">
0.2% contribution from Risk Intelligence Ireland</t>
        </r>
      </text>
    </comment>
    <comment ref="AJ21" authorId="2">
      <text>
        <r>
          <rPr>
            <b/>
            <sz val="9"/>
            <color indexed="81"/>
            <rFont val="Tahoma"/>
            <family val="2"/>
          </rPr>
          <t>Halfmann, Patrick (Research):</t>
        </r>
        <r>
          <rPr>
            <sz val="9"/>
            <color indexed="81"/>
            <rFont val="Tahoma"/>
            <family val="2"/>
          </rPr>
          <t xml:space="preserve">
Risk Intelligence Ireland</t>
        </r>
      </text>
    </comment>
    <comment ref="AK21" authorId="2">
      <text>
        <r>
          <rPr>
            <b/>
            <sz val="9"/>
            <color indexed="81"/>
            <rFont val="Tahoma"/>
            <family val="2"/>
          </rPr>
          <t>Halfmann, Patrick (Research):</t>
        </r>
        <r>
          <rPr>
            <sz val="9"/>
            <color indexed="81"/>
            <rFont val="Tahoma"/>
            <family val="2"/>
          </rPr>
          <t xml:space="preserve">
Industry std grew 5.4% for full year, property specific grew 1.4% (50bps); impact of Risk Intelligence Ireland in Ind St, impact of GeoInformation Group and MarketStance in Propety Specific Underwriting (100bps)</t>
        </r>
      </text>
    </comment>
    <comment ref="AL21" authorId="2">
      <text>
        <r>
          <rPr>
            <b/>
            <sz val="9"/>
            <color indexed="81"/>
            <rFont val="Tahoma"/>
            <family val="2"/>
          </rPr>
          <t>Halfmann, Patrick (Research):</t>
        </r>
        <r>
          <rPr>
            <sz val="9"/>
            <color indexed="81"/>
            <rFont val="Tahoma"/>
            <family val="2"/>
          </rPr>
          <t xml:space="preserve">
Industry std grew 5.3% for full year, property specific grew 3.7%</t>
        </r>
      </text>
    </comment>
    <comment ref="AP21" authorId="2">
      <text>
        <r>
          <rPr>
            <b/>
            <sz val="9"/>
            <color indexed="81"/>
            <rFont val="Tahoma"/>
            <family val="2"/>
          </rPr>
          <t>Halfmann, Patrick (Research):</t>
        </r>
        <r>
          <rPr>
            <sz val="9"/>
            <color indexed="81"/>
            <rFont val="Tahoma"/>
            <family val="2"/>
          </rPr>
          <t xml:space="preserve">
Easier comps</t>
        </r>
      </text>
    </comment>
    <comment ref="AR21" authorId="1">
      <text>
        <r>
          <rPr>
            <b/>
            <sz val="9"/>
            <color indexed="81"/>
            <rFont val="Tahoma"/>
            <family val="2"/>
          </rPr>
          <t>Kaplan, Toni (Research):</t>
        </r>
        <r>
          <rPr>
            <sz val="9"/>
            <color indexed="81"/>
            <rFont val="Tahoma"/>
            <family val="2"/>
          </rPr>
          <t xml:space="preserve">
Indu Std weaker in '18 - softness in market (4Q call)</t>
        </r>
      </text>
    </comment>
    <comment ref="AV21" authorId="1">
      <text>
        <r>
          <rPr>
            <b/>
            <sz val="9"/>
            <color indexed="81"/>
            <rFont val="Tahoma"/>
            <family val="2"/>
          </rPr>
          <t>Kaplan, Toni (Research):</t>
        </r>
        <r>
          <rPr>
            <sz val="9"/>
            <color indexed="81"/>
            <rFont val="Tahoma"/>
            <family val="2"/>
          </rPr>
          <t xml:space="preserve">
Indu Std weaker in '18 - softness in market (4Q call)</t>
        </r>
      </text>
    </comment>
    <comment ref="BA21" authorId="3">
      <text>
        <r>
          <rPr>
            <b/>
            <sz val="9"/>
            <color indexed="81"/>
            <rFont val="Tahoma"/>
            <family val="2"/>
          </rPr>
          <t>Russo, Priscilla (Research):</t>
        </r>
        <r>
          <rPr>
            <sz val="9"/>
            <color indexed="81"/>
            <rFont val="Tahoma"/>
            <family val="2"/>
          </rPr>
          <t xml:space="preserve">
4Q17: Indu Std expect to be at or above 2017 (organic) growth (which was 5.1%)
</t>
        </r>
      </text>
    </comment>
    <comment ref="AO22" authorId="1">
      <text>
        <r>
          <rPr>
            <b/>
            <sz val="9"/>
            <color indexed="81"/>
            <rFont val="Tahoma"/>
            <family val="2"/>
          </rPr>
          <t>Kaplan, Toni (Research):</t>
        </r>
        <r>
          <rPr>
            <sz val="9"/>
            <color indexed="81"/>
            <rFont val="Tahoma"/>
            <family val="2"/>
          </rPr>
          <t xml:space="preserve">
ex. hurricanes 7%</t>
        </r>
      </text>
    </comment>
    <comment ref="X23" authorId="2">
      <text>
        <r>
          <rPr>
            <b/>
            <sz val="9"/>
            <color indexed="81"/>
            <rFont val="Tahoma"/>
            <family val="2"/>
          </rPr>
          <t>Halfmann, Patrick (Research):</t>
        </r>
        <r>
          <rPr>
            <sz val="9"/>
            <color indexed="81"/>
            <rFont val="Tahoma"/>
            <family val="2"/>
          </rPr>
          <t xml:space="preserve">
Combined reported growth in Insurance </t>
        </r>
      </text>
    </comment>
    <comment ref="Y23" authorId="2">
      <text>
        <r>
          <rPr>
            <b/>
            <sz val="9"/>
            <color indexed="81"/>
            <rFont val="Tahoma"/>
            <family val="2"/>
          </rPr>
          <t>Halfmann, Patrick (Research):</t>
        </r>
        <r>
          <rPr>
            <sz val="9"/>
            <color indexed="81"/>
            <rFont val="Tahoma"/>
            <family val="2"/>
          </rPr>
          <t xml:space="preserve">
Combined reported growth in Insurance </t>
        </r>
      </text>
    </comment>
    <comment ref="Z23" authorId="2">
      <text>
        <r>
          <rPr>
            <b/>
            <sz val="9"/>
            <color indexed="81"/>
            <rFont val="Tahoma"/>
            <family val="2"/>
          </rPr>
          <t>Halfmann, Patrick (Research):</t>
        </r>
        <r>
          <rPr>
            <sz val="9"/>
            <color indexed="81"/>
            <rFont val="Tahoma"/>
            <family val="2"/>
          </rPr>
          <t xml:space="preserve">
Combined reported growth in Insurance </t>
        </r>
      </text>
    </comment>
    <comment ref="AA23" authorId="2">
      <text>
        <r>
          <rPr>
            <b/>
            <sz val="9"/>
            <color indexed="81"/>
            <rFont val="Tahoma"/>
            <family val="2"/>
          </rPr>
          <t>Halfmann, Patrick (Research):</t>
        </r>
        <r>
          <rPr>
            <sz val="9"/>
            <color indexed="81"/>
            <rFont val="Tahoma"/>
            <family val="2"/>
          </rPr>
          <t xml:space="preserve">
Combined reported growth in Insurance </t>
        </r>
      </text>
    </comment>
    <comment ref="AB23" authorId="2">
      <text>
        <r>
          <rPr>
            <b/>
            <sz val="9"/>
            <color indexed="81"/>
            <rFont val="Tahoma"/>
            <family val="2"/>
          </rPr>
          <t>Halfmann, Patrick (Research):</t>
        </r>
        <r>
          <rPr>
            <sz val="9"/>
            <color indexed="81"/>
            <rFont val="Tahoma"/>
            <family val="2"/>
          </rPr>
          <t xml:space="preserve">
Combined reported growth in Insurance </t>
        </r>
      </text>
    </comment>
    <comment ref="AC23" authorId="2">
      <text>
        <r>
          <rPr>
            <b/>
            <sz val="9"/>
            <color indexed="81"/>
            <rFont val="Tahoma"/>
            <family val="2"/>
          </rPr>
          <t>Halfmann, Patrick (Research):</t>
        </r>
        <r>
          <rPr>
            <sz val="9"/>
            <color indexed="81"/>
            <rFont val="Tahoma"/>
            <family val="2"/>
          </rPr>
          <t xml:space="preserve">
Combined reported growth in Insurance </t>
        </r>
      </text>
    </comment>
    <comment ref="AD23" authorId="2">
      <text>
        <r>
          <rPr>
            <b/>
            <sz val="9"/>
            <color indexed="81"/>
            <rFont val="Tahoma"/>
            <family val="2"/>
          </rPr>
          <t>Halfmann, Patrick (Research):</t>
        </r>
        <r>
          <rPr>
            <sz val="9"/>
            <color indexed="81"/>
            <rFont val="Tahoma"/>
            <family val="2"/>
          </rPr>
          <t xml:space="preserve">
Combined reported growth in Insurance </t>
        </r>
      </text>
    </comment>
    <comment ref="AE23" authorId="2">
      <text>
        <r>
          <rPr>
            <b/>
            <sz val="9"/>
            <color indexed="81"/>
            <rFont val="Tahoma"/>
            <family val="2"/>
          </rPr>
          <t>Halfmann, Patrick (Research):</t>
        </r>
        <r>
          <rPr>
            <sz val="9"/>
            <color indexed="81"/>
            <rFont val="Tahoma"/>
            <family val="2"/>
          </rPr>
          <t xml:space="preserve">
Combined reported growth in Insurance </t>
        </r>
      </text>
    </comment>
    <comment ref="AF23" authorId="2">
      <text>
        <r>
          <rPr>
            <b/>
            <sz val="9"/>
            <color indexed="81"/>
            <rFont val="Tahoma"/>
            <family val="2"/>
          </rPr>
          <t>Halfmann, Patrick (Research):</t>
        </r>
        <r>
          <rPr>
            <sz val="9"/>
            <color indexed="81"/>
            <rFont val="Tahoma"/>
            <family val="2"/>
          </rPr>
          <t xml:space="preserve">
Combined reported growth in Insurance </t>
        </r>
      </text>
    </comment>
    <comment ref="AG23" authorId="2">
      <text>
        <r>
          <rPr>
            <b/>
            <sz val="9"/>
            <color indexed="81"/>
            <rFont val="Tahoma"/>
            <family val="2"/>
          </rPr>
          <t>Halfmann, Patrick (Research):</t>
        </r>
        <r>
          <rPr>
            <sz val="9"/>
            <color indexed="81"/>
            <rFont val="Tahoma"/>
            <family val="2"/>
          </rPr>
          <t xml:space="preserve">
Combined reported growth in Insurance </t>
        </r>
      </text>
    </comment>
    <comment ref="AH23" authorId="2">
      <text>
        <r>
          <rPr>
            <b/>
            <sz val="9"/>
            <color indexed="81"/>
            <rFont val="Tahoma"/>
            <family val="2"/>
          </rPr>
          <t>Halfmann, Patrick (Research):</t>
        </r>
        <r>
          <rPr>
            <sz val="9"/>
            <color indexed="81"/>
            <rFont val="Tahoma"/>
            <family val="2"/>
          </rPr>
          <t xml:space="preserve">
Combined reported growth in Insurance </t>
        </r>
      </text>
    </comment>
    <comment ref="AI23" authorId="2">
      <text>
        <r>
          <rPr>
            <b/>
            <sz val="9"/>
            <color indexed="81"/>
            <rFont val="Tahoma"/>
            <family val="2"/>
          </rPr>
          <t>Halfmann, Patrick (Research):</t>
        </r>
        <r>
          <rPr>
            <sz val="9"/>
            <color indexed="81"/>
            <rFont val="Tahoma"/>
            <family val="2"/>
          </rPr>
          <t xml:space="preserve">
Combined reported growth in Insurance </t>
        </r>
      </text>
    </comment>
    <comment ref="AJ23" authorId="2">
      <text>
        <r>
          <rPr>
            <b/>
            <sz val="9"/>
            <color indexed="81"/>
            <rFont val="Tahoma"/>
            <family val="2"/>
          </rPr>
          <t>Halfmann, Patrick (Research):</t>
        </r>
        <r>
          <rPr>
            <sz val="9"/>
            <color indexed="81"/>
            <rFont val="Tahoma"/>
            <family val="2"/>
          </rPr>
          <t xml:space="preserve">
Combined reported growth in Insurance </t>
        </r>
      </text>
    </comment>
    <comment ref="AK23" authorId="2">
      <text>
        <r>
          <rPr>
            <b/>
            <sz val="9"/>
            <color indexed="81"/>
            <rFont val="Tahoma"/>
            <family val="2"/>
          </rPr>
          <t>Halfmann, Patrick (Research):</t>
        </r>
        <r>
          <rPr>
            <sz val="9"/>
            <color indexed="81"/>
            <rFont val="Tahoma"/>
            <family val="2"/>
          </rPr>
          <t xml:space="preserve">
Combined reported growth in Insurance </t>
        </r>
      </text>
    </comment>
    <comment ref="AL23" authorId="2">
      <text>
        <r>
          <rPr>
            <b/>
            <sz val="9"/>
            <color indexed="81"/>
            <rFont val="Tahoma"/>
            <family val="2"/>
          </rPr>
          <t>Halfmann, Patrick (Research):</t>
        </r>
        <r>
          <rPr>
            <sz val="9"/>
            <color indexed="81"/>
            <rFont val="Tahoma"/>
            <family val="2"/>
          </rPr>
          <t xml:space="preserve">
Combined reported growth in Insurance </t>
        </r>
      </text>
    </comment>
    <comment ref="AM23" authorId="2">
      <text>
        <r>
          <rPr>
            <b/>
            <sz val="9"/>
            <color indexed="81"/>
            <rFont val="Tahoma"/>
            <family val="2"/>
          </rPr>
          <t>Halfmann, Patrick (Research):</t>
        </r>
        <r>
          <rPr>
            <sz val="9"/>
            <color indexed="81"/>
            <rFont val="Tahoma"/>
            <family val="2"/>
          </rPr>
          <t xml:space="preserve">
Combined reported growth in Insurance </t>
        </r>
      </text>
    </comment>
    <comment ref="AN23" authorId="2">
      <text>
        <r>
          <rPr>
            <b/>
            <sz val="9"/>
            <color indexed="81"/>
            <rFont val="Tahoma"/>
            <family val="2"/>
          </rPr>
          <t>Halfmann, Patrick (Research):</t>
        </r>
        <r>
          <rPr>
            <sz val="9"/>
            <color indexed="81"/>
            <rFont val="Tahoma"/>
            <family val="2"/>
          </rPr>
          <t xml:space="preserve">
Combined reported growth in Insurance </t>
        </r>
      </text>
    </comment>
    <comment ref="AO23" authorId="2">
      <text>
        <r>
          <rPr>
            <sz val="9"/>
            <color indexed="81"/>
            <rFont val="Tahoma"/>
            <family val="2"/>
          </rPr>
          <t xml:space="preserve">3Q: +9% organically; +7% excluding hurricanes
Combined reported growth in Insurance </t>
        </r>
      </text>
    </comment>
    <comment ref="AP23" authorId="2">
      <text>
        <r>
          <rPr>
            <b/>
            <sz val="9"/>
            <color indexed="81"/>
            <rFont val="Tahoma"/>
            <family val="2"/>
          </rPr>
          <t>Halfmann, Patrick (Research):</t>
        </r>
        <r>
          <rPr>
            <sz val="9"/>
            <color indexed="81"/>
            <rFont val="Tahoma"/>
            <family val="2"/>
          </rPr>
          <t xml:space="preserve">
Combined reported growth in Insurance </t>
        </r>
      </text>
    </comment>
    <comment ref="AQ23" authorId="2">
      <text>
        <r>
          <rPr>
            <b/>
            <sz val="9"/>
            <color indexed="81"/>
            <rFont val="Tahoma"/>
            <family val="2"/>
          </rPr>
          <t>Halfmann, Patrick (Research):</t>
        </r>
        <r>
          <rPr>
            <sz val="9"/>
            <color indexed="81"/>
            <rFont val="Tahoma"/>
            <family val="2"/>
          </rPr>
          <t xml:space="preserve">
Combined reported growth in Insurance </t>
        </r>
      </text>
    </comment>
    <comment ref="A24" authorId="1">
      <text>
        <r>
          <rPr>
            <b/>
            <sz val="9"/>
            <color indexed="81"/>
            <rFont val="Tahoma"/>
            <family val="2"/>
          </rPr>
          <t>Kaplan, Toni (Research):</t>
        </r>
        <r>
          <rPr>
            <sz val="9"/>
            <color indexed="81"/>
            <rFont val="Tahoma"/>
            <family val="2"/>
          </rPr>
          <t xml:space="preserve">
Cat models, claims estimation, fraud solutions, u/w solutions</t>
        </r>
      </text>
    </comment>
    <comment ref="U24" authorId="6">
      <text>
        <r>
          <rPr>
            <b/>
            <sz val="8"/>
            <color indexed="81"/>
            <rFont val="Tahoma"/>
            <family val="2"/>
          </rPr>
          <t>sestein:</t>
        </r>
        <r>
          <rPr>
            <sz val="8"/>
            <color indexed="81"/>
            <rFont val="Tahoma"/>
            <family val="2"/>
          </rPr>
          <t xml:space="preserve">
benefit of over $3M related to the implementation with a large customer</t>
        </r>
      </text>
    </comment>
    <comment ref="W24" authorId="0">
      <text>
        <r>
          <rPr>
            <b/>
            <sz val="9"/>
            <color indexed="81"/>
            <rFont val="Tahoma"/>
            <family val="2"/>
          </rPr>
          <t>Galindo, Denny:</t>
        </r>
        <r>
          <rPr>
            <sz val="9"/>
            <color indexed="81"/>
            <rFont val="Tahoma"/>
            <family val="2"/>
          </rPr>
          <t xml:space="preserve">
CLGX 2Q14 proforma for equcat suggest equecat generated ~$60M in revenue in 2013
Assume: 2/3 of $50M incremntal revenue</t>
        </r>
      </text>
    </comment>
    <comment ref="Y24" authorId="0">
      <text>
        <r>
          <rPr>
            <b/>
            <sz val="9"/>
            <color indexed="81"/>
            <rFont val="Tahoma"/>
            <family val="2"/>
          </rPr>
          <t>Galindo, Denny:</t>
        </r>
        <r>
          <rPr>
            <sz val="9"/>
            <color indexed="81"/>
            <rFont val="Tahoma"/>
            <family val="2"/>
          </rPr>
          <t xml:space="preserve">
Strong cat modeling and loss quanitification solutions</t>
        </r>
      </text>
    </comment>
    <comment ref="Z24" authorId="6">
      <text>
        <r>
          <rPr>
            <b/>
            <sz val="8"/>
            <color indexed="81"/>
            <rFont val="Tahoma"/>
            <family val="2"/>
          </rPr>
          <t>sestein:</t>
        </r>
        <r>
          <rPr>
            <sz val="8"/>
            <color indexed="81"/>
            <rFont val="Tahoma"/>
            <family val="2"/>
          </rPr>
          <t xml:space="preserve">
tough comp b/c of last year's $3M benefit</t>
        </r>
      </text>
    </comment>
    <comment ref="AO24" authorId="3">
      <text>
        <r>
          <rPr>
            <b/>
            <sz val="9"/>
            <color indexed="81"/>
            <rFont val="Tahoma"/>
            <family val="2"/>
          </rPr>
          <t>Russo, Priscilla (Research):</t>
        </r>
        <r>
          <rPr>
            <sz val="9"/>
            <color indexed="81"/>
            <rFont val="Tahoma"/>
            <family val="2"/>
          </rPr>
          <t xml:space="preserve">
Hurricane-related repair cost estimating imagery-based solution contributed $8M; (not from aerial)</t>
        </r>
      </text>
    </comment>
    <comment ref="X25" authorId="0">
      <text>
        <r>
          <rPr>
            <b/>
            <sz val="9"/>
            <color indexed="81"/>
            <rFont val="Tahoma"/>
            <family val="2"/>
          </rPr>
          <t>Galindo, Denny:</t>
        </r>
        <r>
          <rPr>
            <sz val="9"/>
            <color indexed="81"/>
            <rFont val="Tahoma"/>
            <family val="2"/>
          </rPr>
          <t xml:space="preserve">
increase sin u.w solutions, cat modeling, insurance fraud revenue, loss quanitifcation</t>
        </r>
      </text>
    </comment>
    <comment ref="Z25" authorId="0">
      <text>
        <r>
          <rPr>
            <b/>
            <sz val="9"/>
            <color indexed="81"/>
            <rFont val="Tahoma"/>
            <family val="2"/>
          </rPr>
          <t>Galindo, Denny:</t>
        </r>
        <r>
          <rPr>
            <sz val="9"/>
            <color indexed="81"/>
            <rFont val="Tahoma"/>
            <family val="2"/>
          </rPr>
          <t xml:space="preserve">
Growth in loss quanitifcation, claims, catastophe modeling and underwriting</t>
        </r>
      </text>
    </comment>
    <comment ref="AA25" authorId="1">
      <text>
        <r>
          <rPr>
            <b/>
            <sz val="9"/>
            <color indexed="81"/>
            <rFont val="Tahoma"/>
            <family val="2"/>
          </rPr>
          <t>Kaplan, Toni (Research):</t>
        </r>
        <r>
          <rPr>
            <sz val="9"/>
            <color indexed="81"/>
            <rFont val="Tahoma"/>
            <family val="2"/>
          </rPr>
          <t xml:space="preserve">
growth in u/w solutions, cat models, loss quant, fraud claims solutions</t>
        </r>
      </text>
    </comment>
    <comment ref="AI25" authorId="5">
      <text>
        <r>
          <rPr>
            <b/>
            <sz val="9"/>
            <color indexed="81"/>
            <rFont val="Tahoma"/>
            <family val="2"/>
          </rPr>
          <t>Halfmann, Patrick T (Research):</t>
        </r>
        <r>
          <rPr>
            <sz val="9"/>
            <color indexed="81"/>
            <rFont val="Tahoma"/>
            <family val="2"/>
          </rPr>
          <t xml:space="preserve">
Strong loss quantification, underwriting; weak cat modeling</t>
        </r>
      </text>
    </comment>
    <comment ref="AH27" authorId="2">
      <text>
        <r>
          <rPr>
            <b/>
            <sz val="9"/>
            <color indexed="81"/>
            <rFont val="Tahoma"/>
            <family val="2"/>
          </rPr>
          <t>Halfmann, Patrick (Research):</t>
        </r>
        <r>
          <rPr>
            <sz val="9"/>
            <color indexed="81"/>
            <rFont val="Tahoma"/>
            <family val="2"/>
          </rPr>
          <t xml:space="preserve">
True-up revenue</t>
        </r>
      </text>
    </comment>
    <comment ref="AM27" authorId="2">
      <text>
        <r>
          <rPr>
            <b/>
            <sz val="9"/>
            <color indexed="81"/>
            <rFont val="Tahoma"/>
            <family val="2"/>
          </rPr>
          <t>Halfmann, Patrick (Research):</t>
        </r>
        <r>
          <rPr>
            <sz val="9"/>
            <color indexed="81"/>
            <rFont val="Tahoma"/>
            <family val="2"/>
          </rPr>
          <t xml:space="preserve">
Org c/c net of one-time true-up ($M)</t>
        </r>
      </text>
    </comment>
    <comment ref="AO27" authorId="2">
      <text>
        <r>
          <rPr>
            <b/>
            <sz val="9"/>
            <color indexed="81"/>
            <rFont val="Tahoma"/>
            <family val="2"/>
          </rPr>
          <t xml:space="preserve">$8M in qtr from hurricane repair costs estimating and imagery-based solutions
</t>
        </r>
        <r>
          <rPr>
            <sz val="9"/>
            <color indexed="81"/>
            <rFont val="Tahoma"/>
            <family val="2"/>
          </rPr>
          <t xml:space="preserve">
Assumes Analyze Re ~40bps contribution similar to 2Q17; 7 acquired aerial imagery to contribute $15M in annual rev per 2Q call</t>
        </r>
      </text>
    </comment>
    <comment ref="AP27" authorId="2">
      <text>
        <r>
          <rPr>
            <b/>
            <sz val="9"/>
            <color indexed="81"/>
            <rFont val="Tahoma"/>
            <family val="2"/>
          </rPr>
          <t>4Q: $8M benefit to organic growth from extreme weather</t>
        </r>
        <r>
          <rPr>
            <sz val="9"/>
            <color indexed="81"/>
            <rFont val="Tahoma"/>
            <family val="2"/>
          </rPr>
          <t xml:space="preserve">
3Q: $8M benefit in 3Q will not continue into 4Q, assumes $8M from Sequel
NA: Assumes Analyze Re ~40bps contribution similar to 2Q17; 7 acquired aerial imagery to contribute $15M in annual rev per 2Q call
Also included: Arium ENI, Aerial Imagery acquisitions, Rebmark and Service Software</t>
        </r>
      </text>
    </comment>
    <comment ref="AR27" authorId="2">
      <text>
        <r>
          <rPr>
            <b/>
            <sz val="9"/>
            <color indexed="81"/>
            <rFont val="Tahoma"/>
            <family val="2"/>
          </rPr>
          <t>Assumes $8M from Sequel</t>
        </r>
        <r>
          <rPr>
            <sz val="9"/>
            <color indexed="81"/>
            <rFont val="Tahoma"/>
            <family val="2"/>
          </rPr>
          <t xml:space="preserve">
7 acquired aerial imagery to contribute $15M in annual rev per 2Q call</t>
        </r>
      </text>
    </comment>
    <comment ref="AS27" authorId="2">
      <text>
        <r>
          <rPr>
            <b/>
            <sz val="9"/>
            <color indexed="81"/>
            <rFont val="Tahoma"/>
            <family val="2"/>
          </rPr>
          <t>Assumes $8M from Sequel</t>
        </r>
        <r>
          <rPr>
            <sz val="9"/>
            <color indexed="81"/>
            <rFont val="Tahoma"/>
            <family val="2"/>
          </rPr>
          <t xml:space="preserve">
7 acquired aerial imagery to contribute $15M in annual rev per 2Q call</t>
        </r>
      </text>
    </comment>
    <comment ref="AT27" authorId="1">
      <text>
        <r>
          <rPr>
            <b/>
            <sz val="9"/>
            <color indexed="81"/>
            <rFont val="Tahoma"/>
            <family val="2"/>
          </rPr>
          <t>Kaplan, Toni (Research):</t>
        </r>
        <r>
          <rPr>
            <sz val="9"/>
            <color indexed="81"/>
            <rFont val="Tahoma"/>
            <family val="2"/>
          </rPr>
          <t xml:space="preserve">
Sequel $8M/qtr for 2 mo (closed Aug 23 2017)</t>
        </r>
      </text>
    </comment>
    <comment ref="AP28" authorId="3">
      <text>
        <r>
          <rPr>
            <b/>
            <sz val="9"/>
            <color indexed="81"/>
            <rFont val="Tahoma"/>
            <family val="2"/>
          </rPr>
          <t>Russo, Priscilla (Research):</t>
        </r>
        <r>
          <rPr>
            <sz val="9"/>
            <color indexed="81"/>
            <rFont val="Tahoma"/>
            <family val="2"/>
          </rPr>
          <t xml:space="preserve">
acquired rev</t>
        </r>
      </text>
    </comment>
    <comment ref="O29" authorId="4">
      <text>
        <r>
          <rPr>
            <b/>
            <sz val="8"/>
            <color indexed="81"/>
            <rFont val="Tahoma"/>
            <family val="2"/>
          </rPr>
          <t>kapltoni:</t>
        </r>
        <r>
          <rPr>
            <sz val="8"/>
            <color indexed="81"/>
            <rFont val="Tahoma"/>
            <family val="2"/>
          </rPr>
          <t xml:space="preserve">
9.4% if it was a normal weather quarter (mgmt est low cats impacted total growth by 20bps)</t>
        </r>
      </text>
    </comment>
    <comment ref="R29" authorId="1">
      <text>
        <r>
          <rPr>
            <b/>
            <sz val="9"/>
            <color indexed="81"/>
            <rFont val="Tahoma"/>
            <family val="2"/>
          </rPr>
          <t>average</t>
        </r>
        <r>
          <rPr>
            <sz val="9"/>
            <color indexed="81"/>
            <rFont val="Tahoma"/>
            <family val="2"/>
          </rPr>
          <t xml:space="preserve">
</t>
        </r>
      </text>
    </comment>
    <comment ref="S29" authorId="6">
      <text>
        <r>
          <rPr>
            <b/>
            <sz val="8"/>
            <color indexed="81"/>
            <rFont val="Tahoma"/>
            <family val="2"/>
          </rPr>
          <t>sestein:</t>
        </r>
        <r>
          <rPr>
            <sz val="8"/>
            <color indexed="81"/>
            <rFont val="Tahoma"/>
            <family val="2"/>
          </rPr>
          <t xml:space="preserve">
ALP acquisition closed 7/2/12.  Impact ~$.5M/qtr.  Becomes organic 3Q
</t>
        </r>
      </text>
    </comment>
    <comment ref="T29" authorId="6">
      <text>
        <r>
          <rPr>
            <b/>
            <sz val="8"/>
            <color indexed="81"/>
            <rFont val="Tahoma"/>
            <family val="2"/>
          </rPr>
          <t>sestein:</t>
        </r>
        <r>
          <rPr>
            <sz val="8"/>
            <color indexed="81"/>
            <rFont val="Tahoma"/>
            <family val="2"/>
          </rPr>
          <t xml:space="preserve">
Excludes Aspect acquisition</t>
        </r>
      </text>
    </comment>
    <comment ref="X29" authorId="0">
      <text>
        <r>
          <rPr>
            <b/>
            <sz val="9"/>
            <color indexed="81"/>
            <rFont val="Tahoma"/>
            <family val="2"/>
          </rPr>
          <t>Galindo, Denny:</t>
        </r>
        <r>
          <rPr>
            <sz val="9"/>
            <color indexed="81"/>
            <rFont val="Tahoma"/>
            <family val="2"/>
          </rPr>
          <t xml:space="preserve">
increased adoption of new products and systems an dstrong loss quanitifciation</t>
        </r>
      </text>
    </comment>
    <comment ref="AH29" authorId="1">
      <text>
        <r>
          <rPr>
            <b/>
            <sz val="9"/>
            <color indexed="81"/>
            <rFont val="Tahoma"/>
            <family val="2"/>
          </rPr>
          <t>Kaplan, Toni (Research):</t>
        </r>
        <r>
          <rPr>
            <sz val="9"/>
            <color indexed="81"/>
            <rFont val="Tahoma"/>
            <family val="2"/>
          </rPr>
          <t xml:space="preserve">
growth in claims analytics solutions, loss quant, cat modeling, underwriting.  Loss quant benefited from a true-up of partnership rev; up 9% ex true up</t>
        </r>
      </text>
    </comment>
    <comment ref="AK29" authorId="2">
      <text>
        <r>
          <rPr>
            <b/>
            <sz val="9"/>
            <color indexed="81"/>
            <rFont val="Tahoma"/>
            <family val="2"/>
          </rPr>
          <t>Halfmann, Patrick (Research):</t>
        </r>
        <r>
          <rPr>
            <sz val="9"/>
            <color indexed="81"/>
            <rFont val="Tahoma"/>
            <family val="2"/>
          </rPr>
          <t xml:space="preserve">
Impact of Analyze Re</t>
        </r>
      </text>
    </comment>
    <comment ref="AN29" authorId="2">
      <text>
        <r>
          <rPr>
            <b/>
            <sz val="9"/>
            <color indexed="81"/>
            <rFont val="Tahoma"/>
            <family val="2"/>
          </rPr>
          <t>Halfmann, Patrick (Research):</t>
        </r>
        <r>
          <rPr>
            <sz val="9"/>
            <color indexed="81"/>
            <rFont val="Tahoma"/>
            <family val="2"/>
          </rPr>
          <t xml:space="preserve">
Strong quarter for cat modeling, benefitted from loss quant and underwriting solutions</t>
        </r>
      </text>
    </comment>
    <comment ref="AP29" authorId="3">
      <text>
        <r>
          <rPr>
            <b/>
            <sz val="9"/>
            <color indexed="81"/>
            <rFont val="Tahoma"/>
            <family val="2"/>
          </rPr>
          <t>Russo, Priscilla (Research):</t>
        </r>
        <r>
          <rPr>
            <sz val="9"/>
            <color indexed="81"/>
            <rFont val="Tahoma"/>
            <family val="2"/>
          </rPr>
          <t xml:space="preserve">
strong growth in loss quantification and claims analytics solutions</t>
        </r>
      </text>
    </comment>
    <comment ref="AR29" authorId="1">
      <text>
        <r>
          <rPr>
            <b/>
            <sz val="9"/>
            <color indexed="81"/>
            <rFont val="Tahoma"/>
            <family val="2"/>
          </rPr>
          <t>Kaplan, Toni (Research):</t>
        </r>
        <r>
          <rPr>
            <sz val="9"/>
            <color indexed="81"/>
            <rFont val="Tahoma"/>
            <family val="2"/>
          </rPr>
          <t xml:space="preserve">
easy comp, lot of contract signings in 2H17</t>
        </r>
      </text>
    </comment>
    <comment ref="AS29" authorId="1">
      <text>
        <r>
          <rPr>
            <b/>
            <sz val="9"/>
            <color indexed="81"/>
            <rFont val="Tahoma"/>
            <family val="2"/>
          </rPr>
          <t>Kaplan, Toni (Research):</t>
        </r>
        <r>
          <rPr>
            <sz val="9"/>
            <color indexed="81"/>
            <rFont val="Tahoma"/>
            <family val="2"/>
          </rPr>
          <t xml:space="preserve">
tough cat modeling comp</t>
        </r>
      </text>
    </comment>
    <comment ref="AT29" authorId="1">
      <text>
        <r>
          <rPr>
            <b/>
            <sz val="9"/>
            <color indexed="81"/>
            <rFont val="Tahoma"/>
            <family val="2"/>
          </rPr>
          <t>Kaplan, Toni (Research):</t>
        </r>
        <r>
          <rPr>
            <sz val="9"/>
            <color indexed="81"/>
            <rFont val="Tahoma"/>
            <family val="2"/>
          </rPr>
          <t xml:space="preserve">
tough comp</t>
        </r>
      </text>
    </comment>
    <comment ref="AU29" authorId="3">
      <text>
        <r>
          <rPr>
            <b/>
            <sz val="9"/>
            <color indexed="81"/>
            <rFont val="Tahoma"/>
            <family val="2"/>
          </rPr>
          <t>Russo, Priscilla (Research):</t>
        </r>
        <r>
          <rPr>
            <sz val="9"/>
            <color indexed="81"/>
            <rFont val="Tahoma"/>
            <family val="2"/>
          </rPr>
          <t xml:space="preserve">
tough comp</t>
        </r>
      </text>
    </comment>
    <comment ref="A31" authorId="6">
      <text>
        <r>
          <rPr>
            <b/>
            <sz val="8"/>
            <color indexed="81"/>
            <rFont val="Tahoma"/>
            <family val="2"/>
          </rPr>
          <t xml:space="preserve">kapltoni: </t>
        </r>
        <r>
          <rPr>
            <sz val="8"/>
            <color indexed="81"/>
            <rFont val="Tahoma"/>
            <family val="2"/>
          </rPr>
          <t xml:space="preserve">comprehensive data on store locations and links each transaction to a merchant.  Used for: 1) product, pricing, promotion, 2) credit default collections, fraud risk, 3) compliance, 4) tech, data access, 5) emerging payments, wallet share, more. </t>
        </r>
        <r>
          <rPr>
            <b/>
            <sz val="8"/>
            <color indexed="81"/>
            <rFont val="Tahoma"/>
            <family val="2"/>
          </rPr>
          <t xml:space="preserve">
sestein:</t>
        </r>
        <r>
          <rPr>
            <sz val="8"/>
            <color indexed="81"/>
            <rFont val="Tahoma"/>
            <family val="2"/>
          </rPr>
          <t xml:space="preserve">
Includes Mortgage &amp; Argus</t>
        </r>
      </text>
    </comment>
    <comment ref="S31" authorId="6">
      <text>
        <r>
          <rPr>
            <b/>
            <sz val="8"/>
            <color indexed="81"/>
            <rFont val="Tahoma"/>
            <family val="2"/>
          </rPr>
          <t>sestein:</t>
        </r>
        <r>
          <rPr>
            <sz val="8"/>
            <color indexed="81"/>
            <rFont val="Tahoma"/>
            <family val="2"/>
          </rPr>
          <t xml:space="preserve">
Estimate $27.7M is mortgage business, $16.2M is Argus.  Argus grows mid teens</t>
        </r>
      </text>
    </comment>
    <comment ref="T31" authorId="6">
      <text>
        <r>
          <rPr>
            <b/>
            <sz val="8"/>
            <color indexed="81"/>
            <rFont val="Tahoma"/>
            <family val="2"/>
          </rPr>
          <t>sestein:</t>
        </r>
        <r>
          <rPr>
            <sz val="8"/>
            <color indexed="81"/>
            <rFont val="Tahoma"/>
            <family val="2"/>
          </rPr>
          <t xml:space="preserve">
Assumes $32.2M from Mortgage, $18.4M from Argus</t>
        </r>
      </text>
    </comment>
    <comment ref="U31" authorId="6">
      <text>
        <r>
          <rPr>
            <b/>
            <sz val="8"/>
            <color indexed="81"/>
            <rFont val="Tahoma"/>
            <family val="2"/>
          </rPr>
          <t>sestein: Argus accounted for $15.6M in rev</t>
        </r>
        <r>
          <rPr>
            <sz val="8"/>
            <color indexed="81"/>
            <rFont val="Tahoma"/>
            <family val="2"/>
          </rPr>
          <t xml:space="preserve">
Argus will move to organic on 8/31/13
Growth outlook remains positive (2Q13) int'l, growth &gt;20% YTD, mid teens growth in F13. Origination rev continues to grow, normalization of forensic. Decline is slowing. Seeing growth in product sets in forensic. </t>
        </r>
      </text>
    </comment>
    <comment ref="V31" authorId="6">
      <text>
        <r>
          <rPr>
            <b/>
            <sz val="8"/>
            <color indexed="81"/>
            <rFont val="Tahoma"/>
            <family val="2"/>
          </rPr>
          <t>sestein:</t>
        </r>
        <r>
          <rPr>
            <sz val="8"/>
            <color indexed="81"/>
            <rFont val="Tahoma"/>
            <family val="2"/>
          </rPr>
          <t xml:space="preserve">
Argus is part of organic growth for full quarter</t>
        </r>
      </text>
    </comment>
    <comment ref="AQ31" authorId="2">
      <text>
        <r>
          <rPr>
            <b/>
            <sz val="9"/>
            <color indexed="81"/>
            <rFont val="Tahoma"/>
            <family val="2"/>
          </rPr>
          <t>Halfmann, Patrick (Research):</t>
        </r>
        <r>
          <rPr>
            <sz val="9"/>
            <color indexed="81"/>
            <rFont val="Tahoma"/>
            <family val="2"/>
          </rPr>
          <t xml:space="preserve">
1Q: Lost $11M in contract value at the end of 2016</t>
        </r>
      </text>
    </comment>
    <comment ref="W32" authorId="6">
      <text>
        <r>
          <rPr>
            <b/>
            <sz val="8"/>
            <color indexed="81"/>
            <rFont val="Tahoma"/>
            <family val="2"/>
          </rPr>
          <t>sestein:</t>
        </r>
        <r>
          <rPr>
            <sz val="8"/>
            <color indexed="81"/>
            <rFont val="Tahoma"/>
            <family val="2"/>
          </rPr>
          <t xml:space="preserve">
Expect mortgage business to be ~11% decline, Argus should grow mid teens
</t>
        </r>
      </text>
    </comment>
    <comment ref="X32" authorId="0">
      <text>
        <r>
          <rPr>
            <b/>
            <sz val="9"/>
            <color indexed="81"/>
            <rFont val="Tahoma"/>
            <family val="2"/>
          </rPr>
          <t>Galindo, Denny:</t>
        </r>
        <r>
          <rPr>
            <sz val="9"/>
            <color indexed="81"/>
            <rFont val="Tahoma"/>
            <family val="2"/>
          </rPr>
          <t xml:space="preserve">
Demand for analytic solutions and servcies</t>
        </r>
      </text>
    </comment>
    <comment ref="Y32" authorId="0">
      <text>
        <r>
          <rPr>
            <b/>
            <sz val="9"/>
            <color indexed="81"/>
            <rFont val="Tahoma"/>
            <family val="2"/>
          </rPr>
          <t>Galindo, Denny:</t>
        </r>
        <r>
          <rPr>
            <sz val="9"/>
            <color indexed="81"/>
            <rFont val="Tahoma"/>
            <family val="2"/>
          </rPr>
          <t xml:space="preserve">
strong demand for soltuiosn but less demand for product based revenue</t>
        </r>
      </text>
    </comment>
    <comment ref="AC32" authorId="1">
      <text>
        <r>
          <rPr>
            <b/>
            <sz val="9"/>
            <color indexed="81"/>
            <rFont val="Tahoma"/>
            <family val="2"/>
          </rPr>
          <t>Kaplan, Toni (Research):</t>
        </r>
        <r>
          <rPr>
            <sz val="9"/>
            <color indexed="81"/>
            <rFont val="Tahoma"/>
            <family val="2"/>
          </rPr>
          <t xml:space="preserve">
Media-effectiveness project revenue</t>
        </r>
      </text>
    </comment>
    <comment ref="AG32" authorId="1">
      <text>
        <r>
          <rPr>
            <b/>
            <sz val="9"/>
            <color indexed="81"/>
            <rFont val="Tahoma"/>
            <family val="2"/>
          </rPr>
          <t>Kaplan, Toni (Research):</t>
        </r>
        <r>
          <rPr>
            <sz val="9"/>
            <color indexed="81"/>
            <rFont val="Tahoma"/>
            <family val="2"/>
          </rPr>
          <t xml:space="preserve">
includes acq of Dart consulting</t>
        </r>
      </text>
    </comment>
    <comment ref="AH32" authorId="1">
      <text>
        <r>
          <rPr>
            <b/>
            <sz val="9"/>
            <color indexed="81"/>
            <rFont val="Tahoma"/>
            <family val="2"/>
          </rPr>
          <t>Kaplan, Toni (Research):</t>
        </r>
        <r>
          <rPr>
            <sz val="9"/>
            <color indexed="81"/>
            <rFont val="Tahoma"/>
            <family val="2"/>
          </rPr>
          <t xml:space="preserve">
+17.7% excluding prior year project rev</t>
        </r>
      </text>
    </comment>
    <comment ref="AI32" authorId="5">
      <text>
        <r>
          <rPr>
            <b/>
            <sz val="9"/>
            <color indexed="81"/>
            <rFont val="Tahoma"/>
            <family val="2"/>
          </rPr>
          <t>Halfmann, Patrick T (Research):</t>
        </r>
        <r>
          <rPr>
            <sz val="9"/>
            <color indexed="81"/>
            <rFont val="Tahoma"/>
            <family val="2"/>
          </rPr>
          <t xml:space="preserve">
"Pleased with contributions from media effectiveness"</t>
        </r>
      </text>
    </comment>
    <comment ref="AJ32" authorId="1">
      <text>
        <r>
          <rPr>
            <b/>
            <sz val="9"/>
            <color indexed="81"/>
            <rFont val="Tahoma"/>
            <family val="2"/>
          </rPr>
          <t>Kaplan, Toni (Research):</t>
        </r>
        <r>
          <rPr>
            <sz val="9"/>
            <color indexed="81"/>
            <rFont val="Tahoma"/>
            <family val="2"/>
          </rPr>
          <t xml:space="preserve">
driven by analytical solutions and media effectiveness</t>
        </r>
      </text>
    </comment>
    <comment ref="AL32" authorId="5">
      <text>
        <r>
          <rPr>
            <b/>
            <sz val="9"/>
            <color indexed="81"/>
            <rFont val="Tahoma"/>
            <family val="2"/>
          </rPr>
          <t>Halfmann, Patrick T (Research):</t>
        </r>
        <r>
          <rPr>
            <sz val="9"/>
            <color indexed="81"/>
            <rFont val="Tahoma"/>
            <family val="2"/>
          </rPr>
          <t xml:space="preserve">
1Q: Expect double-digit growth not backing out 1x revenue in 1Q15</t>
        </r>
      </text>
    </comment>
    <comment ref="AN33" authorId="1">
      <text>
        <r>
          <rPr>
            <b/>
            <sz val="9"/>
            <color indexed="81"/>
            <rFont val="Tahoma"/>
            <family val="2"/>
          </rPr>
          <t>Kaplan, Toni (Research):</t>
        </r>
        <r>
          <rPr>
            <sz val="9"/>
            <color indexed="81"/>
            <rFont val="Tahoma"/>
            <family val="2"/>
          </rPr>
          <t xml:space="preserve">
acquired rev</t>
        </r>
      </text>
    </comment>
    <comment ref="D34" authorId="4">
      <text>
        <r>
          <rPr>
            <b/>
            <sz val="8"/>
            <color indexed="81"/>
            <rFont val="Tahoma"/>
            <family val="2"/>
          </rPr>
          <t>kapltoni:</t>
        </r>
        <r>
          <rPr>
            <sz val="8"/>
            <color indexed="81"/>
            <rFont val="Tahoma"/>
            <family val="2"/>
          </rPr>
          <t xml:space="preserve">
Acquired Strategic Analytics</t>
        </r>
      </text>
    </comment>
    <comment ref="N34" authorId="4">
      <text>
        <r>
          <rPr>
            <b/>
            <sz val="8"/>
            <color indexed="81"/>
            <rFont val="Tahoma"/>
            <family val="2"/>
          </rPr>
          <t>kapltoni:</t>
        </r>
        <r>
          <rPr>
            <sz val="8"/>
            <color indexed="81"/>
            <rFont val="Tahoma"/>
            <family val="2"/>
          </rPr>
          <t xml:space="preserve">
0% organic growth, $2.75M from ACI property appraisal tools moved from Risk Assessment ($11M annual)</t>
        </r>
      </text>
    </comment>
    <comment ref="O34" authorId="4">
      <text>
        <r>
          <rPr>
            <b/>
            <sz val="8"/>
            <color indexed="81"/>
            <rFont val="Tahoma"/>
            <family val="2"/>
          </rPr>
          <t>kapltoni:</t>
        </r>
        <r>
          <rPr>
            <sz val="8"/>
            <color indexed="81"/>
            <rFont val="Tahoma"/>
            <family val="2"/>
          </rPr>
          <t xml:space="preserve">
0% organic growth, $2.75M from ACI property appraisal tools moved from Risk Assessment ($11M annual)</t>
        </r>
      </text>
    </comment>
    <comment ref="P34" authorId="4">
      <text>
        <r>
          <rPr>
            <b/>
            <sz val="8"/>
            <color indexed="81"/>
            <rFont val="Tahoma"/>
            <family val="2"/>
          </rPr>
          <t>kapltoni:</t>
        </r>
        <r>
          <rPr>
            <sz val="8"/>
            <color indexed="81"/>
            <rFont val="Tahoma"/>
            <family val="2"/>
          </rPr>
          <t xml:space="preserve">
6% organic decline, $2.75M from ACI property appraisal tools moved from Risk Assessment ($11M annual), plus $4.5M for Argus (Sept only)</t>
        </r>
      </text>
    </comment>
    <comment ref="Q34" authorId="4">
      <text>
        <r>
          <rPr>
            <b/>
            <sz val="8"/>
            <color indexed="81"/>
            <rFont val="Tahoma"/>
            <family val="2"/>
          </rPr>
          <t>kapltoni:</t>
        </r>
        <r>
          <rPr>
            <sz val="8"/>
            <color indexed="81"/>
            <rFont val="Tahoma"/>
            <family val="2"/>
          </rPr>
          <t xml:space="preserve">
organic decline, $2.75M from ACI property appraisal tools moved from Risk Assessment ($11M annual), plus $14M from Argus</t>
        </r>
      </text>
    </comment>
    <comment ref="S34" authorId="4">
      <text>
        <r>
          <rPr>
            <b/>
            <sz val="8"/>
            <color indexed="81"/>
            <rFont val="Tahoma"/>
            <family val="2"/>
          </rPr>
          <t>kapltoni:</t>
        </r>
        <r>
          <rPr>
            <sz val="8"/>
            <color indexed="81"/>
            <rFont val="Tahoma"/>
            <family val="2"/>
          </rPr>
          <t xml:space="preserve">
0% organic growth, $2.75M from ACI property appraisal tools moved from Risk Assessment ($11M annual)</t>
        </r>
      </text>
    </comment>
    <comment ref="T34" authorId="4">
      <text>
        <r>
          <rPr>
            <b/>
            <sz val="8"/>
            <color indexed="81"/>
            <rFont val="Tahoma"/>
            <family val="2"/>
          </rPr>
          <t>kapltoni:</t>
        </r>
        <r>
          <rPr>
            <sz val="8"/>
            <color indexed="81"/>
            <rFont val="Tahoma"/>
            <family val="2"/>
          </rPr>
          <t xml:space="preserve">
incl $14 from Argus</t>
        </r>
      </text>
    </comment>
    <comment ref="U34" authorId="4">
      <text>
        <r>
          <rPr>
            <b/>
            <sz val="8"/>
            <color indexed="81"/>
            <rFont val="Tahoma"/>
            <family val="2"/>
          </rPr>
          <t>kapltoni:</t>
        </r>
        <r>
          <rPr>
            <sz val="8"/>
            <color indexed="81"/>
            <rFont val="Tahoma"/>
            <family val="2"/>
          </rPr>
          <t xml:space="preserve">
inc $12M from Argus (partially included in Q312)</t>
        </r>
      </text>
    </comment>
    <comment ref="V34" authorId="4">
      <text>
        <r>
          <rPr>
            <b/>
            <sz val="8"/>
            <color indexed="81"/>
            <rFont val="Tahoma"/>
            <family val="2"/>
          </rPr>
          <t>kapltoni:</t>
        </r>
        <r>
          <rPr>
            <sz val="8"/>
            <color indexed="81"/>
            <rFont val="Tahoma"/>
            <family val="2"/>
          </rPr>
          <t xml:space="preserve">
inc $12M from Argus (partially included in Q312)</t>
        </r>
      </text>
    </comment>
    <comment ref="AC34" authorId="1">
      <text>
        <r>
          <rPr>
            <b/>
            <sz val="9"/>
            <color indexed="81"/>
            <rFont val="Tahoma"/>
            <family val="2"/>
          </rPr>
          <t>Kaplan, Toni (Research):</t>
        </r>
        <r>
          <rPr>
            <sz val="9"/>
            <color indexed="81"/>
            <rFont val="Tahoma"/>
            <family val="2"/>
          </rPr>
          <t xml:space="preserve">
ex media-effectiveness project revenue</t>
        </r>
      </text>
    </comment>
    <comment ref="AH34" authorId="1">
      <text>
        <r>
          <rPr>
            <b/>
            <sz val="9"/>
            <color indexed="81"/>
            <rFont val="Tahoma"/>
            <family val="2"/>
          </rPr>
          <t>Kaplan, Toni (Research):</t>
        </r>
        <r>
          <rPr>
            <sz val="9"/>
            <color indexed="81"/>
            <rFont val="Tahoma"/>
            <family val="2"/>
          </rPr>
          <t xml:space="preserve">
+17.7% excluding prior year project rev</t>
        </r>
      </text>
    </comment>
    <comment ref="AN34" authorId="1">
      <text>
        <r>
          <rPr>
            <b/>
            <sz val="9"/>
            <color indexed="81"/>
            <rFont val="Tahoma"/>
            <family val="2"/>
          </rPr>
          <t>Kaplan, Toni (Research):</t>
        </r>
        <r>
          <rPr>
            <sz val="9"/>
            <color indexed="81"/>
            <rFont val="Tahoma"/>
            <family val="2"/>
          </rPr>
          <t xml:space="preserve">
ex. $11M loss of govt rev and non-renewal of network credit card provider</t>
        </r>
      </text>
    </comment>
    <comment ref="AO34" authorId="1">
      <text>
        <r>
          <rPr>
            <b/>
            <sz val="9"/>
            <color indexed="81"/>
            <rFont val="Tahoma"/>
            <family val="2"/>
          </rPr>
          <t>Kaplan, Toni (Research):</t>
        </r>
        <r>
          <rPr>
            <sz val="9"/>
            <color indexed="81"/>
            <rFont val="Tahoma"/>
            <family val="2"/>
          </rPr>
          <t xml:space="preserve">
ex. $11M loss of govt rev and non-renewal of network credit card provider</t>
        </r>
      </text>
    </comment>
    <comment ref="AP34" authorId="2">
      <text>
        <r>
          <rPr>
            <sz val="9"/>
            <color indexed="81"/>
            <rFont val="Tahoma"/>
            <family val="2"/>
          </rPr>
          <t xml:space="preserve">Assumes G2, Lundquist are $8M, and contribution from FX/M&amp;A (Fintellix) similar to 2Q17
</t>
        </r>
      </text>
    </comment>
    <comment ref="AR34" authorId="2">
      <text>
        <r>
          <rPr>
            <sz val="9"/>
            <color indexed="81"/>
            <rFont val="Tahoma"/>
            <family val="2"/>
          </rPr>
          <t>Assumes G2, Lundquist, (Fintellix) and FX similar to 4Q17</t>
        </r>
      </text>
    </comment>
    <comment ref="AS34" authorId="2">
      <text>
        <r>
          <rPr>
            <sz val="9"/>
            <color indexed="81"/>
            <rFont val="Tahoma"/>
            <family val="2"/>
          </rPr>
          <t>Assumes G2, Lundquist are $8M</t>
        </r>
      </text>
    </comment>
    <comment ref="AT34" authorId="2">
      <text>
        <r>
          <rPr>
            <sz val="9"/>
            <color indexed="81"/>
            <rFont val="Tahoma"/>
            <family val="2"/>
          </rPr>
          <t>Assumes G2, Lundquist are $8M, but not full quarter</t>
        </r>
      </text>
    </comment>
    <comment ref="O36" authorId="4">
      <text>
        <r>
          <rPr>
            <b/>
            <sz val="8"/>
            <color indexed="81"/>
            <rFont val="Tahoma"/>
            <family val="2"/>
          </rPr>
          <t>kapltoni:</t>
        </r>
        <r>
          <rPr>
            <sz val="8"/>
            <color indexed="81"/>
            <rFont val="Tahoma"/>
            <family val="2"/>
          </rPr>
          <t xml:space="preserve">
ex transfer to RA</t>
        </r>
      </text>
    </comment>
    <comment ref="T36" authorId="6">
      <text>
        <r>
          <rPr>
            <b/>
            <sz val="8"/>
            <color indexed="81"/>
            <rFont val="Tahoma"/>
            <family val="2"/>
          </rPr>
          <t>sestein:</t>
        </r>
        <r>
          <rPr>
            <sz val="8"/>
            <color indexed="81"/>
            <rFont val="Tahoma"/>
            <family val="2"/>
          </rPr>
          <t xml:space="preserve">
Excludes Argus</t>
        </r>
      </text>
    </comment>
    <comment ref="W36" authorId="6">
      <text>
        <r>
          <rPr>
            <b/>
            <sz val="8"/>
            <color indexed="81"/>
            <rFont val="Tahoma"/>
            <family val="2"/>
          </rPr>
          <t>sestein:</t>
        </r>
        <r>
          <rPr>
            <sz val="8"/>
            <color indexed="81"/>
            <rFont val="Tahoma"/>
            <family val="2"/>
          </rPr>
          <t xml:space="preserve">
FY results for mortgage should be close to FY12, -11% but Argus will come into organic in 4Q offsetting this</t>
        </r>
      </text>
    </comment>
    <comment ref="AA36" authorId="1">
      <text>
        <r>
          <rPr>
            <b/>
            <sz val="9"/>
            <color indexed="81"/>
            <rFont val="Tahoma"/>
            <family val="2"/>
          </rPr>
          <t>Kaplan, Toni (Research):</t>
        </r>
        <r>
          <rPr>
            <sz val="9"/>
            <color indexed="81"/>
            <rFont val="Tahoma"/>
            <family val="2"/>
          </rPr>
          <t xml:space="preserve">
strong demand</t>
        </r>
      </text>
    </comment>
    <comment ref="AK36" authorId="2">
      <text>
        <r>
          <rPr>
            <b/>
            <sz val="9"/>
            <color indexed="81"/>
            <rFont val="Tahoma"/>
            <family val="2"/>
          </rPr>
          <t>Halfmann, Patrick (Research):</t>
        </r>
        <r>
          <rPr>
            <sz val="9"/>
            <color indexed="81"/>
            <rFont val="Tahoma"/>
            <family val="2"/>
          </rPr>
          <t xml:space="preserve">
Driven by analytical/media effectiveness</t>
        </r>
      </text>
    </comment>
    <comment ref="AN36" authorId="2">
      <text>
        <r>
          <rPr>
            <b/>
            <sz val="9"/>
            <color indexed="81"/>
            <rFont val="Tahoma"/>
            <family val="2"/>
          </rPr>
          <t>Halfmann, Patrick (Research):</t>
        </r>
        <r>
          <rPr>
            <sz val="9"/>
            <color indexed="81"/>
            <rFont val="Tahoma"/>
            <family val="2"/>
          </rPr>
          <t xml:space="preserve">
Fintellix acq, down due to government contract loss in 4Q16</t>
        </r>
      </text>
    </comment>
    <comment ref="AP36" authorId="2">
      <text>
        <r>
          <rPr>
            <sz val="9"/>
            <color indexed="81"/>
            <rFont val="Tahoma"/>
            <family val="2"/>
          </rPr>
          <t>4Q: organic growth driven by analytical products and media effectiveness solutions, offset by contract completions in 2016
3Q: Argus will return to solid organic growth in 4Q; see organic rev growth for financial services
2Q: expect more growth in 4Q than 3Q, but didn't commit to positive (expect contracts in pipeline to be signed late in the year, offsetting tough comp)</t>
        </r>
      </text>
    </comment>
    <comment ref="AR36" authorId="2">
      <text>
        <r>
          <rPr>
            <sz val="9"/>
            <color indexed="81"/>
            <rFont val="Tahoma"/>
            <family val="2"/>
          </rPr>
          <t>Easy comps, Investor Day cited $13M higher sub base y/y</t>
        </r>
      </text>
    </comment>
    <comment ref="AS36" authorId="2">
      <text>
        <r>
          <rPr>
            <sz val="9"/>
            <color indexed="81"/>
            <rFont val="Tahoma"/>
            <family val="2"/>
          </rPr>
          <t>Very Easy comps, Investor Day cited $13M higher sub base y/y</t>
        </r>
      </text>
    </comment>
    <comment ref="AT36" authorId="2">
      <text>
        <r>
          <rPr>
            <sz val="9"/>
            <color indexed="81"/>
            <rFont val="Tahoma"/>
            <family val="2"/>
          </rPr>
          <t>Easy comps, Investor Day cited $13M higher sub base y/y</t>
        </r>
      </text>
    </comment>
    <comment ref="AU36" authorId="2">
      <text>
        <r>
          <rPr>
            <sz val="9"/>
            <color indexed="81"/>
            <rFont val="Tahoma"/>
            <family val="2"/>
          </rPr>
          <t>Easy comps, Investor Day cited $13M higher sub base y/y</t>
        </r>
      </text>
    </comment>
    <comment ref="AV36" authorId="3">
      <text>
        <r>
          <rPr>
            <b/>
            <sz val="9"/>
            <color indexed="81"/>
            <rFont val="Tahoma"/>
            <family val="2"/>
          </rPr>
          <t>4Q: will contribute organic growth in 2018; will have an outsized growth year</t>
        </r>
        <r>
          <rPr>
            <sz val="9"/>
            <color indexed="81"/>
            <rFont val="Tahoma"/>
            <family val="2"/>
          </rPr>
          <t xml:space="preserve">
3Q: Argus will continue to contribute good and accelerating organic growth in 2018</t>
        </r>
      </text>
    </comment>
    <comment ref="P38" authorId="7">
      <text>
        <r>
          <rPr>
            <b/>
            <sz val="8"/>
            <color indexed="81"/>
            <rFont val="Tahoma"/>
            <family val="2"/>
          </rPr>
          <t>dennyg:</t>
        </r>
        <r>
          <rPr>
            <sz val="8"/>
            <color indexed="81"/>
            <rFont val="Tahoma"/>
            <family val="2"/>
          </rPr>
          <t xml:space="preserve">
Organic plus transferred from RA</t>
        </r>
      </text>
    </comment>
    <comment ref="Q38" authorId="7">
      <text>
        <r>
          <rPr>
            <b/>
            <sz val="8"/>
            <color indexed="81"/>
            <rFont val="Tahoma"/>
            <family val="2"/>
          </rPr>
          <t>dennyg:</t>
        </r>
        <r>
          <rPr>
            <sz val="8"/>
            <color indexed="81"/>
            <rFont val="Tahoma"/>
            <family val="2"/>
          </rPr>
          <t xml:space="preserve">
Organic plus transferred from RA</t>
        </r>
      </text>
    </comment>
    <comment ref="V40" authorId="0">
      <text>
        <r>
          <rPr>
            <b/>
            <sz val="9"/>
            <color indexed="81"/>
            <rFont val="Tahoma"/>
            <family val="2"/>
          </rPr>
          <t>Galindo, Denny:</t>
        </r>
        <r>
          <rPr>
            <sz val="9"/>
            <color indexed="81"/>
            <rFont val="Tahoma"/>
            <family val="2"/>
          </rPr>
          <t xml:space="preserve">
Estimated contribution
from mortage ex Interthinx</t>
        </r>
      </text>
    </comment>
    <comment ref="U42" authorId="0">
      <text>
        <r>
          <rPr>
            <b/>
            <sz val="9"/>
            <color indexed="81"/>
            <rFont val="Tahoma"/>
            <family val="2"/>
          </rPr>
          <t>Galindo, Denny:</t>
        </r>
        <r>
          <rPr>
            <sz val="9"/>
            <color indexed="81"/>
            <rFont val="Tahoma"/>
            <family val="2"/>
          </rPr>
          <t xml:space="preserve">
10-Q: $15.6M revenue from acquisition + $4.8M in 3Q12</t>
        </r>
      </text>
    </comment>
    <comment ref="U43" authorId="7">
      <text>
        <r>
          <rPr>
            <b/>
            <sz val="8"/>
            <color indexed="81"/>
            <rFont val="Tahoma"/>
            <family val="2"/>
          </rPr>
          <t>dennyg:</t>
        </r>
        <r>
          <rPr>
            <sz val="8"/>
            <color indexed="81"/>
            <rFont val="Tahoma"/>
            <family val="2"/>
          </rPr>
          <t xml:space="preserve">
3Q13 growing at over 20%. Prior year only included one month</t>
        </r>
      </text>
    </comment>
    <comment ref="W47" authorId="6">
      <text>
        <r>
          <rPr>
            <b/>
            <sz val="8"/>
            <color indexed="81"/>
            <rFont val="Tahoma"/>
            <family val="2"/>
          </rPr>
          <t>sestein:</t>
        </r>
        <r>
          <rPr>
            <sz val="8"/>
            <color indexed="81"/>
            <rFont val="Tahoma"/>
            <family val="2"/>
          </rPr>
          <t xml:space="preserve">
</t>
        </r>
      </text>
    </comment>
    <comment ref="X47" authorId="0">
      <text>
        <r>
          <rPr>
            <b/>
            <sz val="9"/>
            <color indexed="81"/>
            <rFont val="Tahoma"/>
            <family val="2"/>
          </rPr>
          <t>Galindo, Denny:</t>
        </r>
        <r>
          <rPr>
            <sz val="9"/>
            <color indexed="81"/>
            <rFont val="Tahoma"/>
            <family val="2"/>
          </rPr>
          <t xml:space="preserve">
driven by medicare advantage; increases in revenue and quality intelligence </t>
        </r>
      </text>
    </comment>
    <comment ref="Y47" authorId="0">
      <text>
        <r>
          <rPr>
            <b/>
            <sz val="9"/>
            <color indexed="81"/>
            <rFont val="Tahoma"/>
            <family val="2"/>
          </rPr>
          <t>Galindo, Denny:</t>
        </r>
        <r>
          <rPr>
            <sz val="9"/>
            <color indexed="81"/>
            <rFont val="Tahoma"/>
            <family val="2"/>
          </rPr>
          <t xml:space="preserve">
Growth in revenue and quality intelligence doltuions, growth reflectred continued expansion of soltuions to existing customers</t>
        </r>
      </text>
    </comment>
    <comment ref="Z47" authorId="0">
      <text>
        <r>
          <rPr>
            <b/>
            <sz val="9"/>
            <color indexed="81"/>
            <rFont val="Tahoma"/>
            <family val="2"/>
          </rPr>
          <t>Galindo, Denny:</t>
        </r>
        <r>
          <rPr>
            <sz val="9"/>
            <color indexed="81"/>
            <rFont val="Tahoma"/>
            <family val="2"/>
          </rPr>
          <t xml:space="preserve">
Payment accuracy was strong (only mentioned in Qtr)</t>
        </r>
      </text>
    </comment>
    <comment ref="AA47" authorId="1">
      <text>
        <r>
          <rPr>
            <b/>
            <sz val="9"/>
            <color indexed="81"/>
            <rFont val="Tahoma"/>
            <family val="2"/>
          </rPr>
          <t>Kaplan, Toni (Research):</t>
        </r>
        <r>
          <rPr>
            <sz val="9"/>
            <color indexed="81"/>
            <rFont val="Tahoma"/>
            <family val="2"/>
          </rPr>
          <t xml:space="preserve">
growth across all divisions led by payment accuracy</t>
        </r>
      </text>
    </comment>
    <comment ref="AB47" authorId="6">
      <text>
        <r>
          <rPr>
            <b/>
            <sz val="8"/>
            <color indexed="81"/>
            <rFont val="Tahoma"/>
            <family val="2"/>
          </rPr>
          <t>sestein:</t>
        </r>
        <r>
          <rPr>
            <sz val="8"/>
            <color indexed="81"/>
            <rFont val="Tahoma"/>
            <family val="2"/>
          </rPr>
          <t xml:space="preserve">
3Q13 - company estimates mid  teens growth for F14</t>
        </r>
      </text>
    </comment>
    <comment ref="G49" authorId="4">
      <text>
        <r>
          <rPr>
            <b/>
            <sz val="8"/>
            <color indexed="81"/>
            <rFont val="Tahoma"/>
            <family val="2"/>
          </rPr>
          <t>kapltoni:</t>
        </r>
        <r>
          <rPr>
            <sz val="8"/>
            <color indexed="81"/>
            <rFont val="Tahoma"/>
            <family val="2"/>
          </rPr>
          <t xml:space="preserve">
Acquired Crowe Paradis</t>
        </r>
      </text>
    </comment>
    <comment ref="J49" authorId="4">
      <text>
        <r>
          <rPr>
            <b/>
            <sz val="8"/>
            <color indexed="81"/>
            <rFont val="Tahoma"/>
            <family val="2"/>
          </rPr>
          <t>kapltoni:</t>
        </r>
        <r>
          <rPr>
            <sz val="8"/>
            <color indexed="81"/>
            <rFont val="Tahoma"/>
            <family val="2"/>
          </rPr>
          <t xml:space="preserve">
acquired Bloodhound in April, Health Risk Partners in June</t>
        </r>
      </text>
    </comment>
    <comment ref="K49" authorId="4">
      <text>
        <r>
          <rPr>
            <b/>
            <sz val="8"/>
            <color indexed="81"/>
            <rFont val="Tahoma"/>
            <family val="2"/>
          </rPr>
          <t>kapltoni:</t>
        </r>
        <r>
          <rPr>
            <sz val="8"/>
            <color indexed="81"/>
            <rFont val="Tahoma"/>
            <family val="2"/>
          </rPr>
          <t xml:space="preserve">
est of 6% organic plus $2M for BH, $2M for HRP, $3.5M for CP</t>
        </r>
      </text>
    </comment>
    <comment ref="L49" authorId="4">
      <text>
        <r>
          <rPr>
            <b/>
            <sz val="8"/>
            <color indexed="81"/>
            <rFont val="Tahoma"/>
            <family val="2"/>
          </rPr>
          <t>kapltoni:</t>
        </r>
        <r>
          <rPr>
            <sz val="8"/>
            <color indexed="81"/>
            <rFont val="Tahoma"/>
            <family val="2"/>
          </rPr>
          <t xml:space="preserve">
est of 9% organic plus $2M for BH, $2M for HRP, $3.5M for CP, acquisition growth of 20%</t>
        </r>
      </text>
    </comment>
    <comment ref="N49" authorId="4">
      <text>
        <r>
          <rPr>
            <b/>
            <sz val="8"/>
            <color indexed="81"/>
            <rFont val="Tahoma"/>
            <family val="2"/>
          </rPr>
          <t>kapltoni:</t>
        </r>
        <r>
          <rPr>
            <sz val="8"/>
            <color indexed="81"/>
            <rFont val="Tahoma"/>
            <family val="2"/>
          </rPr>
          <t xml:space="preserve">
20% organic plus $4M for BH, $4M for HRP</t>
        </r>
      </text>
    </comment>
    <comment ref="O49" authorId="4">
      <text>
        <r>
          <rPr>
            <b/>
            <sz val="8"/>
            <color indexed="81"/>
            <rFont val="Tahoma"/>
            <family val="2"/>
          </rPr>
          <t>kapltoni:</t>
        </r>
        <r>
          <rPr>
            <sz val="8"/>
            <color indexed="81"/>
            <rFont val="Tahoma"/>
            <family val="2"/>
          </rPr>
          <t xml:space="preserve">
organic growth plus $4M for HRP and BH acquisitiona plus $14M for MediConnect (assumes $11.5M for Q and 20% growth)</t>
        </r>
      </text>
    </comment>
    <comment ref="P49" authorId="4">
      <text>
        <r>
          <rPr>
            <b/>
            <sz val="8"/>
            <color indexed="81"/>
            <rFont val="Tahoma"/>
            <family val="2"/>
          </rPr>
          <t>kapltoni:</t>
        </r>
        <r>
          <rPr>
            <sz val="8"/>
            <color indexed="81"/>
            <rFont val="Tahoma"/>
            <family val="2"/>
          </rPr>
          <t xml:space="preserve">
includes organic growth plus $24M for MediConnect (70% 2H weighted)</t>
        </r>
      </text>
    </comment>
    <comment ref="Q49" authorId="4">
      <text>
        <r>
          <rPr>
            <b/>
            <sz val="8"/>
            <color indexed="81"/>
            <rFont val="Tahoma"/>
            <family val="2"/>
          </rPr>
          <t>kapltoni:</t>
        </r>
        <r>
          <rPr>
            <sz val="8"/>
            <color indexed="81"/>
            <rFont val="Tahoma"/>
            <family val="2"/>
          </rPr>
          <t xml:space="preserve">
includes organic growth plus $25M for MediConnect (70% 2H weighted)</t>
        </r>
      </text>
    </comment>
    <comment ref="S49" authorId="4">
      <text>
        <r>
          <rPr>
            <b/>
            <sz val="8"/>
            <color indexed="81"/>
            <rFont val="Tahoma"/>
            <family val="2"/>
          </rPr>
          <t>kapltoni:</t>
        </r>
        <r>
          <rPr>
            <sz val="8"/>
            <color indexed="81"/>
            <rFont val="Tahoma"/>
            <family val="2"/>
          </rPr>
          <t xml:space="preserve">
20% organic plus $4M for BH, $4M for HRP</t>
        </r>
      </text>
    </comment>
    <comment ref="U49" authorId="6">
      <text>
        <r>
          <rPr>
            <b/>
            <sz val="8"/>
            <color indexed="81"/>
            <rFont val="Tahoma"/>
            <family val="2"/>
          </rPr>
          <t>sestein:</t>
        </r>
        <r>
          <rPr>
            <sz val="8"/>
            <color indexed="81"/>
            <rFont val="Tahoma"/>
            <family val="2"/>
          </rPr>
          <t xml:space="preserve">
Assumes a 40% 1H, 60% 2H split, not clear how much is 3Q vs 4Q so split evenly
</t>
        </r>
      </text>
    </comment>
    <comment ref="O51" authorId="6">
      <text>
        <r>
          <rPr>
            <b/>
            <sz val="8"/>
            <color indexed="81"/>
            <rFont val="Tahoma"/>
            <family val="2"/>
          </rPr>
          <t>sestein:</t>
        </r>
        <r>
          <rPr>
            <sz val="8"/>
            <color indexed="81"/>
            <rFont val="Tahoma"/>
            <family val="2"/>
          </rPr>
          <t xml:space="preserve">
Apr 12 acquired Mediconnect.  Suite of services to help plans understand cost of business. There was pent up demand for svcs. </t>
        </r>
      </text>
    </comment>
    <comment ref="R51" authorId="1">
      <text>
        <r>
          <rPr>
            <b/>
            <sz val="9"/>
            <color indexed="81"/>
            <rFont val="Tahoma"/>
            <family val="2"/>
          </rPr>
          <t>average</t>
        </r>
        <r>
          <rPr>
            <sz val="9"/>
            <color indexed="81"/>
            <rFont val="Tahoma"/>
            <family val="2"/>
          </rPr>
          <t xml:space="preserve">
</t>
        </r>
      </text>
    </comment>
    <comment ref="T51" authorId="6">
      <text>
        <r>
          <rPr>
            <b/>
            <sz val="8"/>
            <color indexed="81"/>
            <rFont val="Tahoma"/>
            <family val="2"/>
          </rPr>
          <t>All organic</t>
        </r>
      </text>
    </comment>
    <comment ref="W51" authorId="6">
      <text>
        <r>
          <rPr>
            <b/>
            <sz val="8"/>
            <color indexed="81"/>
            <rFont val="Tahoma"/>
            <family val="2"/>
          </rPr>
          <t>sestein:</t>
        </r>
        <r>
          <rPr>
            <sz val="8"/>
            <color indexed="81"/>
            <rFont val="Tahoma"/>
            <family val="2"/>
          </rPr>
          <t xml:space="preserve">
Expect 20% for the year (2Q13)</t>
        </r>
      </text>
    </comment>
    <comment ref="AB51" authorId="6">
      <text>
        <r>
          <rPr>
            <b/>
            <sz val="8"/>
            <color indexed="81"/>
            <rFont val="Tahoma"/>
            <family val="2"/>
          </rPr>
          <t>sestein:</t>
        </r>
        <r>
          <rPr>
            <sz val="8"/>
            <color indexed="81"/>
            <rFont val="Tahoma"/>
            <family val="2"/>
          </rPr>
          <t xml:space="preserve">
Expect 20% for year 2Q13</t>
        </r>
      </text>
    </comment>
    <comment ref="AQ52" authorId="2">
      <text>
        <r>
          <rPr>
            <b/>
            <sz val="9"/>
            <color indexed="81"/>
            <rFont val="Tahoma"/>
            <family val="2"/>
          </rPr>
          <t>Halfmann, Patrick (Research):</t>
        </r>
        <r>
          <rPr>
            <sz val="9"/>
            <color indexed="81"/>
            <rFont val="Tahoma"/>
            <family val="2"/>
          </rPr>
          <t xml:space="preserve">
2Q: No longer expecting 7-8% growth this year
1Q: "So just to say it again, the rate of organic growth for our combined insurance and financial services businesses we think will be on a historic trend, in that 7% to 8% range for the full year." </t>
        </r>
      </text>
    </comment>
    <comment ref="A53" authorId="5">
      <text>
        <r>
          <rPr>
            <b/>
            <sz val="9"/>
            <color indexed="81"/>
            <rFont val="Tahoma"/>
            <family val="2"/>
          </rPr>
          <t>Kaplan, Toni (Research):</t>
        </r>
        <r>
          <rPr>
            <sz val="9"/>
            <color indexed="81"/>
            <rFont val="Tahoma"/>
            <family val="2"/>
          </rPr>
          <t xml:space="preserve"> 1) Revenue and Quality (Med Adv) ensures clients being paid appropriately, 2) Population - identifies drivers of health risk, 3) Payment - reviews claims for fraud, waste, and abuse</t>
        </r>
        <r>
          <rPr>
            <b/>
            <sz val="9"/>
            <color indexed="81"/>
            <rFont val="Tahoma"/>
            <family val="2"/>
          </rPr>
          <t xml:space="preserve">
Halfmann, Patrick T (Research):</t>
        </r>
        <r>
          <rPr>
            <sz val="9"/>
            <color indexed="81"/>
            <rFont val="Tahoma"/>
            <family val="2"/>
          </rPr>
          <t xml:space="preserve">
New contract language in '15 (reflects same methodology in 2014)</t>
        </r>
      </text>
    </comment>
    <comment ref="X53" authorId="1">
      <text>
        <r>
          <rPr>
            <b/>
            <sz val="9"/>
            <color indexed="81"/>
            <rFont val="Tahoma"/>
            <family val="2"/>
          </rPr>
          <t>Kaplan, Toni (Research):</t>
        </r>
        <r>
          <rPr>
            <sz val="9"/>
            <color indexed="81"/>
            <rFont val="Tahoma"/>
            <family val="2"/>
          </rPr>
          <t xml:space="preserve">
4Q14 earnings call</t>
        </r>
      </text>
    </comment>
    <comment ref="AH53" authorId="5">
      <text>
        <r>
          <rPr>
            <b/>
            <sz val="9"/>
            <color indexed="81"/>
            <rFont val="Tahoma"/>
            <family val="2"/>
          </rPr>
          <t>Halfmann, Patrick T (Research):</t>
        </r>
        <r>
          <rPr>
            <sz val="9"/>
            <color indexed="81"/>
            <rFont val="Tahoma"/>
            <family val="2"/>
          </rPr>
          <t xml:space="preserve">
Reported in discontinued operations - 1Q16 10Q pg 10</t>
        </r>
      </text>
    </comment>
    <comment ref="W54" authorId="6">
      <text>
        <r>
          <rPr>
            <b/>
            <sz val="8"/>
            <color indexed="81"/>
            <rFont val="Tahoma"/>
            <family val="2"/>
          </rPr>
          <t>sestein:</t>
        </r>
        <r>
          <rPr>
            <sz val="8"/>
            <color indexed="81"/>
            <rFont val="Tahoma"/>
            <family val="2"/>
          </rPr>
          <t xml:space="preserve">
</t>
        </r>
      </text>
    </comment>
    <comment ref="X54" authorId="0">
      <text>
        <r>
          <rPr>
            <b/>
            <sz val="9"/>
            <color indexed="81"/>
            <rFont val="Tahoma"/>
            <family val="2"/>
          </rPr>
          <t>Galindo, Denny:</t>
        </r>
        <r>
          <rPr>
            <sz val="9"/>
            <color indexed="81"/>
            <rFont val="Tahoma"/>
            <family val="2"/>
          </rPr>
          <t xml:space="preserve">
driven by medicare advantage; increases in revenue and quality intelligence </t>
        </r>
      </text>
    </comment>
    <comment ref="Y54" authorId="0">
      <text>
        <r>
          <rPr>
            <b/>
            <sz val="9"/>
            <color indexed="81"/>
            <rFont val="Tahoma"/>
            <family val="2"/>
          </rPr>
          <t>Galindo, Denny:</t>
        </r>
        <r>
          <rPr>
            <sz val="9"/>
            <color indexed="81"/>
            <rFont val="Tahoma"/>
            <family val="2"/>
          </rPr>
          <t xml:space="preserve">
Growth in revenue and quality intelligence doltuions, growth reflectred continued expansion of soltuions to existing customers</t>
        </r>
      </text>
    </comment>
    <comment ref="Z54" authorId="0">
      <text>
        <r>
          <rPr>
            <b/>
            <sz val="9"/>
            <color indexed="81"/>
            <rFont val="Tahoma"/>
            <family val="2"/>
          </rPr>
          <t>Galindo, Denny:</t>
        </r>
        <r>
          <rPr>
            <sz val="9"/>
            <color indexed="81"/>
            <rFont val="Tahoma"/>
            <family val="2"/>
          </rPr>
          <t xml:space="preserve">
Payment accuracy was strong (only mentioned in Qtr)</t>
        </r>
      </text>
    </comment>
    <comment ref="AA54" authorId="1">
      <text>
        <r>
          <rPr>
            <b/>
            <sz val="9"/>
            <color indexed="81"/>
            <rFont val="Tahoma"/>
            <family val="2"/>
          </rPr>
          <t>Kaplan, Toni (Research):</t>
        </r>
        <r>
          <rPr>
            <sz val="9"/>
            <color indexed="81"/>
            <rFont val="Tahoma"/>
            <family val="2"/>
          </rPr>
          <t xml:space="preserve">
growth across all divisions led by payment accuracy</t>
        </r>
      </text>
    </comment>
    <comment ref="AB54" authorId="6">
      <text>
        <r>
          <rPr>
            <b/>
            <sz val="8"/>
            <color indexed="81"/>
            <rFont val="Tahoma"/>
            <family val="2"/>
          </rPr>
          <t>sestein:</t>
        </r>
        <r>
          <rPr>
            <sz val="8"/>
            <color indexed="81"/>
            <rFont val="Tahoma"/>
            <family val="2"/>
          </rPr>
          <t xml:space="preserve">
3Q13 - company estimates mid  teens growth for F14</t>
        </r>
      </text>
    </comment>
    <comment ref="G56" authorId="4">
      <text>
        <r>
          <rPr>
            <b/>
            <sz val="8"/>
            <color indexed="81"/>
            <rFont val="Tahoma"/>
            <family val="2"/>
          </rPr>
          <t>kapltoni:</t>
        </r>
        <r>
          <rPr>
            <sz val="8"/>
            <color indexed="81"/>
            <rFont val="Tahoma"/>
            <family val="2"/>
          </rPr>
          <t xml:space="preserve">
Acquired Crowe Paradis</t>
        </r>
      </text>
    </comment>
    <comment ref="J56" authorId="4">
      <text>
        <r>
          <rPr>
            <b/>
            <sz val="8"/>
            <color indexed="81"/>
            <rFont val="Tahoma"/>
            <family val="2"/>
          </rPr>
          <t>kapltoni:</t>
        </r>
        <r>
          <rPr>
            <sz val="8"/>
            <color indexed="81"/>
            <rFont val="Tahoma"/>
            <family val="2"/>
          </rPr>
          <t xml:space="preserve">
acquired Bloodhound in April, Health Risk Partners in June</t>
        </r>
      </text>
    </comment>
    <comment ref="K56" authorId="4">
      <text>
        <r>
          <rPr>
            <b/>
            <sz val="8"/>
            <color indexed="81"/>
            <rFont val="Tahoma"/>
            <family val="2"/>
          </rPr>
          <t>kapltoni:</t>
        </r>
        <r>
          <rPr>
            <sz val="8"/>
            <color indexed="81"/>
            <rFont val="Tahoma"/>
            <family val="2"/>
          </rPr>
          <t xml:space="preserve">
est of 6% organic plus $2M for BH, $2M for HRP, $3.5M for CP</t>
        </r>
      </text>
    </comment>
    <comment ref="L56" authorId="4">
      <text>
        <r>
          <rPr>
            <b/>
            <sz val="8"/>
            <color indexed="81"/>
            <rFont val="Tahoma"/>
            <family val="2"/>
          </rPr>
          <t>kapltoni:</t>
        </r>
        <r>
          <rPr>
            <sz val="8"/>
            <color indexed="81"/>
            <rFont val="Tahoma"/>
            <family val="2"/>
          </rPr>
          <t xml:space="preserve">
est of 9% organic plus $2M for BH, $2M for HRP, $3.5M for CP, acquisition growth of 20%</t>
        </r>
      </text>
    </comment>
    <comment ref="N56" authorId="4">
      <text>
        <r>
          <rPr>
            <b/>
            <sz val="8"/>
            <color indexed="81"/>
            <rFont val="Tahoma"/>
            <family val="2"/>
          </rPr>
          <t>kapltoni:</t>
        </r>
        <r>
          <rPr>
            <sz val="8"/>
            <color indexed="81"/>
            <rFont val="Tahoma"/>
            <family val="2"/>
          </rPr>
          <t xml:space="preserve">
20% organic plus $4M for BH, $4M for HRP</t>
        </r>
      </text>
    </comment>
    <comment ref="O56" authorId="4">
      <text>
        <r>
          <rPr>
            <b/>
            <sz val="8"/>
            <color indexed="81"/>
            <rFont val="Tahoma"/>
            <family val="2"/>
          </rPr>
          <t>kapltoni:</t>
        </r>
        <r>
          <rPr>
            <sz val="8"/>
            <color indexed="81"/>
            <rFont val="Tahoma"/>
            <family val="2"/>
          </rPr>
          <t xml:space="preserve">
organic growth plus $4M for HRP and BH acquisitiona plus $14M for MediConnect (assumes $11.5M for Q and 20% growth)</t>
        </r>
      </text>
    </comment>
    <comment ref="P56" authorId="4">
      <text>
        <r>
          <rPr>
            <b/>
            <sz val="8"/>
            <color indexed="81"/>
            <rFont val="Tahoma"/>
            <family val="2"/>
          </rPr>
          <t>kapltoni:</t>
        </r>
        <r>
          <rPr>
            <sz val="8"/>
            <color indexed="81"/>
            <rFont val="Tahoma"/>
            <family val="2"/>
          </rPr>
          <t xml:space="preserve">
includes organic growth plus $24M for MediConnect (70% 2H weighted)</t>
        </r>
      </text>
    </comment>
    <comment ref="Q56" authorId="4">
      <text>
        <r>
          <rPr>
            <b/>
            <sz val="8"/>
            <color indexed="81"/>
            <rFont val="Tahoma"/>
            <family val="2"/>
          </rPr>
          <t>kapltoni:</t>
        </r>
        <r>
          <rPr>
            <sz val="8"/>
            <color indexed="81"/>
            <rFont val="Tahoma"/>
            <family val="2"/>
          </rPr>
          <t xml:space="preserve">
includes organic growth plus $25M for MediConnect (70% 2H weighted)</t>
        </r>
      </text>
    </comment>
    <comment ref="S56" authorId="4">
      <text>
        <r>
          <rPr>
            <b/>
            <sz val="8"/>
            <color indexed="81"/>
            <rFont val="Tahoma"/>
            <family val="2"/>
          </rPr>
          <t>kapltoni:</t>
        </r>
        <r>
          <rPr>
            <sz val="8"/>
            <color indexed="81"/>
            <rFont val="Tahoma"/>
            <family val="2"/>
          </rPr>
          <t xml:space="preserve">
20% organic plus $4M for BH, $4M for HRP</t>
        </r>
      </text>
    </comment>
    <comment ref="U56" authorId="6">
      <text>
        <r>
          <rPr>
            <b/>
            <sz val="8"/>
            <color indexed="81"/>
            <rFont val="Tahoma"/>
            <family val="2"/>
          </rPr>
          <t>sestein:</t>
        </r>
        <r>
          <rPr>
            <sz val="8"/>
            <color indexed="81"/>
            <rFont val="Tahoma"/>
            <family val="2"/>
          </rPr>
          <t xml:space="preserve">
Assumes a 40% 1H, 60% 2H split, not clear how much is 3Q vs 4Q so split evenly
</t>
        </r>
      </text>
    </comment>
    <comment ref="O58" authorId="6">
      <text>
        <r>
          <rPr>
            <b/>
            <sz val="8"/>
            <color indexed="81"/>
            <rFont val="Tahoma"/>
            <family val="2"/>
          </rPr>
          <t>sestein:</t>
        </r>
        <r>
          <rPr>
            <sz val="8"/>
            <color indexed="81"/>
            <rFont val="Tahoma"/>
            <family val="2"/>
          </rPr>
          <t xml:space="preserve">
Apr 12 acquired Mediconnect.  Suite of services to help plans understand cost of business. There was pent up demand for svcs. </t>
        </r>
      </text>
    </comment>
    <comment ref="R58" authorId="1">
      <text>
        <r>
          <rPr>
            <b/>
            <sz val="9"/>
            <color indexed="81"/>
            <rFont val="Tahoma"/>
            <family val="2"/>
          </rPr>
          <t>average</t>
        </r>
        <r>
          <rPr>
            <sz val="9"/>
            <color indexed="81"/>
            <rFont val="Tahoma"/>
            <family val="2"/>
          </rPr>
          <t xml:space="preserve">
</t>
        </r>
      </text>
    </comment>
    <comment ref="T58" authorId="6">
      <text>
        <r>
          <rPr>
            <b/>
            <sz val="8"/>
            <color indexed="81"/>
            <rFont val="Tahoma"/>
            <family val="2"/>
          </rPr>
          <t>All organic</t>
        </r>
      </text>
    </comment>
    <comment ref="W58" authorId="6">
      <text>
        <r>
          <rPr>
            <b/>
            <sz val="8"/>
            <color indexed="81"/>
            <rFont val="Tahoma"/>
            <family val="2"/>
          </rPr>
          <t>sestein:</t>
        </r>
        <r>
          <rPr>
            <sz val="8"/>
            <color indexed="81"/>
            <rFont val="Tahoma"/>
            <family val="2"/>
          </rPr>
          <t xml:space="preserve">
Expect 20% for the year (2Q13)</t>
        </r>
      </text>
    </comment>
    <comment ref="A61" authorId="0">
      <text>
        <r>
          <rPr>
            <b/>
            <sz val="9"/>
            <color indexed="81"/>
            <rFont val="Tahoma"/>
            <family val="2"/>
          </rPr>
          <t>Galindo, Denny:</t>
        </r>
        <r>
          <rPr>
            <sz val="9"/>
            <color indexed="81"/>
            <rFont val="Tahoma"/>
            <family val="2"/>
          </rPr>
          <t xml:space="preserve">
Climate, weather, supply chain (3E). Roughly 50m in 2011 was 3E or 2/3 of revenue</t>
        </r>
      </text>
    </comment>
    <comment ref="V61" authorId="0">
      <text>
        <r>
          <rPr>
            <b/>
            <sz val="9"/>
            <color indexed="81"/>
            <rFont val="Tahoma"/>
            <family val="2"/>
          </rPr>
          <t>Galindo, Denny:</t>
        </r>
        <r>
          <rPr>
            <sz val="9"/>
            <color indexed="81"/>
            <rFont val="Tahoma"/>
            <family val="2"/>
          </rPr>
          <t xml:space="preserve">
Good growth in commercial weather and environmental Helath anmd Safety offset by lower govt related activity </t>
        </r>
      </text>
    </comment>
    <comment ref="X62" authorId="0">
      <text>
        <r>
          <rPr>
            <b/>
            <sz val="9"/>
            <color indexed="81"/>
            <rFont val="Tahoma"/>
            <family val="2"/>
          </rPr>
          <t>Galindo, Denny:</t>
        </r>
        <r>
          <rPr>
            <sz val="9"/>
            <color indexed="81"/>
            <rFont val="Tahoma"/>
            <family val="2"/>
          </rPr>
          <t xml:space="preserve">
lower govt offset by growth in supply chain and claimte risk</t>
        </r>
      </text>
    </comment>
    <comment ref="Y62" authorId="0">
      <text>
        <r>
          <rPr>
            <b/>
            <sz val="9"/>
            <color indexed="81"/>
            <rFont val="Tahoma"/>
            <family val="2"/>
          </rPr>
          <t>Galindo, Denny:</t>
        </r>
        <r>
          <rPr>
            <sz val="9"/>
            <color indexed="81"/>
            <rFont val="Tahoma"/>
            <family val="2"/>
          </rPr>
          <t xml:space="preserve">
enivonmental and safety led growth offset by cycling of lareg govt contrct</t>
        </r>
      </text>
    </comment>
    <comment ref="Z62" authorId="0">
      <text>
        <r>
          <rPr>
            <b/>
            <sz val="9"/>
            <color indexed="81"/>
            <rFont val="Tahoma"/>
            <family val="2"/>
          </rPr>
          <t>Galindo, Denny:</t>
        </r>
        <r>
          <rPr>
            <sz val="9"/>
            <color indexed="81"/>
            <rFont val="Tahoma"/>
            <family val="2"/>
          </rPr>
          <t xml:space="preserve">
cycling of large govt contract offset environmental health and safety</t>
        </r>
      </text>
    </comment>
    <comment ref="AA62" authorId="1">
      <text>
        <r>
          <rPr>
            <b/>
            <sz val="9"/>
            <color indexed="81"/>
            <rFont val="Tahoma"/>
            <family val="2"/>
          </rPr>
          <t>Kaplan, Toni (Research):</t>
        </r>
        <r>
          <rPr>
            <sz val="9"/>
            <color indexed="81"/>
            <rFont val="Tahoma"/>
            <family val="2"/>
          </rPr>
          <t xml:space="preserve">
lower govt activity</t>
        </r>
      </text>
    </comment>
    <comment ref="AC62" authorId="1">
      <text>
        <r>
          <rPr>
            <b/>
            <sz val="9"/>
            <color indexed="81"/>
            <rFont val="Tahoma"/>
            <family val="2"/>
          </rPr>
          <t>Kaplan, Toni (Research):</t>
        </r>
        <r>
          <rPr>
            <sz val="9"/>
            <color indexed="81"/>
            <rFont val="Tahoma"/>
            <family val="2"/>
          </rPr>
          <t xml:space="preserve">
includes acquisition of Maplecroft</t>
        </r>
      </text>
    </comment>
    <comment ref="AD62" authorId="1">
      <text>
        <r>
          <rPr>
            <b/>
            <sz val="9"/>
            <color indexed="81"/>
            <rFont val="Tahoma"/>
            <family val="2"/>
          </rPr>
          <t>Kaplan, Toni (Research):</t>
        </r>
        <r>
          <rPr>
            <sz val="9"/>
            <color indexed="81"/>
            <rFont val="Tahoma"/>
            <family val="2"/>
          </rPr>
          <t xml:space="preserve">
includes acquisition of Maplecroft; includes 42 Wood Mac (42 days)</t>
        </r>
      </text>
    </comment>
    <comment ref="AE62" authorId="5">
      <text>
        <r>
          <rPr>
            <b/>
            <sz val="9"/>
            <color indexed="81"/>
            <rFont val="Tahoma"/>
            <family val="2"/>
          </rPr>
          <t>Halfmann, Patrick T (Research):</t>
        </r>
        <r>
          <rPr>
            <sz val="9"/>
            <color indexed="81"/>
            <rFont val="Tahoma"/>
            <family val="2"/>
          </rPr>
          <t xml:space="preserve">
Includes Wood Mac and Maplecroft of $87.5M</t>
        </r>
      </text>
    </comment>
    <comment ref="AG62" authorId="1">
      <text>
        <r>
          <rPr>
            <b/>
            <sz val="9"/>
            <color indexed="81"/>
            <rFont val="Tahoma"/>
            <family val="2"/>
          </rPr>
          <t>Kaplan, Toni (Research):</t>
        </r>
        <r>
          <rPr>
            <sz val="9"/>
            <color indexed="81"/>
            <rFont val="Tahoma"/>
            <family val="2"/>
          </rPr>
          <t xml:space="preserve">
includes acquisition of Maplecroft</t>
        </r>
      </text>
    </comment>
    <comment ref="AI62" authorId="5">
      <text>
        <r>
          <rPr>
            <b/>
            <sz val="9"/>
            <color indexed="81"/>
            <rFont val="Tahoma"/>
            <family val="2"/>
          </rPr>
          <t>Halfmann, Patrick T (Research):</t>
        </r>
        <r>
          <rPr>
            <sz val="9"/>
            <color indexed="81"/>
            <rFont val="Tahoma"/>
            <family val="2"/>
          </rPr>
          <t xml:space="preserve">
"Customer retention remains very high"</t>
        </r>
      </text>
    </comment>
    <comment ref="G64" authorId="4">
      <text>
        <r>
          <rPr>
            <b/>
            <sz val="8"/>
            <color indexed="81"/>
            <rFont val="Tahoma"/>
            <family val="2"/>
          </rPr>
          <t>kapltoni:</t>
        </r>
        <r>
          <rPr>
            <sz val="8"/>
            <color indexed="81"/>
            <rFont val="Tahoma"/>
            <family val="2"/>
          </rPr>
          <t xml:space="preserve">
Acquired 3E</t>
        </r>
      </text>
    </comment>
    <comment ref="L64" authorId="4">
      <text>
        <r>
          <rPr>
            <b/>
            <sz val="8"/>
            <color indexed="81"/>
            <rFont val="Tahoma"/>
            <family val="2"/>
          </rPr>
          <t>kapltoni:</t>
        </r>
        <r>
          <rPr>
            <sz val="8"/>
            <color indexed="81"/>
            <rFont val="Tahoma"/>
            <family val="2"/>
          </rPr>
          <t xml:space="preserve">
5% organic growth plus 5% growth on 3E of 12M (2.5mo out of the quarter, since closed mid dec 2010)</t>
        </r>
      </text>
    </comment>
    <comment ref="V64" authorId="6">
      <text>
        <r>
          <rPr>
            <b/>
            <sz val="8"/>
            <color indexed="81"/>
            <rFont val="Tahoma"/>
            <family val="2"/>
          </rPr>
          <t>sestein:</t>
        </r>
        <r>
          <rPr>
            <sz val="8"/>
            <color indexed="81"/>
            <rFont val="Tahoma"/>
            <family val="2"/>
          </rPr>
          <t xml:space="preserve">
Easier comp
Expect a several million dollar sequential decline in revenuedue to cycling of govt contracts in climat eanalytics as well as fewer environmental health and safety projects at year end</t>
        </r>
      </text>
    </comment>
    <comment ref="AO64" authorId="2">
      <text>
        <r>
          <rPr>
            <b/>
            <sz val="9"/>
            <color indexed="81"/>
            <rFont val="Tahoma"/>
            <family val="2"/>
          </rPr>
          <t>Halfmann, Patrick (Research):</t>
        </r>
        <r>
          <rPr>
            <sz val="9"/>
            <color indexed="81"/>
            <rFont val="Tahoma"/>
            <family val="2"/>
          </rPr>
          <t xml:space="preserve">
Lapping decline in GBP, down, assumes similar M&amp;A/FX contribution as 2Q</t>
        </r>
      </text>
    </comment>
    <comment ref="AP64" authorId="2">
      <text>
        <r>
          <rPr>
            <sz val="9"/>
            <color indexed="81"/>
            <rFont val="Tahoma"/>
            <family val="2"/>
          </rPr>
          <t>GBP roughly flat y/y to 5/3/17
include Greentech Media, Quest Offshore and MAKE acquisitions
improvement in energy business</t>
        </r>
      </text>
    </comment>
    <comment ref="AR64" authorId="3">
      <text>
        <r>
          <rPr>
            <b/>
            <sz val="9"/>
            <color indexed="81"/>
            <rFont val="Tahoma"/>
            <family val="2"/>
          </rPr>
          <t>Russo, Priscilla (Research):</t>
        </r>
        <r>
          <rPr>
            <sz val="9"/>
            <color indexed="81"/>
            <rFont val="Tahoma"/>
            <family val="2"/>
          </rPr>
          <t xml:space="preserve">
Power Advocate in inorganic growth ($9M/qtr); Rev of $36M in 2017; growth higher than VRSK's 7-8%</t>
        </r>
      </text>
    </comment>
    <comment ref="AS64" authorId="3">
      <text>
        <r>
          <rPr>
            <b/>
            <sz val="9"/>
            <color indexed="81"/>
            <rFont val="Tahoma"/>
            <family val="2"/>
          </rPr>
          <t>Russo, Priscilla (Research):</t>
        </r>
        <r>
          <rPr>
            <sz val="9"/>
            <color indexed="81"/>
            <rFont val="Tahoma"/>
            <family val="2"/>
          </rPr>
          <t xml:space="preserve">
Power Advocate in inorganic growth ($9M/qtr); Rev of $36M in 2017; growth higher than VRSK's 7-8%</t>
        </r>
      </text>
    </comment>
    <comment ref="AT64" authorId="3">
      <text>
        <r>
          <rPr>
            <b/>
            <sz val="9"/>
            <color indexed="81"/>
            <rFont val="Tahoma"/>
            <family val="2"/>
          </rPr>
          <t>Russo, Priscilla (Research):</t>
        </r>
        <r>
          <rPr>
            <sz val="9"/>
            <color indexed="81"/>
            <rFont val="Tahoma"/>
            <family val="2"/>
          </rPr>
          <t xml:space="preserve">
Power Advocate in inorganic growth ($9M/qtr); Rev of $36M in 2017; growth higher than VRSK's 7-8%</t>
        </r>
      </text>
    </comment>
    <comment ref="AU64" authorId="3">
      <text>
        <r>
          <rPr>
            <b/>
            <sz val="9"/>
            <color indexed="81"/>
            <rFont val="Tahoma"/>
            <family val="2"/>
          </rPr>
          <t>Russo, Priscilla (Research):</t>
        </r>
        <r>
          <rPr>
            <sz val="9"/>
            <color indexed="81"/>
            <rFont val="Tahoma"/>
            <family val="2"/>
          </rPr>
          <t xml:space="preserve">
Power Advocate in inorganic growth ($9M/qtr); Rev of $36M in 2017; growth higher than VRSK's 7-8%</t>
        </r>
      </text>
    </comment>
    <comment ref="A66" authorId="5">
      <text>
        <r>
          <rPr>
            <b/>
            <sz val="9"/>
            <color indexed="81"/>
            <rFont val="Tahoma"/>
            <family val="2"/>
          </rPr>
          <t>Halfmann, Patrick T (Research):</t>
        </r>
        <r>
          <rPr>
            <sz val="9"/>
            <color indexed="81"/>
            <rFont val="Tahoma"/>
            <family val="2"/>
          </rPr>
          <t xml:space="preserve">
Past periods is total</t>
        </r>
      </text>
    </comment>
    <comment ref="R66" authorId="1">
      <text>
        <r>
          <rPr>
            <b/>
            <sz val="9"/>
            <color indexed="81"/>
            <rFont val="Tahoma"/>
            <family val="2"/>
          </rPr>
          <t>average</t>
        </r>
        <r>
          <rPr>
            <sz val="9"/>
            <color indexed="81"/>
            <rFont val="Tahoma"/>
            <family val="2"/>
          </rPr>
          <t xml:space="preserve">
</t>
        </r>
      </text>
    </comment>
    <comment ref="T66" authorId="6">
      <text>
        <r>
          <rPr>
            <b/>
            <sz val="8"/>
            <color indexed="81"/>
            <rFont val="Tahoma"/>
            <family val="2"/>
          </rPr>
          <t>sestein:</t>
        </r>
        <r>
          <rPr>
            <sz val="8"/>
            <color indexed="81"/>
            <rFont val="Tahoma"/>
            <family val="2"/>
          </rPr>
          <t xml:space="preserve">
All organic</t>
        </r>
      </text>
    </comment>
    <comment ref="AG66" authorId="5">
      <text>
        <r>
          <rPr>
            <b/>
            <sz val="9"/>
            <color indexed="81"/>
            <rFont val="Tahoma"/>
            <family val="2"/>
          </rPr>
          <t>Halfmann, Patrick T (Research):</t>
        </r>
        <r>
          <rPr>
            <sz val="9"/>
            <color indexed="81"/>
            <rFont val="Tahoma"/>
            <family val="2"/>
          </rPr>
          <t xml:space="preserve">
Wood Mac +5% c/c</t>
        </r>
      </text>
    </comment>
    <comment ref="AI66" authorId="5">
      <text>
        <r>
          <rPr>
            <b/>
            <sz val="9"/>
            <color indexed="81"/>
            <rFont val="Tahoma"/>
            <family val="2"/>
          </rPr>
          <t>Halfmann, Patrick T (Research):</t>
        </r>
        <r>
          <rPr>
            <sz val="9"/>
            <color indexed="81"/>
            <rFont val="Tahoma"/>
            <family val="2"/>
          </rPr>
          <t xml:space="preserve">
Ex Wood Mac; attributed to strong 2015 growth as customers strove to meet global compliance regs</t>
        </r>
      </text>
    </comment>
    <comment ref="AJ66" authorId="2">
      <text>
        <r>
          <rPr>
            <b/>
            <sz val="9"/>
            <color indexed="81"/>
            <rFont val="Tahoma"/>
            <family val="2"/>
          </rPr>
          <t>Halfmann, Patrick (Research):</t>
        </r>
        <r>
          <rPr>
            <sz val="9"/>
            <color indexed="81"/>
            <rFont val="Tahoma"/>
            <family val="2"/>
          </rPr>
          <t xml:space="preserve">
-4.9% organic including FX</t>
        </r>
      </text>
    </comment>
    <comment ref="AK66" authorId="2">
      <text>
        <r>
          <rPr>
            <b/>
            <sz val="9"/>
            <color indexed="81"/>
            <rFont val="Tahoma"/>
            <family val="2"/>
          </rPr>
          <t>Halfmann, Patrick (Research):</t>
        </r>
        <r>
          <rPr>
            <sz val="9"/>
            <color indexed="81"/>
            <rFont val="Tahoma"/>
            <family val="2"/>
          </rPr>
          <t xml:space="preserve">
Excl. GTM, Infield, PCI Group, Quest Offshore, NOT c/c</t>
        </r>
      </text>
    </comment>
    <comment ref="AL66" authorId="2">
      <text>
        <r>
          <rPr>
            <b/>
            <sz val="9"/>
            <color indexed="81"/>
            <rFont val="Tahoma"/>
            <family val="2"/>
          </rPr>
          <t>Halfmann, Patrick (Research):</t>
        </r>
        <r>
          <rPr>
            <sz val="9"/>
            <color indexed="81"/>
            <rFont val="Tahoma"/>
            <family val="2"/>
          </rPr>
          <t xml:space="preserve">
Ex Infield, PCI, Greentech Media, and Quest Offshore, NOT c/c per 10K pg 37</t>
        </r>
      </text>
    </comment>
    <comment ref="AM66" authorId="2">
      <text>
        <r>
          <rPr>
            <b/>
            <sz val="9"/>
            <color indexed="81"/>
            <rFont val="Tahoma"/>
            <family val="2"/>
          </rPr>
          <t>Halfmann, Patrick (Research):</t>
        </r>
        <r>
          <rPr>
            <sz val="9"/>
            <color indexed="81"/>
            <rFont val="Tahoma"/>
            <family val="2"/>
          </rPr>
          <t xml:space="preserve">
6.3% pt drag from FX</t>
        </r>
      </text>
    </comment>
    <comment ref="AN66" authorId="2">
      <text>
        <r>
          <rPr>
            <b/>
            <sz val="9"/>
            <color indexed="81"/>
            <rFont val="Tahoma"/>
            <family val="2"/>
          </rPr>
          <t>Halfmann, Patrick (Research):</t>
        </r>
        <r>
          <rPr>
            <sz val="9"/>
            <color indexed="81"/>
            <rFont val="Tahoma"/>
            <family val="2"/>
          </rPr>
          <t xml:space="preserve">
Energy markets stabilized, but EH&amp;S negative</t>
        </r>
      </text>
    </comment>
    <comment ref="AR66" authorId="2">
      <text>
        <r>
          <rPr>
            <b/>
            <sz val="9"/>
            <color indexed="81"/>
            <rFont val="Tahoma"/>
            <family val="2"/>
          </rPr>
          <t>Halfmann, Patrick (Research):</t>
        </r>
        <r>
          <rPr>
            <sz val="9"/>
            <color indexed="81"/>
            <rFont val="Tahoma"/>
            <family val="2"/>
          </rPr>
          <t xml:space="preserve">
Easy comp</t>
        </r>
      </text>
    </comment>
    <comment ref="AV66" authorId="1">
      <text>
        <r>
          <rPr>
            <b/>
            <sz val="9"/>
            <color indexed="81"/>
            <rFont val="Tahoma"/>
            <family val="2"/>
          </rPr>
          <t>Kaplan, Toni (Research):</t>
        </r>
        <r>
          <rPr>
            <sz val="9"/>
            <color indexed="81"/>
            <rFont val="Tahoma"/>
            <family val="2"/>
          </rPr>
          <t xml:space="preserve">
4Q17: '18 growth will relate to cross-selling and expan of prods, still minimizing price increases - '19 more price contribution</t>
        </r>
      </text>
    </comment>
    <comment ref="BA66" authorId="3">
      <text>
        <r>
          <rPr>
            <b/>
            <sz val="9"/>
            <color indexed="81"/>
            <rFont val="Tahoma"/>
            <family val="2"/>
          </rPr>
          <t>Russo, Priscilla (Research):</t>
        </r>
        <r>
          <rPr>
            <sz val="9"/>
            <color indexed="81"/>
            <rFont val="Tahoma"/>
            <family val="2"/>
          </rPr>
          <t xml:space="preserve">
4Q17: more use of pricing in 2019</t>
        </r>
      </text>
    </comment>
    <comment ref="AD68" authorId="5">
      <text>
        <r>
          <rPr>
            <b/>
            <sz val="9"/>
            <color indexed="81"/>
            <rFont val="Tahoma"/>
            <family val="2"/>
          </rPr>
          <t>Halfmann, Patrick T (Research):</t>
        </r>
        <r>
          <rPr>
            <sz val="9"/>
            <color indexed="81"/>
            <rFont val="Tahoma"/>
            <family val="2"/>
          </rPr>
          <t xml:space="preserve">
Wood Mac partial quarter</t>
        </r>
      </text>
    </comment>
    <comment ref="AE68" authorId="5">
      <text>
        <r>
          <rPr>
            <b/>
            <sz val="9"/>
            <color indexed="81"/>
            <rFont val="Tahoma"/>
            <family val="2"/>
          </rPr>
          <t>Halfmann, Patrick T (Research):</t>
        </r>
        <r>
          <rPr>
            <sz val="9"/>
            <color indexed="81"/>
            <rFont val="Tahoma"/>
            <family val="2"/>
          </rPr>
          <t xml:space="preserve">
$87.5M acquisition rev - $2.5M from maplecroft</t>
        </r>
      </text>
    </comment>
    <comment ref="AF68" authorId="5">
      <text>
        <r>
          <rPr>
            <b/>
            <sz val="9"/>
            <color indexed="81"/>
            <rFont val="Tahoma"/>
            <family val="2"/>
          </rPr>
          <t>Halfmann, Patrick T (Research):</t>
        </r>
        <r>
          <rPr>
            <sz val="9"/>
            <color indexed="81"/>
            <rFont val="Tahoma"/>
            <family val="2"/>
          </rPr>
          <t xml:space="preserve">
Revenue contribution from acqs, less $2.5M est. for Maplecroft (acq in Dec '14, so 2 months) and est ~$10M/qtr for Infield/PCI (mid Nov announce)</t>
        </r>
      </text>
    </comment>
    <comment ref="AG68" authorId="5">
      <text>
        <r>
          <rPr>
            <b/>
            <sz val="9"/>
            <color indexed="81"/>
            <rFont val="Tahoma"/>
            <family val="2"/>
          </rPr>
          <t>Halfmann, Patrick T (Research):</t>
        </r>
        <r>
          <rPr>
            <sz val="9"/>
            <color indexed="81"/>
            <rFont val="Tahoma"/>
            <family val="2"/>
          </rPr>
          <t xml:space="preserve">
$211M per 4Q15 call</t>
        </r>
      </text>
    </comment>
    <comment ref="AH68" authorId="5">
      <text>
        <r>
          <rPr>
            <b/>
            <sz val="9"/>
            <color indexed="81"/>
            <rFont val="Tahoma"/>
            <family val="2"/>
          </rPr>
          <t>Halfmann, Patrick T (Research):</t>
        </r>
        <r>
          <rPr>
            <sz val="9"/>
            <color indexed="81"/>
            <rFont val="Tahoma"/>
            <family val="2"/>
          </rPr>
          <t xml:space="preserve">
Acquisitions contributed $89.6 - assumes Infield/PCI acquired at 5x sales</t>
        </r>
      </text>
    </comment>
    <comment ref="AI68" authorId="5">
      <text>
        <r>
          <rPr>
            <b/>
            <sz val="9"/>
            <color indexed="81"/>
            <rFont val="Tahoma"/>
            <family val="2"/>
          </rPr>
          <t>Halfmann, Patrick T (Research):</t>
        </r>
        <r>
          <rPr>
            <sz val="9"/>
            <color indexed="81"/>
            <rFont val="Tahoma"/>
            <family val="2"/>
          </rPr>
          <t xml:space="preserve">
Wood Mac, Infield, and PCI added $48.4M y/y</t>
        </r>
      </text>
    </comment>
    <comment ref="AH69" authorId="5">
      <text>
        <r>
          <rPr>
            <b/>
            <sz val="9"/>
            <color indexed="81"/>
            <rFont val="Tahoma"/>
            <family val="2"/>
          </rPr>
          <t>Halfmann, Patrick T (Research):</t>
        </r>
        <r>
          <rPr>
            <sz val="9"/>
            <color indexed="81"/>
            <rFont val="Tahoma"/>
            <family val="2"/>
          </rPr>
          <t xml:space="preserve">
1Q call: increased slightly c/c ex PCI/Infield; still expect growth for year; declined slightly including FX</t>
        </r>
      </text>
    </comment>
    <comment ref="AI71" authorId="5">
      <text>
        <r>
          <rPr>
            <b/>
            <sz val="9"/>
            <color indexed="81"/>
            <rFont val="Tahoma"/>
            <family val="2"/>
          </rPr>
          <t>Halfmann, Patrick T (Research):</t>
        </r>
        <r>
          <rPr>
            <sz val="9"/>
            <color indexed="81"/>
            <rFont val="Tahoma"/>
            <family val="2"/>
          </rPr>
          <t xml:space="preserve">
Assumed Infield, PCI acquired for $51M at 5x sales; organic, not CC
2Q call: Wood mac flat on c/c basis</t>
        </r>
      </text>
    </comment>
    <comment ref="AJ71" authorId="5">
      <text>
        <r>
          <rPr>
            <b/>
            <sz val="9"/>
            <color indexed="81"/>
            <rFont val="Tahoma"/>
            <family val="2"/>
          </rPr>
          <t>Halfmann, Patrick T (Research):</t>
        </r>
        <r>
          <rPr>
            <sz val="9"/>
            <color indexed="81"/>
            <rFont val="Tahoma"/>
            <family val="2"/>
          </rPr>
          <t xml:space="preserve">
2Q: Estimated 6pt drag from FX (GBP down 10% 2QYTD, Wood Mac rev 2/3 pounds)</t>
        </r>
      </text>
    </comment>
    <comment ref="AL71" authorId="5">
      <text>
        <r>
          <rPr>
            <b/>
            <sz val="9"/>
            <color indexed="81"/>
            <rFont val="Tahoma"/>
            <family val="2"/>
          </rPr>
          <t>Halfmann, Patrick T (Research):</t>
        </r>
        <r>
          <rPr>
            <sz val="9"/>
            <color indexed="81"/>
            <rFont val="Tahoma"/>
            <family val="2"/>
          </rPr>
          <t xml:space="preserve">
1Q: Wood Mac to be flat on c/c basis, slightly down on reported basis</t>
        </r>
      </text>
    </comment>
    <comment ref="AM71" authorId="5">
      <text>
        <r>
          <rPr>
            <b/>
            <sz val="9"/>
            <color indexed="81"/>
            <rFont val="Tahoma"/>
            <family val="2"/>
          </rPr>
          <t>Halfmann, Patrick T (Research):</t>
        </r>
        <r>
          <rPr>
            <sz val="9"/>
            <color indexed="81"/>
            <rFont val="Tahoma"/>
            <family val="2"/>
          </rPr>
          <t xml:space="preserve">
Estimated 8pt drag from FX (GBP down 13% 1Q16 to 2/22/2017 TD on avg, Wood Mac rev 2/3 pounds)</t>
        </r>
      </text>
    </comment>
    <comment ref="AO71" authorId="5">
      <text>
        <r>
          <rPr>
            <b/>
            <sz val="9"/>
            <color indexed="81"/>
            <rFont val="Tahoma"/>
            <family val="2"/>
          </rPr>
          <t>Halfmann, Patrick T (Research):</t>
        </r>
        <r>
          <rPr>
            <sz val="9"/>
            <color indexed="81"/>
            <rFont val="Tahoma"/>
            <family val="2"/>
          </rPr>
          <t xml:space="preserve">
Lapping decline in GBP</t>
        </r>
      </text>
    </comment>
    <comment ref="AD73" authorId="5">
      <text>
        <r>
          <rPr>
            <b/>
            <sz val="9"/>
            <color indexed="81"/>
            <rFont val="Tahoma"/>
            <family val="2"/>
          </rPr>
          <t>Halfmann, Patrick T (Research):</t>
        </r>
        <r>
          <rPr>
            <sz val="9"/>
            <color indexed="81"/>
            <rFont val="Tahoma"/>
            <family val="2"/>
          </rPr>
          <t xml:space="preserve">
2Q15 call: over 10%</t>
        </r>
      </text>
    </comment>
    <comment ref="AE73" authorId="5">
      <text>
        <r>
          <rPr>
            <b/>
            <sz val="9"/>
            <color indexed="81"/>
            <rFont val="Tahoma"/>
            <family val="2"/>
          </rPr>
          <t>Halfmann, Patrick T (Research):</t>
        </r>
        <r>
          <rPr>
            <sz val="9"/>
            <color indexed="81"/>
            <rFont val="Tahoma"/>
            <family val="2"/>
          </rPr>
          <t xml:space="preserve">
3Q15 Earnings Call</t>
        </r>
      </text>
    </comment>
    <comment ref="AF73" authorId="5">
      <text>
        <r>
          <rPr>
            <b/>
            <sz val="9"/>
            <color indexed="81"/>
            <rFont val="Tahoma"/>
            <family val="2"/>
          </rPr>
          <t>Halfmann, Patrick T (Research):</t>
        </r>
        <r>
          <rPr>
            <sz val="9"/>
            <color indexed="81"/>
            <rFont val="Tahoma"/>
            <family val="2"/>
          </rPr>
          <t xml:space="preserve">
-1% organic</t>
        </r>
      </text>
    </comment>
    <comment ref="AG73" authorId="5">
      <text>
        <r>
          <rPr>
            <b/>
            <sz val="9"/>
            <color indexed="81"/>
            <rFont val="Tahoma"/>
            <family val="2"/>
          </rPr>
          <t>Halfmann, Patrick T (Research):</t>
        </r>
        <r>
          <rPr>
            <sz val="9"/>
            <color indexed="81"/>
            <rFont val="Tahoma"/>
            <family val="2"/>
          </rPr>
          <t xml:space="preserve">
Wood Mac +5% c/c</t>
        </r>
      </text>
    </comment>
    <comment ref="AH73" authorId="5">
      <text>
        <r>
          <rPr>
            <b/>
            <sz val="9"/>
            <color indexed="81"/>
            <rFont val="Tahoma"/>
            <family val="2"/>
          </rPr>
          <t>Halfmann, Patrick T (Research):</t>
        </r>
        <r>
          <rPr>
            <sz val="9"/>
            <color indexed="81"/>
            <rFont val="Tahoma"/>
            <family val="2"/>
          </rPr>
          <t xml:space="preserve">
1Q call: increased slightly c/c ex PCI/Infield; still expect growth for year; declined slightly including FX</t>
        </r>
      </text>
    </comment>
    <comment ref="AI73" authorId="5">
      <text>
        <r>
          <rPr>
            <b/>
            <sz val="9"/>
            <color indexed="81"/>
            <rFont val="Tahoma"/>
            <family val="2"/>
          </rPr>
          <t>Halfmann, Patrick T (Research):</t>
        </r>
        <r>
          <rPr>
            <sz val="9"/>
            <color indexed="81"/>
            <rFont val="Tahoma"/>
            <family val="2"/>
          </rPr>
          <t xml:space="preserve">
Est. currency impact</t>
        </r>
      </text>
    </comment>
    <comment ref="AJ73" authorId="2">
      <text>
        <r>
          <rPr>
            <b/>
            <sz val="9"/>
            <color indexed="81"/>
            <rFont val="Tahoma"/>
            <family val="2"/>
          </rPr>
          <t>Halfmann, Patrick (Research):</t>
        </r>
        <r>
          <rPr>
            <sz val="9"/>
            <color indexed="81"/>
            <rFont val="Tahoma"/>
            <family val="2"/>
          </rPr>
          <t xml:space="preserve">
c/c only Wood Mac</t>
        </r>
      </text>
    </comment>
    <comment ref="AK73" authorId="2">
      <text>
        <r>
          <rPr>
            <b/>
            <sz val="9"/>
            <color indexed="81"/>
            <rFont val="Tahoma"/>
            <family val="2"/>
          </rPr>
          <t>Halfmann, Patrick (Research):</t>
        </r>
        <r>
          <rPr>
            <sz val="9"/>
            <color indexed="81"/>
            <rFont val="Tahoma"/>
            <family val="2"/>
          </rPr>
          <t xml:space="preserve">
Wood Mac ended full year slightly better than flat, implies &lt;1% 4Q</t>
        </r>
      </text>
    </comment>
    <comment ref="AM73" authorId="2">
      <text>
        <r>
          <rPr>
            <b/>
            <sz val="9"/>
            <color indexed="81"/>
            <rFont val="Tahoma"/>
            <family val="2"/>
          </rPr>
          <t>Halfmann, Patrick (Research):</t>
        </r>
        <r>
          <rPr>
            <sz val="9"/>
            <color indexed="81"/>
            <rFont val="Tahoma"/>
            <family val="2"/>
          </rPr>
          <t xml:space="preserve">
Benefitting from easier operating environment, but preponderence of business is subscription-based</t>
        </r>
      </text>
    </comment>
    <comment ref="AO73" authorId="3">
      <text>
        <r>
          <rPr>
            <b/>
            <sz val="9"/>
            <color indexed="81"/>
            <rFont val="Tahoma"/>
            <family val="2"/>
          </rPr>
          <t>Russo, Priscilla (Research):</t>
        </r>
        <r>
          <rPr>
            <sz val="9"/>
            <color indexed="81"/>
            <rFont val="Tahoma"/>
            <family val="2"/>
          </rPr>
          <t xml:space="preserve">
Woodmac grew 3.3% org, ASV +5% YTD</t>
        </r>
      </text>
    </comment>
    <comment ref="M78" authorId="1">
      <text>
        <r>
          <rPr>
            <b/>
            <sz val="9"/>
            <color indexed="81"/>
            <rFont val="Tahoma"/>
            <family val="2"/>
          </rPr>
          <t>average</t>
        </r>
        <r>
          <rPr>
            <sz val="9"/>
            <color indexed="81"/>
            <rFont val="Tahoma"/>
            <family val="2"/>
          </rPr>
          <t xml:space="preserve">
</t>
        </r>
      </text>
    </comment>
    <comment ref="N78" authorId="4">
      <text>
        <r>
          <rPr>
            <b/>
            <sz val="8"/>
            <color indexed="81"/>
            <rFont val="Tahoma"/>
            <family val="2"/>
          </rPr>
          <t>kapltoni:</t>
        </r>
        <r>
          <rPr>
            <sz val="8"/>
            <color indexed="81"/>
            <rFont val="Tahoma"/>
            <family val="2"/>
          </rPr>
          <t xml:space="preserve">
ex shift of rev from RA</t>
        </r>
      </text>
    </comment>
    <comment ref="O78" authorId="4">
      <text>
        <r>
          <rPr>
            <b/>
            <sz val="8"/>
            <color indexed="81"/>
            <rFont val="Tahoma"/>
            <family val="2"/>
          </rPr>
          <t>kapltoni:</t>
        </r>
        <r>
          <rPr>
            <sz val="8"/>
            <color indexed="81"/>
            <rFont val="Tahoma"/>
            <family val="2"/>
          </rPr>
          <t xml:space="preserve">
ex shift of rev from RA</t>
        </r>
      </text>
    </comment>
    <comment ref="R78" authorId="1">
      <text>
        <r>
          <rPr>
            <b/>
            <sz val="9"/>
            <color indexed="81"/>
            <rFont val="Tahoma"/>
            <family val="2"/>
          </rPr>
          <t>average</t>
        </r>
        <r>
          <rPr>
            <sz val="9"/>
            <color indexed="81"/>
            <rFont val="Tahoma"/>
            <family val="2"/>
          </rPr>
          <t xml:space="preserve">
</t>
        </r>
      </text>
    </comment>
    <comment ref="S78" authorId="4">
      <text>
        <r>
          <rPr>
            <b/>
            <sz val="8"/>
            <color indexed="81"/>
            <rFont val="Tahoma"/>
            <family val="2"/>
          </rPr>
          <t>kapltoni:</t>
        </r>
        <r>
          <rPr>
            <sz val="8"/>
            <color indexed="81"/>
            <rFont val="Tahoma"/>
            <family val="2"/>
          </rPr>
          <t xml:space="preserve">
ex shift of rev from RA</t>
        </r>
      </text>
    </comment>
    <comment ref="W78" authorId="1">
      <text>
        <r>
          <rPr>
            <b/>
            <sz val="9"/>
            <color indexed="81"/>
            <rFont val="Tahoma"/>
            <family val="2"/>
          </rPr>
          <t>average</t>
        </r>
        <r>
          <rPr>
            <sz val="9"/>
            <color indexed="81"/>
            <rFont val="Tahoma"/>
            <family val="2"/>
          </rPr>
          <t xml:space="preserve">
</t>
        </r>
      </text>
    </comment>
    <comment ref="AC78" authorId="1">
      <text>
        <r>
          <rPr>
            <b/>
            <sz val="9"/>
            <color indexed="81"/>
            <rFont val="Tahoma"/>
            <family val="2"/>
          </rPr>
          <t>Kaplan, Toni (Research):</t>
        </r>
        <r>
          <rPr>
            <sz val="9"/>
            <color indexed="81"/>
            <rFont val="Tahoma"/>
            <family val="2"/>
          </rPr>
          <t xml:space="preserve">
Maplecroft $2.5M</t>
        </r>
      </text>
    </comment>
    <comment ref="AE79" authorId="5">
      <text>
        <r>
          <rPr>
            <b/>
            <sz val="9"/>
            <color indexed="81"/>
            <rFont val="Tahoma"/>
            <family val="2"/>
          </rPr>
          <t>Halfmann, Patrick T (Research):</t>
        </r>
        <r>
          <rPr>
            <sz val="9"/>
            <color indexed="81"/>
            <rFont val="Tahoma"/>
            <family val="2"/>
          </rPr>
          <t xml:space="preserve">
Excl healthcare analytics/acqs</t>
        </r>
      </text>
    </comment>
    <comment ref="AF79" authorId="5">
      <text>
        <r>
          <rPr>
            <b/>
            <sz val="9"/>
            <color indexed="81"/>
            <rFont val="Tahoma"/>
            <family val="2"/>
          </rPr>
          <t>Halfmann, Patrick T (Research):</t>
        </r>
        <r>
          <rPr>
            <sz val="9"/>
            <color indexed="81"/>
            <rFont val="Tahoma"/>
            <family val="2"/>
          </rPr>
          <t xml:space="preserve">
Excl healthcare analytics/acqs</t>
        </r>
      </text>
    </comment>
    <comment ref="A81" authorId="5">
      <text>
        <r>
          <rPr>
            <b/>
            <sz val="9"/>
            <color indexed="81"/>
            <rFont val="Tahoma"/>
            <family val="2"/>
          </rPr>
          <t>Halfmann, Patrick T (Research):</t>
        </r>
        <r>
          <rPr>
            <sz val="9"/>
            <color indexed="81"/>
            <rFont val="Tahoma"/>
            <family val="2"/>
          </rPr>
          <t xml:space="preserve">
Post Healthcare sale</t>
        </r>
      </text>
    </comment>
    <comment ref="AN82" authorId="2">
      <text>
        <r>
          <rPr>
            <b/>
            <sz val="9"/>
            <color indexed="81"/>
            <rFont val="Tahoma"/>
            <family val="2"/>
          </rPr>
          <t>Halfmann, Patrick (Research):</t>
        </r>
        <r>
          <rPr>
            <sz val="9"/>
            <color indexed="81"/>
            <rFont val="Tahoma"/>
            <family val="2"/>
          </rPr>
          <t xml:space="preserve">
Deflated by FX</t>
        </r>
      </text>
    </comment>
    <comment ref="AI83" authorId="5">
      <text>
        <r>
          <rPr>
            <b/>
            <sz val="9"/>
            <color indexed="81"/>
            <rFont val="Tahoma"/>
            <family val="2"/>
          </rPr>
          <t>Halfmann, Patrick T (Research):</t>
        </r>
        <r>
          <rPr>
            <sz val="9"/>
            <color indexed="81"/>
            <rFont val="Tahoma"/>
            <family val="2"/>
          </rPr>
          <t xml:space="preserve">
PR 5.5% from continuing ops</t>
        </r>
      </text>
    </comment>
    <comment ref="AQ83" authorId="2">
      <text>
        <r>
          <rPr>
            <b/>
            <sz val="9"/>
            <color indexed="81"/>
            <rFont val="Tahoma"/>
            <family val="2"/>
          </rPr>
          <t>Halfmann, Patrick (Research):</t>
        </r>
        <r>
          <rPr>
            <sz val="9"/>
            <color indexed="81"/>
            <rFont val="Tahoma"/>
            <family val="2"/>
          </rPr>
          <t xml:space="preserve">
Difference b/w reported and org c/c driven primarily by 1H impact of currency</t>
        </r>
      </text>
    </comment>
    <comment ref="S88" authorId="6">
      <text>
        <r>
          <rPr>
            <b/>
            <sz val="8"/>
            <color indexed="81"/>
            <rFont val="Tahoma"/>
            <family val="2"/>
          </rPr>
          <t>sestein:
Excluding drag of Mortgage was 9.5%</t>
        </r>
      </text>
    </comment>
    <comment ref="U88" authorId="6">
      <text>
        <r>
          <rPr>
            <b/>
            <sz val="8"/>
            <color indexed="81"/>
            <rFont val="Tahoma"/>
            <family val="2"/>
          </rPr>
          <t>sestein:</t>
        </r>
        <r>
          <rPr>
            <sz val="8"/>
            <color indexed="81"/>
            <rFont val="Tahoma"/>
            <family val="2"/>
          </rPr>
          <t xml:space="preserve">
Excluding mortgage it was ~8.2%</t>
        </r>
      </text>
    </comment>
    <comment ref="AE88" authorId="5">
      <text>
        <r>
          <rPr>
            <b/>
            <sz val="9"/>
            <color indexed="81"/>
            <rFont val="Tahoma"/>
            <family val="2"/>
          </rPr>
          <t>Halfmann, Patrick T (Research):</t>
        </r>
        <r>
          <rPr>
            <sz val="9"/>
            <color indexed="81"/>
            <rFont val="Tahoma"/>
            <family val="2"/>
          </rPr>
          <t xml:space="preserve">
7.3% excl acqs and entire healthcare business </t>
        </r>
      </text>
    </comment>
    <comment ref="AF88" authorId="5">
      <text>
        <r>
          <rPr>
            <b/>
            <sz val="9"/>
            <color indexed="81"/>
            <rFont val="Tahoma"/>
            <family val="2"/>
          </rPr>
          <t>Halfmann, Patrick T (Research):</t>
        </r>
        <r>
          <rPr>
            <sz val="9"/>
            <color indexed="81"/>
            <rFont val="Tahoma"/>
            <family val="2"/>
          </rPr>
          <t xml:space="preserve">
+5.4% organic excl healthcare analytics business and acqs</t>
        </r>
      </text>
    </comment>
    <comment ref="AG88" authorId="5">
      <text>
        <r>
          <rPr>
            <b/>
            <sz val="9"/>
            <color indexed="81"/>
            <rFont val="Tahoma"/>
            <family val="2"/>
          </rPr>
          <t>Halfmann, Patrick T (Research):</t>
        </r>
        <r>
          <rPr>
            <sz val="9"/>
            <color indexed="81"/>
            <rFont val="Tahoma"/>
            <family val="2"/>
          </rPr>
          <t xml:space="preserve">
+7.7 ex healthcare business and acqs</t>
        </r>
      </text>
    </comment>
    <comment ref="AM89" authorId="2">
      <text>
        <r>
          <rPr>
            <b/>
            <sz val="9"/>
            <color indexed="81"/>
            <rFont val="Tahoma"/>
            <family val="2"/>
          </rPr>
          <t>Halfmann, Patrick (Research):</t>
        </r>
        <r>
          <rPr>
            <sz val="9"/>
            <color indexed="81"/>
            <rFont val="Tahoma"/>
            <family val="2"/>
          </rPr>
          <t xml:space="preserve">
ex $4M of true-up rev in 1Q16</t>
        </r>
      </text>
    </comment>
    <comment ref="S92" authorId="6">
      <text>
        <r>
          <rPr>
            <b/>
            <sz val="8"/>
            <color indexed="81"/>
            <rFont val="Tahoma"/>
            <family val="2"/>
          </rPr>
          <t>sestein:
Excluding drag of Mortgage was 9.5%</t>
        </r>
      </text>
    </comment>
    <comment ref="U92" authorId="6">
      <text>
        <r>
          <rPr>
            <b/>
            <sz val="8"/>
            <color indexed="81"/>
            <rFont val="Tahoma"/>
            <family val="2"/>
          </rPr>
          <t>sestein:</t>
        </r>
        <r>
          <rPr>
            <sz val="8"/>
            <color indexed="81"/>
            <rFont val="Tahoma"/>
            <family val="2"/>
          </rPr>
          <t xml:space="preserve">
Excluding mortgage it was ~8.2%</t>
        </r>
      </text>
    </comment>
    <comment ref="AH92" authorId="2">
      <text>
        <r>
          <rPr>
            <b/>
            <sz val="9"/>
            <color indexed="81"/>
            <rFont val="Tahoma"/>
            <family val="2"/>
          </rPr>
          <t>Halfmann, Patrick (Research):</t>
        </r>
        <r>
          <rPr>
            <sz val="9"/>
            <color indexed="81"/>
            <rFont val="Tahoma"/>
            <family val="2"/>
          </rPr>
          <t xml:space="preserve">
5% org (not cc) - Wood Mac 2/3rds GBP, GBP down 5.4% in 2Q16</t>
        </r>
      </text>
    </comment>
    <comment ref="AI92" authorId="2">
      <text>
        <r>
          <rPr>
            <b/>
            <sz val="9"/>
            <color indexed="81"/>
            <rFont val="Tahoma"/>
            <family val="2"/>
          </rPr>
          <t>Halfmann, Patrick (Research):</t>
        </r>
        <r>
          <rPr>
            <sz val="9"/>
            <color indexed="81"/>
            <rFont val="Tahoma"/>
            <family val="2"/>
          </rPr>
          <t xml:space="preserve">
5.4% org (not cc) - Wood Mac 2/3rds GBP, GBP down 6.3% in 2Q16</t>
        </r>
      </text>
    </comment>
    <comment ref="AV92" authorId="1">
      <text>
        <r>
          <rPr>
            <b/>
            <sz val="9"/>
            <color indexed="81"/>
            <rFont val="Tahoma"/>
            <family val="2"/>
          </rPr>
          <t>Kaplan, Toni (Research):</t>
        </r>
        <r>
          <rPr>
            <sz val="9"/>
            <color indexed="81"/>
            <rFont val="Tahoma"/>
            <family val="2"/>
          </rPr>
          <t xml:space="preserve">
targeting 7% growth organically</t>
        </r>
      </text>
    </comment>
    <comment ref="AM93" authorId="2">
      <text>
        <r>
          <rPr>
            <b/>
            <sz val="9"/>
            <color indexed="81"/>
            <rFont val="Tahoma"/>
            <family val="2"/>
          </rPr>
          <t>Halfmann, Patrick (Research):</t>
        </r>
        <r>
          <rPr>
            <sz val="9"/>
            <color indexed="81"/>
            <rFont val="Tahoma"/>
            <family val="2"/>
          </rPr>
          <t xml:space="preserve">
ex $4M of true-up rev in 1Q16</t>
        </r>
      </text>
    </comment>
    <comment ref="AO93" authorId="1">
      <text>
        <r>
          <rPr>
            <b/>
            <sz val="9"/>
            <color indexed="81"/>
            <rFont val="Tahoma"/>
            <family val="2"/>
          </rPr>
          <t>Kaplan, Toni (Research):</t>
        </r>
        <r>
          <rPr>
            <sz val="9"/>
            <color indexed="81"/>
            <rFont val="Tahoma"/>
            <family val="2"/>
          </rPr>
          <t xml:space="preserve">
ex. $8M of hurricane / aerial imagery benefit</t>
        </r>
      </text>
    </comment>
    <comment ref="AP93" authorId="1">
      <text>
        <r>
          <rPr>
            <b/>
            <sz val="9"/>
            <color indexed="81"/>
            <rFont val="Tahoma"/>
            <family val="2"/>
          </rPr>
          <t>Kaplan, Toni (Research):</t>
        </r>
        <r>
          <rPr>
            <sz val="9"/>
            <color indexed="81"/>
            <rFont val="Tahoma"/>
            <family val="2"/>
          </rPr>
          <t xml:space="preserve">
ex. $8M of severe weather benefit</t>
        </r>
      </text>
    </comment>
    <comment ref="AH95" authorId="5">
      <text>
        <r>
          <rPr>
            <b/>
            <sz val="9"/>
            <color indexed="81"/>
            <rFont val="Tahoma"/>
            <family val="2"/>
          </rPr>
          <t>Halfmann, Patrick T (Research):</t>
        </r>
        <r>
          <rPr>
            <sz val="9"/>
            <color indexed="81"/>
            <rFont val="Tahoma"/>
            <family val="2"/>
          </rPr>
          <t xml:space="preserve">
Ex healthcare</t>
        </r>
      </text>
    </comment>
    <comment ref="AG100" authorId="1">
      <text>
        <r>
          <rPr>
            <b/>
            <sz val="9"/>
            <color indexed="81"/>
            <rFont val="Tahoma"/>
            <family val="2"/>
          </rPr>
          <t>Kaplan, Toni (Research):</t>
        </r>
        <r>
          <rPr>
            <sz val="9"/>
            <color indexed="81"/>
            <rFont val="Tahoma"/>
            <family val="2"/>
          </rPr>
          <t xml:space="preserve">
not full year</t>
        </r>
      </text>
    </comment>
    <comment ref="AH103" authorId="5">
      <text>
        <r>
          <rPr>
            <b/>
            <sz val="9"/>
            <color indexed="81"/>
            <rFont val="Tahoma"/>
            <family val="2"/>
          </rPr>
          <t>Halfmann, Patrick T (Research):</t>
        </r>
        <r>
          <rPr>
            <sz val="9"/>
            <color indexed="81"/>
            <rFont val="Tahoma"/>
            <family val="2"/>
          </rPr>
          <t xml:space="preserve">
From continuing operations</t>
        </r>
      </text>
    </comment>
    <comment ref="AG108" authorId="1">
      <text>
        <r>
          <rPr>
            <b/>
            <sz val="9"/>
            <color indexed="81"/>
            <rFont val="Tahoma"/>
            <family val="2"/>
          </rPr>
          <t>Kaplan, Toni (Research):</t>
        </r>
        <r>
          <rPr>
            <sz val="9"/>
            <color indexed="81"/>
            <rFont val="Tahoma"/>
            <family val="2"/>
          </rPr>
          <t xml:space="preserve">
not full year</t>
        </r>
      </text>
    </comment>
    <comment ref="M166" authorId="0">
      <text>
        <r>
          <rPr>
            <b/>
            <sz val="9"/>
            <color indexed="81"/>
            <rFont val="Tahoma"/>
            <family val="2"/>
          </rPr>
          <t>Galindo, Denny:</t>
        </r>
        <r>
          <rPr>
            <sz val="9"/>
            <color indexed="81"/>
            <rFont val="Tahoma"/>
            <family val="2"/>
          </rPr>
          <t xml:space="preserve">
3E</t>
        </r>
      </text>
    </comment>
    <comment ref="AC166" authorId="1">
      <text>
        <r>
          <rPr>
            <b/>
            <sz val="9"/>
            <color indexed="81"/>
            <rFont val="Tahoma"/>
            <family val="2"/>
          </rPr>
          <t>Kaplan, Toni (Research):</t>
        </r>
        <r>
          <rPr>
            <sz val="9"/>
            <color indexed="81"/>
            <rFont val="Tahoma"/>
            <family val="2"/>
          </rPr>
          <t xml:space="preserve">
$0.6M from Maplecroft in 4Q (acq in Dec) - 10K p.33</t>
        </r>
      </text>
    </comment>
    <comment ref="AD166" authorId="5">
      <text>
        <r>
          <rPr>
            <b/>
            <sz val="9"/>
            <color indexed="81"/>
            <rFont val="Tahoma"/>
            <family val="2"/>
          </rPr>
          <t>Halfmann, Patrick T (Research):</t>
        </r>
        <r>
          <rPr>
            <sz val="9"/>
            <color indexed="81"/>
            <rFont val="Tahoma"/>
            <family val="2"/>
          </rPr>
          <t xml:space="preserve">
Includes Maplecroft and Wood Mac</t>
        </r>
      </text>
    </comment>
    <comment ref="AA175" authorId="1">
      <text>
        <r>
          <rPr>
            <b/>
            <sz val="9"/>
            <color indexed="81"/>
            <rFont val="Tahoma"/>
            <family val="2"/>
          </rPr>
          <t>Kaplan, Toni (Research):</t>
        </r>
        <r>
          <rPr>
            <sz val="9"/>
            <color indexed="81"/>
            <rFont val="Tahoma"/>
            <family val="2"/>
          </rPr>
          <t xml:space="preserve">
$0.6M from Maplecroft in 4Q (acq in Dec) - 10K p.33</t>
        </r>
      </text>
    </comment>
  </commentList>
</comments>
</file>

<file path=xl/comments3.xml><?xml version="1.0" encoding="utf-8"?>
<comments xmlns="http://schemas.openxmlformats.org/spreadsheetml/2006/main">
  <authors>
    <author>Kaplan, Toni (Research)</author>
  </authors>
  <commentList>
    <comment ref="W24" authorId="0">
      <text>
        <r>
          <rPr>
            <b/>
            <sz val="9"/>
            <color indexed="81"/>
            <rFont val="Tahoma"/>
            <family val="2"/>
          </rPr>
          <t>Kaplan, Toni (Research):</t>
        </r>
        <r>
          <rPr>
            <sz val="9"/>
            <color indexed="81"/>
            <rFont val="Tahoma"/>
            <family val="2"/>
          </rPr>
          <t xml:space="preserve">
ex Wood Mac fees</t>
        </r>
      </text>
    </comment>
  </commentList>
</comments>
</file>

<file path=xl/comments4.xml><?xml version="1.0" encoding="utf-8"?>
<comments xmlns="http://schemas.openxmlformats.org/spreadsheetml/2006/main">
  <authors>
    <author>Halfmann, Patrick T (Research)</author>
  </authors>
  <commentList>
    <comment ref="G28" authorId="0">
      <text>
        <r>
          <rPr>
            <b/>
            <sz val="9"/>
            <color indexed="81"/>
            <rFont val="Tahoma"/>
            <family val="2"/>
          </rPr>
          <t>Halfmann, Patrick T (Research):</t>
        </r>
        <r>
          <rPr>
            <sz val="9"/>
            <color indexed="81"/>
            <rFont val="Tahoma"/>
            <family val="2"/>
          </rPr>
          <t xml:space="preserve">
Post healthcare sale net debt</t>
        </r>
      </text>
    </comment>
  </commentList>
</comments>
</file>

<file path=xl/comments5.xml><?xml version="1.0" encoding="utf-8"?>
<comments xmlns="http://schemas.openxmlformats.org/spreadsheetml/2006/main">
  <authors>
    <author>kapltoni</author>
    <author>Halfmann, Patrick T (Research)</author>
    <author>Halfmann, Patrick (Research)</author>
    <author>Kaplan, Toni (Research)</author>
  </authors>
  <commentList>
    <comment ref="I5" authorId="0">
      <text>
        <r>
          <rPr>
            <b/>
            <sz val="8"/>
            <color indexed="81"/>
            <rFont val="Tahoma"/>
            <family val="2"/>
          </rPr>
          <t>kapltoni:</t>
        </r>
        <r>
          <rPr>
            <sz val="8"/>
            <color indexed="81"/>
            <rFont val="Tahoma"/>
            <family val="2"/>
          </rPr>
          <t xml:space="preserve">
assumes drawn at end of quarter.
$525M capacity avail per MediConnect Acq call</t>
        </r>
      </text>
    </comment>
    <comment ref="K5" authorId="0">
      <text>
        <r>
          <rPr>
            <b/>
            <sz val="8"/>
            <color indexed="81"/>
            <rFont val="Tahoma"/>
            <family val="2"/>
          </rPr>
          <t>kapltoni:</t>
        </r>
        <r>
          <rPr>
            <sz val="8"/>
            <color indexed="81"/>
            <rFont val="Tahoma"/>
            <family val="2"/>
          </rPr>
          <t xml:space="preserve">
$380M borrowed for Argus minus $30M  paydown</t>
        </r>
      </text>
    </comment>
    <comment ref="R5" authorId="0">
      <text>
        <r>
          <rPr>
            <b/>
            <sz val="8"/>
            <color indexed="81"/>
            <rFont val="Tahoma"/>
            <family val="2"/>
          </rPr>
          <t>kapltoni:</t>
        </r>
        <r>
          <rPr>
            <sz val="8"/>
            <color indexed="81"/>
            <rFont val="Tahoma"/>
            <family val="2"/>
          </rPr>
          <t xml:space="preserve">
$100M paydown of revolver</t>
        </r>
      </text>
    </comment>
    <comment ref="AD5" authorId="1">
      <text>
        <r>
          <rPr>
            <b/>
            <sz val="9"/>
            <color indexed="81"/>
            <rFont val="Tahoma"/>
            <family val="2"/>
          </rPr>
          <t>Halfmann, Patrick T (Research):</t>
        </r>
        <r>
          <rPr>
            <sz val="9"/>
            <color indexed="81"/>
            <rFont val="Tahoma"/>
            <family val="2"/>
          </rPr>
          <t xml:space="preserve">
$1,500M capacity</t>
        </r>
      </text>
    </comment>
    <comment ref="AI5" authorId="2">
      <text>
        <r>
          <rPr>
            <b/>
            <sz val="9"/>
            <color indexed="81"/>
            <rFont val="Tahoma"/>
            <family val="2"/>
          </rPr>
          <t>Halfmann, Patrick (Research):</t>
        </r>
        <r>
          <rPr>
            <sz val="9"/>
            <color indexed="81"/>
            <rFont val="Tahoma"/>
            <family val="2"/>
          </rPr>
          <t xml:space="preserve">
4Q: Assumed raise based on full year int expn guidance; 1.5B avail</t>
        </r>
      </text>
    </comment>
    <comment ref="R9" authorId="0">
      <text>
        <r>
          <rPr>
            <b/>
            <sz val="8"/>
            <color indexed="81"/>
            <rFont val="Tahoma"/>
            <family val="2"/>
          </rPr>
          <t>kapltoni:</t>
        </r>
        <r>
          <rPr>
            <sz val="8"/>
            <color indexed="81"/>
            <rFont val="Tahoma"/>
            <family val="2"/>
          </rPr>
          <t xml:space="preserve">
paydown as matures</t>
        </r>
      </text>
    </comment>
    <comment ref="R10" authorId="0">
      <text>
        <r>
          <rPr>
            <b/>
            <sz val="8"/>
            <color indexed="81"/>
            <rFont val="Tahoma"/>
            <family val="2"/>
          </rPr>
          <t>kapltoni:</t>
        </r>
        <r>
          <rPr>
            <sz val="8"/>
            <color indexed="81"/>
            <rFont val="Tahoma"/>
            <family val="2"/>
          </rPr>
          <t xml:space="preserve">
paydown as matures</t>
        </r>
      </text>
    </comment>
    <comment ref="R11" authorId="0">
      <text>
        <r>
          <rPr>
            <b/>
            <sz val="8"/>
            <color indexed="81"/>
            <rFont val="Tahoma"/>
            <family val="2"/>
          </rPr>
          <t>kapltoni:</t>
        </r>
        <r>
          <rPr>
            <sz val="8"/>
            <color indexed="81"/>
            <rFont val="Tahoma"/>
            <family val="2"/>
          </rPr>
          <t xml:space="preserve">
paydown as matures</t>
        </r>
      </text>
    </comment>
    <comment ref="R12" authorId="0">
      <text>
        <r>
          <rPr>
            <b/>
            <sz val="8"/>
            <color indexed="81"/>
            <rFont val="Tahoma"/>
            <family val="2"/>
          </rPr>
          <t>kapltoni:</t>
        </r>
        <r>
          <rPr>
            <sz val="8"/>
            <color indexed="81"/>
            <rFont val="Tahoma"/>
            <family val="2"/>
          </rPr>
          <t xml:space="preserve">
paydown as matures</t>
        </r>
      </text>
    </comment>
    <comment ref="R14" authorId="0">
      <text>
        <r>
          <rPr>
            <b/>
            <sz val="8"/>
            <color indexed="81"/>
            <rFont val="Tahoma"/>
            <family val="2"/>
          </rPr>
          <t>kapltoni:</t>
        </r>
        <r>
          <rPr>
            <sz val="8"/>
            <color indexed="81"/>
            <rFont val="Tahoma"/>
            <family val="2"/>
          </rPr>
          <t xml:space="preserve">
paydown as matures</t>
        </r>
      </text>
    </comment>
    <comment ref="R16" authorId="0">
      <text>
        <r>
          <rPr>
            <b/>
            <sz val="8"/>
            <color indexed="81"/>
            <rFont val="Tahoma"/>
            <family val="2"/>
          </rPr>
          <t>kapltoni:</t>
        </r>
        <r>
          <rPr>
            <sz val="8"/>
            <color indexed="81"/>
            <rFont val="Tahoma"/>
            <family val="2"/>
          </rPr>
          <t xml:space="preserve">
paydown as matures</t>
        </r>
      </text>
    </comment>
    <comment ref="R29" authorId="0">
      <text>
        <r>
          <rPr>
            <b/>
            <sz val="8"/>
            <color indexed="81"/>
            <rFont val="Tahoma"/>
            <family val="2"/>
          </rPr>
          <t>kapltoni:</t>
        </r>
        <r>
          <rPr>
            <sz val="8"/>
            <color indexed="81"/>
            <rFont val="Tahoma"/>
            <family val="2"/>
          </rPr>
          <t xml:space="preserve">
paydown as matures</t>
        </r>
      </text>
    </comment>
    <comment ref="L30" authorId="0">
      <text>
        <r>
          <rPr>
            <sz val="8"/>
            <color indexed="81"/>
            <rFont val="Tahoma"/>
            <family val="2"/>
          </rPr>
          <t>moved to short term</t>
        </r>
      </text>
    </comment>
    <comment ref="N30" authorId="0">
      <text>
        <r>
          <rPr>
            <sz val="8"/>
            <color indexed="81"/>
            <rFont val="Tahoma"/>
            <family val="2"/>
          </rPr>
          <t>moved to short term</t>
        </r>
      </text>
    </comment>
    <comment ref="R30" authorId="0">
      <text>
        <r>
          <rPr>
            <b/>
            <sz val="8"/>
            <color indexed="81"/>
            <rFont val="Tahoma"/>
            <family val="2"/>
          </rPr>
          <t>kapltoni:</t>
        </r>
        <r>
          <rPr>
            <sz val="8"/>
            <color indexed="81"/>
            <rFont val="Tahoma"/>
            <family val="2"/>
          </rPr>
          <t xml:space="preserve">
paydown as matures</t>
        </r>
      </text>
    </comment>
    <comment ref="J32" authorId="0">
      <text>
        <r>
          <rPr>
            <b/>
            <sz val="8"/>
            <color indexed="81"/>
            <rFont val="Tahoma"/>
            <family val="2"/>
          </rPr>
          <t>kapltoni:</t>
        </r>
        <r>
          <rPr>
            <sz val="8"/>
            <color indexed="81"/>
            <rFont val="Tahoma"/>
            <family val="2"/>
          </rPr>
          <t xml:space="preserve">
moved to ST</t>
        </r>
      </text>
    </comment>
    <comment ref="R39" authorId="0">
      <text>
        <r>
          <rPr>
            <b/>
            <sz val="8"/>
            <color indexed="81"/>
            <rFont val="Tahoma"/>
            <family val="2"/>
          </rPr>
          <t>kapltoni:</t>
        </r>
        <r>
          <rPr>
            <sz val="8"/>
            <color indexed="81"/>
            <rFont val="Tahoma"/>
            <family val="2"/>
          </rPr>
          <t xml:space="preserve">
paydown as matures</t>
        </r>
      </text>
    </comment>
    <comment ref="L44" authorId="0">
      <text>
        <r>
          <rPr>
            <sz val="8"/>
            <color indexed="81"/>
            <rFont val="Tahoma"/>
            <family val="2"/>
          </rPr>
          <t>moved to short term</t>
        </r>
      </text>
    </comment>
    <comment ref="N44" authorId="0">
      <text>
        <r>
          <rPr>
            <sz val="8"/>
            <color indexed="81"/>
            <rFont val="Tahoma"/>
            <family val="2"/>
          </rPr>
          <t>moved to short term</t>
        </r>
      </text>
    </comment>
    <comment ref="R44" authorId="0">
      <text>
        <r>
          <rPr>
            <b/>
            <sz val="8"/>
            <color indexed="81"/>
            <rFont val="Tahoma"/>
            <family val="2"/>
          </rPr>
          <t>kapltoni:</t>
        </r>
        <r>
          <rPr>
            <sz val="8"/>
            <color indexed="81"/>
            <rFont val="Tahoma"/>
            <family val="2"/>
          </rPr>
          <t xml:space="preserve">
paydown as matures</t>
        </r>
      </text>
    </comment>
    <comment ref="R46" authorId="0">
      <text>
        <r>
          <rPr>
            <b/>
            <sz val="8"/>
            <color indexed="81"/>
            <rFont val="Tahoma"/>
            <family val="2"/>
          </rPr>
          <t>kapltoni:</t>
        </r>
        <r>
          <rPr>
            <sz val="8"/>
            <color indexed="81"/>
            <rFont val="Tahoma"/>
            <family val="2"/>
          </rPr>
          <t xml:space="preserve">
paydown as matures</t>
        </r>
      </text>
    </comment>
    <comment ref="J50" authorId="0">
      <text>
        <r>
          <rPr>
            <b/>
            <sz val="8"/>
            <color indexed="81"/>
            <rFont val="Tahoma"/>
            <family val="2"/>
          </rPr>
          <t>kapltoni:</t>
        </r>
        <r>
          <rPr>
            <sz val="8"/>
            <color indexed="81"/>
            <rFont val="Tahoma"/>
            <family val="2"/>
          </rPr>
          <t xml:space="preserve">
moved to ST</t>
        </r>
      </text>
    </comment>
    <comment ref="AC55" authorId="1">
      <text>
        <r>
          <rPr>
            <b/>
            <sz val="9"/>
            <color indexed="81"/>
            <rFont val="Tahoma"/>
            <family val="2"/>
          </rPr>
          <t>Halfmann, Patrick T (Research):</t>
        </r>
        <r>
          <rPr>
            <sz val="9"/>
            <color indexed="81"/>
            <rFont val="Tahoma"/>
            <family val="2"/>
          </rPr>
          <t xml:space="preserve">
Amortizing debt issuance costs</t>
        </r>
      </text>
    </comment>
    <comment ref="AD55" authorId="1">
      <text>
        <r>
          <rPr>
            <b/>
            <sz val="9"/>
            <color indexed="81"/>
            <rFont val="Tahoma"/>
            <family val="2"/>
          </rPr>
          <t>Halfmann, Patrick T (Research):</t>
        </r>
        <r>
          <rPr>
            <sz val="9"/>
            <color indexed="81"/>
            <rFont val="Tahoma"/>
            <family val="2"/>
          </rPr>
          <t xml:space="preserve">
Amortizing debt issuance costs</t>
        </r>
      </text>
    </comment>
    <comment ref="AC60" authorId="3">
      <text>
        <r>
          <rPr>
            <b/>
            <sz val="9"/>
            <color indexed="81"/>
            <rFont val="Tahoma"/>
            <family val="2"/>
          </rPr>
          <t>Kaplan, Toni (Research):</t>
        </r>
        <r>
          <rPr>
            <sz val="9"/>
            <color indexed="81"/>
            <rFont val="Tahoma"/>
            <family val="2"/>
          </rPr>
          <t xml:space="preserve">
Series J moved to Short Term $50M</t>
        </r>
      </text>
    </comment>
    <comment ref="K71" authorId="0">
      <text>
        <r>
          <rPr>
            <b/>
            <sz val="8"/>
            <color indexed="81"/>
            <rFont val="Tahoma"/>
            <family val="2"/>
          </rPr>
          <t>kapltoni:</t>
        </r>
        <r>
          <rPr>
            <sz val="8"/>
            <color indexed="81"/>
            <rFont val="Tahoma"/>
            <family val="2"/>
          </rPr>
          <t xml:space="preserve">
25 days</t>
        </r>
      </text>
    </comment>
    <comment ref="G72" authorId="0">
      <text>
        <r>
          <rPr>
            <b/>
            <sz val="8"/>
            <color indexed="81"/>
            <rFont val="Tahoma"/>
            <family val="2"/>
          </rPr>
          <t>kapltoni:</t>
        </r>
        <r>
          <rPr>
            <sz val="8"/>
            <color indexed="81"/>
            <rFont val="Tahoma"/>
            <family val="2"/>
          </rPr>
          <t xml:space="preserve">
one month</t>
        </r>
      </text>
    </comment>
    <comment ref="M104" authorId="0">
      <text>
        <r>
          <rPr>
            <b/>
            <sz val="8"/>
            <color indexed="81"/>
            <rFont val="Tahoma"/>
            <family val="2"/>
          </rPr>
          <t>kapltoni:</t>
        </r>
        <r>
          <rPr>
            <sz val="8"/>
            <color indexed="81"/>
            <rFont val="Tahoma"/>
            <family val="2"/>
          </rPr>
          <t xml:space="preserve">
guidance $65M</t>
        </r>
      </text>
    </comment>
    <comment ref="AD104" authorId="1">
      <text>
        <r>
          <rPr>
            <b/>
            <sz val="9"/>
            <color indexed="81"/>
            <rFont val="Tahoma"/>
            <family val="2"/>
          </rPr>
          <t>Halfmann, Patrick T (Research):</t>
        </r>
        <r>
          <rPr>
            <sz val="9"/>
            <color indexed="81"/>
            <rFont val="Tahoma"/>
            <family val="2"/>
          </rPr>
          <t xml:space="preserve">
Difference driven by late quarter debt paydown</t>
        </r>
      </text>
    </comment>
    <comment ref="AG104" authorId="1">
      <text>
        <r>
          <rPr>
            <b/>
            <sz val="9"/>
            <color indexed="81"/>
            <rFont val="Tahoma"/>
            <family val="2"/>
          </rPr>
          <t>Halfmann, Patrick T (Research):</t>
        </r>
        <r>
          <rPr>
            <sz val="9"/>
            <color indexed="81"/>
            <rFont val="Tahoma"/>
            <family val="2"/>
          </rPr>
          <t xml:space="preserve">
2Q: $120M</t>
        </r>
      </text>
    </comment>
  </commentList>
</comments>
</file>

<file path=xl/sharedStrings.xml><?xml version="1.0" encoding="utf-8"?>
<sst xmlns="http://schemas.openxmlformats.org/spreadsheetml/2006/main" count="3508" uniqueCount="1006">
  <si>
    <t>1Q07</t>
  </si>
  <si>
    <t>2Q07</t>
  </si>
  <si>
    <t>3Q07</t>
  </si>
  <si>
    <t>4Q07</t>
  </si>
  <si>
    <t>1Q08</t>
  </si>
  <si>
    <t>2Q08</t>
  </si>
  <si>
    <t>3Q08</t>
  </si>
  <si>
    <t>4Q08</t>
  </si>
  <si>
    <t>1Q09</t>
  </si>
  <si>
    <t>2Q09</t>
  </si>
  <si>
    <t>3Q09</t>
  </si>
  <si>
    <t>4Q09</t>
  </si>
  <si>
    <t>1Q10</t>
  </si>
  <si>
    <t>2Q10</t>
  </si>
  <si>
    <t>3Q10</t>
  </si>
  <si>
    <t>4Q10</t>
  </si>
  <si>
    <t>1Q11</t>
  </si>
  <si>
    <t>2Q11</t>
  </si>
  <si>
    <t>3Q11</t>
  </si>
  <si>
    <t>4Q11</t>
  </si>
  <si>
    <t>1Q12</t>
  </si>
  <si>
    <t>2Q12</t>
  </si>
  <si>
    <t>3Q12</t>
  </si>
  <si>
    <t>4Q12</t>
  </si>
  <si>
    <t>1Q13</t>
  </si>
  <si>
    <t>2Q13</t>
  </si>
  <si>
    <t>3Q13</t>
  </si>
  <si>
    <t>4Q13</t>
  </si>
  <si>
    <t>1Q14</t>
  </si>
  <si>
    <t>2Q14</t>
  </si>
  <si>
    <t>3Q14</t>
  </si>
  <si>
    <t>4Q14</t>
  </si>
  <si>
    <t>1Q15</t>
  </si>
  <si>
    <t>2Q15</t>
  </si>
  <si>
    <t>3Q15</t>
  </si>
  <si>
    <t>4Q15</t>
  </si>
  <si>
    <t>1Q16</t>
  </si>
  <si>
    <t>2Q16</t>
  </si>
  <si>
    <t>3Q16</t>
  </si>
  <si>
    <t>4Q16</t>
  </si>
  <si>
    <t>4Q17E</t>
  </si>
  <si>
    <t>2017E</t>
  </si>
  <si>
    <t>2018E</t>
  </si>
  <si>
    <t>2019E</t>
  </si>
  <si>
    <t>2020E</t>
  </si>
  <si>
    <t>Verisk Analytics</t>
  </si>
  <si>
    <t>Quarterly Income Statement</t>
  </si>
  <si>
    <t>Annual Income Statement</t>
  </si>
  <si>
    <t>(Values in millions, except per-share amounts)</t>
  </si>
  <si>
    <t>Fiscal Year Ending Dec. 31</t>
  </si>
  <si>
    <t>Total Revenue</t>
  </si>
  <si>
    <t xml:space="preserve"> </t>
  </si>
  <si>
    <t>Annual Growth (2016 from continuing operations)</t>
  </si>
  <si>
    <t>Total Revenue (pro forma for Mortgage)</t>
  </si>
  <si>
    <t>Revenue Growth (pro forma for mortgage, hc chg)</t>
  </si>
  <si>
    <t>Organic C/C Growth</t>
  </si>
  <si>
    <t>Cost Of Revenues</t>
  </si>
  <si>
    <t>Gross Margin</t>
  </si>
  <si>
    <t>Selling General and Administrative</t>
  </si>
  <si>
    <t>% of Total Revenue</t>
  </si>
  <si>
    <t xml:space="preserve">______ </t>
  </si>
  <si>
    <t>Total Expenses</t>
  </si>
  <si>
    <t>Adjustments</t>
  </si>
  <si>
    <t>Total Expenses ex. ESOP and IPO Expenses</t>
  </si>
  <si>
    <t>EBITDA</t>
  </si>
  <si>
    <t>EBITDA Margin</t>
  </si>
  <si>
    <t>Year-over-Year Growth</t>
  </si>
  <si>
    <t>Adj. EBITDA</t>
  </si>
  <si>
    <t>Adj. EBITDA Margin</t>
  </si>
  <si>
    <t>Depreciation and Amortization</t>
  </si>
  <si>
    <t>Depreciation</t>
  </si>
  <si>
    <t>Intangible Amortization</t>
  </si>
  <si>
    <t>Income from Operations</t>
  </si>
  <si>
    <t>Operating Margin</t>
  </si>
  <si>
    <t>Interest Income</t>
  </si>
  <si>
    <t>Interest (Expense)</t>
  </si>
  <si>
    <t>Other Income (Expense)</t>
  </si>
  <si>
    <t>Pretax Income</t>
  </si>
  <si>
    <t>Income Tax Benefit (Expense)- Reported</t>
  </si>
  <si>
    <t>Income Tax Benefit (Expense)- Extraordinary income (expenses)</t>
  </si>
  <si>
    <t>Income Tax Benefit (Expense)</t>
  </si>
  <si>
    <t>Net Income from Continuing Operations</t>
  </si>
  <si>
    <t>Income (loss) from Discontinued operations, net</t>
  </si>
  <si>
    <t>Extraordinary (charges) / gains</t>
  </si>
  <si>
    <t>Net Income to Common Stockholders</t>
  </si>
  <si>
    <t>Adj. Net Income (excl. ESOP &amp; extraordinary items)</t>
  </si>
  <si>
    <t>Tax Effect of amortization add back</t>
  </si>
  <si>
    <t>Adjusted Net Income</t>
  </si>
  <si>
    <t>Basic Shares Outstanding</t>
  </si>
  <si>
    <t>Average Basic Shares Outstanding</t>
  </si>
  <si>
    <t>Diluted Shares Outstanding</t>
  </si>
  <si>
    <t>Common Dividends</t>
  </si>
  <si>
    <t>Avg. Diluted Shares Outstanding</t>
  </si>
  <si>
    <t>Diluted GAAP EPS (Continuing Ops.)</t>
  </si>
  <si>
    <t>Diluted GAAP EPS Reported</t>
  </si>
  <si>
    <t>Adj. EPS (excl. ESOP &amp; extraordinary items)</t>
  </si>
  <si>
    <t>Adjusted, Cont EPS</t>
  </si>
  <si>
    <t>Restated Adj EPS, Continuing</t>
  </si>
  <si>
    <t>Performance Statistics</t>
  </si>
  <si>
    <t>Fiscal Year Ending December 31</t>
  </si>
  <si>
    <t>Segment Performance</t>
  </si>
  <si>
    <t>Risk Assessment</t>
  </si>
  <si>
    <t>Revenue</t>
  </si>
  <si>
    <t>YoY Growth</t>
  </si>
  <si>
    <t>Headcount</t>
  </si>
  <si>
    <t>Total Expenses per Employee</t>
  </si>
  <si>
    <t>Decision Analytics</t>
  </si>
  <si>
    <t>Fraud identification and detection solutions</t>
  </si>
  <si>
    <t>Loss prediction solutions</t>
  </si>
  <si>
    <t>Loss quantification solutions</t>
  </si>
  <si>
    <t>Capital Expenditures</t>
  </si>
  <si>
    <t>Free Cash Flow</t>
  </si>
  <si>
    <t>FCF per Share</t>
  </si>
  <si>
    <t>Cash and Equivalents</t>
  </si>
  <si>
    <t>Total Debt &amp; Preferred Stock</t>
  </si>
  <si>
    <t>Leverage</t>
  </si>
  <si>
    <t>Net Leverage</t>
  </si>
  <si>
    <t>Interest Coverage</t>
  </si>
  <si>
    <t>Source:  Company reports.</t>
  </si>
  <si>
    <t>Cash Flows From Operations</t>
  </si>
  <si>
    <t>Net income (loss) to Common Stockholders</t>
  </si>
  <si>
    <t xml:space="preserve">Depreciation </t>
  </si>
  <si>
    <t>Amortization of intangible assets</t>
  </si>
  <si>
    <t>KSOP compensation expense</t>
  </si>
  <si>
    <t xml:space="preserve">Stock-based Compensation </t>
  </si>
  <si>
    <t>Employee Compensation Expense</t>
  </si>
  <si>
    <t>Deferred Taxes</t>
  </si>
  <si>
    <t>Tax benefit on stock options exercised</t>
  </si>
  <si>
    <t>Loss (Gain) on disposal of assets</t>
  </si>
  <si>
    <t>Gain/Losses on Securities</t>
  </si>
  <si>
    <t>Goodwill Impairment</t>
  </si>
  <si>
    <t>Other</t>
  </si>
  <si>
    <t>Net Changes in Operating Assets and Liabilities</t>
  </si>
  <si>
    <t xml:space="preserve">Accounts Receivable </t>
  </si>
  <si>
    <t>State/Federal Tax Receivables/Payable</t>
  </si>
  <si>
    <t>Prepaid Expenses and Other Assets</t>
  </si>
  <si>
    <t>Accounts Payable and Accrued Liabilities</t>
  </si>
  <si>
    <t>Fees Received in Advance</t>
  </si>
  <si>
    <t>Acquisition related liabilities</t>
  </si>
  <si>
    <t>Increase in Other Assets/Liabilities</t>
  </si>
  <si>
    <t>Net Cash provided by Op. Activities from Cont. Ops.</t>
  </si>
  <si>
    <t>Cash From Investing Activities</t>
  </si>
  <si>
    <t xml:space="preserve">Capital Expenditures </t>
  </si>
  <si>
    <t>Disposals/(Acquisitions)</t>
  </si>
  <si>
    <t>Purchase of Securities</t>
  </si>
  <si>
    <t>Proceeds from Sale of Securities</t>
  </si>
  <si>
    <t>Issuance/Proceeds of Notes rec. From Stockholders</t>
  </si>
  <si>
    <t>Net Cash provided by Invest. Activities from Cont. Ops.</t>
  </si>
  <si>
    <t>Cash From Financing Activities</t>
  </si>
  <si>
    <t>Borrowing on Short-term Debt</t>
  </si>
  <si>
    <t>Payments on Short-term or Long-Term Debt</t>
  </si>
  <si>
    <t>Borrowing on Long-term Debt</t>
  </si>
  <si>
    <t>Issuance of Common Stock, Net of Issuance Costs</t>
  </si>
  <si>
    <t>Repurchase of Common Stock</t>
  </si>
  <si>
    <t>Excess Tax benefit on stock options exercised</t>
  </si>
  <si>
    <t>Proceeds from stock options</t>
  </si>
  <si>
    <t>Dividends Paid</t>
  </si>
  <si>
    <t>Net Cash provided by Financing Activities</t>
  </si>
  <si>
    <t>Effects Of Exchange Rate On Cash</t>
  </si>
  <si>
    <t>Net increase (decrease) in Cash and Cash Equivalents</t>
  </si>
  <si>
    <t>Cash &amp; Equivalents - Beginning</t>
  </si>
  <si>
    <t>Cash &amp; Equivalents - End</t>
  </si>
  <si>
    <t>Quarterly Balance Sheet</t>
  </si>
  <si>
    <t>Purch Price Alloc</t>
  </si>
  <si>
    <t>Financing</t>
  </si>
  <si>
    <t>ASSETS</t>
  </si>
  <si>
    <t>Current Assets</t>
  </si>
  <si>
    <t xml:space="preserve">Cash and Cash Equivalents </t>
  </si>
  <si>
    <t>Securities Available for Sale</t>
  </si>
  <si>
    <t>Accounts Receivable, Net of Allowance</t>
  </si>
  <si>
    <t>Notes Receivable From Stockholders</t>
  </si>
  <si>
    <t>Prepaid Expenses and Other Receivables</t>
  </si>
  <si>
    <t>Income Tax  Receivable</t>
  </si>
  <si>
    <t>Other Current Assets</t>
  </si>
  <si>
    <t xml:space="preserve">Total Current Assets </t>
  </si>
  <si>
    <t xml:space="preserve">Property and Equipment, Net </t>
  </si>
  <si>
    <t>Goodwill, Net</t>
  </si>
  <si>
    <t>Other Intangibles, Net</t>
  </si>
  <si>
    <t>Other Assets</t>
  </si>
  <si>
    <t>Total Assets</t>
  </si>
  <si>
    <t>LIABILITIES AND STOCKHOLDERS’ EQUITY</t>
  </si>
  <si>
    <t>Current Liabilities</t>
  </si>
  <si>
    <t>Accounts Payable</t>
  </si>
  <si>
    <t>Acquisition Related Liabilities</t>
  </si>
  <si>
    <t>Short Term Debt</t>
  </si>
  <si>
    <t>Pension and postretirement benefits</t>
  </si>
  <si>
    <t>Fees received in advance</t>
  </si>
  <si>
    <t>Income Tax Payable</t>
  </si>
  <si>
    <t>Other Liabilities</t>
  </si>
  <si>
    <t xml:space="preserve">Total Current Liabilities </t>
  </si>
  <si>
    <t xml:space="preserve">Long-Term Debt </t>
  </si>
  <si>
    <t>Pension benefits</t>
  </si>
  <si>
    <t>Postretirement</t>
  </si>
  <si>
    <t>Deferred Taxes and Other Long Term Liabilities</t>
  </si>
  <si>
    <t>Total Liabilities</t>
  </si>
  <si>
    <t>Stockholders' Equity</t>
  </si>
  <si>
    <t>Common Stock Class A</t>
  </si>
  <si>
    <t>Class A unearned common stock KSOP shares</t>
  </si>
  <si>
    <t>Common Stock Class B</t>
  </si>
  <si>
    <t>Additional Paid in Capital</t>
  </si>
  <si>
    <t>Treasury Stock</t>
  </si>
  <si>
    <t xml:space="preserve">Retained Earnings </t>
  </si>
  <si>
    <t>AOCI</t>
  </si>
  <si>
    <t xml:space="preserve">Total Stockholders’ Equity </t>
  </si>
  <si>
    <t>Total Liabilities &amp; Stockholders' Equity</t>
  </si>
  <si>
    <t>Out-of-Balance</t>
  </si>
  <si>
    <t>Segment Information</t>
  </si>
  <si>
    <t>Risk Assessment:</t>
  </si>
  <si>
    <t>Industry Standard Insurance Programs</t>
  </si>
  <si>
    <t>YoY Change</t>
  </si>
  <si>
    <t>Property-Specific Rating and U/W Info (SPI Database)</t>
  </si>
  <si>
    <t>Statistical Agency and Data Services</t>
  </si>
  <si>
    <t>Actuarial Services</t>
  </si>
  <si>
    <t xml:space="preserve">Revenue </t>
  </si>
  <si>
    <t>BEAR</t>
  </si>
  <si>
    <t>BASE</t>
  </si>
  <si>
    <t>BULL</t>
  </si>
  <si>
    <t>% of Revenue</t>
  </si>
  <si>
    <t>Total Expenses ex. ESOP</t>
  </si>
  <si>
    <t>Segment EBITDA</t>
  </si>
  <si>
    <t>Segment Adj. EBITDA</t>
  </si>
  <si>
    <t>Amortization</t>
  </si>
  <si>
    <t>Investment income and other</t>
  </si>
  <si>
    <t>Decision Analytics:</t>
  </si>
  <si>
    <t>% of Decision Analytic Revenue</t>
  </si>
  <si>
    <t>YoY Change Organic</t>
  </si>
  <si>
    <t>Margin on Incremental Revenue</t>
  </si>
  <si>
    <t>Amortization % of revenue</t>
  </si>
  <si>
    <t>Depreciation % of revenue</t>
  </si>
  <si>
    <t>Operating Income Check</t>
  </si>
  <si>
    <t>Stock Based Compensation Expense</t>
  </si>
  <si>
    <t>2005 grants</t>
  </si>
  <si>
    <t>2006 grants</t>
  </si>
  <si>
    <t>2007 grants</t>
  </si>
  <si>
    <t>2008 grants</t>
  </si>
  <si>
    <t>2009 grants</t>
  </si>
  <si>
    <t>2010 grants</t>
  </si>
  <si>
    <t>Working Capital &amp; Other</t>
  </si>
  <si>
    <t>Days of Sales in Accounts Receivable</t>
  </si>
  <si>
    <t>Days of Expense in Accounts Payable</t>
  </si>
  <si>
    <t>Days of Sales in Fees Received</t>
  </si>
  <si>
    <t>Acquisition Related Liabilities as % of Revenue</t>
  </si>
  <si>
    <t>Other Current Assets as % of Revenue</t>
  </si>
  <si>
    <t>Other Assets as % of Revenue</t>
  </si>
  <si>
    <t>Pension benefits as % of Revenue</t>
  </si>
  <si>
    <t>Postretirement as % of Revenue</t>
  </si>
  <si>
    <t>Prepaid expenses as % of Revenue</t>
  </si>
  <si>
    <t>Statutory Tax Rate</t>
  </si>
  <si>
    <t>Federal Tax Rate</t>
  </si>
  <si>
    <t xml:space="preserve">State Income Tax </t>
  </si>
  <si>
    <t>Effective Tax Rate</t>
  </si>
  <si>
    <t>Tax rate on amortization add-back</t>
  </si>
  <si>
    <t>% of Total Revenues</t>
  </si>
  <si>
    <t>Acquisitions:</t>
  </si>
  <si>
    <t>Acquisition allocated to Goodwill</t>
  </si>
  <si>
    <t>Acquisition allocated to PP&amp;E</t>
  </si>
  <si>
    <t>Acquisition allocated to Intangibles and others</t>
  </si>
  <si>
    <t>PP&amp;E Calculation</t>
  </si>
  <si>
    <t>PP&amp;E - BOP</t>
  </si>
  <si>
    <t>Capex</t>
  </si>
  <si>
    <t>Depreciation Expense</t>
  </si>
  <si>
    <t>Other Acquisition (Divestitures)</t>
  </si>
  <si>
    <t>PP&amp;E - EOP</t>
  </si>
  <si>
    <t>Intangibles Calculation</t>
  </si>
  <si>
    <t xml:space="preserve">Intangibles - BOP  </t>
  </si>
  <si>
    <t>Amortization Expense</t>
  </si>
  <si>
    <t>Other Additions</t>
  </si>
  <si>
    <t xml:space="preserve">Intangibles - EOP  </t>
  </si>
  <si>
    <t>Goodwill Calculation</t>
  </si>
  <si>
    <t xml:space="preserve">Goodwill - BOP  </t>
  </si>
  <si>
    <t xml:space="preserve">Goodwill - EOP  </t>
  </si>
  <si>
    <t>Total Interest Earning Assets</t>
  </si>
  <si>
    <t>Average Interest Earning Assets</t>
  </si>
  <si>
    <t>Average Interest Yield</t>
  </si>
  <si>
    <t>Interest Expense</t>
  </si>
  <si>
    <t>Total Debt</t>
  </si>
  <si>
    <t>Average Debt</t>
  </si>
  <si>
    <t>Average Interest Rate</t>
  </si>
  <si>
    <t>Net Operating Losses</t>
  </si>
  <si>
    <t>Beginning Balance</t>
  </si>
  <si>
    <t>NA</t>
  </si>
  <si>
    <t xml:space="preserve">  Additions</t>
  </si>
  <si>
    <t xml:space="preserve">  Uses</t>
  </si>
  <si>
    <t xml:space="preserve">        _______</t>
  </si>
  <si>
    <t xml:space="preserve">   _______</t>
  </si>
  <si>
    <t>Ending Balance</t>
  </si>
  <si>
    <t>Period End Basic Shares</t>
  </si>
  <si>
    <t>Net Share Issuance</t>
  </si>
  <si>
    <t>Estimated Stock Price</t>
  </si>
  <si>
    <t>Pooling Goodwill</t>
  </si>
  <si>
    <t>Changes in Shareholders' Equity</t>
  </si>
  <si>
    <t>Opening Balance</t>
  </si>
  <si>
    <t>Add :</t>
  </si>
  <si>
    <t>Issue of Shares (including premium)</t>
  </si>
  <si>
    <t>Net Income</t>
  </si>
  <si>
    <t>Dividend</t>
  </si>
  <si>
    <t xml:space="preserve"> AOCI</t>
  </si>
  <si>
    <t>Other AOCI</t>
  </si>
  <si>
    <t>Closing Balance</t>
  </si>
  <si>
    <t>Check for Shareholders Equity</t>
  </si>
  <si>
    <t>FCF Calculation</t>
  </si>
  <si>
    <t xml:space="preserve"> EBITDA</t>
  </si>
  <si>
    <t xml:space="preserve"> - Capex / Acquisitions</t>
  </si>
  <si>
    <t xml:space="preserve"> - Net Cash Interest Expense</t>
  </si>
  <si>
    <t xml:space="preserve"> - Changes in Working Capital </t>
  </si>
  <si>
    <t xml:space="preserve"> - Cash Taxes</t>
  </si>
  <si>
    <t>Total Free Cash Flow</t>
  </si>
  <si>
    <t>Free Cash Flow to Firm</t>
  </si>
  <si>
    <t>EBIT</t>
  </si>
  <si>
    <t>Less: Pro-Forma Taxes (at Effective Tax Rate)</t>
  </si>
  <si>
    <t>NOPLAT</t>
  </si>
  <si>
    <t>Gain/Loss on Sale, Impairments, and Other</t>
  </si>
  <si>
    <t>Plus: Total Non-Cash Charges</t>
  </si>
  <si>
    <t>Less: Fixed Cap Inv (Capex, Acq, Purch of Intang)</t>
  </si>
  <si>
    <t>Less: Working Cap Inv</t>
  </si>
  <si>
    <t>Less: After-Tax Interest Expense</t>
  </si>
  <si>
    <t>Plus: Net Borrowing</t>
  </si>
  <si>
    <t>Free Cash Flow to Equity</t>
  </si>
  <si>
    <t>Share Repurchases</t>
  </si>
  <si>
    <t>Dividends</t>
  </si>
  <si>
    <t>FCFE Coverage Ratio</t>
  </si>
  <si>
    <t>Invested Capital Analysis</t>
  </si>
  <si>
    <t>Invested capital</t>
  </si>
  <si>
    <t>Change in IC</t>
  </si>
  <si>
    <t>ROE</t>
  </si>
  <si>
    <t>Pretax ROIC</t>
  </si>
  <si>
    <t>Useful Life</t>
  </si>
  <si>
    <t xml:space="preserve">  Existing Depreciation &amp; Amortization</t>
  </si>
  <si>
    <t>Acquisitions</t>
  </si>
  <si>
    <t>Acquisition revenue</t>
  </si>
  <si>
    <t>Acquisition Price</t>
  </si>
  <si>
    <t>EPS For Consensus</t>
  </si>
  <si>
    <t>ROIC Calculation</t>
  </si>
  <si>
    <t>NOPAT (T4Q)</t>
  </si>
  <si>
    <t>Total Capital (avg over T4Q)</t>
  </si>
  <si>
    <t>ROIC</t>
  </si>
  <si>
    <t>Net debt</t>
  </si>
  <si>
    <t>Gross debt</t>
  </si>
  <si>
    <t>T4Q EBITDA</t>
  </si>
  <si>
    <t>Net debt to EBITDA</t>
  </si>
  <si>
    <t>Gross debt to EBITDA</t>
  </si>
  <si>
    <t>Decision Analytics revenue and growth rates (for Old v New)</t>
  </si>
  <si>
    <t>Insurance</t>
  </si>
  <si>
    <t>Organic growth</t>
  </si>
  <si>
    <t>Financial Services</t>
  </si>
  <si>
    <t>Healthcare</t>
  </si>
  <si>
    <t>Specialized Markets</t>
  </si>
  <si>
    <t>Total Decision Analytics</t>
  </si>
  <si>
    <t>Total Risk Assessment</t>
  </si>
  <si>
    <t>GBP</t>
  </si>
  <si>
    <t>Wood Mac</t>
  </si>
  <si>
    <t>Closed 5/19</t>
  </si>
  <si>
    <t>Full Year</t>
  </si>
  <si>
    <t>Y/Y Growth %</t>
  </si>
  <si>
    <t>Cost Of Goods Sold</t>
  </si>
  <si>
    <t>% of rev</t>
  </si>
  <si>
    <t>Selling General &amp; Admin Exp.</t>
  </si>
  <si>
    <t>Margin %</t>
  </si>
  <si>
    <t>Interest expense</t>
  </si>
  <si>
    <t>Interest tax shield</t>
  </si>
  <si>
    <t>_____</t>
  </si>
  <si>
    <t xml:space="preserve">  Net Int Income (expense)</t>
  </si>
  <si>
    <t>Pre-tax income</t>
  </si>
  <si>
    <t>Income Tax Expense</t>
  </si>
  <si>
    <t>Tax rate</t>
  </si>
  <si>
    <t>Net income</t>
  </si>
  <si>
    <t>Shares issued @ price of $70</t>
  </si>
  <si>
    <t xml:space="preserve">Diluted shares </t>
  </si>
  <si>
    <t>Share count</t>
  </si>
  <si>
    <t>Adj. EPS</t>
  </si>
  <si>
    <t>D&amp;A</t>
  </si>
  <si>
    <t>Intangible amortization</t>
  </si>
  <si>
    <t>Total Decision Analytics (Legacy VRSK + Wood Mac)</t>
  </si>
  <si>
    <t>Verisk Health Discontinued Operations</t>
  </si>
  <si>
    <t>Estimated</t>
  </si>
  <si>
    <t>Estimated Healthcare EBITDA</t>
  </si>
  <si>
    <t>Estimated Healthcare EBITDA expenses</t>
  </si>
  <si>
    <t>Estimated Healtchare Depreciation and Amortization</t>
  </si>
  <si>
    <t>Estimated Segment Income</t>
  </si>
  <si>
    <t>2016E</t>
  </si>
  <si>
    <t>Note: CLGX statements suggest Equecat added ~$32M in 1H</t>
  </si>
  <si>
    <t>FS Mortgage</t>
  </si>
  <si>
    <t>--</t>
  </si>
  <si>
    <t>Fin Servies - Mortgage, Cont</t>
  </si>
  <si>
    <t>Fin Servies - Mortgage, Disc</t>
  </si>
  <si>
    <t>FS Argus</t>
  </si>
  <si>
    <t>NM</t>
  </si>
  <si>
    <t xml:space="preserve">Argus Mix </t>
  </si>
  <si>
    <r>
      <rPr>
        <sz val="8"/>
        <rFont val="Arial"/>
        <family val="2"/>
      </rPr>
      <t>Healthcare</t>
    </r>
    <r>
      <rPr>
        <i/>
        <sz val="8"/>
        <rFont val="Arial"/>
        <family val="2"/>
      </rPr>
      <t xml:space="preserve">  (Reflects Acc Chg)</t>
    </r>
  </si>
  <si>
    <t>Reported growth</t>
  </si>
  <si>
    <t>Specialized Markets incl. Energy</t>
  </si>
  <si>
    <t>Energy - Wood Mac</t>
  </si>
  <si>
    <t>YoY Change - Energy only</t>
  </si>
  <si>
    <t>Organic c/c growth - Energy only</t>
  </si>
  <si>
    <t>Restated</t>
  </si>
  <si>
    <t>Restated ex healthcare</t>
  </si>
  <si>
    <t>Total Decision Analytics from Continuing Operations</t>
  </si>
  <si>
    <t>Organic c/c growth</t>
  </si>
  <si>
    <t>Total Revenue from Continuing Operations</t>
  </si>
  <si>
    <t>% of Decision Analytics Revenue</t>
  </si>
  <si>
    <t>Specialized incl. Energy</t>
  </si>
  <si>
    <t>Energy</t>
  </si>
  <si>
    <t>% of Total revenue</t>
  </si>
  <si>
    <t>Insurance - Decision Analytics</t>
  </si>
  <si>
    <t>Transaction vs Subscription</t>
  </si>
  <si>
    <t>Risk Assesment Subs</t>
  </si>
  <si>
    <t>% Subscription</t>
  </si>
  <si>
    <t>Net new subs</t>
  </si>
  <si>
    <t>Net new transactional</t>
  </si>
  <si>
    <t>Decision Analytics Subs</t>
  </si>
  <si>
    <t>Segment Proftiability</t>
  </si>
  <si>
    <t>Chg YoY</t>
  </si>
  <si>
    <t>Cost of Services</t>
  </si>
  <si>
    <t xml:space="preserve">SGA </t>
  </si>
  <si>
    <t>Descision Analytics</t>
  </si>
  <si>
    <t>Growth From Acquisitions</t>
  </si>
  <si>
    <t>Acquisition Growth Rate</t>
  </si>
  <si>
    <t>Acquisitions, Inorganic Revenue Qtrs</t>
  </si>
  <si>
    <t>Price Paid</t>
  </si>
  <si>
    <t>Insurance Risk Management Solutions</t>
  </si>
  <si>
    <t>x</t>
  </si>
  <si>
    <t>Argus Information &amp; Advisory Services</t>
  </si>
  <si>
    <t>Aspect Loss Prevention</t>
  </si>
  <si>
    <t>MediConnect Global</t>
  </si>
  <si>
    <t>Health Risk Partners, LLC</t>
  </si>
  <si>
    <t>Bloodhound, LLC</t>
  </si>
  <si>
    <t>3E co., Inc.</t>
  </si>
  <si>
    <t>Crowe Paradis Services Corp.</t>
  </si>
  <si>
    <t>Strategic Analytics, Inc.</t>
  </si>
  <si>
    <t>Healthcare organic growth:</t>
  </si>
  <si>
    <t>Pro Forma</t>
  </si>
  <si>
    <t>Pro Forma Rev - Total</t>
  </si>
  <si>
    <t>be</t>
  </si>
  <si>
    <t>Fiscal Year ends December 31</t>
  </si>
  <si>
    <t>A - E</t>
  </si>
  <si>
    <t>% Diff</t>
  </si>
  <si>
    <t>Verisk Analytics, Inc. Variance</t>
  </si>
  <si>
    <t>QoQ</t>
  </si>
  <si>
    <t>YoY</t>
  </si>
  <si>
    <t>If fin svc project rev was 100% margin, and adding back Wood Mac expenses</t>
  </si>
  <si>
    <t>MAN</t>
  </si>
  <si>
    <t>Organic Growth</t>
  </si>
  <si>
    <t xml:space="preserve">Segment Metrics </t>
  </si>
  <si>
    <t xml:space="preserve">Risk Assessment Revenue </t>
  </si>
  <si>
    <t>Decision Analytics Revenue</t>
  </si>
  <si>
    <t>DA Revenue</t>
  </si>
  <si>
    <t xml:space="preserve">Adj. EBITDA Margins </t>
  </si>
  <si>
    <t xml:space="preserve">RA Revenue </t>
  </si>
  <si>
    <t>Mix of Revenue</t>
  </si>
  <si>
    <t>Insurance % of DA</t>
  </si>
  <si>
    <t>Financial Services % of DA</t>
  </si>
  <si>
    <t>Specialized Markets % of DA</t>
  </si>
  <si>
    <t>Total DA Revenue</t>
  </si>
  <si>
    <t>Segment Adj. EBITDA (Legacy VRSK)</t>
  </si>
  <si>
    <t>Energy EBITDA</t>
  </si>
  <si>
    <t>Verisk (USD mm)</t>
  </si>
  <si>
    <t>WACC:</t>
  </si>
  <si>
    <t>Terminal Growth:</t>
  </si>
  <si>
    <t>EBIT (pre exceptionals)</t>
  </si>
  <si>
    <t>Sales Growth</t>
  </si>
  <si>
    <t>EBIT Growth</t>
  </si>
  <si>
    <t>EBIT Margins</t>
  </si>
  <si>
    <t>EBITDA Margins</t>
  </si>
  <si>
    <t>=NOPAT</t>
  </si>
  <si>
    <t>+Depreciation &amp; amortization</t>
  </si>
  <si>
    <t xml:space="preserve">Gross Cash Flow </t>
  </si>
  <si>
    <t xml:space="preserve">+Changes in working capital </t>
  </si>
  <si>
    <t>+Capital expenditures, asset purchases</t>
  </si>
  <si>
    <t xml:space="preserve">          Working Capital to Sales</t>
  </si>
  <si>
    <t xml:space="preserve">          Depreciation to Sales</t>
  </si>
  <si>
    <t xml:space="preserve">         Capex to Sales</t>
  </si>
  <si>
    <t xml:space="preserve">         Capex to Depreciation</t>
  </si>
  <si>
    <t>= Gross investment</t>
  </si>
  <si>
    <t>Free cash flow from operations</t>
  </si>
  <si>
    <t>FCF growth</t>
  </si>
  <si>
    <t>Present value of cash flows</t>
  </si>
  <si>
    <t xml:space="preserve"> -Minority Interest</t>
  </si>
  <si>
    <t>+ Preferred Equity</t>
  </si>
  <si>
    <t>Implied Market Cap</t>
  </si>
  <si>
    <t>Fully-diluted shares</t>
  </si>
  <si>
    <t>12M Target</t>
  </si>
  <si>
    <t>WACC</t>
  </si>
  <si>
    <t>Debt/total capital</t>
  </si>
  <si>
    <t>Equity/total capital</t>
  </si>
  <si>
    <t>60 month</t>
  </si>
  <si>
    <t>3 year weekly</t>
  </si>
  <si>
    <t>FDS</t>
  </si>
  <si>
    <t>Credit rating</t>
  </si>
  <si>
    <t>BBB-/Ba1</t>
  </si>
  <si>
    <t>MSCI</t>
  </si>
  <si>
    <t>NLSN</t>
  </si>
  <si>
    <t>TRI</t>
  </si>
  <si>
    <t>VRSK</t>
  </si>
  <si>
    <t>Current price</t>
  </si>
  <si>
    <t>Average</t>
  </si>
  <si>
    <t>Current shares</t>
  </si>
  <si>
    <t>Current market cap</t>
  </si>
  <si>
    <t xml:space="preserve">Risk free rate </t>
  </si>
  <si>
    <t>Market risk premium</t>
  </si>
  <si>
    <t>Equity beta</t>
  </si>
  <si>
    <t>Cost of equity</t>
  </si>
  <si>
    <t>Terminal value</t>
  </si>
  <si>
    <t>Terminal growth rate</t>
  </si>
  <si>
    <t>Key Metrics</t>
  </si>
  <si>
    <t>Shares</t>
  </si>
  <si>
    <t>Adjusted EPS</t>
  </si>
  <si>
    <t>Net Debt</t>
  </si>
  <si>
    <t>Free Cash Flow per Share</t>
  </si>
  <si>
    <t>Share</t>
  </si>
  <si>
    <t>EV</t>
  </si>
  <si>
    <t>EV / EBITDA</t>
  </si>
  <si>
    <t>Price / Adj. Earnings</t>
  </si>
  <si>
    <t>Price / FCF</t>
  </si>
  <si>
    <t>Price</t>
  </si>
  <si>
    <t>Debt and Interest Expense Schedules</t>
  </si>
  <si>
    <t>Rate</t>
  </si>
  <si>
    <t>Issue Date</t>
  </si>
  <si>
    <t>Maturity Date</t>
  </si>
  <si>
    <t>Q311</t>
  </si>
  <si>
    <t>Q411</t>
  </si>
  <si>
    <t>Q112</t>
  </si>
  <si>
    <t>Q212</t>
  </si>
  <si>
    <t>Q312</t>
  </si>
  <si>
    <t>Q412</t>
  </si>
  <si>
    <t>Q113</t>
  </si>
  <si>
    <t>Q213</t>
  </si>
  <si>
    <t>Q313</t>
  </si>
  <si>
    <t>Q413</t>
  </si>
  <si>
    <t>Short-Term Debt</t>
  </si>
  <si>
    <t>Credit facility</t>
  </si>
  <si>
    <t>Various</t>
  </si>
  <si>
    <t>Prudential senior notes:</t>
  </si>
  <si>
    <t>Series E senior notes</t>
  </si>
  <si>
    <t>Series F senior notes</t>
  </si>
  <si>
    <t>Pru Series I</t>
  </si>
  <si>
    <t>Aviva Series A</t>
  </si>
  <si>
    <t xml:space="preserve">Pru Series G </t>
  </si>
  <si>
    <t>Pru Series H</t>
  </si>
  <si>
    <t>Series J</t>
  </si>
  <si>
    <t>Principal senior notes: Series B notes</t>
  </si>
  <si>
    <t>Principal senior notes: Series A notes</t>
  </si>
  <si>
    <t>NY Life Series A</t>
  </si>
  <si>
    <t>Capital lease obligations and other</t>
  </si>
  <si>
    <t>Total short-term debt</t>
  </si>
  <si>
    <t>short-term debt chk</t>
  </si>
  <si>
    <t>Long-Term Debt</t>
  </si>
  <si>
    <t>Verisk senior notes:</t>
  </si>
  <si>
    <t>Senior notes, less unamortized discount of $915</t>
  </si>
  <si>
    <t>Wells Fargo notes, payable semi-annually</t>
  </si>
  <si>
    <t>Senior notes, Sept 2012 10-Year</t>
  </si>
  <si>
    <t xml:space="preserve">Series G </t>
  </si>
  <si>
    <t>Series H</t>
  </si>
  <si>
    <t>Series I</t>
  </si>
  <si>
    <t>Principal senior notes:</t>
  </si>
  <si>
    <t>Series B</t>
  </si>
  <si>
    <t>NY Life senior notes:</t>
  </si>
  <si>
    <t>Series A</t>
  </si>
  <si>
    <t>$900M of 4% senior notes due 2025</t>
  </si>
  <si>
    <t>$350M of 5.5% senior notes due 2045</t>
  </si>
  <si>
    <t>Total long-term debt</t>
  </si>
  <si>
    <t>Issuance/(paydown)</t>
  </si>
  <si>
    <t>long-term debt chk</t>
  </si>
  <si>
    <t>Balance sheet check</t>
  </si>
  <si>
    <t>Short term</t>
  </si>
  <si>
    <t>Rate assumed</t>
  </si>
  <si>
    <t>Senior notes, less unamortized discount of $993</t>
  </si>
  <si>
    <t xml:space="preserve"> Aviva Series A</t>
  </si>
  <si>
    <t>Total interest expense</t>
  </si>
  <si>
    <t>Total interest expense, reported</t>
  </si>
  <si>
    <t>Inverse of Interest Expense</t>
  </si>
  <si>
    <t>INTEREST EXPENSE</t>
  </si>
  <si>
    <t>Drawn</t>
  </si>
  <si>
    <t>Maturity</t>
  </si>
  <si>
    <t>Prudential</t>
  </si>
  <si>
    <t xml:space="preserve">  Series I</t>
  </si>
  <si>
    <t xml:space="preserve">  Series G</t>
  </si>
  <si>
    <t xml:space="preserve">  Series H</t>
  </si>
  <si>
    <t>Q415</t>
  </si>
  <si>
    <t>Q215</t>
  </si>
  <si>
    <t xml:space="preserve">  Series J</t>
  </si>
  <si>
    <t>Q216</t>
  </si>
  <si>
    <t>Principal</t>
  </si>
  <si>
    <t xml:space="preserve">  Series B</t>
  </si>
  <si>
    <t>NY Life</t>
  </si>
  <si>
    <t xml:space="preserve">  Series A</t>
  </si>
  <si>
    <t>Public Bonds</t>
  </si>
  <si>
    <t xml:space="preserve">  5.8% Notes Due 2021</t>
  </si>
  <si>
    <t xml:space="preserve">  4.875% Notes Due 2019</t>
  </si>
  <si>
    <t xml:space="preserve">  4.125% Notes Due 2022</t>
  </si>
  <si>
    <t>$850 MM Syndicated Revolver</t>
  </si>
  <si>
    <t>L + 150 bps</t>
  </si>
  <si>
    <t>Subtotal</t>
  </si>
  <si>
    <t>Amortization of OID of Bonds</t>
  </si>
  <si>
    <t>Total Interest Expense</t>
  </si>
  <si>
    <t>Debt Paydown</t>
  </si>
  <si>
    <t>VRSK.O</t>
  </si>
  <si>
    <t>Verisk Analytics, Inc.</t>
  </si>
  <si>
    <t>Currency</t>
  </si>
  <si>
    <t>Current Stock Price</t>
  </si>
  <si>
    <t>Count</t>
  </si>
  <si>
    <t>USD</t>
  </si>
  <si>
    <t>Total</t>
  </si>
  <si>
    <t>VRSK.O,mscalc:closePriceCurrencyCalc</t>
  </si>
  <si>
    <t>VRSK.O,mscalc:targetPrice,,,,USD</t>
  </si>
  <si>
    <t>VRSK.O,mscalc:sedolCodeCalc</t>
  </si>
  <si>
    <t>$F$2</t>
  </si>
  <si>
    <t>B4P9W92</t>
  </si>
  <si>
    <t>Terminal multiple</t>
  </si>
  <si>
    <t>1Q17</t>
  </si>
  <si>
    <t>Combined Organic Growth, Insurance + Fin Svcs</t>
  </si>
  <si>
    <t>1Q18E</t>
  </si>
  <si>
    <t>2Q18E</t>
  </si>
  <si>
    <t>3Q18E</t>
  </si>
  <si>
    <t>4Q18E</t>
  </si>
  <si>
    <t>1Q19E</t>
  </si>
  <si>
    <t>2Q19E</t>
  </si>
  <si>
    <t>3Q19E</t>
  </si>
  <si>
    <t>4Q19E</t>
  </si>
  <si>
    <t>1Q20E</t>
  </si>
  <si>
    <t>2Q20E</t>
  </si>
  <si>
    <t>3Q20E</t>
  </si>
  <si>
    <t>4Q20E</t>
  </si>
  <si>
    <t>1Q21E</t>
  </si>
  <si>
    <t>2Q21E</t>
  </si>
  <si>
    <t>3Q21E</t>
  </si>
  <si>
    <t>4Q21E</t>
  </si>
  <si>
    <t>2021E</t>
  </si>
  <si>
    <t>'17 - '21</t>
  </si>
  <si>
    <t>bf</t>
  </si>
  <si>
    <t>2Q17</t>
  </si>
  <si>
    <t>3Q17</t>
  </si>
  <si>
    <t>ba</t>
  </si>
  <si>
    <t>ap</t>
  </si>
  <si>
    <t>ao</t>
  </si>
  <si>
    <t>ak</t>
  </si>
  <si>
    <t>4Q17</t>
  </si>
  <si>
    <t>106</t>
  </si>
  <si>
    <t>4 YR CAGR</t>
  </si>
  <si>
    <t>Research</t>
  </si>
  <si>
    <t>e = Morgan Stanley Research estimates unless otherwise noted</t>
  </si>
  <si>
    <t>Source: Morgan Stanley Research unless otherwise noted</t>
  </si>
  <si>
    <t>Stocks ratings are relative to the analyst's industry coverage universe.</t>
  </si>
  <si>
    <t>1585 Broadway</t>
  </si>
  <si>
    <t>New York, NY  10036-8293</t>
  </si>
  <si>
    <t>United States</t>
  </si>
  <si>
    <t>Tel: +1 (1)212 761 4000</t>
  </si>
  <si>
    <t>Authors: Toni Kaplan, Priscilla Russo</t>
  </si>
  <si>
    <t>Date: 21 Feb 2018</t>
  </si>
  <si>
    <t>Ticker: VRSK.O</t>
  </si>
  <si>
    <t>Stock Rating: Equal-Weight</t>
  </si>
  <si>
    <t>Industry: Business &amp; Education Services</t>
  </si>
  <si>
    <t>Industry View: In-Line</t>
  </si>
  <si>
    <t>Price as of 21 Feb 2018: 99.23</t>
  </si>
  <si>
    <t>Analyst Certification</t>
  </si>
  <si>
    <t>Unless otherwise stated, the individuals listed on the cover page of this report are research analysts.</t>
  </si>
  <si>
    <t>Global Research Conflict Management Policy</t>
  </si>
  <si>
    <t>Important US Regulatory Disclosures on Subject Companies</t>
  </si>
  <si>
    <t>Morgan Stanley &amp; Co. LLC makes a market in the securities of Verisk Analytics, Inc..</t>
  </si>
  <si>
    <t>STOCK RATINGS</t>
  </si>
  <si>
    <t>Global Stock Ratings Distribution</t>
  </si>
  <si>
    <t>(as of January 31, 2018)</t>
  </si>
  <si>
    <t>Coverage Universe</t>
  </si>
  <si>
    <t>Investment Banking Clients (IBC)</t>
  </si>
  <si>
    <t>Other Material Investment Services Clients (MISC)</t>
  </si>
  <si>
    <t>Stock Rating Category</t>
  </si>
  <si>
    <t>% of Total</t>
  </si>
  <si>
    <t>% of Total IBC</t>
  </si>
  <si>
    <t>% of Rating Category</t>
  </si>
  <si>
    <t>% of Total Other MISC</t>
  </si>
  <si>
    <t>Overweight/Buy</t>
  </si>
  <si>
    <t>Equal-weight/Hold</t>
  </si>
  <si>
    <t>Not-Rated/Hold</t>
  </si>
  <si>
    <t>Underweight/Sell</t>
  </si>
  <si>
    <t>Analyst Stock Ratings</t>
  </si>
  <si>
    <t>Analyst Industry Views</t>
  </si>
  <si>
    <t>.</t>
  </si>
  <si>
    <t>Stock Price, Price Target and Rating History (See Rating Definitions)</t>
  </si>
  <si>
    <t>Important Disclosures for Morgan Stanley Smith Barney LLC Customers</t>
  </si>
  <si>
    <t>Other Important Disclosures</t>
  </si>
  <si>
    <t>Morgan Stanley Research, or any portion thereof may not be reprinted, sold or redistributed without the</t>
  </si>
  <si>
    <t>written consent of Morgan Stanley.</t>
  </si>
  <si>
    <t>The trademarks and service marks contained in Morgan Stanley Research are the property of their</t>
  </si>
  <si>
    <t>respective owners. Third-party data providers make no warranties or representations relating to the</t>
  </si>
  <si>
    <t>accuracy, completeness, or timeliness of the data they provide and shall not have liability for any</t>
  </si>
  <si>
    <t>damages relating to such data. The Global Industry Classification Standard (GICS) was developed by and</t>
  </si>
  <si>
    <t>is the exclusive property of MSCI and S&amp;P.</t>
  </si>
  <si>
    <t>As required by the Capital Markets Board of Turkey, investment information, comments and recommendations</t>
  </si>
  <si>
    <t>stated here, are not within the scope of investment advisory activity. Investment advisory service is</t>
  </si>
  <si>
    <t>provided exclusively to persons based on their risk and income preferences by the authorized firms.</t>
  </si>
  <si>
    <t>Comments and recommendations stated here are general in nature. These opinions may not fit to your</t>
  </si>
  <si>
    <t>financial status, risk and return preferences. For this reason, to make an investment decision by</t>
  </si>
  <si>
    <t>relying solely to this information stated here may not bring about outcomes that fit your expectations.</t>
  </si>
  <si>
    <t>The information in Morgan Stanley Research is being communicated by Morgan Stanley &amp; Co. International</t>
  </si>
  <si>
    <t>plc (QFC Branch), regulated by the Qatar Financial Centre Regulatory Authority (the QFCRA), and is</t>
  </si>
  <si>
    <t>directed at business customers and market counterparties only and is not intended for Retail Customers</t>
  </si>
  <si>
    <t>as defined by the QFCRA.</t>
  </si>
  <si>
    <t>plc (DIFC Branch), regulated by the Dubai Financial Services Authority (the DFSA), and is directed at</t>
  </si>
  <si>
    <t>Professional Clients only, as defined by the DFSA. The financial products or financial services to which</t>
  </si>
  <si>
    <t>this research relates will only be made available to a customer who we are satisfied meets the</t>
  </si>
  <si>
    <t>regulatory criteria to be a Professional Client.</t>
  </si>
  <si>
    <t>Morgan Stanley Research is disseminated in Brazil by Morgan Stanley C.T.V.M. S.A.; in Mexico by Morgan</t>
  </si>
  <si>
    <t>Stanley México, Casa de Bolsa, S.A. de C.V which is regulated by Comision Nacional Bancaria y de</t>
  </si>
  <si>
    <t>Valores. Paseo de los Tamarindos 90, Torre 1, Col. Bosques de las Lomas Floor 29, 05120 Mexico City; in</t>
  </si>
  <si>
    <t>Japan by Morgan Stanley MUFG Securities Co., Ltd. and, for Commodities related research reports only,</t>
  </si>
  <si>
    <t>Morgan Stanley Capital Group Japan Co., Ltd; in Hong Kong by Morgan Stanley Asia Limited (which accepts</t>
  </si>
  <si>
    <t>responsibility for its contents) and by Morgan Stanley Asia International Limited, Hong Kong Branch; in</t>
  </si>
  <si>
    <t>Singapore by Morgan Stanley Asia (Singapore) Pte. (Registration number 199206298Z) and/or Morgan Stanley</t>
  </si>
  <si>
    <t>Asia (Singapore) Securities Pte Ltd (Registration number 200008434H), regulated by the Monetary</t>
  </si>
  <si>
    <t>Authority of Singapore (which accepts legal responsibility for its contents and should be contacted with</t>
  </si>
  <si>
    <t>respect to any matters arising from, or in connection with, Morgan Stanley Research) and by Morgan</t>
  </si>
  <si>
    <t>Stanley Asia International Limited, Singapore Branch (Registration number T11FC0207F); in Australia to</t>
  </si>
  <si>
    <t>"wholesale clients" within the meaning of the Australian Corporations Act by Morgan Stanley Australia</t>
  </si>
  <si>
    <t>Limited A.B.N. 67 003 734 576, holder of Australian financial services license No. 233742, which accepts</t>
  </si>
  <si>
    <t>responsibility for its contents; in Australia to "wholesale clients" and "retail clients" within the</t>
  </si>
  <si>
    <t>meaning of the Australian Corporations Act by Morgan Stanley Wealth Management Australia Pty Ltd (A.B.N.</t>
  </si>
  <si>
    <t>19 009 145 555, holder of Australian financial services license No. 240813, which accepts responsibility</t>
  </si>
  <si>
    <t>for its contents; in Korea by Morgan Stanley &amp; Co International plc, Seoul Branch; in India by Morgan</t>
  </si>
  <si>
    <t>Stanley India Company Private Limited; in Indonesia by PT. Morgan Stanley Sekuritas Indonesia; in Canada</t>
  </si>
  <si>
    <t>by Morgan Stanley Canada Limited, which has approved of and takes responsibility for its contents in</t>
  </si>
  <si>
    <t>Canada; in Germany by Morgan Stanley Bank AG, Frankfurt am Main and Morgan Stanley Private Wealth</t>
  </si>
  <si>
    <t>Management Limited, Niederlassung Deutschland, regulated by Bundesanstalt fuer</t>
  </si>
  <si>
    <t>Finanzdienstleistungsaufsicht (BaFin); in Spain by Morgan Stanley, S.V., S.A., a Morgan Stanley group</t>
  </si>
  <si>
    <t>company, which is supervised by the Spanish Securities Markets Commission (CNMV) and states that Morgan</t>
  </si>
  <si>
    <t>Stanley Research has been written and distributed in accordance with the rules of conduct applicable to</t>
  </si>
  <si>
    <t>financial research as established under Spanish regulations; in the US by Morgan Stanley &amp; Co. LLC,</t>
  </si>
  <si>
    <t>which accepts responsibility for its contents. Morgan Stanley &amp; Co. International plc, authorized by the</t>
  </si>
  <si>
    <t>Prudential Regulatory Authority and regulated by the Financial Conduct Authority and the Prudential</t>
  </si>
  <si>
    <t>Regulatory Authority, disseminates in the UK research that it has prepared, and approves solely for the</t>
  </si>
  <si>
    <t>purposes of section 21 of the Financial Services and Markets Act 2000, research which has been prepared</t>
  </si>
  <si>
    <t>by any of its affiliates. RMB Morgan Stanley Proprietary Limited is a member of the JSE Limited and</t>
  </si>
  <si>
    <t>regulated by the Financial Services Board in South Africa. RMB Morgan Stanley Proprietary Limited is a</t>
  </si>
  <si>
    <t>joint venture owned equally by Morgan Stanley International Holdings Inc. and RMB Investment Advisory</t>
  </si>
  <si>
    <t>(Proprietary) Limited, which is wholly owned by FirstRand Limited. The information in Morgan Stanley</t>
  </si>
  <si>
    <t>Research is being disseminated by Morgan Stanley Saudi Arabia, regulated by the Capital Market Authority</t>
  </si>
  <si>
    <t>in the Kingdom of Saudi Arabia , and is directed at Sophisticated investors only.</t>
  </si>
  <si>
    <t>Morgan Stanley is not incorporated under PRC law and the research in relation to this report is</t>
  </si>
  <si>
    <t>conducted outside the PRC. Morgan Stanley Research does not constitute an offer to sell or the</t>
  </si>
  <si>
    <t>solicitation of an offer to buy any securities in the PRC. PRC investors shall have the relevant</t>
  </si>
  <si>
    <t>qualifications to invest in such securities and shall be responsible for obtaining all relevant</t>
  </si>
  <si>
    <t>approvals, licenses, verifications and/or registrations from the relevant governmental authorities</t>
  </si>
  <si>
    <t>themselves. Neither this report nor any part of it is intended as, or shall constitute, provision of any</t>
  </si>
  <si>
    <t>consultancy or advisory service of securities investment as defined under PRC law. Such information is</t>
  </si>
  <si>
    <t>provided for your reference only.</t>
  </si>
  <si>
    <t>To our readers based in Taiwan or trading in Taiwan securities/instruments: Information on</t>
  </si>
  <si>
    <t>securities/instruments that trade in Taiwan is distributed by Morgan Stanley Taiwan Limited ("MSTL").</t>
  </si>
  <si>
    <t>Such information is for your reference only. The reader should independently evaluate the investment</t>
  </si>
  <si>
    <t>risks and is solely responsible for their investment decisions. Morgan Stanley Research may not be</t>
  </si>
  <si>
    <t>distributed to the public media or quoted or used by the public media without the express written</t>
  </si>
  <si>
    <t>consent of Morgan Stanley. Any non-customer reader within the scope of Article 7-1 of the Taiwan Stock</t>
  </si>
  <si>
    <t>Exchange Recommendation Regulations accessing and/or receiving Morgan Stanley Research is not permitted</t>
  </si>
  <si>
    <t>to provide Morgan Stanley Research to any third party (including but not limited to related parties,</t>
  </si>
  <si>
    <t>affiliated companies and any other third parties) or engage in any activities regarding Morgan Stanley</t>
  </si>
  <si>
    <t>Research which may create or give the appearance of creating a conflict of interest. Information on</t>
  </si>
  <si>
    <t>securities/instruments that do not trade in Taiwan is for informational purposes only and is not to be</t>
  </si>
  <si>
    <t>construed as a recommendation or a solicitation to trade in such securities/instruments. MSTL may not</t>
  </si>
  <si>
    <t>execute transactions for clients in these securities/instruments.</t>
  </si>
  <si>
    <t>Morgan Stanley may make investment decisions that are inconsistent with the recommendations or views in</t>
  </si>
  <si>
    <t>this report.</t>
  </si>
  <si>
    <t>Morgan Stanley Research personnel may participate in company events such as site visits and are</t>
  </si>
  <si>
    <t>generally prohibited from accepting payment by the company of associated expenses unless pre-approved by</t>
  </si>
  <si>
    <t>authorized members of Research management.</t>
  </si>
  <si>
    <t>With the exception of information regarding Morgan Stanley, Morgan Stanley Research is based on public</t>
  </si>
  <si>
    <t>information. Morgan Stanley makes every effort to use reliable, comprehensive information, but we make</t>
  </si>
  <si>
    <t>no representation that it is accurate or complete. We have no obligation to tell you when opinions or</t>
  </si>
  <si>
    <t>information in Morgan Stanley Research change apart from when we intend to discontinue equity research</t>
  </si>
  <si>
    <t>coverage of a subject company. Facts and views presented in Morgan Stanley Research have not been</t>
  </si>
  <si>
    <t>reviewed by, and may not reflect information known to, professionals in other Morgan Stanley business</t>
  </si>
  <si>
    <t>areas, including investment banking personnel.</t>
  </si>
  <si>
    <t>The "Important US Regulatory Disclosures on Subject Companies" section in Morgan Stanley Research lists</t>
  </si>
  <si>
    <t>all companies mentioned where Morgan Stanley owns 1% or more of a class of common equity securities of</t>
  </si>
  <si>
    <t>the companies. For all other companies mentioned in Morgan Stanley Research, Morgan Stanley may have an</t>
  </si>
  <si>
    <t>investment of less than 1% in securities/instruments or derivatives of securities/instruments of</t>
  </si>
  <si>
    <t>companies and may trade them in ways different from those discussed in Morgan Stanley Research.</t>
  </si>
  <si>
    <t>Employees of Morgan Stanley not involved in the preparation of Morgan Stanley Research may have</t>
  </si>
  <si>
    <t>investments in securities/instruments or derivatives of securities/instruments of companies mentioned</t>
  </si>
  <si>
    <t>and may trade them in ways different from those discussed in Morgan Stanley Research. Derivatives may be</t>
  </si>
  <si>
    <t>issued by Morgan Stanley or associated persons.</t>
  </si>
  <si>
    <t>The fixed income research analysts, strategists or economists principally responsible for the</t>
  </si>
  <si>
    <t>preparation of Morgan Stanley Research have received compensation based upon various factors, including</t>
  </si>
  <si>
    <t>quality, accuracy and value of research, firm profitability or revenues (which include fixed income</t>
  </si>
  <si>
    <t>trading and capital markets profitability or revenues), client feedback and competitive factors. Fixed</t>
  </si>
  <si>
    <t>Income Research analysts', strategists' or economists' compensation is not linked to investment banking</t>
  </si>
  <si>
    <t>or capital markets transactions performed by Morgan Stanley or the profitability or revenues of</t>
  </si>
  <si>
    <t>particular trading desks.</t>
  </si>
  <si>
    <t>Morgan Stanley Research does not provide individually tailored investment advice. Morgan Stanley</t>
  </si>
  <si>
    <t>Research has been prepared without regard to the circumstances and objectives of those who receive it.</t>
  </si>
  <si>
    <t>Morgan Stanley recommends that investors independently evaluate particular investments and strategies,</t>
  </si>
  <si>
    <t>and encourages investors to seek the advice of a financial adviser. The appropriateness of an investment</t>
  </si>
  <si>
    <t>or strategy will depend on an investor's circumstances and objectives. The securities, instruments, or</t>
  </si>
  <si>
    <t>strategies discussed in Morgan Stanley Research may not be suitable for all investors, and certain</t>
  </si>
  <si>
    <t>investors may not be eligible to purchase or participate in some or all of them. Morgan Stanley Research</t>
  </si>
  <si>
    <t>is not an offer to buy or sell or the solicitation of an offer to buy or sell any security/instrument or</t>
  </si>
  <si>
    <t>to participate in any particular trading strategy. The value of and income from your investments may</t>
  </si>
  <si>
    <t>vary because of changes in interest rates, foreign exchange rates, default rates, prepayment rates,</t>
  </si>
  <si>
    <t>securities/instruments prices, market indexes, operational or financial conditions of companies or other</t>
  </si>
  <si>
    <t>factors. There may be time limitations on the exercise of options or other rights in</t>
  </si>
  <si>
    <t>securities/instruments transactions. Past performance is not necessarily a guide to future performance.</t>
  </si>
  <si>
    <t>Estimates of future performance are based on assumptions that may not be realized. If provided, and</t>
  </si>
  <si>
    <t>unless otherwise stated, the closing price on the cover page is that of the primary exchange for the</t>
  </si>
  <si>
    <t>subject company's securities/instruments.</t>
  </si>
  <si>
    <t>If you do not agree to our Terms of Use and/or if you do not wish to provide your consent to Morgan</t>
  </si>
  <si>
    <t>Stanley processing your personal data or using cookies please do not access our research.</t>
  </si>
  <si>
    <t>Any access and/or use of Morgan Stanley Research is subject to Morgan Stanley's Terms of Use</t>
  </si>
  <si>
    <t>(http://www.morganstanley.com/terms.html). By accessing and/or using Morgan Stanley Research, you are</t>
  </si>
  <si>
    <t>indicating that you have read and agree to be bound by our Terms of Use</t>
  </si>
  <si>
    <t>(http://www.morganstanley.com/terms.html). In addition you consent to Morgan Stanley processing your</t>
  </si>
  <si>
    <t>personal data and using cookies in accordance with our Privacy Policy and our Global Cookies Policy</t>
  </si>
  <si>
    <t>(http://www.morganstanley.com/privacy_pledge.html), including for the purposes of setting your</t>
  </si>
  <si>
    <t>preferences and to collect readership data so that we can deliver better and more personalized service</t>
  </si>
  <si>
    <t>and products to you. To find out more information about how Morgan Stanley processes personal data, how</t>
  </si>
  <si>
    <t>we use cookies and how to reject cookies see our Privacy Policy and our Global Cookies Policy</t>
  </si>
  <si>
    <t>(http://www.morganstanley.com/privacy_pledge.html).</t>
  </si>
  <si>
    <t>Morgan Stanley Research is provided to our clients through our proprietary research portal on Matrix and</t>
  </si>
  <si>
    <t>also distributed electronically by Morgan Stanley to clients. Certain, but not all, Morgan Stanley</t>
  </si>
  <si>
    <t>Research products are also made available to clients through third-party vendors or redistributed to</t>
  </si>
  <si>
    <t>clients through alternate electronic means as a convenience. For access to all available Morgan Stanley</t>
  </si>
  <si>
    <t>Research, please contact your sales representative or go to Matrix at</t>
  </si>
  <si>
    <t>http://www.morganstanley.com/matrix.</t>
  </si>
  <si>
    <t>Morgan Stanley produces an equity research product called a "Tactical Idea." Views contained in a</t>
  </si>
  <si>
    <t>"Tactical Idea" on a particular stock may be contrary to the recommendations or views expressed in</t>
  </si>
  <si>
    <t>research on the same stock. This may be the result of differing time horizons, methodologies, market</t>
  </si>
  <si>
    <t>events, or other factors. For all research available on a particular stock, please contact your sales</t>
  </si>
  <si>
    <t>representative or go to Matrix at http://www.morganstanley.com/matrix.</t>
  </si>
  <si>
    <t>Morgan Stanley is not acting as a municipal advisor and the opinions or views contained herein are not</t>
  </si>
  <si>
    <t>intended to be, and do not constitute, advice within the meaning of Section 975 of the Dodd-Frank Wall</t>
  </si>
  <si>
    <t>Street Reform and Consumer Protection Act.</t>
  </si>
  <si>
    <t>Morgan Stanley Research policy is to update research reports as and when the Research Analyst and</t>
  </si>
  <si>
    <t>Research Management deem appropriate, based on developments with the issuer, the sector, or the market</t>
  </si>
  <si>
    <t>that may have a material impact on the research views or opinions stated therein. In addition, certain</t>
  </si>
  <si>
    <t>Research publications are intended to be updated on a regular periodic basis</t>
  </si>
  <si>
    <t>(weekly/monthly/quarterly/annual) and will ordinarily be updated with that frequency, unless the</t>
  </si>
  <si>
    <t>Research Analyst and Research Management determine that a different publication schedule is appropriate</t>
  </si>
  <si>
    <t>based on current conditions.</t>
  </si>
  <si>
    <t>Morgan Stanley &amp; Co. International PLC and its affiliates have a significant financial interest in the</t>
  </si>
  <si>
    <t>debt securities of Verisk Analytics, Inc..</t>
  </si>
  <si>
    <t>Each Morgan Stanley Equity Research report is reviewed and approved on behalf of Morgan Stanley Smith</t>
  </si>
  <si>
    <t>Barney LLC. This review and approval is conducted by the same person who reviews the Equity Research</t>
  </si>
  <si>
    <t>report on behalf of Morgan Stanley. This could create a conflict of interest.</t>
  </si>
  <si>
    <t>Important disclosures regarding the relationship between the companies that are the subject of Morgan</t>
  </si>
  <si>
    <t>Stanley Research and Morgan Stanley Smith Barney LLC or Morgan Stanley or any of their affiliates, are</t>
  </si>
  <si>
    <t>available on the Morgan Stanley Wealth Management disclosure website at</t>
  </si>
  <si>
    <t>www.morganstanley.com/online/researchdisclosures. For Morgan Stanley specific disclosures, you may refer</t>
  </si>
  <si>
    <t>to www.morganstanley.com/researchdisclosures.</t>
  </si>
  <si>
    <t>Benchmarks for each region are as follows: North America - S&amp;P 500; Latin America - relevant MSCI</t>
  </si>
  <si>
    <t>country index or MSCI Latin America Index; Europe - MSCI Europe; Japan - TOPIX; Asia - relevant MSCI</t>
  </si>
  <si>
    <t>country index or MSCI sub-regional index or MSCI AC Asia Pacific ex Japan Index.</t>
  </si>
  <si>
    <t>Cautious (C): The analyst views the performance of his or her industry coverage universe over the next</t>
  </si>
  <si>
    <t>12-18 months with caution vs. the relevant broad market benchmark, as indicated below.</t>
  </si>
  <si>
    <t>In-Line (I): The analyst expects the performance of his or her industry coverage universe over the next</t>
  </si>
  <si>
    <t>12-18 months to be in line with the relevant broad market benchmark, as indicated below.</t>
  </si>
  <si>
    <t>Attractive (A): The analyst expects the performance of his or her industry coverage universe over the</t>
  </si>
  <si>
    <t>next 12-18 months to be attractive vs. the relevant broad market benchmark, as indicated below.</t>
  </si>
  <si>
    <t>Unless otherwise specified, the time frame for price targets included in Morgan Stanley Research is 12</t>
  </si>
  <si>
    <t>to 18 months.</t>
  </si>
  <si>
    <t>Underweight (U). The stock's total return is expected to be below the average total return of the</t>
  </si>
  <si>
    <t>analyst's industry (or industry team's) coverage universe, on a risk-adjusted basis, over the next 12-18</t>
  </si>
  <si>
    <t>months.</t>
  </si>
  <si>
    <t>Not-Rated (NR). Currently the analyst does not have adequate conviction about the stock's total return</t>
  </si>
  <si>
    <t>relative to the average total return of the analyst's industry (or industry team's) coverage universe,</t>
  </si>
  <si>
    <t>on a risk-adjusted basis, over the next 12-18 months.</t>
  </si>
  <si>
    <t>Equal-weight (E). The stock's total return is expected to be in line with the average total return of</t>
  </si>
  <si>
    <t>the analyst's industry (or industry team's) coverage universe, on a risk-adjusted basis, over the next</t>
  </si>
  <si>
    <t>12-18 months.</t>
  </si>
  <si>
    <t>Overweight (O). The stock's total return is expected to exceed the average total return of the analyst's</t>
  </si>
  <si>
    <t>industry (or industry team's) coverage universe, on a risk-adjusted basis, over the next 12-18 months.</t>
  </si>
  <si>
    <t>Data include common stock and ADRs currently assigned ratings. Investment Banking Clients are companies</t>
  </si>
  <si>
    <t>from whom Morgan Stanley received investment banking compensation in the last 12 months. Due to rounding</t>
  </si>
  <si>
    <t>off of decimals, the percentages provided in the "% of total" column may not add up to exactly 100</t>
  </si>
  <si>
    <t>percent.</t>
  </si>
  <si>
    <t>For disclosure purposes only (in accordance with NASD and NYSE requirements), we include the category</t>
  </si>
  <si>
    <t>headings of Buy, Hold, and Sell alongside our ratings of Overweight, Equal-weight, Not-Rated and</t>
  </si>
  <si>
    <t>Underweight. Morgan Stanley does not assign ratings of Buy, Hold or Sell to the stocks we cover.</t>
  </si>
  <si>
    <t>Overweight, Equal-weight, Not-Rated and Underweight are not the equivalent of buy, hold, and sell but</t>
  </si>
  <si>
    <t>represent recommended relative weightings (see definitions below). To satisfy regulatory requirements,</t>
  </si>
  <si>
    <t>we correspond Overweight, our most positive stock rating, with a buy recommendation; we correspond</t>
  </si>
  <si>
    <t>Equal-weight and Not-Rated to hold and Underweight to sell recommendations, respectively.</t>
  </si>
  <si>
    <t>The Stock Ratings described below apply to Morgan Stanley's Fundamental Equity Research and do not apply</t>
  </si>
  <si>
    <t>to Debt Research produced by the Firm.</t>
  </si>
  <si>
    <t>Morgan Stanley uses a relative rating system using terms such as Overweight, Equal-weight, Not-Rated or</t>
  </si>
  <si>
    <t>Underweight (see definitions below). Morgan Stanley does not assign ratings of Buy, Hold or Sell to the</t>
  </si>
  <si>
    <t>stocks we cover. Overweight, Equal-weight, Not-Rated and Underweight are not the equivalent of buy, hold</t>
  </si>
  <si>
    <t>and sell. Investors should carefully read the definitions of all ratings used in Morgan Stanley</t>
  </si>
  <si>
    <t>Research. In addition, since Morgan Stanley Research contains more complete information concerning the</t>
  </si>
  <si>
    <t>analyst's views, investors should carefully read Morgan Stanley Research, in its entirety, and not infer</t>
  </si>
  <si>
    <t>the contents from the rating alone. In any case, ratings (or research) should not be used or relied upon</t>
  </si>
  <si>
    <t>as investment advice. An investor's decision to buy or sell a stock should depend on individual</t>
  </si>
  <si>
    <t>circumstances (such as the investor's existing holdings) and other considerations.</t>
  </si>
  <si>
    <t>Certain disclosures listed above are also for compliance with applicable regulations in non-US</t>
  </si>
  <si>
    <t>jurisdictions.</t>
  </si>
  <si>
    <t>Morgan Stanley and its affiliates do business that relates to companies/instruments covered in Morgan</t>
  </si>
  <si>
    <t>Stanley Research, including market making, providing liquidity, fund management, commercial banking,</t>
  </si>
  <si>
    <t>extension of credit, investment services and investment banking. Morgan Stanley sells to and buys from</t>
  </si>
  <si>
    <t>customers the securities/instruments of companies covered in Morgan Stanley Research on a principal</t>
  </si>
  <si>
    <t>basis. Morgan Stanley may have a position in the debt of the Company or instruments discussed in this</t>
  </si>
  <si>
    <t>report. Morgan Stanley trades or may trade as principal in the debt securities (or in related</t>
  </si>
  <si>
    <t>derivatives) that are the subject of the debt research report.</t>
  </si>
  <si>
    <t>The equity research analysts or strategists principally responsible for the preparation of Morgan</t>
  </si>
  <si>
    <t>Stanley Research have received compensation based upon various factors, including quality of research,</t>
  </si>
  <si>
    <t>investor client feedback, stock picking, competitive factors, firm revenues and overall investment</t>
  </si>
  <si>
    <t>banking revenues. Equity Research analysts' or strategists' compensation is not linked to investment</t>
  </si>
  <si>
    <t>banking or capital markets transactions performed by Morgan Stanley or the profitability or revenues of</t>
  </si>
  <si>
    <t>Within the last 12 months, Morgan Stanley has either provided or is providing non-investment banking,</t>
  </si>
  <si>
    <t>securities-related services to and/or in the past has entered into an agreement to provide services or</t>
  </si>
  <si>
    <t>has a client relationship with the following company: Verisk Analytics, Inc..</t>
  </si>
  <si>
    <t>Within the last 12 months, Morgan Stanley has provided or is providing investment banking services to,</t>
  </si>
  <si>
    <t>or has an investment banking client relationship with, the following company: Verisk Analytics, Inc..</t>
  </si>
  <si>
    <t>Within the last 12 months, Morgan Stanley has received compensation for products and services other than</t>
  </si>
  <si>
    <t>investment banking services from Verisk Analytics, Inc..</t>
  </si>
  <si>
    <t>In the next 3 months, Morgan Stanley expects to receive or intends to seek compensation for investment</t>
  </si>
  <si>
    <t>banking services from Verisk Analytics, Inc..</t>
  </si>
  <si>
    <t>Morgan Stanley Research has been published in accordance with our conflict management policy, which is</t>
  </si>
  <si>
    <t>available at www.morganstanley.com/institutional/research/conflictpolicies.</t>
  </si>
  <si>
    <t>The following analysts hereby certify that their views about the companies and their securities</t>
  </si>
  <si>
    <t>discussed in this report are accurately expressed and that they have not received and will not receive</t>
  </si>
  <si>
    <t>direct or indirect compensation in exchange for expressing specific recommendations or views in this</t>
  </si>
  <si>
    <t>report: Toni Kaplan.</t>
  </si>
  <si>
    <t>For valuation methodology and risks associated with any recommendation, rating or price target</t>
  </si>
  <si>
    <t>referenced in this research report, please contact the Client Support Team as follows: US/Canada +1 800</t>
  </si>
  <si>
    <t>303-2495; Hong Kong +852 2848-5999; Latin America +1 718 754-5444 (U.S.); London +44 (0)20-7425-8169;</t>
  </si>
  <si>
    <t>Singapore +65 6834-6860; Sydney +61 (0)2-9770-1505; Tokyo +81 (0)3-6836-9000. Alternatively you may</t>
  </si>
  <si>
    <t>contact your investment representative or Morgan Stanley Research at 1585 Broadway, (Attention: Research</t>
  </si>
  <si>
    <t>Management), New York, NY 10036 USA.</t>
  </si>
  <si>
    <t>For important disclosures, stock price charts and equity rating histories regarding companies that are</t>
  </si>
  <si>
    <t>the subject of this report, please see the Morgan Stanley Research Disclosure Website at</t>
  </si>
  <si>
    <t>www.morganstanley.com/researchdisclosures, or contact your investment representative or Morgan Stanley</t>
  </si>
  <si>
    <t>Research at 1585 Broadway, (Attention: Research Management), New York, NY, 10036 USA.</t>
  </si>
  <si>
    <t>The information and opinions in Morgan Stanley Research were prepared by Morgan Stanley &amp; Co. LLC,</t>
  </si>
  <si>
    <t>and/or Morgan Stanley C.T.V.M. S.A., and/or Morgan Stanley Mexico, Casa de Bolsa, S.A. de C.V., and/or</t>
  </si>
  <si>
    <t>Morgan Stanley Canada Limited. As used in this disclosure section, "Morgan Stanley" includes Morgan</t>
  </si>
  <si>
    <t>Stanley &amp; Co. LLC, Morgan Stanley C.T.V.M. S.A., Morgan Stanley Mexico, Casa de Bolsa, S.A. de C.V.,</t>
  </si>
  <si>
    <t>Morgan Stanley Canada Limited and their affiliates as necessary.</t>
  </si>
  <si>
    <t>Morgan Stanley does and seeks to do business with companies covered in Morgan Stanley Research. As a</t>
  </si>
  <si>
    <t>result, investors should be aware that the firm may have a conflict of interest that could affect the</t>
  </si>
  <si>
    <t>objectivity of Morgan Stanley Research. Investors should consider Morgan Stanley Research as only a</t>
  </si>
  <si>
    <t>single factor in making their investment decision.</t>
  </si>
  <si>
    <t>© Copyright 2018 Morgan Stanley</t>
  </si>
  <si>
    <t>MacroVersion</t>
  </si>
  <si>
    <t>PublishDate</t>
  </si>
  <si>
    <t>Discipline</t>
  </si>
  <si>
    <t>ResearchTopic</t>
  </si>
  <si>
    <t>Company</t>
  </si>
  <si>
    <t>DocType</t>
  </si>
  <si>
    <t>Model</t>
  </si>
  <si>
    <t>SubjectCode</t>
  </si>
  <si>
    <t>Description</t>
  </si>
  <si>
    <t>KeepVersions</t>
  </si>
  <si>
    <t>All</t>
  </si>
  <si>
    <t>Rating</t>
  </si>
  <si>
    <t>CurrYearTotalRevenue*</t>
  </si>
  <si>
    <t>CurrYearEPS*</t>
  </si>
  <si>
    <t>NextYearTotalRevenue*</t>
  </si>
  <si>
    <t>NextYearEPS*</t>
  </si>
  <si>
    <t>FollowingYearTotalRevenue*</t>
  </si>
  <si>
    <t>FollowingYearEPS*</t>
  </si>
  <si>
    <t>5YearGrowthRate</t>
  </si>
  <si>
    <t>UpdateReason</t>
  </si>
  <si>
    <t>Authors</t>
  </si>
  <si>
    <t>Tickers</t>
  </si>
  <si>
    <t>CUSIP</t>
  </si>
  <si>
    <t>RIC</t>
  </si>
  <si>
    <t>SEDOL</t>
  </si>
  <si>
    <t>PathName</t>
  </si>
  <si>
    <t>Distribution</t>
  </si>
  <si>
    <t>Deleted</t>
  </si>
  <si>
    <t>NO</t>
  </si>
  <si>
    <t>EmailAlert</t>
  </si>
  <si>
    <t>YES</t>
  </si>
  <si>
    <t>CurrQtrEPS</t>
  </si>
  <si>
    <t>CYEnd</t>
  </si>
  <si>
    <t>CQEnd</t>
  </si>
  <si>
    <t>CurrYearTotalRevenueActual*</t>
  </si>
  <si>
    <t>NextYearTotalRevenueActual*</t>
  </si>
  <si>
    <t>FollowingYearTotalRevenueActual*</t>
  </si>
  <si>
    <t>Multiplier</t>
  </si>
  <si>
    <t>TemplateRegion</t>
  </si>
  <si>
    <t>ObjectType</t>
  </si>
  <si>
    <t>excel</t>
  </si>
  <si>
    <t>LanguageCode</t>
  </si>
  <si>
    <t>en-US</t>
  </si>
  <si>
    <t>SubmitterUserId</t>
  </si>
  <si>
    <t>IndustryId</t>
  </si>
  <si>
    <t>TickerRegion</t>
  </si>
  <si>
    <t>AdditionalInstructions</t>
  </si>
  <si>
    <t>*Estimated</t>
  </si>
  <si>
    <t>Equal-Weight / In-Line</t>
  </si>
  <si>
    <t>Quarterly Update</t>
  </si>
  <si>
    <t>NorthAmerica</t>
  </si>
  <si>
    <t>priscr</t>
  </si>
  <si>
    <t>MSA12849, MSA86JHP</t>
  </si>
  <si>
    <t>92345Y106</t>
  </si>
  <si>
    <t>C:\Users\priscr\AppData\Local\Temp\VRSK013118.xlsx</t>
  </si>
  <si>
    <t>Please publish after our note "VRSK: 4Q17: Rev Acceleration in '18, but Guidance Aggressive" note is published</t>
  </si>
  <si>
    <t>[BRO MSA]</t>
  </si>
  <si>
    <t>[PRODUCT MODEL]</t>
  </si>
  <si>
    <t>[EMAIL_ALERT YES]</t>
  </si>
  <si>
    <t>[DISCIPLINE Company]</t>
  </si>
  <si>
    <t>[SUPPRESSED NO]</t>
  </si>
  <si>
    <t>[DOCDAT 2018-02-21]</t>
  </si>
  <si>
    <t>[DOCTIME 18:09]</t>
  </si>
  <si>
    <t>[PSYM VRSK.O(S&amp;P) (None)]</t>
  </si>
  <si>
    <t>[COU 1]</t>
  </si>
  <si>
    <t>[ANA MSA86JHP]</t>
  </si>
  <si>
    <t>[HL VRSK.O Model]</t>
  </si>
  <si>
    <t>[IND MISCEL INDCOM]</t>
  </si>
  <si>
    <t>[PANA MSA12849]</t>
  </si>
  <si>
    <t>Target Price: 107</t>
  </si>
</sst>
</file>

<file path=xl/styles.xml><?xml version="1.0" encoding="utf-8"?>
<styleSheet xmlns="http://schemas.openxmlformats.org/spreadsheetml/2006/main" xmlns:mc="http://schemas.openxmlformats.org/markup-compatibility/2006" xmlns:x14ac="http://schemas.microsoft.com/office/spreadsheetml/2009/9/ac" mc:Ignorable="x14ac">
  <numFmts count="42">
    <numFmt numFmtId="5" formatCode="&quot;$&quot;#,##0_);\(&quot;$&quot;#,##0\)"/>
    <numFmt numFmtId="6" formatCode="&quot;$&quot;#,##0_);[Red]\(&quot;$&quot;#,##0\)"/>
    <numFmt numFmtId="7" formatCode="&quot;$&quot;#,##0.00_);\(&quot;$&quot;#,##0.00\)"/>
    <numFmt numFmtId="41" formatCode="_(* #,##0_);_(* \(#,##0\);_(* &quot;-&quot;_);_(@_)"/>
    <numFmt numFmtId="44" formatCode="_(&quot;$&quot;* #,##0.00_);_(&quot;$&quot;* \(#,##0.00\);_(&quot;$&quot;* &quot;-&quot;??_);_(@_)"/>
    <numFmt numFmtId="43" formatCode="_(* #,##0.00_);_(* \(#,##0.00\);_(* &quot;-&quot;??_);_(@_)"/>
    <numFmt numFmtId="164" formatCode="0_)"/>
    <numFmt numFmtId="165" formatCode="[$-409]d\-mmm\-yy;@"/>
    <numFmt numFmtId="166" formatCode="0.0%"/>
    <numFmt numFmtId="167" formatCode="#,##0.0_);\(#,##0.0\)"/>
    <numFmt numFmtId="168" formatCode="&quot;$&quot;#,##0.0_);\(&quot;$&quot;#,##0.0\)"/>
    <numFmt numFmtId="169" formatCode="&quot;$&quot;#,##0.000_);\(&quot;$&quot;#,##0.000\)"/>
    <numFmt numFmtId="170" formatCode="0.0"/>
    <numFmt numFmtId="171" formatCode="0.000"/>
    <numFmt numFmtId="172" formatCode="#,##0.0%_);\(#,##0.0%\)"/>
    <numFmt numFmtId="173" formatCode="0.0_)"/>
    <numFmt numFmtId="174" formatCode="0.0\x"/>
    <numFmt numFmtId="175" formatCode="#,##0.000_);\(#,##0.000\)"/>
    <numFmt numFmtId="176" formatCode="0.0000_)"/>
    <numFmt numFmtId="177" formatCode="0.00_)"/>
    <numFmt numFmtId="178" formatCode="&quot;$&quot;#,##0.0000_);\(&quot;$&quot;#,##0.0000\)"/>
    <numFmt numFmtId="179" formatCode="0.000_)"/>
    <numFmt numFmtId="180" formatCode="&quot;$&quot;#,##0.00000_);\(&quot;$&quot;#,##0.00000\)"/>
    <numFmt numFmtId="181" formatCode="_(* #,##0.0_);_(* \(#,##0.0\);_(* &quot;-&quot;??_);_(@_)"/>
    <numFmt numFmtId="182" formatCode="#,##0.0\x"/>
    <numFmt numFmtId="183" formatCode="_(* #,##0_);_(* \(#,##0\);_(* &quot;-&quot;??_);_(@_)"/>
    <numFmt numFmtId="184" formatCode="0&quot; bps&quot;"/>
    <numFmt numFmtId="185" formatCode="&quot;$&quot;#,##0.0"/>
    <numFmt numFmtId="186" formatCode="&quot;$&quot;#,##0.00"/>
    <numFmt numFmtId="187" formatCode=";;;"/>
    <numFmt numFmtId="188" formatCode="0&quot;E&quot;"/>
    <numFmt numFmtId="189" formatCode="0.0&quot;x&quot;"/>
    <numFmt numFmtId="190" formatCode="&quot;$&quot;#,##0"/>
    <numFmt numFmtId="191" formatCode="0%_);\(0%\);&quot;–&quot;_)"/>
    <numFmt numFmtId="192" formatCode="0.0%_);\(0.0%\);&quot;–&quot;_)"/>
    <numFmt numFmtId="193" formatCode="0&quot;m&quot;"/>
    <numFmt numFmtId="194" formatCode="&quot;$&quot;#,##0_);\(&quot;$&quot;#,##0\);\–_);&quot;–&quot;_)"/>
    <numFmt numFmtId="195" formatCode="0.0\x\ "/>
    <numFmt numFmtId="196" formatCode="0.000%"/>
    <numFmt numFmtId="197" formatCode="#,##0_);\(#,##0\)\ &quot;bps&quot;"/>
    <numFmt numFmtId="198" formatCode="#,##0_)\ &quot;bps&quot;;\(#,##0\)\ &quot;bps&quot;"/>
    <numFmt numFmtId="199" formatCode="mm/dd/yy\ hh:mm"/>
  </numFmts>
  <fonts count="118" x14ac:knownFonts="1">
    <font>
      <sz val="11"/>
      <color theme="1"/>
      <name val="Calibri"/>
      <family val="2"/>
      <scheme val="minor"/>
    </font>
    <font>
      <sz val="11"/>
      <color indexed="8"/>
      <name val="Calibri"/>
      <family val="2"/>
    </font>
    <font>
      <sz val="10"/>
      <name val="Arial"/>
      <family val="2"/>
    </font>
    <font>
      <sz val="8"/>
      <name val="Helvetica"/>
      <family val="2"/>
    </font>
    <font>
      <sz val="8"/>
      <color indexed="12"/>
      <name val="Helvetica"/>
      <family val="2"/>
    </font>
    <font>
      <sz val="8"/>
      <color indexed="8"/>
      <name val="Helvetica"/>
      <family val="2"/>
    </font>
    <font>
      <sz val="11"/>
      <color indexed="8"/>
      <name val="Calibri"/>
      <family val="2"/>
    </font>
    <font>
      <sz val="8"/>
      <color indexed="10"/>
      <name val="Arial"/>
      <family val="2"/>
    </font>
    <font>
      <b/>
      <sz val="8"/>
      <name val="Helvetica"/>
      <family val="2"/>
    </font>
    <font>
      <i/>
      <sz val="8"/>
      <name val="Helvetica"/>
      <family val="2"/>
    </font>
    <font>
      <sz val="8"/>
      <color indexed="10"/>
      <name val="Helvetica"/>
      <family val="2"/>
    </font>
    <font>
      <sz val="8"/>
      <color indexed="14"/>
      <name val="Helvetica"/>
      <family val="2"/>
    </font>
    <font>
      <sz val="8"/>
      <color indexed="17"/>
      <name val="Helvetica"/>
      <family val="2"/>
    </font>
    <font>
      <sz val="8"/>
      <color indexed="9"/>
      <name val="Helvetica"/>
      <family val="2"/>
    </font>
    <font>
      <sz val="8"/>
      <color indexed="20"/>
      <name val="Helvetica"/>
      <family val="2"/>
    </font>
    <font>
      <sz val="9"/>
      <name val="Helvetica"/>
      <family val="2"/>
    </font>
    <font>
      <b/>
      <sz val="8"/>
      <color indexed="10"/>
      <name val="Helvetica"/>
      <family val="2"/>
    </font>
    <font>
      <b/>
      <sz val="10"/>
      <name val="Arial"/>
      <family val="2"/>
    </font>
    <font>
      <i/>
      <sz val="8"/>
      <color indexed="8"/>
      <name val="Helvetica"/>
      <family val="2"/>
    </font>
    <font>
      <sz val="8"/>
      <name val="Arial"/>
      <family val="2"/>
    </font>
    <font>
      <b/>
      <sz val="8"/>
      <color indexed="8"/>
      <name val="Helvetica"/>
      <family val="2"/>
    </font>
    <font>
      <sz val="8"/>
      <color indexed="58"/>
      <name val="Helvetica"/>
      <family val="2"/>
    </font>
    <font>
      <sz val="10"/>
      <name val="Times New Roman"/>
      <family val="1"/>
    </font>
    <font>
      <sz val="8"/>
      <color indexed="24"/>
      <name val="Helvetica"/>
      <family val="2"/>
    </font>
    <font>
      <sz val="6"/>
      <name val="Helvetica"/>
      <family val="2"/>
    </font>
    <font>
      <sz val="6"/>
      <color indexed="12"/>
      <name val="Helvetica"/>
      <family val="2"/>
    </font>
    <font>
      <sz val="9"/>
      <color indexed="17"/>
      <name val="Helvetica"/>
      <family val="2"/>
    </font>
    <font>
      <sz val="8"/>
      <color indexed="18"/>
      <name val="Helvetica"/>
      <family val="2"/>
    </font>
    <font>
      <sz val="10"/>
      <color indexed="10"/>
      <name val="Arial"/>
      <family val="2"/>
    </font>
    <font>
      <sz val="8"/>
      <color indexed="42"/>
      <name val="Helvetica"/>
      <family val="2"/>
    </font>
    <font>
      <b/>
      <sz val="8"/>
      <color indexed="58"/>
      <name val="Helvetica"/>
      <family val="2"/>
    </font>
    <font>
      <sz val="8"/>
      <color indexed="58"/>
      <name val="Arial"/>
      <family val="2"/>
    </font>
    <font>
      <sz val="10"/>
      <color indexed="58"/>
      <name val="Arial"/>
      <family val="2"/>
    </font>
    <font>
      <sz val="8"/>
      <color indexed="12"/>
      <name val="Arial"/>
      <family val="2"/>
    </font>
    <font>
      <b/>
      <sz val="8"/>
      <name val="Arial"/>
      <family val="2"/>
    </font>
    <font>
      <b/>
      <sz val="8"/>
      <color indexed="8"/>
      <name val="Arial"/>
      <family val="2"/>
    </font>
    <font>
      <sz val="8"/>
      <color indexed="8"/>
      <name val="Arial"/>
      <family val="2"/>
    </font>
    <font>
      <sz val="8"/>
      <color indexed="18"/>
      <name val="Arial"/>
      <family val="2"/>
    </font>
    <font>
      <b/>
      <u/>
      <sz val="10"/>
      <name val="Arial"/>
      <family val="2"/>
    </font>
    <font>
      <sz val="10"/>
      <color indexed="17"/>
      <name val="Arial"/>
      <family val="2"/>
    </font>
    <font>
      <sz val="10"/>
      <color indexed="12"/>
      <name val="Arial"/>
      <family val="2"/>
    </font>
    <font>
      <b/>
      <sz val="9"/>
      <color indexed="81"/>
      <name val="Tahoma"/>
      <family val="2"/>
    </font>
    <font>
      <sz val="9"/>
      <color indexed="81"/>
      <name val="Tahoma"/>
      <family val="2"/>
    </font>
    <font>
      <b/>
      <sz val="8"/>
      <color indexed="81"/>
      <name val="Tahoma"/>
      <family val="2"/>
    </font>
    <font>
      <sz val="8"/>
      <color indexed="81"/>
      <name val="Tahoma"/>
      <family val="2"/>
    </font>
    <font>
      <b/>
      <sz val="8"/>
      <color indexed="17"/>
      <name val="Helvetica"/>
      <family val="2"/>
    </font>
    <font>
      <sz val="8"/>
      <color indexed="25"/>
      <name val="Helvetica"/>
      <family val="2"/>
    </font>
    <font>
      <sz val="8"/>
      <color indexed="61"/>
      <name val="Helvetica"/>
      <family val="2"/>
    </font>
    <font>
      <sz val="8"/>
      <name val="Helvetica"/>
    </font>
    <font>
      <sz val="8"/>
      <color indexed="55"/>
      <name val="Arial"/>
      <family val="2"/>
    </font>
    <font>
      <sz val="8"/>
      <color indexed="53"/>
      <name val="Arial"/>
      <family val="2"/>
    </font>
    <font>
      <sz val="8"/>
      <color indexed="53"/>
      <name val="Helvetica"/>
      <family val="2"/>
    </font>
    <font>
      <i/>
      <sz val="8"/>
      <name val="Arial"/>
      <family val="2"/>
    </font>
    <font>
      <i/>
      <sz val="10"/>
      <name val="Arial"/>
      <family val="2"/>
    </font>
    <font>
      <b/>
      <u/>
      <sz val="8"/>
      <name val="Arial"/>
      <family val="2"/>
    </font>
    <font>
      <sz val="8"/>
      <color indexed="24"/>
      <name val="Arial"/>
      <family val="2"/>
    </font>
    <font>
      <u/>
      <sz val="8"/>
      <name val="Arial"/>
      <family val="2"/>
    </font>
    <font>
      <sz val="8"/>
      <color indexed="9"/>
      <name val="Arial"/>
      <family val="2"/>
    </font>
    <font>
      <b/>
      <sz val="8"/>
      <color indexed="9"/>
      <name val="Arial"/>
      <family val="2"/>
    </font>
    <font>
      <b/>
      <sz val="8"/>
      <color indexed="10"/>
      <name val="Arial"/>
      <family val="2"/>
    </font>
    <font>
      <b/>
      <sz val="11"/>
      <color indexed="8"/>
      <name val="Calibri"/>
      <family val="2"/>
    </font>
    <font>
      <b/>
      <i/>
      <sz val="8"/>
      <name val="Helvetica"/>
      <family val="2"/>
    </font>
    <font>
      <sz val="10"/>
      <color indexed="9"/>
      <name val="Arial"/>
      <family val="2"/>
    </font>
    <font>
      <i/>
      <sz val="8"/>
      <color indexed="17"/>
      <name val="Arial"/>
      <family val="2"/>
    </font>
    <font>
      <sz val="8"/>
      <color indexed="20"/>
      <name val="Arial"/>
      <family val="2"/>
    </font>
    <font>
      <sz val="8"/>
      <color indexed="17"/>
      <name val="Arial"/>
      <family val="2"/>
    </font>
    <font>
      <sz val="8"/>
      <color indexed="25"/>
      <name val="Arial"/>
      <family val="2"/>
    </font>
    <font>
      <sz val="8"/>
      <color indexed="57"/>
      <name val="Arial"/>
      <family val="2"/>
    </font>
    <font>
      <b/>
      <sz val="10"/>
      <color indexed="9"/>
      <name val="Arial"/>
      <family val="2"/>
    </font>
    <font>
      <b/>
      <i/>
      <sz val="8"/>
      <name val="Arial"/>
      <family val="2"/>
    </font>
    <font>
      <b/>
      <sz val="9"/>
      <name val="Helvetica"/>
      <family val="2"/>
    </font>
    <font>
      <sz val="10"/>
      <name val="Helvetica"/>
      <family val="2"/>
    </font>
    <font>
      <b/>
      <u/>
      <sz val="9"/>
      <name val="Helvetica"/>
      <family val="2"/>
    </font>
    <font>
      <sz val="9"/>
      <name val="Arial"/>
      <family val="2"/>
    </font>
    <font>
      <i/>
      <sz val="8"/>
      <color indexed="10"/>
      <name val="Arial"/>
      <family val="2"/>
    </font>
    <font>
      <i/>
      <sz val="10"/>
      <color indexed="10"/>
      <name val="Arial"/>
      <family val="2"/>
    </font>
    <font>
      <sz val="11"/>
      <name val="Arial"/>
      <family val="2"/>
    </font>
    <font>
      <sz val="10"/>
      <name val="MS Sans Serif"/>
      <family val="2"/>
    </font>
    <font>
      <b/>
      <sz val="10"/>
      <color indexed="8"/>
      <name val="Times New Roman"/>
      <family val="1"/>
    </font>
    <font>
      <sz val="9"/>
      <name val="Times New Roman"/>
      <family val="1"/>
    </font>
    <font>
      <sz val="10"/>
      <color indexed="8"/>
      <name val="Times New Roman"/>
      <family val="1"/>
    </font>
    <font>
      <i/>
      <sz val="8"/>
      <name val="Times New Roman"/>
      <family val="1"/>
    </font>
    <font>
      <sz val="11"/>
      <color indexed="8"/>
      <name val="Calibri"/>
      <family val="2"/>
    </font>
    <font>
      <sz val="8"/>
      <color indexed="17"/>
      <name val="Helvetica"/>
      <family val="2"/>
    </font>
    <font>
      <sz val="8"/>
      <color indexed="10"/>
      <name val="Arial"/>
      <family val="2"/>
    </font>
    <font>
      <sz val="8"/>
      <color indexed="10"/>
      <name val="Helvetica"/>
      <family val="2"/>
    </font>
    <font>
      <sz val="8"/>
      <color indexed="12"/>
      <name val="Arial"/>
      <family val="2"/>
    </font>
    <font>
      <sz val="8"/>
      <color indexed="12"/>
      <name val="Helvetica"/>
      <family val="2"/>
    </font>
    <font>
      <sz val="8"/>
      <color indexed="8"/>
      <name val="Helvetica"/>
    </font>
    <font>
      <sz val="8"/>
      <color indexed="12"/>
      <name val="Helvetica"/>
      <family val="2"/>
    </font>
    <font>
      <sz val="8"/>
      <color indexed="12"/>
      <name val="Arial"/>
      <family val="2"/>
    </font>
    <font>
      <sz val="11"/>
      <color indexed="9"/>
      <name val="Calibri"/>
      <family val="2"/>
    </font>
    <font>
      <sz val="8"/>
      <color indexed="17"/>
      <name val="Arial"/>
      <family val="2"/>
    </font>
    <font>
      <sz val="8"/>
      <color indexed="36"/>
      <name val="Helvetica"/>
    </font>
    <font>
      <sz val="8"/>
      <color rgb="FF000000"/>
      <name val="Tahoma"/>
      <family val="2"/>
    </font>
    <font>
      <sz val="10"/>
      <name val="Arial"/>
      <family val="2"/>
    </font>
    <font>
      <sz val="8"/>
      <color rgb="FF0000FF"/>
      <name val="Helvetica"/>
      <family val="2"/>
    </font>
    <font>
      <sz val="8"/>
      <color rgb="FF0000FF"/>
      <name val="Arial"/>
      <family val="2"/>
    </font>
    <font>
      <sz val="8"/>
      <color rgb="FF000000"/>
      <name val="Helvetica"/>
      <family val="2"/>
    </font>
    <font>
      <b/>
      <sz val="8"/>
      <color rgb="FF000000"/>
      <name val="Helvetica"/>
      <family val="2"/>
    </font>
    <font>
      <sz val="8"/>
      <color rgb="FFFF00FF"/>
      <name val="Helvetica"/>
      <family val="2"/>
    </font>
    <font>
      <sz val="10"/>
      <name val="Arial"/>
      <family val="2"/>
    </font>
    <font>
      <sz val="10"/>
      <name val="Arial"/>
      <family val="2"/>
    </font>
    <font>
      <sz val="8"/>
      <color rgb="FF008000"/>
      <name val="Arial"/>
      <family val="2"/>
    </font>
    <font>
      <sz val="9"/>
      <name val="Helvetica"/>
    </font>
    <font>
      <sz val="9"/>
      <color rgb="FF000000"/>
      <name val="Arial"/>
      <family val="2"/>
    </font>
    <font>
      <sz val="9"/>
      <color rgb="FF000000"/>
      <name val="Helvetica"/>
      <family val="2"/>
    </font>
    <font>
      <b/>
      <sz val="8"/>
      <color rgb="FF000000"/>
      <name val="Arial"/>
      <family val="2"/>
    </font>
    <font>
      <sz val="10"/>
      <name val="Arial"/>
      <family val="2"/>
    </font>
    <font>
      <sz val="11"/>
      <name val="Calibri"/>
      <family val="2"/>
      <scheme val="minor"/>
    </font>
    <font>
      <sz val="11"/>
      <color rgb="FF0000FF"/>
      <name val="Calibri"/>
      <family val="2"/>
      <scheme val="minor"/>
    </font>
    <font>
      <sz val="10"/>
      <name val="Arial"/>
      <family val="2"/>
    </font>
    <font>
      <sz val="8"/>
      <color rgb="FFFF0000"/>
      <name val="Helvetica"/>
      <family val="2"/>
    </font>
    <font>
      <sz val="10"/>
      <name val="Arial"/>
      <family val="2"/>
    </font>
    <font>
      <sz val="10"/>
      <name val="Arial"/>
      <family val="2"/>
    </font>
    <font>
      <sz val="10"/>
      <name val="Courier"/>
      <family val="3"/>
    </font>
    <font>
      <sz val="10"/>
      <color rgb="FF000000"/>
      <name val="Arial"/>
      <family val="2"/>
    </font>
    <font>
      <b/>
      <sz val="12"/>
      <color rgb="FF000080"/>
      <name val="Arial"/>
      <family val="2"/>
    </font>
  </fonts>
  <fills count="15">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23"/>
        <bgColor indexed="64"/>
      </patternFill>
    </fill>
    <fill>
      <patternFill patternType="solid">
        <fgColor indexed="22"/>
        <bgColor indexed="64"/>
      </patternFill>
    </fill>
    <fill>
      <patternFill patternType="solid">
        <fgColor indexed="22"/>
        <bgColor indexed="22"/>
      </patternFill>
    </fill>
    <fill>
      <patternFill patternType="solid">
        <fgColor indexed="23"/>
        <bgColor indexed="22"/>
      </patternFill>
    </fill>
    <fill>
      <patternFill patternType="solid">
        <fgColor indexed="42"/>
        <bgColor indexed="64"/>
      </patternFill>
    </fill>
    <fill>
      <patternFill patternType="solid">
        <fgColor indexed="56"/>
        <bgColor indexed="64"/>
      </patternFill>
    </fill>
    <fill>
      <patternFill patternType="solid">
        <fgColor indexed="55"/>
        <bgColor indexed="64"/>
      </patternFill>
    </fill>
    <fill>
      <patternFill patternType="solid">
        <fgColor indexed="60"/>
        <bgColor indexed="64"/>
      </patternFill>
    </fill>
    <fill>
      <patternFill patternType="solid">
        <fgColor indexed="13"/>
        <bgColor indexed="64"/>
      </patternFill>
    </fill>
    <fill>
      <patternFill patternType="solid">
        <fgColor indexed="44"/>
        <bgColor indexed="64"/>
      </patternFill>
    </fill>
    <fill>
      <patternFill patternType="solid">
        <fgColor indexed="65"/>
        <bgColor indexed="64"/>
      </patternFill>
    </fill>
  </fills>
  <borders count="67">
    <border>
      <left/>
      <right/>
      <top/>
      <bottom/>
      <diagonal/>
    </border>
    <border>
      <left/>
      <right/>
      <top/>
      <bottom style="thin">
        <color indexed="8"/>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8"/>
      </right>
      <top/>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8"/>
      </right>
      <top/>
      <bottom style="thin">
        <color indexed="64"/>
      </bottom>
      <diagonal/>
    </border>
    <border>
      <left/>
      <right style="thin">
        <color indexed="64"/>
      </right>
      <top style="thin">
        <color indexed="64"/>
      </top>
      <bottom/>
      <diagonal/>
    </border>
    <border>
      <left style="thin">
        <color indexed="64"/>
      </left>
      <right style="thin">
        <color indexed="8"/>
      </right>
      <top style="thin">
        <color indexed="64"/>
      </top>
      <bottom/>
      <diagonal/>
    </border>
    <border>
      <left style="thin">
        <color indexed="64"/>
      </left>
      <right style="thin">
        <color indexed="64"/>
      </right>
      <top/>
      <bottom style="thin">
        <color indexed="8"/>
      </bottom>
      <diagonal/>
    </border>
    <border>
      <left/>
      <right style="thin">
        <color indexed="64"/>
      </right>
      <top/>
      <bottom style="thin">
        <color indexed="8"/>
      </bottom>
      <diagonal/>
    </border>
    <border>
      <left style="thin">
        <color indexed="64"/>
      </left>
      <right/>
      <top/>
      <bottom style="thin">
        <color indexed="8"/>
      </bottom>
      <diagonal/>
    </border>
    <border>
      <left style="thin">
        <color indexed="64"/>
      </left>
      <right style="thin">
        <color indexed="8"/>
      </right>
      <top/>
      <bottom style="thin">
        <color indexed="8"/>
      </bottom>
      <diagonal/>
    </border>
    <border>
      <left style="thin">
        <color indexed="64"/>
      </left>
      <right style="thin">
        <color indexed="64"/>
      </right>
      <top style="thin">
        <color indexed="8"/>
      </top>
      <bottom style="thin">
        <color indexed="64"/>
      </bottom>
      <diagonal/>
    </border>
    <border>
      <left/>
      <right style="thin">
        <color indexed="64"/>
      </right>
      <top style="thin">
        <color indexed="8"/>
      </top>
      <bottom style="thin">
        <color indexed="64"/>
      </bottom>
      <diagonal/>
    </border>
    <border>
      <left/>
      <right/>
      <top style="thin">
        <color indexed="8"/>
      </top>
      <bottom style="thin">
        <color indexed="64"/>
      </bottom>
      <diagonal/>
    </border>
    <border>
      <left style="thin">
        <color indexed="64"/>
      </left>
      <right style="thin">
        <color indexed="8"/>
      </right>
      <top style="thin">
        <color indexed="8"/>
      </top>
      <bottom style="thin">
        <color indexed="64"/>
      </bottom>
      <diagonal/>
    </border>
    <border>
      <left style="thin">
        <color indexed="8"/>
      </left>
      <right/>
      <top style="thin">
        <color indexed="64"/>
      </top>
      <bottom/>
      <diagonal/>
    </border>
    <border>
      <left style="thin">
        <color indexed="8"/>
      </left>
      <right/>
      <top/>
      <bottom style="thin">
        <color indexed="8"/>
      </bottom>
      <diagonal/>
    </border>
    <border>
      <left/>
      <right/>
      <top/>
      <bottom style="medium">
        <color indexed="64"/>
      </bottom>
      <diagonal/>
    </border>
    <border>
      <left style="thin">
        <color indexed="64"/>
      </left>
      <right style="thin">
        <color indexed="64"/>
      </right>
      <top/>
      <bottom style="medium">
        <color indexed="64"/>
      </bottom>
      <diagonal/>
    </border>
    <border>
      <left/>
      <right/>
      <top/>
      <bottom style="medium">
        <color indexed="8"/>
      </bottom>
      <diagonal/>
    </border>
    <border>
      <left style="thin">
        <color indexed="64"/>
      </left>
      <right style="thin">
        <color indexed="64"/>
      </right>
      <top/>
      <bottom style="medium">
        <color indexed="8"/>
      </bottom>
      <diagonal/>
    </border>
    <border>
      <left style="thin">
        <color indexed="64"/>
      </left>
      <right/>
      <top/>
      <bottom style="medium">
        <color indexed="8"/>
      </bottom>
      <diagonal/>
    </border>
    <border>
      <left/>
      <right style="thin">
        <color indexed="64"/>
      </right>
      <top/>
      <bottom style="medium">
        <color indexed="64"/>
      </bottom>
      <diagonal/>
    </border>
    <border>
      <left/>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top style="thin">
        <color indexed="8"/>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hair">
        <color indexed="64"/>
      </right>
      <top style="thin">
        <color indexed="64"/>
      </top>
      <bottom/>
      <diagonal/>
    </border>
    <border>
      <left style="hair">
        <color indexed="64"/>
      </left>
      <right/>
      <top style="thin">
        <color indexed="64"/>
      </top>
      <bottom/>
      <diagonal/>
    </border>
    <border>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style="thin">
        <color indexed="64"/>
      </left>
      <right style="hair">
        <color indexed="64"/>
      </right>
      <top/>
      <bottom/>
      <diagonal/>
    </border>
    <border>
      <left/>
      <right style="hair">
        <color indexed="64"/>
      </right>
      <top/>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s>
  <cellStyleXfs count="73">
    <xf numFmtId="0" fontId="0" fillId="0" borderId="0"/>
    <xf numFmtId="0" fontId="2" fillId="0" borderId="0"/>
    <xf numFmtId="0" fontId="2" fillId="0" borderId="0"/>
    <xf numFmtId="0" fontId="2" fillId="0" borderId="0"/>
    <xf numFmtId="0" fontId="77" fillId="0" borderId="0"/>
    <xf numFmtId="0" fontId="77" fillId="0" borderId="0"/>
    <xf numFmtId="0" fontId="77" fillId="0" borderId="0"/>
    <xf numFmtId="0" fontId="77"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43" fontId="8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8"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2" fillId="0" borderId="0"/>
    <xf numFmtId="0" fontId="79" fillId="0" borderId="0">
      <alignment vertical="center"/>
    </xf>
    <xf numFmtId="9" fontId="6"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2" borderId="0" applyNumberFormat="0" applyFont="0" applyBorder="0" applyAlignment="0" applyProtection="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1">
      <alignment horizontal="centerContinuous"/>
    </xf>
    <xf numFmtId="0" fontId="80" fillId="0" borderId="1">
      <alignment horizontal="centerContinuous"/>
    </xf>
    <xf numFmtId="0" fontId="80" fillId="0" borderId="1">
      <alignment horizontal="centerContinuous"/>
    </xf>
    <xf numFmtId="0" fontId="80" fillId="0" borderId="1">
      <alignment horizontal="centerContinuous"/>
    </xf>
    <xf numFmtId="0" fontId="80" fillId="0" borderId="1">
      <alignment horizontal="centerContinuous"/>
    </xf>
    <xf numFmtId="0" fontId="80" fillId="0" borderId="1">
      <alignment horizontal="centerContinuous"/>
    </xf>
    <xf numFmtId="0" fontId="80" fillId="0" borderId="1">
      <alignment horizontal="centerContinuous"/>
    </xf>
    <xf numFmtId="0" fontId="81" fillId="0" borderId="1"/>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95" fillId="0" borderId="0"/>
    <xf numFmtId="44" fontId="95" fillId="0" borderId="0" applyFont="0" applyFill="0" applyBorder="0" applyAlignment="0" applyProtection="0"/>
    <xf numFmtId="0" fontId="101" fillId="0" borderId="0"/>
    <xf numFmtId="44" fontId="101" fillId="0" borderId="0" applyFont="0" applyFill="0" applyBorder="0" applyAlignment="0" applyProtection="0"/>
    <xf numFmtId="0" fontId="102" fillId="0" borderId="0"/>
    <xf numFmtId="44" fontId="102" fillId="0" borderId="0" applyFont="0" applyFill="0" applyBorder="0" applyAlignment="0" applyProtection="0"/>
    <xf numFmtId="0" fontId="108" fillId="0" borderId="0"/>
    <xf numFmtId="44" fontId="108" fillId="0" borderId="0" applyFont="0" applyFill="0" applyBorder="0" applyAlignment="0" applyProtection="0"/>
    <xf numFmtId="0" fontId="111" fillId="0" borderId="0"/>
    <xf numFmtId="44" fontId="111" fillId="0" borderId="0" applyFont="0" applyFill="0" applyBorder="0" applyAlignment="0" applyProtection="0"/>
    <xf numFmtId="0" fontId="113" fillId="0" borderId="0"/>
    <xf numFmtId="44" fontId="113" fillId="0" borderId="0" applyFont="0" applyFill="0" applyBorder="0" applyAlignment="0" applyProtection="0"/>
    <xf numFmtId="0" fontId="114" fillId="0" borderId="0"/>
    <xf numFmtId="44" fontId="114" fillId="0" borderId="0" applyFont="0" applyFill="0" applyBorder="0" applyAlignment="0" applyProtection="0"/>
    <xf numFmtId="0" fontId="115" fillId="0" borderId="0"/>
  </cellStyleXfs>
  <cellXfs count="2045">
    <xf numFmtId="0" fontId="0" fillId="0" borderId="0" xfId="0"/>
    <xf numFmtId="37" fontId="3" fillId="0" borderId="0" xfId="23" applyNumberFormat="1" applyFont="1" applyFill="1" applyBorder="1"/>
    <xf numFmtId="164" fontId="3" fillId="0" borderId="0" xfId="23" applyNumberFormat="1" applyFont="1" applyFill="1" applyBorder="1" applyAlignment="1">
      <alignment horizontal="right"/>
    </xf>
    <xf numFmtId="164" fontId="4" fillId="0" borderId="0" xfId="23" applyNumberFormat="1" applyFont="1" applyFill="1" applyBorder="1" applyAlignment="1">
      <alignment horizontal="right"/>
    </xf>
    <xf numFmtId="164" fontId="4" fillId="0" borderId="2" xfId="23" applyNumberFormat="1" applyFont="1" applyFill="1" applyBorder="1" applyAlignment="1">
      <alignment horizontal="right"/>
    </xf>
    <xf numFmtId="164" fontId="3" fillId="0" borderId="2" xfId="23" applyNumberFormat="1" applyFont="1" applyFill="1" applyBorder="1" applyAlignment="1">
      <alignment horizontal="right"/>
    </xf>
    <xf numFmtId="0" fontId="2" fillId="0" borderId="0" xfId="23" applyFill="1"/>
    <xf numFmtId="164" fontId="5" fillId="0" borderId="3" xfId="23" applyNumberFormat="1" applyFont="1" applyFill="1" applyBorder="1" applyAlignment="1">
      <alignment horizontal="right"/>
    </xf>
    <xf numFmtId="164" fontId="5" fillId="0" borderId="4" xfId="23" applyNumberFormat="1" applyFont="1" applyFill="1" applyBorder="1" applyAlignment="1">
      <alignment horizontal="right"/>
    </xf>
    <xf numFmtId="0" fontId="3" fillId="0" borderId="0" xfId="23" applyFont="1" applyFill="1" applyBorder="1"/>
    <xf numFmtId="37" fontId="3" fillId="3" borderId="5" xfId="23" applyNumberFormat="1" applyFont="1" applyFill="1" applyBorder="1"/>
    <xf numFmtId="165" fontId="3" fillId="4" borderId="0" xfId="23" applyNumberFormat="1" applyFont="1" applyFill="1" applyBorder="1" applyAlignment="1">
      <alignment horizontal="right"/>
    </xf>
    <xf numFmtId="165" fontId="3" fillId="3" borderId="0" xfId="23" applyNumberFormat="1" applyFont="1" applyFill="1" applyBorder="1" applyAlignment="1">
      <alignment horizontal="right"/>
    </xf>
    <xf numFmtId="164" fontId="3" fillId="3" borderId="0" xfId="23" applyNumberFormat="1" applyFont="1" applyFill="1" applyBorder="1" applyAlignment="1">
      <alignment horizontal="right"/>
    </xf>
    <xf numFmtId="0" fontId="2" fillId="0" borderId="0" xfId="23"/>
    <xf numFmtId="37" fontId="3" fillId="3" borderId="0" xfId="23" applyNumberFormat="1" applyFont="1" applyFill="1" applyBorder="1" applyAlignment="1">
      <alignment horizontal="left"/>
    </xf>
    <xf numFmtId="164" fontId="3" fillId="4" borderId="0" xfId="23" applyNumberFormat="1" applyFont="1" applyFill="1" applyBorder="1" applyAlignment="1">
      <alignment horizontal="right"/>
    </xf>
    <xf numFmtId="0" fontId="2" fillId="0" borderId="0" xfId="23" applyAlignment="1">
      <alignment horizontal="right"/>
    </xf>
    <xf numFmtId="0" fontId="2" fillId="0" borderId="0" xfId="23" applyFill="1" applyBorder="1"/>
    <xf numFmtId="37" fontId="3" fillId="3" borderId="0" xfId="23" applyNumberFormat="1" applyFont="1" applyFill="1" applyBorder="1"/>
    <xf numFmtId="9" fontId="3" fillId="3" borderId="0" xfId="35" applyFont="1" applyFill="1" applyBorder="1" applyAlignment="1">
      <alignment horizontal="right"/>
    </xf>
    <xf numFmtId="166" fontId="3" fillId="3" borderId="0" xfId="35" applyNumberFormat="1" applyFont="1" applyFill="1" applyBorder="1" applyAlignment="1">
      <alignment horizontal="right"/>
    </xf>
    <xf numFmtId="166" fontId="2" fillId="0" borderId="0" xfId="23" applyNumberFormat="1"/>
    <xf numFmtId="37" fontId="6" fillId="0" borderId="0" xfId="16" applyNumberFormat="1" applyFont="1"/>
    <xf numFmtId="167" fontId="3" fillId="3" borderId="0" xfId="16" applyFont="1" applyFill="1" applyBorder="1" applyAlignment="1">
      <alignment horizontal="right"/>
    </xf>
    <xf numFmtId="168" fontId="3" fillId="3" borderId="0" xfId="35" applyNumberFormat="1" applyFont="1" applyFill="1" applyBorder="1" applyAlignment="1">
      <alignment horizontal="right"/>
    </xf>
    <xf numFmtId="166" fontId="2" fillId="0" borderId="0" xfId="23" applyNumberFormat="1" applyFont="1"/>
    <xf numFmtId="9" fontId="2" fillId="0" borderId="0" xfId="23" applyNumberFormat="1"/>
    <xf numFmtId="9" fontId="2" fillId="0" borderId="0" xfId="23" applyNumberFormat="1" applyAlignment="1">
      <alignment horizontal="right"/>
    </xf>
    <xf numFmtId="0" fontId="3" fillId="3" borderId="0" xfId="23" applyFont="1" applyFill="1" applyBorder="1"/>
    <xf numFmtId="0" fontId="3" fillId="4" borderId="0" xfId="23" applyFont="1" applyFill="1" applyBorder="1"/>
    <xf numFmtId="9" fontId="3" fillId="3" borderId="0" xfId="35" applyFont="1" applyFill="1" applyBorder="1"/>
    <xf numFmtId="164" fontId="3" fillId="3" borderId="0" xfId="23" applyNumberFormat="1" applyFont="1" applyFill="1" applyBorder="1"/>
    <xf numFmtId="0" fontId="3" fillId="3" borderId="0" xfId="23" applyFont="1" applyFill="1" applyBorder="1" applyAlignment="1"/>
    <xf numFmtId="168" fontId="2" fillId="0" borderId="0" xfId="23" applyNumberFormat="1"/>
    <xf numFmtId="169" fontId="7" fillId="0" borderId="0" xfId="23" applyNumberFormat="1" applyFont="1"/>
    <xf numFmtId="5" fontId="2" fillId="0" borderId="0" xfId="23" applyNumberFormat="1"/>
    <xf numFmtId="5" fontId="2" fillId="0" borderId="0" xfId="23" applyNumberFormat="1" applyAlignment="1">
      <alignment horizontal="right"/>
    </xf>
    <xf numFmtId="37" fontId="8" fillId="3" borderId="0" xfId="23" applyNumberFormat="1" applyFont="1" applyFill="1" applyBorder="1" applyAlignment="1" applyProtection="1">
      <alignment horizontal="centerContinuous"/>
    </xf>
    <xf numFmtId="37" fontId="3" fillId="4" borderId="0" xfId="23" applyNumberFormat="1" applyFont="1" applyFill="1" applyBorder="1" applyAlignment="1" applyProtection="1">
      <alignment horizontal="centerContinuous"/>
    </xf>
    <xf numFmtId="9" fontId="3" fillId="3" borderId="0" xfId="35" applyFont="1" applyFill="1" applyBorder="1" applyAlignment="1" applyProtection="1">
      <alignment horizontal="centerContinuous"/>
    </xf>
    <xf numFmtId="37" fontId="3" fillId="3" borderId="0" xfId="23" applyNumberFormat="1" applyFont="1" applyFill="1" applyBorder="1" applyAlignment="1" applyProtection="1">
      <alignment horizontal="centerContinuous"/>
    </xf>
    <xf numFmtId="9" fontId="3" fillId="3" borderId="0" xfId="23" applyNumberFormat="1" applyFont="1" applyFill="1" applyBorder="1" applyAlignment="1" applyProtection="1">
      <alignment horizontal="centerContinuous"/>
    </xf>
    <xf numFmtId="0" fontId="2" fillId="0" borderId="0" xfId="23" applyAlignment="1">
      <alignment horizontal="centerContinuous"/>
    </xf>
    <xf numFmtId="169" fontId="7" fillId="0" borderId="0" xfId="23" applyNumberFormat="1" applyFont="1" applyAlignment="1">
      <alignment horizontal="centerContinuous"/>
    </xf>
    <xf numFmtId="9" fontId="3" fillId="0" borderId="0" xfId="23" applyNumberFormat="1" applyFont="1" applyFill="1" applyBorder="1" applyAlignment="1" applyProtection="1">
      <alignment horizontal="centerContinuous"/>
    </xf>
    <xf numFmtId="37" fontId="3" fillId="3" borderId="0" xfId="23" applyNumberFormat="1" applyFont="1" applyFill="1" applyBorder="1" applyAlignment="1" applyProtection="1">
      <alignment horizontal="left"/>
    </xf>
    <xf numFmtId="167" fontId="3" fillId="3" borderId="0" xfId="23" applyNumberFormat="1" applyFont="1" applyFill="1" applyBorder="1" applyAlignment="1" applyProtection="1">
      <alignment horizontal="centerContinuous"/>
    </xf>
    <xf numFmtId="37" fontId="8" fillId="4" borderId="0" xfId="23" applyNumberFormat="1" applyFont="1" applyFill="1" applyBorder="1" applyAlignment="1" applyProtection="1">
      <alignment horizontal="centerContinuous"/>
    </xf>
    <xf numFmtId="167" fontId="8" fillId="0" borderId="0" xfId="16" applyFont="1" applyFill="1" applyBorder="1" applyAlignment="1" applyProtection="1">
      <alignment horizontal="centerContinuous"/>
    </xf>
    <xf numFmtId="37" fontId="8" fillId="3" borderId="0" xfId="23" applyNumberFormat="1" applyFont="1" applyFill="1" applyBorder="1" applyAlignment="1" applyProtection="1">
      <alignment horizontal="left"/>
    </xf>
    <xf numFmtId="37" fontId="9" fillId="3" borderId="0" xfId="23" applyNumberFormat="1" applyFont="1" applyFill="1" applyBorder="1" applyAlignment="1" applyProtection="1">
      <alignment horizontal="centerContinuous"/>
    </xf>
    <xf numFmtId="37" fontId="9" fillId="4" borderId="0" xfId="23" applyNumberFormat="1" applyFont="1" applyFill="1" applyBorder="1" applyAlignment="1" applyProtection="1">
      <alignment horizontal="centerContinuous"/>
    </xf>
    <xf numFmtId="10" fontId="9" fillId="0" borderId="0" xfId="35" applyNumberFormat="1" applyFont="1" applyFill="1" applyBorder="1" applyAlignment="1" applyProtection="1">
      <alignment horizontal="centerContinuous"/>
    </xf>
    <xf numFmtId="0" fontId="9" fillId="0" borderId="0" xfId="23" applyFont="1" applyFill="1" applyBorder="1" applyAlignment="1">
      <alignment horizontal="centerContinuous"/>
    </xf>
    <xf numFmtId="37" fontId="9" fillId="3" borderId="0" xfId="23" applyNumberFormat="1" applyFont="1" applyFill="1" applyBorder="1" applyAlignment="1" applyProtection="1">
      <alignment horizontal="center"/>
    </xf>
    <xf numFmtId="37" fontId="9" fillId="3" borderId="0" xfId="23" applyNumberFormat="1" applyFont="1" applyFill="1" applyBorder="1" applyAlignment="1" applyProtection="1">
      <alignment horizontal="left"/>
    </xf>
    <xf numFmtId="37" fontId="5" fillId="3" borderId="6" xfId="23" applyNumberFormat="1" applyFont="1" applyFill="1" applyBorder="1"/>
    <xf numFmtId="164" fontId="5" fillId="4" borderId="7" xfId="23" applyNumberFormat="1" applyFont="1" applyFill="1" applyBorder="1" applyAlignment="1">
      <alignment horizontal="right"/>
    </xf>
    <xf numFmtId="164" fontId="5" fillId="3" borderId="6" xfId="23" applyNumberFormat="1" applyFont="1" applyFill="1" applyBorder="1" applyAlignment="1">
      <alignment horizontal="right"/>
    </xf>
    <xf numFmtId="164" fontId="5" fillId="3" borderId="3" xfId="23" applyNumberFormat="1" applyFont="1" applyFill="1" applyBorder="1" applyAlignment="1">
      <alignment horizontal="right"/>
    </xf>
    <xf numFmtId="164" fontId="5" fillId="3" borderId="8" xfId="23" applyNumberFormat="1" applyFont="1" applyFill="1" applyBorder="1" applyAlignment="1">
      <alignment horizontal="right"/>
    </xf>
    <xf numFmtId="164" fontId="5" fillId="3" borderId="4" xfId="23" applyNumberFormat="1" applyFont="1" applyFill="1" applyBorder="1" applyAlignment="1">
      <alignment horizontal="right"/>
    </xf>
    <xf numFmtId="164" fontId="5" fillId="0" borderId="6" xfId="23" applyNumberFormat="1" applyFont="1" applyFill="1" applyBorder="1" applyAlignment="1">
      <alignment horizontal="right"/>
    </xf>
    <xf numFmtId="37" fontId="5" fillId="3" borderId="0" xfId="23" quotePrefix="1" applyNumberFormat="1" applyFont="1" applyFill="1" applyBorder="1" applyAlignment="1">
      <alignment horizontal="center"/>
    </xf>
    <xf numFmtId="37" fontId="5" fillId="3" borderId="0" xfId="23" applyNumberFormat="1" applyFont="1" applyFill="1" applyBorder="1" applyAlignment="1">
      <alignment horizontal="left"/>
    </xf>
    <xf numFmtId="37" fontId="5" fillId="3" borderId="7" xfId="23" applyNumberFormat="1" applyFont="1" applyFill="1" applyBorder="1"/>
    <xf numFmtId="0" fontId="3" fillId="3" borderId="9" xfId="23" applyFont="1" applyFill="1" applyBorder="1"/>
    <xf numFmtId="167" fontId="4" fillId="4" borderId="0" xfId="16" applyFont="1" applyFill="1" applyBorder="1"/>
    <xf numFmtId="168" fontId="3" fillId="0" borderId="9" xfId="31" applyNumberFormat="1" applyFont="1" applyBorder="1"/>
    <xf numFmtId="168" fontId="3" fillId="0" borderId="0" xfId="31" applyNumberFormat="1" applyFont="1" applyBorder="1"/>
    <xf numFmtId="168" fontId="3" fillId="0" borderId="10" xfId="31" applyNumberFormat="1" applyFont="1" applyFill="1" applyBorder="1"/>
    <xf numFmtId="168" fontId="3" fillId="0" borderId="11" xfId="31" applyNumberFormat="1" applyFont="1" applyBorder="1"/>
    <xf numFmtId="168" fontId="3" fillId="0" borderId="12" xfId="31" applyNumberFormat="1" applyFont="1" applyFill="1" applyBorder="1"/>
    <xf numFmtId="168" fontId="3" fillId="0" borderId="0" xfId="31" applyNumberFormat="1" applyFont="1" applyFill="1" applyBorder="1"/>
    <xf numFmtId="168" fontId="3" fillId="3" borderId="0" xfId="31" applyNumberFormat="1" applyFont="1" applyFill="1" applyBorder="1"/>
    <xf numFmtId="168" fontId="3" fillId="3" borderId="13" xfId="31" applyNumberFormat="1" applyFont="1" applyFill="1" applyBorder="1"/>
    <xf numFmtId="168" fontId="3" fillId="0" borderId="10" xfId="31" applyNumberFormat="1" applyFont="1" applyFill="1" applyBorder="1" applyAlignment="1">
      <alignment horizontal="right"/>
    </xf>
    <xf numFmtId="168" fontId="3" fillId="3" borderId="0" xfId="18" applyFont="1" applyFill="1" applyBorder="1"/>
    <xf numFmtId="0" fontId="3" fillId="3" borderId="14" xfId="23" applyFont="1" applyFill="1" applyBorder="1"/>
    <xf numFmtId="168" fontId="3" fillId="0" borderId="13" xfId="31" applyNumberFormat="1" applyFont="1" applyBorder="1"/>
    <xf numFmtId="0" fontId="3" fillId="3" borderId="10" xfId="23" applyFont="1" applyFill="1" applyBorder="1" applyAlignment="1">
      <alignment horizontal="left" indent="1"/>
    </xf>
    <xf numFmtId="167" fontId="3" fillId="4" borderId="0" xfId="16" applyFont="1" applyFill="1" applyBorder="1" applyAlignment="1" applyProtection="1">
      <alignment horizontal="right"/>
    </xf>
    <xf numFmtId="166" fontId="3" fillId="3" borderId="10" xfId="35" applyNumberFormat="1" applyFont="1" applyFill="1" applyBorder="1" applyAlignment="1" applyProtection="1">
      <alignment horizontal="right"/>
    </xf>
    <xf numFmtId="166" fontId="3" fillId="3" borderId="0" xfId="35" applyNumberFormat="1" applyFont="1" applyFill="1" applyBorder="1" applyAlignment="1" applyProtection="1">
      <alignment horizontal="right"/>
    </xf>
    <xf numFmtId="166" fontId="3" fillId="3" borderId="14" xfId="35" applyNumberFormat="1" applyFont="1" applyFill="1" applyBorder="1" applyAlignment="1" applyProtection="1">
      <alignment horizontal="right"/>
    </xf>
    <xf numFmtId="166" fontId="3" fillId="3" borderId="12" xfId="35" applyNumberFormat="1" applyFont="1" applyFill="1" applyBorder="1" applyAlignment="1" applyProtection="1">
      <alignment horizontal="right"/>
    </xf>
    <xf numFmtId="166" fontId="3" fillId="3" borderId="13" xfId="35" applyNumberFormat="1" applyFont="1" applyFill="1" applyBorder="1" applyAlignment="1" applyProtection="1">
      <alignment horizontal="right"/>
    </xf>
    <xf numFmtId="166" fontId="3" fillId="0" borderId="10" xfId="35" applyNumberFormat="1" applyFont="1" applyFill="1" applyBorder="1" applyAlignment="1" applyProtection="1">
      <alignment horizontal="right"/>
    </xf>
    <xf numFmtId="166" fontId="10" fillId="0" borderId="0" xfId="35" applyNumberFormat="1" applyFont="1" applyFill="1" applyBorder="1"/>
    <xf numFmtId="166" fontId="3" fillId="0" borderId="0" xfId="35" applyNumberFormat="1" applyFont="1" applyFill="1" applyBorder="1"/>
    <xf numFmtId="166" fontId="3" fillId="0" borderId="10" xfId="35" applyNumberFormat="1" applyFont="1" applyFill="1" applyBorder="1"/>
    <xf numFmtId="166" fontId="3" fillId="3" borderId="0" xfId="35" applyNumberFormat="1" applyFont="1" applyFill="1" applyBorder="1"/>
    <xf numFmtId="0" fontId="3" fillId="3" borderId="0" xfId="23" applyFont="1" applyFill="1" applyBorder="1" applyAlignment="1">
      <alignment horizontal="left" indent="1"/>
    </xf>
    <xf numFmtId="0" fontId="3" fillId="3" borderId="14" xfId="23" applyFont="1" applyFill="1" applyBorder="1" applyAlignment="1">
      <alignment horizontal="left" indent="1"/>
    </xf>
    <xf numFmtId="166" fontId="3" fillId="0" borderId="0" xfId="35" applyNumberFormat="1" applyFont="1" applyFill="1" applyBorder="1" applyAlignment="1" applyProtection="1">
      <alignment horizontal="right"/>
    </xf>
    <xf numFmtId="167" fontId="11" fillId="4" borderId="0" xfId="16" applyFont="1" applyFill="1" applyBorder="1"/>
    <xf numFmtId="166" fontId="11" fillId="3" borderId="10" xfId="35" applyNumberFormat="1" applyFont="1" applyFill="1" applyBorder="1"/>
    <xf numFmtId="166" fontId="11" fillId="3" borderId="0" xfId="35" applyNumberFormat="1" applyFont="1" applyFill="1" applyBorder="1"/>
    <xf numFmtId="166" fontId="11" fillId="3" borderId="14" xfId="35" applyNumberFormat="1" applyFont="1" applyFill="1" applyBorder="1"/>
    <xf numFmtId="166" fontId="11" fillId="3" borderId="12" xfId="35" applyNumberFormat="1" applyFont="1" applyFill="1" applyBorder="1"/>
    <xf numFmtId="166" fontId="11" fillId="0" borderId="14" xfId="35" applyNumberFormat="1" applyFont="1" applyFill="1" applyBorder="1"/>
    <xf numFmtId="166" fontId="11" fillId="0" borderId="0" xfId="35" applyNumberFormat="1" applyFont="1" applyFill="1" applyBorder="1"/>
    <xf numFmtId="166" fontId="11" fillId="0" borderId="13" xfId="35" applyNumberFormat="1" applyFont="1" applyFill="1" applyBorder="1"/>
    <xf numFmtId="166" fontId="11" fillId="0" borderId="10" xfId="35" applyNumberFormat="1" applyFont="1" applyFill="1" applyBorder="1"/>
    <xf numFmtId="166" fontId="12" fillId="0" borderId="14" xfId="35" applyNumberFormat="1" applyFont="1" applyFill="1" applyBorder="1"/>
    <xf numFmtId="166" fontId="12" fillId="0" borderId="0" xfId="35" applyNumberFormat="1" applyFont="1" applyFill="1" applyBorder="1"/>
    <xf numFmtId="166" fontId="12" fillId="0" borderId="13" xfId="35" applyNumberFormat="1" applyFont="1" applyFill="1" applyBorder="1"/>
    <xf numFmtId="166" fontId="12" fillId="0" borderId="10" xfId="35" applyNumberFormat="1" applyFont="1" applyFill="1" applyBorder="1"/>
    <xf numFmtId="166" fontId="12" fillId="0" borderId="10" xfId="35" applyNumberFormat="1" applyFont="1" applyFill="1" applyBorder="1" applyAlignment="1">
      <alignment horizontal="right"/>
    </xf>
    <xf numFmtId="0" fontId="3" fillId="3" borderId="10" xfId="23" applyFont="1" applyFill="1" applyBorder="1"/>
    <xf numFmtId="168" fontId="3" fillId="0" borderId="10" xfId="31" applyNumberFormat="1" applyFont="1" applyBorder="1"/>
    <xf numFmtId="168" fontId="3" fillId="0" borderId="14" xfId="31" applyNumberFormat="1" applyFont="1" applyBorder="1"/>
    <xf numFmtId="167" fontId="5" fillId="0" borderId="10" xfId="16" applyFont="1" applyFill="1" applyBorder="1" applyAlignment="1">
      <alignment horizontal="left"/>
    </xf>
    <xf numFmtId="167" fontId="3" fillId="0" borderId="10" xfId="16" applyNumberFormat="1" applyFont="1" applyBorder="1"/>
    <xf numFmtId="167" fontId="3" fillId="0" borderId="0" xfId="16" applyNumberFormat="1" applyFont="1" applyBorder="1"/>
    <xf numFmtId="167" fontId="3" fillId="0" borderId="10" xfId="31" applyNumberFormat="1" applyFont="1" applyFill="1" applyBorder="1"/>
    <xf numFmtId="167" fontId="3" fillId="0" borderId="14" xfId="16" applyNumberFormat="1" applyFont="1" applyBorder="1"/>
    <xf numFmtId="167" fontId="3" fillId="0" borderId="12" xfId="31" applyNumberFormat="1" applyFont="1" applyFill="1" applyBorder="1"/>
    <xf numFmtId="39" fontId="3" fillId="0" borderId="0" xfId="16" applyNumberFormat="1" applyFont="1" applyBorder="1"/>
    <xf numFmtId="167" fontId="3" fillId="3" borderId="0" xfId="16" applyNumberFormat="1" applyFont="1" applyFill="1" applyBorder="1"/>
    <xf numFmtId="167" fontId="3" fillId="3" borderId="13" xfId="16" applyNumberFormat="1" applyFont="1" applyFill="1" applyBorder="1"/>
    <xf numFmtId="167" fontId="3" fillId="0" borderId="10" xfId="16" applyNumberFormat="1" applyFont="1" applyFill="1" applyBorder="1"/>
    <xf numFmtId="167" fontId="5" fillId="0" borderId="0" xfId="16" applyFont="1" applyFill="1" applyBorder="1" applyAlignment="1">
      <alignment horizontal="left"/>
    </xf>
    <xf numFmtId="167" fontId="5" fillId="0" borderId="14" xfId="16" applyFont="1" applyFill="1" applyBorder="1" applyAlignment="1">
      <alignment horizontal="left"/>
    </xf>
    <xf numFmtId="167" fontId="3" fillId="0" borderId="13" xfId="16" applyNumberFormat="1" applyFont="1" applyBorder="1"/>
    <xf numFmtId="167" fontId="3" fillId="0" borderId="0" xfId="16" applyNumberFormat="1" applyFont="1" applyFill="1" applyBorder="1"/>
    <xf numFmtId="166" fontId="3" fillId="4" borderId="0" xfId="35" applyNumberFormat="1" applyFont="1" applyFill="1" applyBorder="1" applyAlignment="1" applyProtection="1">
      <alignment horizontal="right"/>
    </xf>
    <xf numFmtId="170" fontId="3" fillId="4" borderId="13" xfId="23" applyNumberFormat="1" applyFont="1" applyFill="1" applyBorder="1" applyAlignment="1" applyProtection="1">
      <alignment horizontal="right"/>
    </xf>
    <xf numFmtId="170" fontId="3" fillId="3" borderId="10" xfId="23" applyNumberFormat="1" applyFont="1" applyFill="1" applyBorder="1" applyAlignment="1" applyProtection="1">
      <alignment horizontal="right"/>
    </xf>
    <xf numFmtId="170" fontId="3" fillId="3" borderId="0" xfId="23" applyNumberFormat="1" applyFont="1" applyFill="1" applyBorder="1" applyAlignment="1" applyProtection="1">
      <alignment horizontal="right"/>
    </xf>
    <xf numFmtId="170" fontId="3" fillId="3" borderId="14" xfId="23" applyNumberFormat="1" applyFont="1" applyFill="1" applyBorder="1" applyAlignment="1" applyProtection="1">
      <alignment horizontal="right"/>
    </xf>
    <xf numFmtId="170" fontId="3" fillId="3" borderId="12" xfId="23" applyNumberFormat="1" applyFont="1" applyFill="1" applyBorder="1" applyAlignment="1" applyProtection="1">
      <alignment horizontal="right"/>
    </xf>
    <xf numFmtId="170" fontId="3" fillId="3" borderId="13" xfId="23" applyNumberFormat="1" applyFont="1" applyFill="1" applyBorder="1" applyAlignment="1" applyProtection="1">
      <alignment horizontal="right"/>
    </xf>
    <xf numFmtId="170" fontId="3" fillId="0" borderId="10" xfId="23" applyNumberFormat="1" applyFont="1" applyFill="1" applyBorder="1" applyAlignment="1" applyProtection="1">
      <alignment horizontal="right"/>
    </xf>
    <xf numFmtId="170" fontId="3" fillId="0" borderId="0" xfId="23" applyNumberFormat="1" applyFont="1" applyFill="1" applyBorder="1" applyAlignment="1" applyProtection="1">
      <alignment horizontal="right"/>
    </xf>
    <xf numFmtId="0" fontId="3" fillId="3" borderId="10" xfId="29" applyFont="1" applyFill="1" applyBorder="1"/>
    <xf numFmtId="168" fontId="3" fillId="4" borderId="13" xfId="31" applyNumberFormat="1" applyFont="1" applyFill="1" applyBorder="1"/>
    <xf numFmtId="168" fontId="3" fillId="0" borderId="14" xfId="31" applyNumberFormat="1" applyFont="1" applyFill="1" applyBorder="1"/>
    <xf numFmtId="0" fontId="3" fillId="3" borderId="0" xfId="29" applyFont="1" applyFill="1" applyBorder="1"/>
    <xf numFmtId="0" fontId="3" fillId="3" borderId="14" xfId="29" applyFont="1" applyFill="1" applyBorder="1"/>
    <xf numFmtId="168" fontId="3" fillId="0" borderId="13" xfId="31" applyNumberFormat="1" applyFont="1" applyFill="1" applyBorder="1"/>
    <xf numFmtId="169" fontId="3" fillId="0" borderId="10" xfId="31" applyNumberFormat="1" applyFont="1" applyFill="1" applyBorder="1"/>
    <xf numFmtId="167" fontId="3" fillId="3" borderId="0" xfId="16" applyFont="1" applyFill="1" applyBorder="1"/>
    <xf numFmtId="167" fontId="3" fillId="3" borderId="10" xfId="16" applyNumberFormat="1" applyFont="1" applyFill="1" applyBorder="1"/>
    <xf numFmtId="167" fontId="3" fillId="0" borderId="10" xfId="16" applyFont="1" applyFill="1" applyBorder="1"/>
    <xf numFmtId="167" fontId="3" fillId="3" borderId="13" xfId="16" applyFont="1" applyFill="1" applyBorder="1"/>
    <xf numFmtId="167" fontId="3" fillId="0" borderId="0" xfId="16" applyFont="1" applyFill="1" applyBorder="1"/>
    <xf numFmtId="167" fontId="3" fillId="0" borderId="10" xfId="16" applyFont="1" applyFill="1" applyBorder="1" applyAlignment="1">
      <alignment horizontal="right"/>
    </xf>
    <xf numFmtId="0" fontId="3" fillId="3" borderId="10" xfId="23" applyFont="1" applyFill="1" applyBorder="1" applyAlignment="1">
      <alignment horizontal="left"/>
    </xf>
    <xf numFmtId="168" fontId="4" fillId="0" borderId="0" xfId="31" applyNumberFormat="1" applyFont="1" applyFill="1" applyBorder="1"/>
    <xf numFmtId="167" fontId="3" fillId="3" borderId="0" xfId="16" applyFont="1" applyFill="1" applyBorder="1" applyAlignment="1" applyProtection="1">
      <alignment horizontal="right"/>
    </xf>
    <xf numFmtId="0" fontId="3" fillId="3" borderId="14" xfId="23" applyFont="1" applyFill="1" applyBorder="1" applyAlignment="1">
      <alignment horizontal="left"/>
    </xf>
    <xf numFmtId="0" fontId="3" fillId="0" borderId="15" xfId="23" applyFont="1" applyBorder="1"/>
    <xf numFmtId="170" fontId="3" fillId="0" borderId="5" xfId="23" applyNumberFormat="1" applyFont="1" applyFill="1" applyBorder="1" applyAlignment="1" applyProtection="1">
      <alignment horizontal="right"/>
    </xf>
    <xf numFmtId="170" fontId="3" fillId="0" borderId="16" xfId="23" applyNumberFormat="1" applyFont="1" applyFill="1" applyBorder="1" applyAlignment="1" applyProtection="1">
      <alignment horizontal="right"/>
    </xf>
    <xf numFmtId="170" fontId="3" fillId="0" borderId="15" xfId="23" applyNumberFormat="1" applyFont="1" applyFill="1" applyBorder="1" applyAlignment="1" applyProtection="1">
      <alignment horizontal="right"/>
    </xf>
    <xf numFmtId="170" fontId="3" fillId="0" borderId="17" xfId="23" applyNumberFormat="1" applyFont="1" applyFill="1" applyBorder="1" applyAlignment="1" applyProtection="1">
      <alignment horizontal="right"/>
    </xf>
    <xf numFmtId="170" fontId="3" fillId="0" borderId="18" xfId="23" applyNumberFormat="1" applyFont="1" applyFill="1" applyBorder="1" applyAlignment="1" applyProtection="1">
      <alignment horizontal="right"/>
    </xf>
    <xf numFmtId="171" fontId="3" fillId="0" borderId="5" xfId="23" applyNumberFormat="1" applyFont="1" applyFill="1" applyBorder="1" applyAlignment="1" applyProtection="1">
      <alignment horizontal="right"/>
    </xf>
    <xf numFmtId="170" fontId="3" fillId="3" borderId="5" xfId="23" applyNumberFormat="1" applyFont="1" applyFill="1" applyBorder="1" applyAlignment="1" applyProtection="1">
      <alignment horizontal="right"/>
    </xf>
    <xf numFmtId="170" fontId="3" fillId="3" borderId="16" xfId="23" applyNumberFormat="1" applyFont="1" applyFill="1" applyBorder="1" applyAlignment="1" applyProtection="1">
      <alignment horizontal="right"/>
    </xf>
    <xf numFmtId="0" fontId="3" fillId="0" borderId="0" xfId="23" applyFont="1" applyBorder="1"/>
    <xf numFmtId="0" fontId="3" fillId="0" borderId="14" xfId="23" applyFont="1" applyBorder="1"/>
    <xf numFmtId="0" fontId="3" fillId="3" borderId="9" xfId="29" applyFont="1" applyFill="1" applyBorder="1"/>
    <xf numFmtId="168" fontId="3" fillId="4" borderId="19" xfId="31" applyNumberFormat="1" applyFont="1" applyFill="1" applyBorder="1"/>
    <xf numFmtId="168" fontId="3" fillId="0" borderId="9" xfId="31" applyNumberFormat="1" applyFont="1" applyFill="1" applyBorder="1"/>
    <xf numFmtId="168" fontId="3" fillId="0" borderId="2" xfId="31" applyNumberFormat="1" applyFont="1" applyFill="1" applyBorder="1"/>
    <xf numFmtId="168" fontId="3" fillId="0" borderId="11" xfId="31" applyNumberFormat="1" applyFont="1" applyFill="1" applyBorder="1"/>
    <xf numFmtId="168" fontId="3" fillId="0" borderId="19" xfId="31" applyNumberFormat="1" applyFont="1" applyFill="1" applyBorder="1"/>
    <xf numFmtId="168" fontId="3" fillId="0" borderId="20" xfId="31" applyNumberFormat="1" applyFont="1" applyFill="1" applyBorder="1"/>
    <xf numFmtId="0" fontId="3" fillId="3" borderId="11" xfId="29" applyFont="1" applyFill="1" applyBorder="1"/>
    <xf numFmtId="0" fontId="3" fillId="3" borderId="10" xfId="29" applyFont="1" applyFill="1" applyBorder="1" applyAlignment="1">
      <alignment horizontal="left" indent="1"/>
    </xf>
    <xf numFmtId="166" fontId="3" fillId="4" borderId="13" xfId="35" applyNumberFormat="1" applyFont="1" applyFill="1" applyBorder="1" applyAlignment="1" applyProtection="1">
      <alignment horizontal="right"/>
    </xf>
    <xf numFmtId="166" fontId="3" fillId="0" borderId="14" xfId="35" applyNumberFormat="1" applyFont="1" applyFill="1" applyBorder="1" applyAlignment="1" applyProtection="1">
      <alignment horizontal="right"/>
    </xf>
    <xf numFmtId="166" fontId="3" fillId="0" borderId="12" xfId="35" applyNumberFormat="1" applyFont="1" applyFill="1" applyBorder="1" applyAlignment="1" applyProtection="1">
      <alignment horizontal="right"/>
    </xf>
    <xf numFmtId="0" fontId="3" fillId="3" borderId="14" xfId="29" applyFont="1" applyFill="1" applyBorder="1" applyAlignment="1">
      <alignment horizontal="left" indent="1"/>
    </xf>
    <xf numFmtId="166" fontId="3" fillId="0" borderId="13" xfId="35" applyNumberFormat="1" applyFont="1" applyFill="1" applyBorder="1" applyAlignment="1" applyProtection="1">
      <alignment horizontal="right"/>
    </xf>
    <xf numFmtId="170" fontId="3" fillId="4" borderId="5" xfId="23" applyNumberFormat="1" applyFont="1" applyFill="1" applyBorder="1" applyAlignment="1" applyProtection="1">
      <alignment horizontal="right"/>
    </xf>
    <xf numFmtId="166" fontId="3" fillId="0" borderId="15" xfId="35" applyNumberFormat="1" applyFont="1" applyFill="1" applyBorder="1" applyAlignment="1" applyProtection="1">
      <alignment horizontal="right"/>
    </xf>
    <xf numFmtId="166" fontId="3" fillId="0" borderId="18" xfId="35" applyNumberFormat="1" applyFont="1" applyFill="1" applyBorder="1" applyAlignment="1" applyProtection="1">
      <alignment horizontal="right"/>
    </xf>
    <xf numFmtId="170" fontId="13" fillId="0" borderId="5" xfId="23" applyNumberFormat="1" applyFont="1" applyFill="1" applyBorder="1" applyAlignment="1" applyProtection="1">
      <alignment horizontal="right"/>
    </xf>
    <xf numFmtId="166" fontId="13" fillId="0" borderId="18" xfId="35" applyNumberFormat="1" applyFont="1" applyFill="1" applyBorder="1" applyAlignment="1" applyProtection="1">
      <alignment horizontal="right"/>
    </xf>
    <xf numFmtId="166" fontId="13" fillId="0" borderId="15" xfId="35" applyNumberFormat="1" applyFont="1" applyFill="1" applyBorder="1" applyAlignment="1" applyProtection="1">
      <alignment horizontal="right"/>
    </xf>
    <xf numFmtId="170" fontId="13" fillId="3" borderId="5" xfId="23" applyNumberFormat="1" applyFont="1" applyFill="1" applyBorder="1" applyAlignment="1" applyProtection="1">
      <alignment horizontal="right"/>
    </xf>
    <xf numFmtId="170" fontId="13" fillId="3" borderId="16" xfId="23" applyNumberFormat="1" applyFont="1" applyFill="1" applyBorder="1" applyAlignment="1" applyProtection="1">
      <alignment horizontal="right"/>
    </xf>
    <xf numFmtId="0" fontId="3" fillId="0" borderId="17" xfId="23" applyFont="1" applyBorder="1"/>
    <xf numFmtId="170" fontId="13" fillId="0" borderId="16" xfId="23" applyNumberFormat="1" applyFont="1" applyFill="1" applyBorder="1" applyAlignment="1" applyProtection="1">
      <alignment horizontal="right"/>
    </xf>
    <xf numFmtId="0" fontId="2" fillId="0" borderId="0" xfId="23" applyBorder="1"/>
    <xf numFmtId="168" fontId="3" fillId="0" borderId="0" xfId="18" applyNumberFormat="1" applyFont="1" applyFill="1" applyBorder="1"/>
    <xf numFmtId="168" fontId="3" fillId="0" borderId="10" xfId="18" applyNumberFormat="1" applyFont="1" applyFill="1" applyBorder="1"/>
    <xf numFmtId="168" fontId="3" fillId="3" borderId="0" xfId="18" applyNumberFormat="1" applyFont="1" applyFill="1" applyBorder="1"/>
    <xf numFmtId="168" fontId="3" fillId="3" borderId="13" xfId="18" applyNumberFormat="1" applyFont="1" applyFill="1" applyBorder="1"/>
    <xf numFmtId="0" fontId="3" fillId="3" borderId="15" xfId="29" applyFont="1" applyFill="1" applyBorder="1" applyAlignment="1">
      <alignment horizontal="left" indent="1"/>
    </xf>
    <xf numFmtId="166" fontId="3" fillId="4" borderId="16" xfId="35" applyNumberFormat="1" applyFont="1" applyFill="1" applyBorder="1" applyAlignment="1" applyProtection="1">
      <alignment horizontal="right"/>
    </xf>
    <xf numFmtId="166" fontId="3" fillId="0" borderId="5" xfId="35" applyNumberFormat="1" applyFont="1" applyFill="1" applyBorder="1" applyAlignment="1" applyProtection="1">
      <alignment horizontal="right"/>
    </xf>
    <xf numFmtId="166" fontId="3" fillId="0" borderId="17" xfId="35" applyNumberFormat="1" applyFont="1" applyFill="1" applyBorder="1" applyAlignment="1" applyProtection="1">
      <alignment horizontal="right"/>
    </xf>
    <xf numFmtId="166" fontId="3" fillId="3" borderId="5" xfId="35" applyNumberFormat="1" applyFont="1" applyFill="1" applyBorder="1" applyAlignment="1" applyProtection="1">
      <alignment horizontal="right"/>
    </xf>
    <xf numFmtId="166" fontId="3" fillId="3" borderId="16" xfId="35" applyNumberFormat="1" applyFont="1" applyFill="1" applyBorder="1" applyAlignment="1" applyProtection="1">
      <alignment horizontal="right"/>
    </xf>
    <xf numFmtId="166" fontId="83" fillId="3" borderId="5" xfId="35" applyNumberFormat="1" applyFont="1" applyFill="1" applyBorder="1" applyAlignment="1" applyProtection="1">
      <alignment horizontal="right"/>
    </xf>
    <xf numFmtId="166" fontId="83" fillId="3" borderId="16" xfId="35" applyNumberFormat="1" applyFont="1" applyFill="1" applyBorder="1" applyAlignment="1" applyProtection="1">
      <alignment horizontal="right"/>
    </xf>
    <xf numFmtId="166" fontId="3" fillId="0" borderId="16" xfId="35" applyNumberFormat="1" applyFont="1" applyFill="1" applyBorder="1"/>
    <xf numFmtId="0" fontId="3" fillId="3" borderId="17" xfId="29" applyFont="1" applyFill="1" applyBorder="1" applyAlignment="1">
      <alignment horizontal="left" indent="1"/>
    </xf>
    <xf numFmtId="166" fontId="3" fillId="0" borderId="16" xfId="35" applyNumberFormat="1" applyFont="1" applyFill="1" applyBorder="1" applyAlignment="1" applyProtection="1">
      <alignment horizontal="right"/>
    </xf>
    <xf numFmtId="0" fontId="3" fillId="0" borderId="10" xfId="23" applyFont="1" applyBorder="1"/>
    <xf numFmtId="170" fontId="3" fillId="0" borderId="14" xfId="23" applyNumberFormat="1" applyFont="1" applyFill="1" applyBorder="1" applyAlignment="1" applyProtection="1">
      <alignment horizontal="right"/>
    </xf>
    <xf numFmtId="170" fontId="3" fillId="0" borderId="12" xfId="23" applyNumberFormat="1" applyFont="1" applyFill="1" applyBorder="1" applyAlignment="1" applyProtection="1">
      <alignment horizontal="right"/>
    </xf>
    <xf numFmtId="167" fontId="3" fillId="0" borderId="0" xfId="16" applyFont="1" applyFill="1" applyBorder="1" applyAlignment="1" applyProtection="1">
      <alignment horizontal="right"/>
    </xf>
    <xf numFmtId="10" fontId="3" fillId="3" borderId="10" xfId="35" applyNumberFormat="1" applyFont="1" applyFill="1" applyBorder="1" applyAlignment="1" applyProtection="1">
      <alignment horizontal="right"/>
    </xf>
    <xf numFmtId="172" fontId="3" fillId="3" borderId="0" xfId="23" applyNumberFormat="1" applyFont="1" applyFill="1" applyBorder="1" applyAlignment="1" applyProtection="1">
      <alignment horizontal="right"/>
    </xf>
    <xf numFmtId="170" fontId="3" fillId="0" borderId="13" xfId="23" applyNumberFormat="1" applyFont="1" applyFill="1" applyBorder="1" applyAlignment="1" applyProtection="1">
      <alignment horizontal="right"/>
    </xf>
    <xf numFmtId="0" fontId="5" fillId="0" borderId="10" xfId="31" applyFont="1" applyFill="1" applyBorder="1" applyAlignment="1">
      <alignment horizontal="left"/>
    </xf>
    <xf numFmtId="0" fontId="5" fillId="0" borderId="14" xfId="31" applyFont="1" applyFill="1" applyBorder="1" applyAlignment="1">
      <alignment horizontal="left"/>
    </xf>
    <xf numFmtId="0" fontId="5" fillId="0" borderId="10" xfId="31" applyFont="1" applyFill="1" applyBorder="1" applyAlignment="1">
      <alignment horizontal="left" indent="1"/>
    </xf>
    <xf numFmtId="167" fontId="4" fillId="4" borderId="13" xfId="16" applyNumberFormat="1" applyFont="1" applyFill="1" applyBorder="1"/>
    <xf numFmtId="167" fontId="4" fillId="3" borderId="0" xfId="16" applyNumberFormat="1" applyFont="1" applyFill="1" applyBorder="1"/>
    <xf numFmtId="167" fontId="3" fillId="0" borderId="10" xfId="16" applyNumberFormat="1" applyFont="1" applyFill="1" applyBorder="1" applyAlignment="1">
      <alignment horizontal="right"/>
    </xf>
    <xf numFmtId="0" fontId="5" fillId="0" borderId="0" xfId="31" applyFont="1" applyFill="1" applyBorder="1" applyAlignment="1">
      <alignment horizontal="left" indent="1"/>
    </xf>
    <xf numFmtId="0" fontId="5" fillId="0" borderId="14" xfId="31" applyFont="1" applyFill="1" applyBorder="1" applyAlignment="1">
      <alignment horizontal="left" indent="1"/>
    </xf>
    <xf numFmtId="167" fontId="14" fillId="0" borderId="0" xfId="16" applyNumberFormat="1" applyFont="1" applyFill="1" applyBorder="1"/>
    <xf numFmtId="10" fontId="3" fillId="0" borderId="10" xfId="23" applyNumberFormat="1" applyFont="1" applyFill="1" applyBorder="1" applyAlignment="1" applyProtection="1">
      <alignment horizontal="right"/>
    </xf>
    <xf numFmtId="171" fontId="3" fillId="3" borderId="0" xfId="23" applyNumberFormat="1" applyFont="1" applyFill="1" applyBorder="1" applyAlignment="1" applyProtection="1">
      <alignment horizontal="right"/>
    </xf>
    <xf numFmtId="168" fontId="3" fillId="0" borderId="12" xfId="31" applyNumberFormat="1" applyFont="1" applyBorder="1"/>
    <xf numFmtId="169" fontId="3" fillId="0" borderId="0" xfId="31" applyNumberFormat="1" applyFont="1" applyBorder="1"/>
    <xf numFmtId="168" fontId="3" fillId="0" borderId="10" xfId="18" applyFont="1" applyFill="1" applyBorder="1"/>
    <xf numFmtId="168" fontId="3" fillId="0" borderId="10" xfId="18" applyFont="1" applyFill="1" applyBorder="1" applyAlignment="1">
      <alignment horizontal="right"/>
    </xf>
    <xf numFmtId="168" fontId="3" fillId="0" borderId="0" xfId="18" applyFont="1" applyFill="1" applyBorder="1"/>
    <xf numFmtId="168" fontId="5" fillId="0" borderId="10" xfId="18" applyFont="1" applyFill="1" applyBorder="1" applyAlignment="1">
      <alignment horizontal="left"/>
    </xf>
    <xf numFmtId="168" fontId="4" fillId="4" borderId="13" xfId="18" applyFont="1" applyFill="1" applyBorder="1"/>
    <xf numFmtId="168" fontId="4" fillId="0" borderId="10" xfId="18" applyFont="1" applyFill="1" applyBorder="1"/>
    <xf numFmtId="168" fontId="4" fillId="0" borderId="0" xfId="18" applyFont="1" applyBorder="1"/>
    <xf numFmtId="168" fontId="4" fillId="0" borderId="14" xfId="18" applyFont="1" applyBorder="1"/>
    <xf numFmtId="167" fontId="4" fillId="0" borderId="0" xfId="18" applyNumberFormat="1" applyFont="1" applyFill="1" applyBorder="1"/>
    <xf numFmtId="167" fontId="4" fillId="0" borderId="0" xfId="18" applyNumberFormat="1" applyFont="1" applyBorder="1"/>
    <xf numFmtId="168" fontId="4" fillId="0" borderId="0" xfId="18" applyFont="1" applyFill="1" applyBorder="1"/>
    <xf numFmtId="168" fontId="4" fillId="0" borderId="0" xfId="18" applyNumberFormat="1" applyFont="1" applyFill="1" applyBorder="1"/>
    <xf numFmtId="168" fontId="4" fillId="3" borderId="0" xfId="18" applyFont="1" applyFill="1" applyBorder="1"/>
    <xf numFmtId="168" fontId="4" fillId="3" borderId="13" xfId="18" applyFont="1" applyFill="1" applyBorder="1"/>
    <xf numFmtId="167" fontId="3" fillId="0" borderId="10" xfId="31" applyNumberFormat="1" applyFont="1" applyFill="1" applyBorder="1" applyAlignment="1">
      <alignment horizontal="right"/>
    </xf>
    <xf numFmtId="168" fontId="12" fillId="0" borderId="0" xfId="18" applyNumberFormat="1" applyFont="1" applyFill="1" applyBorder="1"/>
    <xf numFmtId="168" fontId="5" fillId="0" borderId="14" xfId="18" applyFont="1" applyFill="1" applyBorder="1" applyAlignment="1">
      <alignment horizontal="left"/>
    </xf>
    <xf numFmtId="168" fontId="3" fillId="0" borderId="0" xfId="18" applyFont="1" applyBorder="1"/>
    <xf numFmtId="168" fontId="3" fillId="0" borderId="13" xfId="18" applyFont="1" applyBorder="1"/>
    <xf numFmtId="167" fontId="4" fillId="4" borderId="13" xfId="18" applyNumberFormat="1" applyFont="1" applyFill="1" applyBorder="1"/>
    <xf numFmtId="167" fontId="4" fillId="0" borderId="10" xfId="18" applyNumberFormat="1" applyFont="1" applyFill="1" applyBorder="1"/>
    <xf numFmtId="167" fontId="4" fillId="0" borderId="14" xfId="18" applyNumberFormat="1" applyFont="1" applyFill="1" applyBorder="1"/>
    <xf numFmtId="167" fontId="3" fillId="0" borderId="0" xfId="18" applyNumberFormat="1" applyFont="1" applyFill="1" applyBorder="1"/>
    <xf numFmtId="167" fontId="3" fillId="0" borderId="13" xfId="18" applyNumberFormat="1" applyFont="1" applyFill="1" applyBorder="1"/>
    <xf numFmtId="167" fontId="4" fillId="4" borderId="0" xfId="18" applyNumberFormat="1" applyFont="1" applyFill="1" applyBorder="1"/>
    <xf numFmtId="167" fontId="4" fillId="0" borderId="14" xfId="18" applyNumberFormat="1" applyFont="1" applyBorder="1"/>
    <xf numFmtId="167" fontId="4" fillId="3" borderId="0" xfId="18" applyNumberFormat="1" applyFont="1" applyFill="1" applyBorder="1"/>
    <xf numFmtId="167" fontId="4" fillId="3" borderId="13" xfId="18" applyNumberFormat="1" applyFont="1" applyFill="1" applyBorder="1"/>
    <xf numFmtId="167" fontId="14" fillId="3" borderId="0" xfId="18" applyNumberFormat="1" applyFont="1" applyFill="1" applyBorder="1"/>
    <xf numFmtId="167" fontId="14" fillId="3" borderId="13" xfId="18" applyNumberFormat="1" applyFont="1" applyFill="1" applyBorder="1"/>
    <xf numFmtId="167" fontId="3" fillId="0" borderId="0" xfId="18" applyNumberFormat="1" applyFont="1" applyBorder="1"/>
    <xf numFmtId="167" fontId="3" fillId="0" borderId="13" xfId="18" applyNumberFormat="1" applyFont="1" applyBorder="1"/>
    <xf numFmtId="167" fontId="14" fillId="0" borderId="0" xfId="18" applyNumberFormat="1" applyFont="1" applyFill="1" applyBorder="1"/>
    <xf numFmtId="170" fontId="3" fillId="4" borderId="0" xfId="23" applyNumberFormat="1" applyFont="1" applyFill="1" applyBorder="1" applyAlignment="1" applyProtection="1">
      <alignment horizontal="right"/>
    </xf>
    <xf numFmtId="170" fontId="15" fillId="0" borderId="10" xfId="23" applyNumberFormat="1" applyFont="1" applyFill="1" applyBorder="1" applyAlignment="1" applyProtection="1">
      <alignment horizontal="right"/>
    </xf>
    <xf numFmtId="170" fontId="15" fillId="0" borderId="0" xfId="23" applyNumberFormat="1" applyFont="1" applyFill="1" applyBorder="1" applyAlignment="1" applyProtection="1">
      <alignment horizontal="right"/>
    </xf>
    <xf numFmtId="168" fontId="3" fillId="3" borderId="10" xfId="22" applyNumberFormat="1" applyFont="1" applyFill="1" applyBorder="1" applyAlignment="1" applyProtection="1">
      <alignment horizontal="left"/>
    </xf>
    <xf numFmtId="168" fontId="3" fillId="4" borderId="0" xfId="31" applyNumberFormat="1" applyFont="1" applyFill="1" applyBorder="1"/>
    <xf numFmtId="168" fontId="3" fillId="0" borderId="10" xfId="31" applyNumberFormat="1" applyFont="1" applyBorder="1" applyAlignment="1">
      <alignment horizontal="right"/>
    </xf>
    <xf numFmtId="168" fontId="3" fillId="3" borderId="14" xfId="22" applyNumberFormat="1" applyFont="1" applyFill="1" applyBorder="1" applyAlignment="1" applyProtection="1">
      <alignment horizontal="left"/>
    </xf>
    <xf numFmtId="167" fontId="4" fillId="4" borderId="0" xfId="31" applyNumberFormat="1" applyFont="1" applyFill="1" applyBorder="1"/>
    <xf numFmtId="167" fontId="4" fillId="0" borderId="10" xfId="31" applyNumberFormat="1" applyFont="1" applyFill="1" applyBorder="1"/>
    <xf numFmtId="167" fontId="4" fillId="0" borderId="0" xfId="31" applyNumberFormat="1" applyFont="1" applyBorder="1"/>
    <xf numFmtId="167" fontId="4" fillId="0" borderId="14" xfId="31" applyNumberFormat="1" applyFont="1" applyBorder="1"/>
    <xf numFmtId="167" fontId="4" fillId="0" borderId="0" xfId="31" applyNumberFormat="1" applyFont="1" applyFill="1" applyBorder="1"/>
    <xf numFmtId="167" fontId="4" fillId="3" borderId="0" xfId="31" applyNumberFormat="1" applyFont="1" applyFill="1" applyBorder="1"/>
    <xf numFmtId="167" fontId="4" fillId="3" borderId="13" xfId="31" applyNumberFormat="1" applyFont="1" applyFill="1" applyBorder="1"/>
    <xf numFmtId="167" fontId="3" fillId="3" borderId="0" xfId="31" applyNumberFormat="1" applyFont="1" applyFill="1" applyBorder="1"/>
    <xf numFmtId="167" fontId="3" fillId="3" borderId="13" xfId="31" applyNumberFormat="1" applyFont="1" applyFill="1" applyBorder="1"/>
    <xf numFmtId="167" fontId="3" fillId="0" borderId="0" xfId="31" applyNumberFormat="1" applyFont="1" applyBorder="1"/>
    <xf numFmtId="167" fontId="3" fillId="0" borderId="13" xfId="31" applyNumberFormat="1" applyFont="1" applyBorder="1"/>
    <xf numFmtId="167" fontId="3" fillId="0" borderId="0" xfId="31" applyNumberFormat="1" applyFont="1" applyFill="1" applyBorder="1"/>
    <xf numFmtId="167" fontId="3" fillId="3" borderId="10" xfId="16" applyFont="1" applyFill="1" applyBorder="1" applyAlignment="1" applyProtection="1">
      <alignment horizontal="left"/>
    </xf>
    <xf numFmtId="167" fontId="4" fillId="4" borderId="0" xfId="16" applyNumberFormat="1" applyFont="1" applyFill="1" applyBorder="1"/>
    <xf numFmtId="167" fontId="4" fillId="0" borderId="10" xfId="16" applyNumberFormat="1" applyFont="1" applyFill="1" applyBorder="1"/>
    <xf numFmtId="167" fontId="4" fillId="0" borderId="0" xfId="16" applyNumberFormat="1" applyFont="1" applyBorder="1"/>
    <xf numFmtId="167" fontId="4" fillId="0" borderId="14" xfId="16" applyNumberFormat="1" applyFont="1" applyBorder="1"/>
    <xf numFmtId="167" fontId="14" fillId="3" borderId="0" xfId="16" applyNumberFormat="1" applyFont="1" applyFill="1" applyBorder="1"/>
    <xf numFmtId="167" fontId="14" fillId="3" borderId="13" xfId="16" applyNumberFormat="1" applyFont="1" applyFill="1" applyBorder="1"/>
    <xf numFmtId="167" fontId="3" fillId="3" borderId="14" xfId="16" applyFont="1" applyFill="1" applyBorder="1" applyAlignment="1" applyProtection="1">
      <alignment horizontal="left"/>
    </xf>
    <xf numFmtId="167" fontId="4" fillId="0" borderId="13" xfId="16" applyNumberFormat="1" applyFont="1" applyBorder="1"/>
    <xf numFmtId="167" fontId="3" fillId="4" borderId="0" xfId="31" applyNumberFormat="1" applyFont="1" applyFill="1" applyBorder="1"/>
    <xf numFmtId="167" fontId="3" fillId="0" borderId="10" xfId="31" applyNumberFormat="1" applyFont="1" applyBorder="1"/>
    <xf numFmtId="167" fontId="3" fillId="0" borderId="14" xfId="31" applyNumberFormat="1" applyFont="1" applyBorder="1"/>
    <xf numFmtId="167" fontId="3" fillId="0" borderId="12" xfId="31" applyNumberFormat="1" applyFont="1" applyBorder="1"/>
    <xf numFmtId="167" fontId="3" fillId="0" borderId="10" xfId="31" applyNumberFormat="1" applyFont="1" applyBorder="1" applyAlignment="1">
      <alignment horizontal="right"/>
    </xf>
    <xf numFmtId="167" fontId="14" fillId="0" borderId="0" xfId="18" applyNumberFormat="1" applyFont="1" applyBorder="1"/>
    <xf numFmtId="0" fontId="3" fillId="3" borderId="10" xfId="31" applyFont="1" applyFill="1" applyBorder="1"/>
    <xf numFmtId="0" fontId="3" fillId="3" borderId="14" xfId="31" applyFont="1" applyFill="1" applyBorder="1"/>
    <xf numFmtId="0" fontId="3" fillId="0" borderId="10" xfId="31" applyFont="1" applyBorder="1"/>
    <xf numFmtId="7" fontId="3" fillId="3" borderId="0" xfId="31" applyNumberFormat="1" applyFont="1" applyFill="1" applyBorder="1"/>
    <xf numFmtId="0" fontId="3" fillId="0" borderId="14" xfId="31" applyFont="1" applyBorder="1"/>
    <xf numFmtId="0" fontId="3" fillId="0" borderId="10" xfId="31" applyFont="1" applyFill="1" applyBorder="1"/>
    <xf numFmtId="168" fontId="4" fillId="3" borderId="0" xfId="31" applyNumberFormat="1" applyFont="1" applyFill="1" applyBorder="1"/>
    <xf numFmtId="168" fontId="4" fillId="0" borderId="13" xfId="31" applyNumberFormat="1" applyFont="1" applyFill="1" applyBorder="1"/>
    <xf numFmtId="168" fontId="4" fillId="3" borderId="13" xfId="31" applyNumberFormat="1" applyFont="1" applyFill="1" applyBorder="1"/>
    <xf numFmtId="0" fontId="8" fillId="0" borderId="10" xfId="31" applyFont="1" applyFill="1" applyBorder="1"/>
    <xf numFmtId="168" fontId="8" fillId="4" borderId="0" xfId="31" applyNumberFormat="1" applyFont="1" applyFill="1" applyBorder="1"/>
    <xf numFmtId="168" fontId="8" fillId="0" borderId="10" xfId="31" applyNumberFormat="1" applyFont="1" applyFill="1" applyBorder="1"/>
    <xf numFmtId="168" fontId="8" fillId="0" borderId="0" xfId="31" applyNumberFormat="1" applyFont="1" applyFill="1" applyBorder="1"/>
    <xf numFmtId="168" fontId="8" fillId="0" borderId="0" xfId="18" applyFont="1" applyFill="1" applyBorder="1"/>
    <xf numFmtId="168" fontId="8" fillId="0" borderId="0" xfId="18" applyNumberFormat="1" applyFont="1" applyFill="1" applyBorder="1"/>
    <xf numFmtId="168" fontId="8" fillId="3" borderId="0" xfId="18" applyFont="1" applyFill="1" applyBorder="1"/>
    <xf numFmtId="168" fontId="8" fillId="3" borderId="0" xfId="18" applyNumberFormat="1" applyFont="1" applyFill="1" applyBorder="1"/>
    <xf numFmtId="168" fontId="16" fillId="3" borderId="0" xfId="18" applyNumberFormat="1" applyFont="1" applyFill="1" applyBorder="1"/>
    <xf numFmtId="168" fontId="8" fillId="0" borderId="10" xfId="31" applyNumberFormat="1" applyFont="1" applyFill="1" applyBorder="1" applyAlignment="1">
      <alignment horizontal="right"/>
    </xf>
    <xf numFmtId="166" fontId="8" fillId="3" borderId="0" xfId="35" applyNumberFormat="1" applyFont="1" applyFill="1" applyBorder="1"/>
    <xf numFmtId="0" fontId="8" fillId="3" borderId="0" xfId="23" applyFont="1" applyFill="1" applyBorder="1"/>
    <xf numFmtId="0" fontId="8" fillId="0" borderId="14" xfId="31" applyFont="1" applyFill="1" applyBorder="1"/>
    <xf numFmtId="168" fontId="8" fillId="0" borderId="13" xfId="31" applyNumberFormat="1" applyFont="1" applyFill="1" applyBorder="1"/>
    <xf numFmtId="0" fontId="17" fillId="0" borderId="0" xfId="23" applyFont="1" applyFill="1"/>
    <xf numFmtId="0" fontId="17" fillId="0" borderId="0" xfId="23" applyFont="1"/>
    <xf numFmtId="169" fontId="3" fillId="3" borderId="13" xfId="31" applyNumberFormat="1" applyFont="1" applyFill="1" applyBorder="1"/>
    <xf numFmtId="0" fontId="3" fillId="0" borderId="14" xfId="31" applyFont="1" applyFill="1" applyBorder="1"/>
    <xf numFmtId="0" fontId="18" fillId="0" borderId="10" xfId="31" applyFont="1" applyFill="1" applyBorder="1" applyAlignment="1">
      <alignment horizontal="left"/>
    </xf>
    <xf numFmtId="167" fontId="4" fillId="4" borderId="0" xfId="31" applyNumberFormat="1" applyFont="1" applyFill="1" applyBorder="1" applyAlignment="1">
      <alignment horizontal="right"/>
    </xf>
    <xf numFmtId="167" fontId="4" fillId="0" borderId="10" xfId="31" applyNumberFormat="1" applyFont="1" applyFill="1" applyBorder="1" applyAlignment="1">
      <alignment horizontal="right"/>
    </xf>
    <xf numFmtId="167" fontId="4" fillId="3" borderId="0" xfId="31" applyNumberFormat="1" applyFont="1" applyFill="1" applyBorder="1" applyAlignment="1">
      <alignment horizontal="right"/>
    </xf>
    <xf numFmtId="167" fontId="4" fillId="0" borderId="0" xfId="31" applyNumberFormat="1" applyFont="1" applyBorder="1" applyAlignment="1">
      <alignment horizontal="right"/>
    </xf>
    <xf numFmtId="167" fontId="3" fillId="0" borderId="14" xfId="31" applyNumberFormat="1" applyFont="1" applyFill="1" applyBorder="1"/>
    <xf numFmtId="167" fontId="4" fillId="0" borderId="14" xfId="31" applyNumberFormat="1" applyFont="1" applyBorder="1" applyAlignment="1">
      <alignment horizontal="right"/>
    </xf>
    <xf numFmtId="167" fontId="3" fillId="0" borderId="0" xfId="31" applyNumberFormat="1" applyFont="1" applyBorder="1" applyAlignment="1">
      <alignment horizontal="right"/>
    </xf>
    <xf numFmtId="167" fontId="4" fillId="0" borderId="0" xfId="31" applyNumberFormat="1" applyFont="1" applyFill="1" applyBorder="1" applyAlignment="1">
      <alignment horizontal="right"/>
    </xf>
    <xf numFmtId="167" fontId="4" fillId="3" borderId="13" xfId="31" applyNumberFormat="1" applyFont="1" applyFill="1" applyBorder="1" applyAlignment="1">
      <alignment horizontal="right"/>
    </xf>
    <xf numFmtId="167" fontId="3" fillId="3" borderId="0" xfId="31" applyNumberFormat="1" applyFont="1" applyFill="1" applyBorder="1" applyAlignment="1">
      <alignment horizontal="right"/>
    </xf>
    <xf numFmtId="167" fontId="3" fillId="3" borderId="13" xfId="31" applyNumberFormat="1" applyFont="1" applyFill="1" applyBorder="1" applyAlignment="1">
      <alignment horizontal="right"/>
    </xf>
    <xf numFmtId="0" fontId="2" fillId="0" borderId="0" xfId="23" applyFont="1" applyBorder="1"/>
    <xf numFmtId="0" fontId="3" fillId="0" borderId="14" xfId="31" applyFont="1" applyFill="1" applyBorder="1" applyAlignment="1">
      <alignment horizontal="left"/>
    </xf>
    <xf numFmtId="167" fontId="4" fillId="0" borderId="13" xfId="31" applyNumberFormat="1" applyFont="1" applyFill="1" applyBorder="1"/>
    <xf numFmtId="167" fontId="4" fillId="0" borderId="14" xfId="31" applyNumberFormat="1" applyFont="1" applyFill="1" applyBorder="1"/>
    <xf numFmtId="167" fontId="4" fillId="0" borderId="0" xfId="16" applyFont="1" applyFill="1" applyBorder="1" applyAlignment="1" applyProtection="1">
      <alignment horizontal="right"/>
    </xf>
    <xf numFmtId="167" fontId="4" fillId="0" borderId="12" xfId="16" applyFont="1" applyFill="1" applyBorder="1" applyAlignment="1" applyProtection="1">
      <alignment horizontal="right"/>
    </xf>
    <xf numFmtId="167" fontId="3" fillId="0" borderId="10" xfId="16" applyFont="1" applyFill="1" applyBorder="1" applyAlignment="1" applyProtection="1">
      <alignment horizontal="right"/>
    </xf>
    <xf numFmtId="167" fontId="4" fillId="0" borderId="0" xfId="16" applyNumberFormat="1" applyFont="1" applyFill="1" applyBorder="1" applyAlignment="1" applyProtection="1">
      <alignment horizontal="right"/>
    </xf>
    <xf numFmtId="167" fontId="4" fillId="3" borderId="0" xfId="16" applyFont="1" applyFill="1" applyBorder="1" applyAlignment="1" applyProtection="1">
      <alignment horizontal="right"/>
    </xf>
    <xf numFmtId="167" fontId="4" fillId="3" borderId="13" xfId="16" applyFont="1" applyFill="1" applyBorder="1" applyAlignment="1" applyProtection="1">
      <alignment horizontal="right"/>
    </xf>
    <xf numFmtId="167" fontId="3" fillId="3" borderId="13" xfId="16" applyFont="1" applyFill="1" applyBorder="1" applyAlignment="1" applyProtection="1">
      <alignment horizontal="right"/>
    </xf>
    <xf numFmtId="0" fontId="2" fillId="0" borderId="0" xfId="23" applyFont="1" applyFill="1" applyBorder="1"/>
    <xf numFmtId="167" fontId="4" fillId="3" borderId="14" xfId="31" applyNumberFormat="1" applyFont="1" applyFill="1" applyBorder="1"/>
    <xf numFmtId="167" fontId="4" fillId="0" borderId="12" xfId="31" applyNumberFormat="1" applyFont="1" applyFill="1" applyBorder="1"/>
    <xf numFmtId="167" fontId="3" fillId="3" borderId="10" xfId="16" applyFont="1" applyFill="1" applyBorder="1" applyAlignment="1" applyProtection="1">
      <alignment horizontal="right"/>
    </xf>
    <xf numFmtId="167" fontId="4" fillId="3" borderId="0" xfId="16" applyNumberFormat="1" applyFont="1" applyFill="1" applyBorder="1" applyAlignment="1" applyProtection="1">
      <alignment horizontal="right"/>
    </xf>
    <xf numFmtId="37" fontId="9" fillId="3" borderId="10" xfId="29" applyNumberFormat="1" applyFont="1" applyFill="1" applyBorder="1" applyAlignment="1" applyProtection="1">
      <alignment horizontal="left"/>
    </xf>
    <xf numFmtId="168" fontId="4" fillId="4" borderId="0" xfId="23" applyNumberFormat="1" applyFont="1" applyFill="1" applyBorder="1" applyAlignment="1" applyProtection="1">
      <alignment horizontal="right"/>
    </xf>
    <xf numFmtId="168" fontId="4" fillId="0" borderId="10" xfId="23" applyNumberFormat="1" applyFont="1" applyFill="1" applyBorder="1" applyAlignment="1" applyProtection="1">
      <alignment horizontal="right"/>
    </xf>
    <xf numFmtId="168" fontId="4" fillId="3" borderId="0" xfId="23" applyNumberFormat="1" applyFont="1" applyFill="1" applyBorder="1" applyAlignment="1" applyProtection="1">
      <alignment horizontal="right"/>
    </xf>
    <xf numFmtId="168" fontId="3" fillId="3" borderId="14" xfId="23" applyNumberFormat="1" applyFont="1" applyFill="1" applyBorder="1" applyAlignment="1" applyProtection="1">
      <alignment horizontal="right"/>
    </xf>
    <xf numFmtId="168" fontId="4" fillId="3" borderId="14" xfId="23" applyNumberFormat="1" applyFont="1" applyFill="1" applyBorder="1" applyAlignment="1" applyProtection="1">
      <alignment horizontal="right"/>
    </xf>
    <xf numFmtId="168" fontId="3" fillId="3" borderId="10" xfId="23" applyNumberFormat="1" applyFont="1" applyFill="1" applyBorder="1" applyAlignment="1" applyProtection="1">
      <alignment horizontal="right"/>
    </xf>
    <xf numFmtId="168" fontId="4" fillId="3" borderId="0" xfId="18" applyNumberFormat="1" applyFont="1" applyFill="1" applyBorder="1" applyAlignment="1" applyProtection="1">
      <alignment horizontal="right"/>
    </xf>
    <xf numFmtId="168" fontId="3" fillId="0" borderId="12" xfId="23" applyNumberFormat="1" applyFont="1" applyFill="1" applyBorder="1" applyAlignment="1" applyProtection="1">
      <alignment horizontal="right"/>
    </xf>
    <xf numFmtId="168" fontId="4" fillId="3" borderId="10" xfId="18" applyNumberFormat="1" applyFont="1" applyFill="1" applyBorder="1" applyAlignment="1" applyProtection="1">
      <alignment horizontal="right"/>
    </xf>
    <xf numFmtId="168" fontId="4" fillId="0" borderId="0" xfId="18" applyNumberFormat="1" applyFont="1" applyFill="1" applyBorder="1" applyAlignment="1" applyProtection="1">
      <alignment horizontal="right"/>
    </xf>
    <xf numFmtId="168" fontId="4" fillId="3" borderId="13" xfId="18" applyNumberFormat="1" applyFont="1" applyFill="1" applyBorder="1" applyAlignment="1" applyProtection="1">
      <alignment horizontal="right"/>
    </xf>
    <xf numFmtId="0" fontId="3" fillId="0" borderId="10" xfId="31" applyFont="1" applyFill="1" applyBorder="1" applyAlignment="1">
      <alignment horizontal="left"/>
    </xf>
    <xf numFmtId="37" fontId="5" fillId="3" borderId="10" xfId="29" applyNumberFormat="1" applyFont="1" applyFill="1" applyBorder="1" applyAlignment="1" applyProtection="1">
      <alignment horizontal="left"/>
    </xf>
    <xf numFmtId="7" fontId="3" fillId="4" borderId="0" xfId="23" applyNumberFormat="1" applyFont="1" applyFill="1" applyBorder="1" applyAlignment="1" applyProtection="1">
      <alignment horizontal="right"/>
    </xf>
    <xf numFmtId="7" fontId="3" fillId="0" borderId="10" xfId="23" applyNumberFormat="1" applyFont="1" applyFill="1" applyBorder="1" applyAlignment="1" applyProtection="1">
      <alignment horizontal="right"/>
    </xf>
    <xf numFmtId="7" fontId="3" fillId="3" borderId="0" xfId="23" applyNumberFormat="1" applyFont="1" applyFill="1" applyBorder="1" applyAlignment="1" applyProtection="1">
      <alignment horizontal="right"/>
    </xf>
    <xf numFmtId="7" fontId="3" fillId="3" borderId="14" xfId="23" applyNumberFormat="1" applyFont="1" applyFill="1" applyBorder="1" applyAlignment="1" applyProtection="1">
      <alignment horizontal="right"/>
    </xf>
    <xf numFmtId="7" fontId="3" fillId="3" borderId="10" xfId="23" applyNumberFormat="1" applyFont="1" applyFill="1" applyBorder="1" applyAlignment="1" applyProtection="1">
      <alignment horizontal="right"/>
    </xf>
    <xf numFmtId="7" fontId="3" fillId="3" borderId="12" xfId="23" applyNumberFormat="1" applyFont="1" applyFill="1" applyBorder="1" applyAlignment="1" applyProtection="1">
      <alignment horizontal="right"/>
    </xf>
    <xf numFmtId="7" fontId="3" fillId="3" borderId="10" xfId="18" applyNumberFormat="1" applyFont="1" applyFill="1" applyBorder="1" applyAlignment="1" applyProtection="1">
      <alignment horizontal="right"/>
    </xf>
    <xf numFmtId="7" fontId="3" fillId="3" borderId="13" xfId="23" applyNumberFormat="1" applyFont="1" applyFill="1" applyBorder="1" applyAlignment="1" applyProtection="1">
      <alignment horizontal="right"/>
    </xf>
    <xf numFmtId="7" fontId="3" fillId="0" borderId="10" xfId="18" applyNumberFormat="1" applyFont="1" applyFill="1" applyBorder="1" applyAlignment="1" applyProtection="1">
      <alignment horizontal="right"/>
    </xf>
    <xf numFmtId="37" fontId="5" fillId="3" borderId="14" xfId="29" applyNumberFormat="1" applyFont="1" applyFill="1" applyBorder="1" applyAlignment="1" applyProtection="1">
      <alignment horizontal="left"/>
    </xf>
    <xf numFmtId="7" fontId="3" fillId="0" borderId="0" xfId="23" applyNumberFormat="1" applyFont="1" applyFill="1" applyBorder="1" applyAlignment="1" applyProtection="1">
      <alignment horizontal="right"/>
    </xf>
    <xf numFmtId="7" fontId="3" fillId="0" borderId="14" xfId="23" applyNumberFormat="1" applyFont="1" applyFill="1" applyBorder="1" applyAlignment="1" applyProtection="1">
      <alignment horizontal="right"/>
    </xf>
    <xf numFmtId="7" fontId="3" fillId="0" borderId="12" xfId="23" applyNumberFormat="1" applyFont="1" applyFill="1" applyBorder="1" applyAlignment="1" applyProtection="1">
      <alignment horizontal="right"/>
    </xf>
    <xf numFmtId="7" fontId="3" fillId="0" borderId="13" xfId="23" applyNumberFormat="1" applyFont="1" applyFill="1" applyBorder="1" applyAlignment="1" applyProtection="1">
      <alignment horizontal="right"/>
    </xf>
    <xf numFmtId="37" fontId="5" fillId="6" borderId="15" xfId="29" applyNumberFormat="1" applyFont="1" applyFill="1" applyBorder="1" applyAlignment="1" applyProtection="1">
      <alignment horizontal="left"/>
    </xf>
    <xf numFmtId="7" fontId="3" fillId="7" borderId="5" xfId="23" applyNumberFormat="1" applyFont="1" applyFill="1" applyBorder="1" applyAlignment="1" applyProtection="1">
      <alignment horizontal="right"/>
    </xf>
    <xf numFmtId="7" fontId="3" fillId="6" borderId="15" xfId="23" applyNumberFormat="1" applyFont="1" applyFill="1" applyBorder="1" applyAlignment="1" applyProtection="1">
      <alignment horizontal="right"/>
    </xf>
    <xf numFmtId="7" fontId="3" fillId="6" borderId="16" xfId="23" applyNumberFormat="1" applyFont="1" applyFill="1" applyBorder="1" applyAlignment="1" applyProtection="1">
      <alignment horizontal="right"/>
    </xf>
    <xf numFmtId="7" fontId="3" fillId="6" borderId="5" xfId="23" applyNumberFormat="1" applyFont="1" applyFill="1" applyBorder="1" applyAlignment="1" applyProtection="1">
      <alignment horizontal="right"/>
    </xf>
    <xf numFmtId="7" fontId="3" fillId="6" borderId="17" xfId="23" applyNumberFormat="1" applyFont="1" applyFill="1" applyBorder="1" applyAlignment="1" applyProtection="1">
      <alignment horizontal="right"/>
    </xf>
    <xf numFmtId="7" fontId="3" fillId="6" borderId="18" xfId="23" applyNumberFormat="1" applyFont="1" applyFill="1" applyBorder="1" applyAlignment="1" applyProtection="1">
      <alignment horizontal="right"/>
    </xf>
    <xf numFmtId="7" fontId="3" fillId="6" borderId="15" xfId="18" applyNumberFormat="1" applyFont="1" applyFill="1" applyBorder="1" applyAlignment="1" applyProtection="1">
      <alignment horizontal="right"/>
    </xf>
    <xf numFmtId="7" fontId="10" fillId="6" borderId="16" xfId="23" applyNumberFormat="1" applyFont="1" applyFill="1" applyBorder="1" applyAlignment="1" applyProtection="1">
      <alignment horizontal="right"/>
    </xf>
    <xf numFmtId="37" fontId="3" fillId="3" borderId="0" xfId="23" applyNumberFormat="1" applyFont="1" applyFill="1" applyBorder="1" applyProtection="1"/>
    <xf numFmtId="37" fontId="5" fillId="6" borderId="17" xfId="29" applyNumberFormat="1" applyFont="1" applyFill="1" applyBorder="1" applyAlignment="1" applyProtection="1">
      <alignment horizontal="left"/>
    </xf>
    <xf numFmtId="37" fontId="5" fillId="3" borderId="0" xfId="29" applyNumberFormat="1" applyFont="1" applyFill="1" applyBorder="1" applyAlignment="1" applyProtection="1">
      <alignment horizontal="left"/>
    </xf>
    <xf numFmtId="169" fontId="3" fillId="3" borderId="0" xfId="23" applyNumberFormat="1" applyFont="1" applyFill="1" applyBorder="1" applyAlignment="1" applyProtection="1">
      <alignment horizontal="right"/>
    </xf>
    <xf numFmtId="166" fontId="3" fillId="0" borderId="2" xfId="35" applyNumberFormat="1" applyFont="1" applyFill="1" applyBorder="1" applyAlignment="1" applyProtection="1">
      <alignment horizontal="right"/>
    </xf>
    <xf numFmtId="7" fontId="3" fillId="0" borderId="2" xfId="35" applyNumberFormat="1" applyFont="1" applyFill="1" applyBorder="1" applyAlignment="1" applyProtection="1">
      <alignment horizontal="right"/>
    </xf>
    <xf numFmtId="7" fontId="3" fillId="3" borderId="2" xfId="23" applyNumberFormat="1" applyFont="1" applyFill="1" applyBorder="1" applyAlignment="1" applyProtection="1">
      <alignment horizontal="right"/>
    </xf>
    <xf numFmtId="7" fontId="3" fillId="3" borderId="19" xfId="23" applyNumberFormat="1" applyFont="1" applyFill="1" applyBorder="1" applyAlignment="1" applyProtection="1">
      <alignment horizontal="right"/>
    </xf>
    <xf numFmtId="37" fontId="8" fillId="4" borderId="14" xfId="23" applyNumberFormat="1" applyFont="1" applyFill="1" applyBorder="1" applyAlignment="1" applyProtection="1">
      <alignment horizontal="centerContinuous"/>
    </xf>
    <xf numFmtId="0" fontId="3" fillId="3" borderId="0" xfId="23" applyFont="1" applyFill="1" applyBorder="1" applyAlignment="1">
      <alignment horizontal="centerContinuous"/>
    </xf>
    <xf numFmtId="0" fontId="3" fillId="3" borderId="14" xfId="23" applyFont="1" applyFill="1" applyBorder="1" applyAlignment="1">
      <alignment horizontal="centerContinuous"/>
    </xf>
    <xf numFmtId="7" fontId="3" fillId="0" borderId="0" xfId="35" applyNumberFormat="1" applyFont="1" applyFill="1" applyBorder="1" applyAlignment="1" applyProtection="1">
      <alignment horizontal="right"/>
    </xf>
    <xf numFmtId="0" fontId="3" fillId="3" borderId="13" xfId="23" applyFont="1" applyFill="1" applyBorder="1" applyAlignment="1">
      <alignment horizontal="centerContinuous"/>
    </xf>
    <xf numFmtId="37" fontId="8" fillId="0" borderId="0" xfId="23" applyNumberFormat="1" applyFont="1" applyFill="1" applyBorder="1" applyAlignment="1" applyProtection="1">
      <alignment horizontal="centerContinuous"/>
    </xf>
    <xf numFmtId="37" fontId="3" fillId="3" borderId="7" xfId="23" applyNumberFormat="1" applyFont="1" applyFill="1" applyBorder="1" applyProtection="1"/>
    <xf numFmtId="37" fontId="3" fillId="4" borderId="7" xfId="23" applyNumberFormat="1" applyFont="1" applyFill="1" applyBorder="1" applyProtection="1"/>
    <xf numFmtId="164" fontId="3" fillId="3" borderId="7" xfId="23" quotePrefix="1" applyNumberFormat="1" applyFont="1" applyFill="1" applyBorder="1" applyAlignment="1" applyProtection="1">
      <alignment horizontal="right"/>
    </xf>
    <xf numFmtId="164" fontId="3" fillId="3" borderId="6" xfId="23" quotePrefix="1" applyNumberFormat="1" applyFont="1" applyFill="1" applyBorder="1" applyAlignment="1" applyProtection="1">
      <alignment horizontal="right"/>
    </xf>
    <xf numFmtId="164" fontId="3" fillId="3" borderId="3" xfId="23" quotePrefix="1" applyNumberFormat="1" applyFont="1" applyFill="1" applyBorder="1" applyAlignment="1" applyProtection="1">
      <alignment horizontal="right"/>
    </xf>
    <xf numFmtId="164" fontId="3" fillId="3" borderId="0" xfId="23" quotePrefix="1" applyNumberFormat="1" applyFont="1" applyFill="1" applyBorder="1" applyAlignment="1" applyProtection="1">
      <alignment horizontal="right"/>
    </xf>
    <xf numFmtId="0" fontId="3" fillId="3" borderId="0" xfId="23" applyFont="1" applyFill="1" applyBorder="1" applyAlignment="1">
      <alignment horizontal="right"/>
    </xf>
    <xf numFmtId="164" fontId="3" fillId="3" borderId="4" xfId="23" quotePrefix="1" applyNumberFormat="1" applyFont="1" applyFill="1" applyBorder="1" applyAlignment="1" applyProtection="1">
      <alignment horizontal="right"/>
    </xf>
    <xf numFmtId="37" fontId="8" fillId="3" borderId="0" xfId="23" applyNumberFormat="1" applyFont="1" applyFill="1" applyBorder="1" applyProtection="1"/>
    <xf numFmtId="37" fontId="3" fillId="4" borderId="14" xfId="23" applyNumberFormat="1" applyFont="1" applyFill="1" applyBorder="1" applyProtection="1"/>
    <xf numFmtId="173" fontId="3" fillId="3" borderId="14" xfId="23" quotePrefix="1" applyNumberFormat="1" applyFont="1" applyFill="1" applyBorder="1" applyAlignment="1" applyProtection="1">
      <alignment horizontal="right"/>
    </xf>
    <xf numFmtId="173" fontId="3" fillId="3" borderId="10" xfId="23" quotePrefix="1" applyNumberFormat="1" applyFont="1" applyFill="1" applyBorder="1" applyAlignment="1" applyProtection="1">
      <alignment horizontal="right"/>
    </xf>
    <xf numFmtId="173" fontId="3" fillId="3" borderId="0" xfId="23" quotePrefix="1" applyNumberFormat="1" applyFont="1" applyFill="1" applyBorder="1" applyAlignment="1" applyProtection="1">
      <alignment horizontal="right"/>
    </xf>
    <xf numFmtId="164" fontId="3" fillId="3" borderId="10" xfId="23" quotePrefix="1" applyNumberFormat="1" applyFont="1" applyFill="1" applyBorder="1" applyAlignment="1" applyProtection="1">
      <alignment horizontal="right"/>
    </xf>
    <xf numFmtId="164" fontId="3" fillId="3" borderId="13" xfId="23" quotePrefix="1" applyNumberFormat="1" applyFont="1" applyFill="1" applyBorder="1" applyAlignment="1" applyProtection="1">
      <alignment horizontal="right"/>
    </xf>
    <xf numFmtId="0" fontId="8" fillId="0" borderId="0" xfId="23" applyFont="1" applyFill="1" applyBorder="1"/>
    <xf numFmtId="37" fontId="8" fillId="3" borderId="0" xfId="23" applyNumberFormat="1" applyFont="1" applyFill="1" applyBorder="1" applyAlignment="1" applyProtection="1"/>
    <xf numFmtId="37" fontId="3" fillId="3" borderId="14" xfId="23" applyNumberFormat="1" applyFont="1" applyFill="1" applyBorder="1" applyAlignment="1" applyProtection="1">
      <alignment horizontal="right"/>
    </xf>
    <xf numFmtId="37" fontId="3" fillId="3" borderId="10" xfId="23" applyNumberFormat="1" applyFont="1" applyFill="1" applyBorder="1" applyAlignment="1" applyProtection="1">
      <alignment horizontal="right"/>
    </xf>
    <xf numFmtId="37" fontId="3" fillId="3" borderId="0" xfId="23" applyNumberFormat="1" applyFont="1" applyFill="1" applyBorder="1" applyAlignment="1" applyProtection="1">
      <alignment horizontal="right"/>
    </xf>
    <xf numFmtId="37" fontId="3" fillId="3" borderId="0" xfId="23" quotePrefix="1" applyNumberFormat="1" applyFont="1" applyFill="1" applyBorder="1" applyAlignment="1" applyProtection="1">
      <alignment horizontal="right"/>
    </xf>
    <xf numFmtId="37" fontId="3" fillId="3" borderId="14" xfId="23" quotePrefix="1" applyNumberFormat="1" applyFont="1" applyFill="1" applyBorder="1" applyAlignment="1" applyProtection="1">
      <alignment horizontal="right"/>
    </xf>
    <xf numFmtId="37" fontId="3" fillId="3" borderId="10" xfId="23" quotePrefix="1" applyNumberFormat="1" applyFont="1" applyFill="1" applyBorder="1" applyAlignment="1" applyProtection="1">
      <alignment horizontal="right"/>
    </xf>
    <xf numFmtId="37" fontId="3" fillId="0" borderId="0" xfId="31" applyNumberFormat="1" applyFont="1" applyBorder="1"/>
    <xf numFmtId="166" fontId="3" fillId="3" borderId="10" xfId="35" quotePrefix="1" applyNumberFormat="1" applyFont="1" applyFill="1" applyBorder="1" applyAlignment="1" applyProtection="1">
      <alignment horizontal="right"/>
    </xf>
    <xf numFmtId="166" fontId="3" fillId="3" borderId="0" xfId="35" quotePrefix="1" applyNumberFormat="1" applyFont="1" applyFill="1" applyBorder="1" applyAlignment="1" applyProtection="1">
      <alignment horizontal="right"/>
    </xf>
    <xf numFmtId="166" fontId="3" fillId="3" borderId="14" xfId="35" quotePrefix="1" applyNumberFormat="1" applyFont="1" applyFill="1" applyBorder="1" applyAlignment="1" applyProtection="1">
      <alignment horizontal="right"/>
    </xf>
    <xf numFmtId="166" fontId="3" fillId="3" borderId="10" xfId="23" quotePrefix="1" applyNumberFormat="1" applyFont="1" applyFill="1" applyBorder="1" applyAlignment="1" applyProtection="1">
      <alignment horizontal="right"/>
    </xf>
    <xf numFmtId="166" fontId="3" fillId="3" borderId="0" xfId="23" quotePrefix="1" applyNumberFormat="1" applyFont="1" applyFill="1" applyBorder="1" applyAlignment="1" applyProtection="1">
      <alignment horizontal="right"/>
    </xf>
    <xf numFmtId="0" fontId="3" fillId="0" borderId="0" xfId="23" applyFont="1" applyFill="1" applyBorder="1" applyAlignment="1">
      <alignment horizontal="left" indent="1"/>
    </xf>
    <xf numFmtId="37" fontId="3" fillId="3" borderId="0" xfId="23" applyNumberFormat="1" applyFont="1" applyFill="1" applyBorder="1" applyAlignment="1" applyProtection="1"/>
    <xf numFmtId="37" fontId="3" fillId="3" borderId="13" xfId="23" quotePrefix="1" applyNumberFormat="1" applyFont="1" applyFill="1" applyBorder="1" applyAlignment="1" applyProtection="1">
      <alignment horizontal="right"/>
    </xf>
    <xf numFmtId="166" fontId="3" fillId="3" borderId="13" xfId="35" quotePrefix="1" applyNumberFormat="1" applyFont="1" applyFill="1" applyBorder="1" applyAlignment="1" applyProtection="1">
      <alignment horizontal="right"/>
    </xf>
    <xf numFmtId="9" fontId="3" fillId="0" borderId="0" xfId="31" applyNumberFormat="1" applyFont="1" applyBorder="1"/>
    <xf numFmtId="0" fontId="5" fillId="0" borderId="0" xfId="31" applyFont="1" applyFill="1" applyBorder="1" applyAlignment="1">
      <alignment horizontal="left"/>
    </xf>
    <xf numFmtId="39" fontId="3" fillId="3" borderId="0" xfId="16" quotePrefix="1" applyNumberFormat="1" applyFont="1" applyFill="1" applyBorder="1" applyAlignment="1" applyProtection="1">
      <alignment horizontal="right"/>
    </xf>
    <xf numFmtId="39" fontId="3" fillId="3" borderId="10" xfId="16" quotePrefix="1" applyNumberFormat="1" applyFont="1" applyFill="1" applyBorder="1" applyAlignment="1" applyProtection="1">
      <alignment horizontal="right"/>
    </xf>
    <xf numFmtId="37" fontId="4" fillId="3" borderId="14" xfId="23" applyNumberFormat="1" applyFont="1" applyFill="1" applyBorder="1" applyAlignment="1" applyProtection="1">
      <alignment horizontal="right"/>
    </xf>
    <xf numFmtId="37" fontId="4" fillId="3" borderId="10" xfId="23" applyNumberFormat="1" applyFont="1" applyFill="1" applyBorder="1" applyAlignment="1" applyProtection="1">
      <alignment horizontal="right"/>
    </xf>
    <xf numFmtId="37" fontId="4" fillId="3" borderId="0" xfId="23" applyNumberFormat="1" applyFont="1" applyFill="1" applyBorder="1" applyAlignment="1" applyProtection="1">
      <alignment horizontal="right"/>
    </xf>
    <xf numFmtId="37" fontId="4" fillId="3" borderId="0" xfId="23" quotePrefix="1" applyNumberFormat="1" applyFont="1" applyFill="1" applyBorder="1" applyAlignment="1" applyProtection="1">
      <alignment horizontal="right"/>
    </xf>
    <xf numFmtId="37" fontId="4" fillId="3" borderId="14" xfId="23" quotePrefix="1" applyNumberFormat="1" applyFont="1" applyFill="1" applyBorder="1" applyAlignment="1" applyProtection="1">
      <alignment horizontal="right"/>
    </xf>
    <xf numFmtId="37" fontId="3" fillId="3" borderId="0" xfId="23" applyNumberFormat="1" applyFont="1" applyFill="1" applyBorder="1" applyAlignment="1" applyProtection="1">
      <alignment horizontal="left" indent="1"/>
    </xf>
    <xf numFmtId="7" fontId="3" fillId="3" borderId="14" xfId="31" applyNumberFormat="1" applyFont="1" applyFill="1" applyBorder="1"/>
    <xf numFmtId="166" fontId="3" fillId="3" borderId="10" xfId="35" applyNumberFormat="1" applyFont="1" applyFill="1" applyBorder="1"/>
    <xf numFmtId="166" fontId="3" fillId="3" borderId="13" xfId="35" applyNumberFormat="1" applyFont="1" applyFill="1" applyBorder="1"/>
    <xf numFmtId="168" fontId="5" fillId="3" borderId="0" xfId="18" applyFont="1" applyFill="1" applyBorder="1" applyAlignment="1" applyProtection="1">
      <alignment horizontal="left"/>
    </xf>
    <xf numFmtId="168" fontId="5" fillId="4" borderId="14" xfId="18" applyFont="1" applyFill="1" applyBorder="1" applyAlignment="1" applyProtection="1">
      <alignment horizontal="left"/>
    </xf>
    <xf numFmtId="168" fontId="3" fillId="3" borderId="14" xfId="23" applyNumberFormat="1" applyFont="1" applyFill="1" applyBorder="1" applyAlignment="1">
      <alignment horizontal="right"/>
    </xf>
    <xf numFmtId="168" fontId="3" fillId="3" borderId="10" xfId="23" applyNumberFormat="1" applyFont="1" applyFill="1" applyBorder="1" applyAlignment="1">
      <alignment horizontal="right"/>
    </xf>
    <xf numFmtId="168" fontId="3" fillId="3" borderId="0" xfId="23" applyNumberFormat="1" applyFont="1" applyFill="1" applyBorder="1" applyAlignment="1">
      <alignment horizontal="right"/>
    </xf>
    <xf numFmtId="168" fontId="3" fillId="3" borderId="13" xfId="23" applyNumberFormat="1" applyFont="1" applyFill="1" applyBorder="1" applyAlignment="1">
      <alignment horizontal="right"/>
    </xf>
    <xf numFmtId="9" fontId="5" fillId="4" borderId="14" xfId="35" applyFont="1" applyFill="1" applyBorder="1" applyAlignment="1" applyProtection="1">
      <alignment horizontal="left"/>
    </xf>
    <xf numFmtId="166" fontId="3" fillId="3" borderId="14" xfId="35" applyNumberFormat="1" applyFont="1" applyFill="1" applyBorder="1" applyAlignment="1">
      <alignment horizontal="right"/>
    </xf>
    <xf numFmtId="166" fontId="3" fillId="3" borderId="10" xfId="35" applyNumberFormat="1" applyFont="1" applyFill="1" applyBorder="1" applyAlignment="1">
      <alignment horizontal="right"/>
    </xf>
    <xf numFmtId="166" fontId="3" fillId="3" borderId="13" xfId="35" applyNumberFormat="1" applyFont="1" applyFill="1" applyBorder="1" applyAlignment="1">
      <alignment horizontal="right"/>
    </xf>
    <xf numFmtId="9" fontId="5" fillId="3" borderId="0" xfId="35" applyFont="1" applyFill="1" applyBorder="1" applyAlignment="1" applyProtection="1">
      <alignment horizontal="left"/>
    </xf>
    <xf numFmtId="9" fontId="5" fillId="3" borderId="14" xfId="35" applyFont="1" applyFill="1" applyBorder="1" applyAlignment="1" applyProtection="1">
      <alignment horizontal="left"/>
    </xf>
    <xf numFmtId="0" fontId="3" fillId="3" borderId="13" xfId="23" applyFont="1" applyFill="1" applyBorder="1"/>
    <xf numFmtId="37" fontId="3" fillId="4" borderId="14" xfId="23" applyNumberFormat="1" applyFont="1" applyFill="1" applyBorder="1" applyAlignment="1" applyProtection="1">
      <alignment horizontal="left"/>
    </xf>
    <xf numFmtId="168" fontId="3" fillId="3" borderId="14" xfId="18" applyFont="1" applyFill="1" applyBorder="1"/>
    <xf numFmtId="168" fontId="3" fillId="3" borderId="10" xfId="18" applyFont="1" applyFill="1" applyBorder="1"/>
    <xf numFmtId="168" fontId="3" fillId="3" borderId="13" xfId="18" applyFont="1" applyFill="1" applyBorder="1"/>
    <xf numFmtId="7" fontId="3" fillId="3" borderId="0" xfId="18" applyNumberFormat="1" applyFont="1" applyFill="1" applyBorder="1" applyAlignment="1" applyProtection="1">
      <alignment horizontal="left" indent="1"/>
    </xf>
    <xf numFmtId="7" fontId="3" fillId="4" borderId="14" xfId="18" applyNumberFormat="1" applyFont="1" applyFill="1" applyBorder="1" applyAlignment="1" applyProtection="1">
      <alignment horizontal="left" indent="1"/>
    </xf>
    <xf numFmtId="7" fontId="3" fillId="3" borderId="14" xfId="18" applyNumberFormat="1" applyFont="1" applyFill="1" applyBorder="1"/>
    <xf numFmtId="7" fontId="3" fillId="3" borderId="10" xfId="18" applyNumberFormat="1" applyFont="1" applyFill="1" applyBorder="1"/>
    <xf numFmtId="7" fontId="3" fillId="3" borderId="0" xfId="18" applyNumberFormat="1" applyFont="1" applyFill="1" applyBorder="1"/>
    <xf numFmtId="7" fontId="3" fillId="0" borderId="0" xfId="18" applyNumberFormat="1" applyFont="1" applyBorder="1"/>
    <xf numFmtId="7" fontId="3" fillId="3" borderId="13" xfId="18" applyNumberFormat="1" applyFont="1" applyFill="1" applyBorder="1"/>
    <xf numFmtId="167" fontId="3" fillId="3" borderId="14" xfId="23" applyNumberFormat="1" applyFont="1" applyFill="1" applyBorder="1" applyAlignment="1">
      <alignment horizontal="right"/>
    </xf>
    <xf numFmtId="167" fontId="3" fillId="3" borderId="0" xfId="23" applyNumberFormat="1" applyFont="1" applyFill="1" applyBorder="1" applyAlignment="1">
      <alignment horizontal="right"/>
    </xf>
    <xf numFmtId="167" fontId="3" fillId="3" borderId="10" xfId="23" applyNumberFormat="1" applyFont="1" applyFill="1" applyBorder="1" applyAlignment="1">
      <alignment horizontal="right"/>
    </xf>
    <xf numFmtId="167" fontId="3" fillId="3" borderId="13" xfId="23" applyNumberFormat="1" applyFont="1" applyFill="1" applyBorder="1" applyAlignment="1">
      <alignment horizontal="right"/>
    </xf>
    <xf numFmtId="167" fontId="5" fillId="3" borderId="0" xfId="16" applyNumberFormat="1" applyFont="1" applyFill="1" applyBorder="1" applyAlignment="1">
      <alignment horizontal="left" indent="1"/>
    </xf>
    <xf numFmtId="167" fontId="5" fillId="4" borderId="14" xfId="16" applyNumberFormat="1" applyFont="1" applyFill="1" applyBorder="1" applyAlignment="1">
      <alignment horizontal="left" indent="1"/>
    </xf>
    <xf numFmtId="174" fontId="3" fillId="3" borderId="14" xfId="16" applyNumberFormat="1" applyFont="1" applyFill="1" applyBorder="1" applyAlignment="1" applyProtection="1">
      <alignment horizontal="right"/>
    </xf>
    <xf numFmtId="174" fontId="3" fillId="3" borderId="10" xfId="16" applyNumberFormat="1" applyFont="1" applyFill="1" applyBorder="1" applyAlignment="1" applyProtection="1">
      <alignment horizontal="right"/>
    </xf>
    <xf numFmtId="174" fontId="3" fillId="3" borderId="0" xfId="16" applyNumberFormat="1" applyFont="1" applyFill="1" applyBorder="1" applyAlignment="1" applyProtection="1">
      <alignment horizontal="right"/>
    </xf>
    <xf numFmtId="174" fontId="3" fillId="3" borderId="13" xfId="16" applyNumberFormat="1" applyFont="1" applyFill="1" applyBorder="1" applyAlignment="1" applyProtection="1">
      <alignment horizontal="right"/>
    </xf>
    <xf numFmtId="174" fontId="3" fillId="3" borderId="17" xfId="16" applyNumberFormat="1" applyFont="1" applyFill="1" applyBorder="1" applyAlignment="1" applyProtection="1">
      <alignment horizontal="right"/>
    </xf>
    <xf numFmtId="174" fontId="3" fillId="3" borderId="15" xfId="16" applyNumberFormat="1" applyFont="1" applyFill="1" applyBorder="1" applyAlignment="1" applyProtection="1">
      <alignment horizontal="right"/>
    </xf>
    <xf numFmtId="37" fontId="9" fillId="4" borderId="14" xfId="23" applyNumberFormat="1" applyFont="1" applyFill="1" applyBorder="1" applyAlignment="1" applyProtection="1">
      <alignment horizontal="left"/>
    </xf>
    <xf numFmtId="7" fontId="3" fillId="3" borderId="0" xfId="23" applyNumberFormat="1" applyFont="1" applyFill="1" applyBorder="1"/>
    <xf numFmtId="0" fontId="3" fillId="4" borderId="14" xfId="23" applyFont="1" applyFill="1" applyBorder="1"/>
    <xf numFmtId="168" fontId="3" fillId="3" borderId="0" xfId="23" applyNumberFormat="1" applyFont="1" applyFill="1" applyBorder="1"/>
    <xf numFmtId="167" fontId="3" fillId="3" borderId="0" xfId="23" applyNumberFormat="1" applyFont="1" applyFill="1" applyBorder="1"/>
    <xf numFmtId="175" fontId="3" fillId="3" borderId="0" xfId="23" applyNumberFormat="1" applyFont="1" applyFill="1" applyBorder="1"/>
    <xf numFmtId="169" fontId="3" fillId="3" borderId="0" xfId="23" applyNumberFormat="1" applyFont="1" applyFill="1" applyBorder="1"/>
    <xf numFmtId="0" fontId="3" fillId="0" borderId="0" xfId="23" applyFont="1" applyFill="1" applyBorder="1" applyAlignment="1">
      <alignment horizontal="right"/>
    </xf>
    <xf numFmtId="37" fontId="3" fillId="0" borderId="0" xfId="23" applyNumberFormat="1" applyFont="1" applyFill="1" applyBorder="1" applyAlignment="1" applyProtection="1">
      <alignment horizontal="left"/>
    </xf>
    <xf numFmtId="164" fontId="3" fillId="4" borderId="7" xfId="23" quotePrefix="1" applyNumberFormat="1" applyFont="1" applyFill="1" applyBorder="1" applyAlignment="1" applyProtection="1">
      <alignment horizontal="right"/>
    </xf>
    <xf numFmtId="164" fontId="3" fillId="0" borderId="6" xfId="23" quotePrefix="1" applyNumberFormat="1" applyFont="1" applyFill="1" applyBorder="1" applyAlignment="1" applyProtection="1">
      <alignment horizontal="right"/>
    </xf>
    <xf numFmtId="168" fontId="5" fillId="0" borderId="0" xfId="18" applyFont="1" applyFill="1" applyBorder="1" applyAlignment="1">
      <alignment horizontal="left" indent="1"/>
    </xf>
    <xf numFmtId="164" fontId="3" fillId="0" borderId="0" xfId="23" quotePrefix="1" applyNumberFormat="1" applyFont="1" applyFill="1" applyBorder="1" applyAlignment="1" applyProtection="1">
      <alignment horizontal="right"/>
    </xf>
    <xf numFmtId="37" fontId="3" fillId="0" borderId="14" xfId="23" applyNumberFormat="1" applyFont="1" applyFill="1" applyBorder="1" applyAlignment="1" applyProtection="1">
      <alignment horizontal="left"/>
    </xf>
    <xf numFmtId="0" fontId="3" fillId="0" borderId="9" xfId="31" applyFont="1" applyFill="1" applyBorder="1"/>
    <xf numFmtId="0" fontId="3" fillId="0" borderId="0" xfId="31" applyFont="1" applyFill="1" applyBorder="1"/>
    <xf numFmtId="164" fontId="3" fillId="0" borderId="14" xfId="23" quotePrefix="1" applyNumberFormat="1" applyFont="1" applyFill="1" applyBorder="1" applyAlignment="1" applyProtection="1">
      <alignment horizontal="right"/>
    </xf>
    <xf numFmtId="176" fontId="3" fillId="0" borderId="10" xfId="23" quotePrefix="1" applyNumberFormat="1" applyFont="1" applyFill="1" applyBorder="1" applyAlignment="1" applyProtection="1">
      <alignment horizontal="right"/>
    </xf>
    <xf numFmtId="164" fontId="3" fillId="0" borderId="10" xfId="23" quotePrefix="1" applyNumberFormat="1" applyFont="1" applyFill="1" applyBorder="1" applyAlignment="1" applyProtection="1">
      <alignment horizontal="right"/>
    </xf>
    <xf numFmtId="164" fontId="3" fillId="0" borderId="11" xfId="23" quotePrefix="1" applyNumberFormat="1" applyFont="1" applyFill="1" applyBorder="1" applyAlignment="1" applyProtection="1">
      <alignment horizontal="right"/>
    </xf>
    <xf numFmtId="177" fontId="3" fillId="0" borderId="0" xfId="23" quotePrefix="1" applyNumberFormat="1" applyFont="1" applyFill="1" applyBorder="1" applyAlignment="1" applyProtection="1">
      <alignment horizontal="right"/>
    </xf>
    <xf numFmtId="164" fontId="3" fillId="0" borderId="13" xfId="23" quotePrefix="1" applyNumberFormat="1" applyFont="1" applyFill="1" applyBorder="1" applyAlignment="1" applyProtection="1">
      <alignment horizontal="right"/>
    </xf>
    <xf numFmtId="168" fontId="5" fillId="0" borderId="14" xfId="18" applyFont="1" applyFill="1" applyBorder="1" applyAlignment="1">
      <alignment horizontal="left" indent="1"/>
    </xf>
    <xf numFmtId="168" fontId="5" fillId="0" borderId="14" xfId="18" applyNumberFormat="1" applyFont="1" applyFill="1" applyBorder="1"/>
    <xf numFmtId="168" fontId="5" fillId="0" borderId="10" xfId="18" applyNumberFormat="1" applyFont="1" applyFill="1" applyBorder="1"/>
    <xf numFmtId="168" fontId="5" fillId="0" borderId="0" xfId="18" applyNumberFormat="1" applyFont="1" applyFill="1" applyBorder="1"/>
    <xf numFmtId="168" fontId="3" fillId="0" borderId="14" xfId="18" applyNumberFormat="1" applyFont="1" applyFill="1" applyBorder="1"/>
    <xf numFmtId="168" fontId="3" fillId="0" borderId="10" xfId="18" applyNumberFormat="1" applyFont="1" applyFill="1" applyBorder="1" applyAlignment="1">
      <alignment horizontal="right"/>
    </xf>
    <xf numFmtId="178" fontId="5" fillId="0" borderId="0" xfId="18" applyNumberFormat="1" applyFont="1" applyFill="1" applyBorder="1" applyAlignment="1">
      <alignment horizontal="left" indent="1"/>
    </xf>
    <xf numFmtId="168" fontId="5" fillId="0" borderId="13" xfId="18" applyNumberFormat="1" applyFont="1" applyFill="1" applyBorder="1"/>
    <xf numFmtId="167" fontId="5" fillId="0" borderId="14" xfId="16" quotePrefix="1" applyNumberFormat="1" applyFont="1" applyFill="1" applyBorder="1" applyAlignment="1" applyProtection="1">
      <alignment horizontal="right"/>
    </xf>
    <xf numFmtId="167" fontId="5" fillId="0" borderId="10" xfId="16" quotePrefix="1" applyNumberFormat="1" applyFont="1" applyFill="1" applyBorder="1" applyAlignment="1" applyProtection="1">
      <alignment horizontal="right"/>
    </xf>
    <xf numFmtId="167" fontId="12" fillId="0" borderId="0" xfId="31" applyNumberFormat="1" applyFont="1" applyFill="1" applyBorder="1"/>
    <xf numFmtId="168" fontId="5" fillId="0" borderId="10" xfId="16" quotePrefix="1" applyNumberFormat="1" applyFont="1" applyFill="1" applyBorder="1" applyAlignment="1" applyProtection="1">
      <alignment horizontal="right"/>
    </xf>
    <xf numFmtId="167" fontId="12" fillId="0" borderId="14" xfId="16" applyNumberFormat="1" applyFont="1" applyFill="1" applyBorder="1"/>
    <xf numFmtId="167" fontId="12" fillId="0" borderId="0" xfId="16" applyNumberFormat="1" applyFont="1" applyFill="1" applyBorder="1"/>
    <xf numFmtId="167" fontId="3" fillId="0" borderId="13" xfId="31" applyNumberFormat="1" applyFont="1" applyFill="1" applyBorder="1"/>
    <xf numFmtId="167" fontId="4" fillId="0" borderId="0" xfId="16" applyNumberFormat="1" applyFont="1" applyFill="1" applyBorder="1"/>
    <xf numFmtId="167" fontId="4" fillId="0" borderId="14" xfId="16" applyNumberFormat="1" applyFont="1" applyFill="1" applyBorder="1"/>
    <xf numFmtId="167" fontId="4" fillId="0" borderId="13" xfId="16" applyNumberFormat="1" applyFont="1" applyFill="1" applyBorder="1"/>
    <xf numFmtId="167" fontId="5" fillId="0" borderId="14" xfId="16" applyFont="1" applyFill="1" applyBorder="1" applyAlignment="1">
      <alignment horizontal="left" indent="1"/>
    </xf>
    <xf numFmtId="167" fontId="3" fillId="0" borderId="13" xfId="16" applyNumberFormat="1" applyFont="1" applyFill="1" applyBorder="1"/>
    <xf numFmtId="167" fontId="3" fillId="0" borderId="14" xfId="16" quotePrefix="1" applyNumberFormat="1" applyFont="1" applyFill="1" applyBorder="1" applyAlignment="1" applyProtection="1">
      <alignment horizontal="right"/>
    </xf>
    <xf numFmtId="167" fontId="3" fillId="0" borderId="10" xfId="16" quotePrefix="1" applyNumberFormat="1" applyFont="1" applyFill="1" applyBorder="1" applyAlignment="1" applyProtection="1">
      <alignment horizontal="right"/>
    </xf>
    <xf numFmtId="37" fontId="4" fillId="0" borderId="0" xfId="18" applyNumberFormat="1" applyFont="1" applyFill="1" applyBorder="1"/>
    <xf numFmtId="168" fontId="3" fillId="0" borderId="10" xfId="16" quotePrefix="1" applyNumberFormat="1" applyFont="1" applyFill="1" applyBorder="1" applyAlignment="1" applyProtection="1">
      <alignment horizontal="right"/>
    </xf>
    <xf numFmtId="167" fontId="3" fillId="0" borderId="14" xfId="16" applyFont="1" applyFill="1" applyBorder="1" applyAlignment="1">
      <alignment horizontal="left" indent="1"/>
    </xf>
    <xf numFmtId="169" fontId="4" fillId="0" borderId="14" xfId="16" applyNumberFormat="1" applyFont="1" applyFill="1" applyBorder="1"/>
    <xf numFmtId="169" fontId="4" fillId="0" borderId="0" xfId="16" applyNumberFormat="1" applyFont="1" applyFill="1" applyBorder="1"/>
    <xf numFmtId="167" fontId="3" fillId="0" borderId="0" xfId="16" quotePrefix="1" applyNumberFormat="1" applyFont="1" applyFill="1" applyBorder="1" applyAlignment="1" applyProtection="1">
      <alignment horizontal="right"/>
    </xf>
    <xf numFmtId="167" fontId="5" fillId="0" borderId="14" xfId="16" applyFont="1" applyFill="1" applyBorder="1" applyAlignment="1">
      <alignment horizontal="left" indent="2"/>
    </xf>
    <xf numFmtId="0" fontId="5" fillId="0" borderId="14" xfId="31" applyFont="1" applyFill="1" applyBorder="1" applyAlignment="1"/>
    <xf numFmtId="167" fontId="3" fillId="0" borderId="0" xfId="23" applyNumberFormat="1" applyFont="1" applyFill="1" applyBorder="1" applyAlignment="1" applyProtection="1">
      <alignment horizontal="right"/>
    </xf>
    <xf numFmtId="168" fontId="3" fillId="0" borderId="10" xfId="23" applyNumberFormat="1" applyFont="1" applyFill="1" applyBorder="1" applyAlignment="1" applyProtection="1">
      <alignment horizontal="right"/>
    </xf>
    <xf numFmtId="168" fontId="3" fillId="0" borderId="14" xfId="23" applyNumberFormat="1" applyFont="1" applyFill="1" applyBorder="1" applyAlignment="1" applyProtection="1">
      <alignment horizontal="right"/>
    </xf>
    <xf numFmtId="168" fontId="3" fillId="0" borderId="0" xfId="23" applyNumberFormat="1" applyFont="1" applyFill="1" applyBorder="1" applyAlignment="1" applyProtection="1">
      <alignment horizontal="right"/>
    </xf>
    <xf numFmtId="169" fontId="3" fillId="0" borderId="14" xfId="31" applyNumberFormat="1" applyFont="1" applyFill="1" applyBorder="1"/>
    <xf numFmtId="175" fontId="4" fillId="0" borderId="14" xfId="16" applyNumberFormat="1" applyFont="1" applyFill="1" applyBorder="1"/>
    <xf numFmtId="175" fontId="4" fillId="0" borderId="0" xfId="16" applyNumberFormat="1" applyFont="1" applyFill="1" applyBorder="1"/>
    <xf numFmtId="175" fontId="5" fillId="0" borderId="10" xfId="16" quotePrefix="1" applyNumberFormat="1" applyFont="1" applyFill="1" applyBorder="1" applyAlignment="1" applyProtection="1">
      <alignment horizontal="right"/>
    </xf>
    <xf numFmtId="167" fontId="5" fillId="0" borderId="0" xfId="16" quotePrefix="1" applyNumberFormat="1" applyFont="1" applyFill="1" applyBorder="1" applyAlignment="1" applyProtection="1">
      <alignment horizontal="right"/>
    </xf>
    <xf numFmtId="175" fontId="5" fillId="0" borderId="0" xfId="16" quotePrefix="1" applyNumberFormat="1" applyFont="1" applyFill="1" applyBorder="1" applyAlignment="1" applyProtection="1">
      <alignment horizontal="right"/>
    </xf>
    <xf numFmtId="176" fontId="3" fillId="0" borderId="0" xfId="23" quotePrefix="1" applyNumberFormat="1" applyFont="1" applyFill="1" applyBorder="1" applyAlignment="1" applyProtection="1">
      <alignment horizontal="right"/>
    </xf>
    <xf numFmtId="0" fontId="3" fillId="0" borderId="13" xfId="31" applyFont="1" applyFill="1" applyBorder="1"/>
    <xf numFmtId="168" fontId="4" fillId="0" borderId="14" xfId="18" applyFont="1" applyFill="1" applyBorder="1"/>
    <xf numFmtId="168" fontId="5" fillId="0" borderId="14" xfId="18" quotePrefix="1" applyFont="1" applyFill="1" applyBorder="1" applyAlignment="1" applyProtection="1">
      <alignment horizontal="right"/>
    </xf>
    <xf numFmtId="168" fontId="5" fillId="0" borderId="10" xfId="18" quotePrefix="1" applyFont="1" applyFill="1" applyBorder="1" applyAlignment="1" applyProtection="1">
      <alignment horizontal="right"/>
    </xf>
    <xf numFmtId="168" fontId="12" fillId="0" borderId="0" xfId="18" applyFont="1" applyFill="1" applyBorder="1"/>
    <xf numFmtId="168" fontId="3" fillId="0" borderId="13" xfId="18" applyFont="1" applyFill="1" applyBorder="1"/>
    <xf numFmtId="37" fontId="4" fillId="0" borderId="0" xfId="16" applyNumberFormat="1" applyFont="1" applyFill="1" applyBorder="1"/>
    <xf numFmtId="168" fontId="5" fillId="0" borderId="10" xfId="18" applyFont="1" applyFill="1" applyBorder="1" applyAlignment="1">
      <alignment horizontal="left" indent="1"/>
    </xf>
    <xf numFmtId="39" fontId="4" fillId="0" borderId="0" xfId="18" applyNumberFormat="1" applyFont="1" applyFill="1" applyBorder="1"/>
    <xf numFmtId="167" fontId="5" fillId="0" borderId="10" xfId="16" quotePrefix="1" applyFont="1" applyFill="1" applyBorder="1" applyAlignment="1" applyProtection="1">
      <alignment horizontal="right"/>
    </xf>
    <xf numFmtId="0" fontId="5" fillId="0" borderId="10" xfId="31" applyFont="1" applyFill="1" applyBorder="1" applyAlignment="1"/>
    <xf numFmtId="167" fontId="5" fillId="0" borderId="14" xfId="16" quotePrefix="1" applyFont="1" applyFill="1" applyBorder="1" applyAlignment="1" applyProtection="1">
      <alignment horizontal="right"/>
    </xf>
    <xf numFmtId="167" fontId="5" fillId="0" borderId="0" xfId="16" quotePrefix="1" applyFont="1" applyFill="1" applyBorder="1" applyAlignment="1" applyProtection="1">
      <alignment horizontal="right"/>
    </xf>
    <xf numFmtId="37" fontId="3" fillId="0" borderId="10" xfId="23" applyNumberFormat="1" applyFont="1" applyFill="1" applyBorder="1" applyAlignment="1" applyProtection="1">
      <alignment horizontal="left"/>
    </xf>
    <xf numFmtId="175" fontId="3" fillId="0" borderId="0" xfId="31" applyNumberFormat="1" applyFont="1" applyFill="1" applyBorder="1"/>
    <xf numFmtId="37" fontId="3" fillId="0" borderId="10" xfId="23" applyNumberFormat="1" applyFont="1" applyFill="1" applyBorder="1" applyAlignment="1" applyProtection="1">
      <alignment horizontal="left" indent="1"/>
    </xf>
    <xf numFmtId="168" fontId="4" fillId="0" borderId="10" xfId="31" applyNumberFormat="1" applyFont="1" applyFill="1" applyBorder="1"/>
    <xf numFmtId="168" fontId="5" fillId="0" borderId="14" xfId="18" quotePrefix="1" applyNumberFormat="1" applyFont="1" applyFill="1" applyBorder="1" applyAlignment="1" applyProtection="1">
      <alignment horizontal="right"/>
    </xf>
    <xf numFmtId="168" fontId="4" fillId="0" borderId="14" xfId="31" applyNumberFormat="1" applyFont="1" applyFill="1" applyBorder="1"/>
    <xf numFmtId="168" fontId="5" fillId="0" borderId="10" xfId="18" quotePrefix="1" applyNumberFormat="1" applyFont="1" applyFill="1" applyBorder="1" applyAlignment="1" applyProtection="1">
      <alignment horizontal="right"/>
    </xf>
    <xf numFmtId="168" fontId="4" fillId="0" borderId="0" xfId="16" applyNumberFormat="1" applyFont="1" applyFill="1" applyBorder="1"/>
    <xf numFmtId="168" fontId="3" fillId="0" borderId="12" xfId="18" applyFont="1" applyFill="1" applyBorder="1"/>
    <xf numFmtId="168" fontId="4" fillId="0" borderId="14" xfId="18" applyNumberFormat="1" applyFont="1" applyFill="1" applyBorder="1"/>
    <xf numFmtId="168" fontId="14" fillId="0" borderId="0" xfId="18" applyFont="1" applyFill="1" applyBorder="1"/>
    <xf numFmtId="37" fontId="3" fillId="0" borderId="14" xfId="23" applyNumberFormat="1" applyFont="1" applyFill="1" applyBorder="1" applyAlignment="1" applyProtection="1">
      <alignment horizontal="left" indent="1"/>
    </xf>
    <xf numFmtId="168" fontId="4" fillId="0" borderId="13" xfId="16" applyNumberFormat="1" applyFont="1" applyFill="1" applyBorder="1"/>
    <xf numFmtId="168" fontId="4" fillId="0" borderId="14" xfId="16" applyNumberFormat="1" applyFont="1" applyFill="1" applyBorder="1"/>
    <xf numFmtId="167" fontId="5" fillId="0" borderId="10" xfId="16" applyFont="1" applyFill="1" applyBorder="1" applyAlignment="1">
      <alignment horizontal="left" indent="1"/>
    </xf>
    <xf numFmtId="168" fontId="3" fillId="0" borderId="14" xfId="18" quotePrefix="1" applyNumberFormat="1" applyFont="1" applyFill="1" applyBorder="1" applyAlignment="1" applyProtection="1">
      <alignment horizontal="right"/>
    </xf>
    <xf numFmtId="168" fontId="3" fillId="0" borderId="10" xfId="18" quotePrefix="1" applyFont="1" applyFill="1" applyBorder="1" applyAlignment="1" applyProtection="1">
      <alignment horizontal="right"/>
    </xf>
    <xf numFmtId="168" fontId="3" fillId="0" borderId="10" xfId="18" quotePrefix="1" applyNumberFormat="1" applyFont="1" applyFill="1" applyBorder="1" applyAlignment="1" applyProtection="1">
      <alignment horizontal="right"/>
    </xf>
    <xf numFmtId="5" fontId="3" fillId="0" borderId="0" xfId="18" applyNumberFormat="1" applyFont="1" applyFill="1" applyBorder="1"/>
    <xf numFmtId="169" fontId="3" fillId="0" borderId="0" xfId="31" applyNumberFormat="1" applyFont="1" applyFill="1" applyBorder="1"/>
    <xf numFmtId="179" fontId="3" fillId="0" borderId="10" xfId="23" quotePrefix="1" applyNumberFormat="1" applyFont="1" applyFill="1" applyBorder="1" applyAlignment="1" applyProtection="1">
      <alignment horizontal="right"/>
    </xf>
    <xf numFmtId="179" fontId="3" fillId="0" borderId="0" xfId="23" quotePrefix="1" applyNumberFormat="1" applyFont="1" applyFill="1" applyBorder="1" applyAlignment="1" applyProtection="1">
      <alignment horizontal="right"/>
    </xf>
    <xf numFmtId="5" fontId="3" fillId="0" borderId="10" xfId="31" applyNumberFormat="1" applyFont="1" applyFill="1" applyBorder="1"/>
    <xf numFmtId="0" fontId="5" fillId="0" borderId="17" xfId="31" applyFont="1" applyFill="1" applyBorder="1" applyAlignment="1">
      <alignment horizontal="left"/>
    </xf>
    <xf numFmtId="168" fontId="3" fillId="0" borderId="5" xfId="31" applyNumberFormat="1" applyFont="1" applyFill="1" applyBorder="1"/>
    <xf numFmtId="168" fontId="3" fillId="0" borderId="16" xfId="31" applyNumberFormat="1" applyFont="1" applyFill="1" applyBorder="1"/>
    <xf numFmtId="37" fontId="3" fillId="3" borderId="15" xfId="23" applyNumberFormat="1" applyFont="1" applyFill="1" applyBorder="1" applyProtection="1"/>
    <xf numFmtId="168" fontId="3" fillId="4" borderId="17" xfId="31" applyNumberFormat="1" applyFont="1" applyFill="1" applyBorder="1"/>
    <xf numFmtId="168" fontId="3" fillId="0" borderId="15" xfId="31" applyNumberFormat="1" applyFont="1" applyBorder="1"/>
    <xf numFmtId="168" fontId="3" fillId="0" borderId="5" xfId="31" applyNumberFormat="1" applyFont="1" applyBorder="1"/>
    <xf numFmtId="164" fontId="3" fillId="3" borderId="5" xfId="23" quotePrefix="1" applyNumberFormat="1" applyFont="1" applyFill="1" applyBorder="1" applyAlignment="1" applyProtection="1">
      <alignment horizontal="right"/>
    </xf>
    <xf numFmtId="164" fontId="3" fillId="3" borderId="15" xfId="23" quotePrefix="1" applyNumberFormat="1" applyFont="1" applyFill="1" applyBorder="1" applyAlignment="1" applyProtection="1">
      <alignment horizontal="right"/>
    </xf>
    <xf numFmtId="169" fontId="3" fillId="3" borderId="15" xfId="23" quotePrefix="1" applyNumberFormat="1" applyFont="1" applyFill="1" applyBorder="1" applyAlignment="1" applyProtection="1">
      <alignment horizontal="right"/>
    </xf>
    <xf numFmtId="169" fontId="3" fillId="3" borderId="5" xfId="23" quotePrefix="1" applyNumberFormat="1" applyFont="1" applyFill="1" applyBorder="1" applyAlignment="1" applyProtection="1">
      <alignment horizontal="right"/>
    </xf>
    <xf numFmtId="169" fontId="3" fillId="0" borderId="5" xfId="23" quotePrefix="1" applyNumberFormat="1" applyFont="1" applyFill="1" applyBorder="1" applyAlignment="1" applyProtection="1">
      <alignment horizontal="right"/>
    </xf>
    <xf numFmtId="169" fontId="3" fillId="0" borderId="17" xfId="23" quotePrefix="1" applyNumberFormat="1" applyFont="1" applyFill="1" applyBorder="1" applyAlignment="1" applyProtection="1">
      <alignment horizontal="right"/>
    </xf>
    <xf numFmtId="164" fontId="3" fillId="0" borderId="5" xfId="23" quotePrefix="1" applyNumberFormat="1" applyFont="1" applyFill="1" applyBorder="1" applyAlignment="1" applyProtection="1">
      <alignment horizontal="right"/>
    </xf>
    <xf numFmtId="164" fontId="3" fillId="0" borderId="15" xfId="23" quotePrefix="1" applyNumberFormat="1" applyFont="1" applyFill="1" applyBorder="1" applyAlignment="1" applyProtection="1">
      <alignment horizontal="right"/>
    </xf>
    <xf numFmtId="169" fontId="3" fillId="3" borderId="0" xfId="23" quotePrefix="1" applyNumberFormat="1" applyFont="1" applyFill="1" applyBorder="1" applyAlignment="1" applyProtection="1">
      <alignment horizontal="right"/>
    </xf>
    <xf numFmtId="169" fontId="3" fillId="3" borderId="13" xfId="23" quotePrefix="1" applyNumberFormat="1" applyFont="1" applyFill="1" applyBorder="1" applyAlignment="1" applyProtection="1">
      <alignment horizontal="right"/>
    </xf>
    <xf numFmtId="164" fontId="3" fillId="4" borderId="0" xfId="23" quotePrefix="1" applyNumberFormat="1" applyFont="1" applyFill="1" applyBorder="1" applyAlignment="1" applyProtection="1">
      <alignment horizontal="right"/>
    </xf>
    <xf numFmtId="167" fontId="3" fillId="3" borderId="0" xfId="16" quotePrefix="1" applyFont="1" applyFill="1" applyBorder="1" applyAlignment="1" applyProtection="1">
      <alignment horizontal="right"/>
    </xf>
    <xf numFmtId="169" fontId="3" fillId="0" borderId="0" xfId="23" quotePrefix="1" applyNumberFormat="1" applyFont="1" applyFill="1" applyBorder="1" applyAlignment="1" applyProtection="1">
      <alignment horizontal="right"/>
    </xf>
    <xf numFmtId="179" fontId="3" fillId="3" borderId="0" xfId="23" quotePrefix="1" applyNumberFormat="1" applyFont="1" applyFill="1" applyBorder="1" applyAlignment="1" applyProtection="1">
      <alignment horizontal="right"/>
    </xf>
    <xf numFmtId="167" fontId="3" fillId="0" borderId="0" xfId="16" quotePrefix="1" applyFont="1" applyFill="1" applyBorder="1" applyAlignment="1" applyProtection="1">
      <alignment horizontal="right"/>
    </xf>
    <xf numFmtId="173" fontId="3" fillId="3" borderId="13" xfId="23" quotePrefix="1" applyNumberFormat="1" applyFont="1" applyFill="1" applyBorder="1" applyAlignment="1" applyProtection="1">
      <alignment horizontal="right"/>
    </xf>
    <xf numFmtId="167" fontId="3" fillId="4" borderId="0" xfId="16" quotePrefix="1" applyNumberFormat="1" applyFont="1" applyFill="1" applyBorder="1" applyAlignment="1" applyProtection="1">
      <alignment horizontal="right"/>
    </xf>
    <xf numFmtId="167" fontId="3" fillId="3" borderId="0" xfId="16" quotePrefix="1" applyNumberFormat="1" applyFont="1" applyFill="1" applyBorder="1" applyAlignment="1" applyProtection="1">
      <alignment horizontal="right"/>
    </xf>
    <xf numFmtId="9" fontId="3" fillId="3" borderId="0" xfId="35" quotePrefix="1" applyFont="1" applyFill="1" applyBorder="1" applyAlignment="1" applyProtection="1">
      <alignment horizontal="right"/>
    </xf>
    <xf numFmtId="169" fontId="3" fillId="0" borderId="0" xfId="35" quotePrefix="1" applyNumberFormat="1" applyFont="1" applyFill="1" applyBorder="1" applyAlignment="1" applyProtection="1">
      <alignment horizontal="right"/>
    </xf>
    <xf numFmtId="9" fontId="3" fillId="0" borderId="0" xfId="35" quotePrefix="1" applyFont="1" applyFill="1" applyBorder="1" applyAlignment="1" applyProtection="1">
      <alignment horizontal="right"/>
    </xf>
    <xf numFmtId="9" fontId="3" fillId="3" borderId="13" xfId="35" quotePrefix="1" applyFont="1" applyFill="1" applyBorder="1" applyAlignment="1" applyProtection="1">
      <alignment horizontal="right"/>
    </xf>
    <xf numFmtId="167" fontId="3" fillId="4" borderId="0" xfId="16" quotePrefix="1" applyNumberFormat="1" applyFont="1" applyFill="1" applyBorder="1" applyAlignment="1" applyProtection="1">
      <alignment horizontal="centerContinuous"/>
    </xf>
    <xf numFmtId="167" fontId="3" fillId="3" borderId="0" xfId="16" quotePrefix="1" applyNumberFormat="1" applyFont="1" applyFill="1" applyBorder="1" applyAlignment="1" applyProtection="1">
      <alignment horizontal="centerContinuous"/>
    </xf>
    <xf numFmtId="167" fontId="3" fillId="3" borderId="0" xfId="16" quotePrefix="1" applyFont="1" applyFill="1" applyBorder="1" applyAlignment="1" applyProtection="1">
      <alignment horizontal="centerContinuous"/>
    </xf>
    <xf numFmtId="169" fontId="3" fillId="0" borderId="0" xfId="16" quotePrefix="1" applyNumberFormat="1" applyFont="1" applyFill="1" applyBorder="1" applyAlignment="1" applyProtection="1">
      <alignment horizontal="centerContinuous"/>
    </xf>
    <xf numFmtId="167" fontId="3" fillId="0" borderId="0" xfId="16" quotePrefix="1" applyNumberFormat="1" applyFont="1" applyFill="1" applyBorder="1" applyAlignment="1" applyProtection="1">
      <alignment horizontal="centerContinuous"/>
    </xf>
    <xf numFmtId="167" fontId="3" fillId="3" borderId="13" xfId="16" quotePrefix="1" applyNumberFormat="1" applyFont="1" applyFill="1" applyBorder="1" applyAlignment="1" applyProtection="1">
      <alignment horizontal="centerContinuous"/>
    </xf>
    <xf numFmtId="178" fontId="3" fillId="4" borderId="14" xfId="23" applyNumberFormat="1" applyFont="1" applyFill="1" applyBorder="1" applyAlignment="1">
      <alignment horizontal="centerContinuous"/>
    </xf>
    <xf numFmtId="178" fontId="3" fillId="3" borderId="0" xfId="23" applyNumberFormat="1" applyFont="1" applyFill="1" applyBorder="1" applyAlignment="1">
      <alignment horizontal="centerContinuous"/>
    </xf>
    <xf numFmtId="164" fontId="3" fillId="3" borderId="0" xfId="23" applyNumberFormat="1" applyFont="1" applyFill="1" applyBorder="1" applyAlignment="1">
      <alignment horizontal="centerContinuous"/>
    </xf>
    <xf numFmtId="168" fontId="3" fillId="3" borderId="0" xfId="23" applyNumberFormat="1" applyFont="1" applyFill="1" applyBorder="1" applyAlignment="1">
      <alignment horizontal="centerContinuous"/>
    </xf>
    <xf numFmtId="169" fontId="3" fillId="0" borderId="0" xfId="23" applyNumberFormat="1" applyFont="1" applyFill="1" applyBorder="1" applyAlignment="1">
      <alignment horizontal="centerContinuous"/>
    </xf>
    <xf numFmtId="168" fontId="3" fillId="0" borderId="0" xfId="23" applyNumberFormat="1" applyFont="1" applyFill="1" applyBorder="1" applyAlignment="1">
      <alignment horizontal="centerContinuous"/>
    </xf>
    <xf numFmtId="168" fontId="3" fillId="0" borderId="0" xfId="23" applyNumberFormat="1" applyFont="1" applyFill="1" applyBorder="1" applyAlignment="1">
      <alignment horizontal="right"/>
    </xf>
    <xf numFmtId="37" fontId="9" fillId="0" borderId="0" xfId="23" applyNumberFormat="1" applyFont="1" applyFill="1" applyBorder="1" applyAlignment="1" applyProtection="1">
      <alignment horizontal="centerContinuous"/>
    </xf>
    <xf numFmtId="168" fontId="3" fillId="3" borderId="13" xfId="23" applyNumberFormat="1" applyFont="1" applyFill="1" applyBorder="1" applyAlignment="1">
      <alignment horizontal="centerContinuous"/>
    </xf>
    <xf numFmtId="169" fontId="3" fillId="0" borderId="3" xfId="23" quotePrefix="1" applyNumberFormat="1" applyFont="1" applyFill="1" applyBorder="1" applyAlignment="1" applyProtection="1">
      <alignment horizontal="right"/>
    </xf>
    <xf numFmtId="169" fontId="3" fillId="0" borderId="7" xfId="23" quotePrefix="1" applyNumberFormat="1" applyFont="1" applyFill="1" applyBorder="1" applyAlignment="1" applyProtection="1">
      <alignment horizontal="right"/>
    </xf>
    <xf numFmtId="164" fontId="3" fillId="0" borderId="7" xfId="23" quotePrefix="1" applyNumberFormat="1" applyFont="1" applyFill="1" applyBorder="1" applyAlignment="1" applyProtection="1">
      <alignment horizontal="right"/>
    </xf>
    <xf numFmtId="164" fontId="3" fillId="0" borderId="3" xfId="23" quotePrefix="1" applyNumberFormat="1" applyFont="1" applyFill="1" applyBorder="1" applyAlignment="1" applyProtection="1">
      <alignment horizontal="right"/>
    </xf>
    <xf numFmtId="164" fontId="3" fillId="0" borderId="4" xfId="23" quotePrefix="1" applyNumberFormat="1" applyFont="1" applyFill="1" applyBorder="1" applyAlignment="1" applyProtection="1">
      <alignment horizontal="right"/>
    </xf>
    <xf numFmtId="167" fontId="19" fillId="0" borderId="0" xfId="16" applyFont="1" applyAlignment="1">
      <alignment horizontal="center"/>
    </xf>
    <xf numFmtId="0" fontId="19" fillId="0" borderId="0" xfId="23" applyFont="1"/>
    <xf numFmtId="37" fontId="3" fillId="3" borderId="14" xfId="23" applyNumberFormat="1" applyFont="1" applyFill="1" applyBorder="1" applyAlignment="1" applyProtection="1">
      <alignment horizontal="left"/>
    </xf>
    <xf numFmtId="169" fontId="3" fillId="0" borderId="0" xfId="23" applyNumberFormat="1" applyFont="1" applyFill="1" applyBorder="1"/>
    <xf numFmtId="169" fontId="3" fillId="0" borderId="14" xfId="23" applyNumberFormat="1" applyFont="1" applyFill="1" applyBorder="1"/>
    <xf numFmtId="0" fontId="3" fillId="0" borderId="14" xfId="23" applyFont="1" applyFill="1" applyBorder="1"/>
    <xf numFmtId="0" fontId="3" fillId="0" borderId="13" xfId="23" applyFont="1" applyFill="1" applyBorder="1"/>
    <xf numFmtId="0" fontId="3" fillId="0" borderId="10" xfId="23" applyFont="1" applyFill="1" applyBorder="1"/>
    <xf numFmtId="0" fontId="3" fillId="0" borderId="10" xfId="23" applyFont="1" applyFill="1" applyBorder="1" applyAlignment="1">
      <alignment horizontal="right"/>
    </xf>
    <xf numFmtId="167" fontId="19" fillId="0" borderId="0" xfId="16" applyFont="1"/>
    <xf numFmtId="169" fontId="3" fillId="0" borderId="10" xfId="23" applyNumberFormat="1" applyFont="1" applyFill="1" applyBorder="1"/>
    <xf numFmtId="168" fontId="3" fillId="0" borderId="14" xfId="23" applyNumberFormat="1" applyFont="1" applyFill="1" applyBorder="1"/>
    <xf numFmtId="168" fontId="3" fillId="0" borderId="10" xfId="23" applyNumberFormat="1" applyFont="1" applyFill="1" applyBorder="1"/>
    <xf numFmtId="168" fontId="3" fillId="0" borderId="0" xfId="23" applyNumberFormat="1" applyFont="1" applyFill="1" applyBorder="1"/>
    <xf numFmtId="168" fontId="3" fillId="0" borderId="13" xfId="23" applyNumberFormat="1" applyFont="1" applyFill="1" applyBorder="1"/>
    <xf numFmtId="168" fontId="3" fillId="0" borderId="10" xfId="23" applyNumberFormat="1" applyFont="1" applyFill="1" applyBorder="1" applyAlignment="1">
      <alignment horizontal="right"/>
    </xf>
    <xf numFmtId="167" fontId="2" fillId="0" borderId="0" xfId="23" applyNumberFormat="1"/>
    <xf numFmtId="167" fontId="3" fillId="0" borderId="10" xfId="23" applyNumberFormat="1" applyFont="1" applyFill="1" applyBorder="1"/>
    <xf numFmtId="167" fontId="3" fillId="0" borderId="10" xfId="23" applyNumberFormat="1" applyFont="1" applyFill="1" applyBorder="1" applyAlignment="1">
      <alignment horizontal="right"/>
    </xf>
    <xf numFmtId="167" fontId="4" fillId="0" borderId="10" xfId="23" applyNumberFormat="1" applyFont="1" applyFill="1" applyBorder="1"/>
    <xf numFmtId="167" fontId="4" fillId="0" borderId="0" xfId="23" applyNumberFormat="1" applyFont="1" applyFill="1" applyBorder="1"/>
    <xf numFmtId="167" fontId="12" fillId="0" borderId="13" xfId="16" applyNumberFormat="1" applyFont="1" applyFill="1" applyBorder="1"/>
    <xf numFmtId="170" fontId="15" fillId="0" borderId="14" xfId="23" applyNumberFormat="1" applyFont="1" applyFill="1" applyBorder="1" applyAlignment="1" applyProtection="1">
      <alignment horizontal="right"/>
    </xf>
    <xf numFmtId="170" fontId="15" fillId="0" borderId="13" xfId="23" applyNumberFormat="1" applyFont="1" applyFill="1" applyBorder="1" applyAlignment="1" applyProtection="1">
      <alignment horizontal="right"/>
    </xf>
    <xf numFmtId="0" fontId="5" fillId="0" borderId="0" xfId="31" applyFont="1" applyFill="1" applyBorder="1" applyAlignment="1"/>
    <xf numFmtId="168" fontId="12" fillId="0" borderId="10" xfId="23" applyNumberFormat="1" applyFont="1" applyFill="1" applyBorder="1"/>
    <xf numFmtId="168" fontId="12" fillId="0" borderId="10" xfId="23" applyNumberFormat="1" applyFont="1" applyFill="1" applyBorder="1" applyAlignment="1">
      <alignment horizontal="right"/>
    </xf>
    <xf numFmtId="168" fontId="12" fillId="0" borderId="0" xfId="31" applyNumberFormat="1" applyFont="1" applyFill="1" applyBorder="1"/>
    <xf numFmtId="168" fontId="12" fillId="0" borderId="13" xfId="31" applyNumberFormat="1" applyFont="1" applyFill="1" applyBorder="1"/>
    <xf numFmtId="7" fontId="3" fillId="0" borderId="0" xfId="23" applyNumberFormat="1" applyFont="1" applyFill="1" applyBorder="1"/>
    <xf numFmtId="167" fontId="3" fillId="0" borderId="0" xfId="23" applyNumberFormat="1" applyFont="1" applyFill="1" applyBorder="1"/>
    <xf numFmtId="175" fontId="3" fillId="0" borderId="0" xfId="16" applyNumberFormat="1" applyFont="1" applyFill="1" applyBorder="1"/>
    <xf numFmtId="167" fontId="4" fillId="0" borderId="14" xfId="23" applyNumberFormat="1" applyFont="1" applyFill="1" applyBorder="1"/>
    <xf numFmtId="167" fontId="4" fillId="0" borderId="10" xfId="23" applyNumberFormat="1" applyFont="1" applyFill="1" applyBorder="1" applyAlignment="1" applyProtection="1">
      <alignment horizontal="right"/>
    </xf>
    <xf numFmtId="167" fontId="4" fillId="0" borderId="0" xfId="23" applyNumberFormat="1" applyFont="1" applyFill="1" applyBorder="1" applyAlignment="1" applyProtection="1">
      <alignment horizontal="right"/>
    </xf>
    <xf numFmtId="167" fontId="4" fillId="0" borderId="14" xfId="23" applyNumberFormat="1" applyFont="1" applyFill="1" applyBorder="1" applyAlignment="1" applyProtection="1">
      <alignment horizontal="right"/>
    </xf>
    <xf numFmtId="168" fontId="4" fillId="0" borderId="10" xfId="23" applyNumberFormat="1" applyFont="1" applyFill="1" applyBorder="1"/>
    <xf numFmtId="168" fontId="4" fillId="0" borderId="0" xfId="23" applyNumberFormat="1" applyFont="1" applyFill="1" applyBorder="1"/>
    <xf numFmtId="0" fontId="3" fillId="0" borderId="0" xfId="31" applyFont="1" applyFill="1" applyBorder="1" applyAlignment="1">
      <alignment horizontal="left" indent="1"/>
    </xf>
    <xf numFmtId="0" fontId="3" fillId="0" borderId="14" xfId="28" applyFont="1" applyFill="1" applyBorder="1"/>
    <xf numFmtId="0" fontId="3" fillId="0" borderId="14" xfId="31" applyFont="1" applyFill="1" applyBorder="1" applyAlignment="1">
      <alignment horizontal="left" indent="1"/>
    </xf>
    <xf numFmtId="167" fontId="4" fillId="4" borderId="14" xfId="16" applyNumberFormat="1" applyFont="1" applyFill="1" applyBorder="1"/>
    <xf numFmtId="175" fontId="2" fillId="0" borderId="0" xfId="23" applyNumberFormat="1"/>
    <xf numFmtId="167" fontId="4" fillId="4" borderId="14" xfId="31" applyNumberFormat="1" applyFont="1" applyFill="1" applyBorder="1"/>
    <xf numFmtId="167" fontId="3" fillId="4" borderId="14" xfId="31" applyNumberFormat="1" applyFont="1" applyFill="1" applyBorder="1"/>
    <xf numFmtId="167" fontId="19" fillId="0" borderId="0" xfId="23" applyNumberFormat="1" applyFont="1"/>
    <xf numFmtId="170" fontId="15" fillId="4" borderId="14" xfId="23" applyNumberFormat="1" applyFont="1" applyFill="1" applyBorder="1" applyAlignment="1" applyProtection="1">
      <alignment horizontal="right"/>
    </xf>
    <xf numFmtId="170" fontId="15" fillId="3" borderId="10" xfId="23" applyNumberFormat="1" applyFont="1" applyFill="1" applyBorder="1" applyAlignment="1" applyProtection="1">
      <alignment horizontal="right"/>
    </xf>
    <xf numFmtId="170" fontId="15" fillId="3" borderId="0" xfId="23" applyNumberFormat="1" applyFont="1" applyFill="1" applyBorder="1" applyAlignment="1" applyProtection="1">
      <alignment horizontal="right"/>
    </xf>
    <xf numFmtId="170" fontId="15" fillId="3" borderId="14" xfId="23" applyNumberFormat="1" applyFont="1" applyFill="1" applyBorder="1" applyAlignment="1" applyProtection="1">
      <alignment horizontal="right"/>
    </xf>
    <xf numFmtId="0" fontId="2" fillId="0" borderId="0" xfId="23" applyFont="1"/>
    <xf numFmtId="170" fontId="15" fillId="3" borderId="13" xfId="23" applyNumberFormat="1" applyFont="1" applyFill="1" applyBorder="1" applyAlignment="1" applyProtection="1">
      <alignment horizontal="right"/>
    </xf>
    <xf numFmtId="168" fontId="3" fillId="4" borderId="14" xfId="31" applyNumberFormat="1" applyFont="1" applyFill="1" applyBorder="1"/>
    <xf numFmtId="0" fontId="3" fillId="3" borderId="14" xfId="28" applyFont="1" applyFill="1" applyBorder="1"/>
    <xf numFmtId="5" fontId="3" fillId="3" borderId="17" xfId="21" applyNumberFormat="1" applyFont="1" applyFill="1" applyBorder="1" applyAlignment="1" applyProtection="1">
      <alignment horizontal="left"/>
    </xf>
    <xf numFmtId="168" fontId="3" fillId="0" borderId="17" xfId="31" applyNumberFormat="1" applyFont="1" applyBorder="1"/>
    <xf numFmtId="168" fontId="3" fillId="0" borderId="15" xfId="31" applyNumberFormat="1" applyFont="1" applyBorder="1" applyAlignment="1">
      <alignment horizontal="right"/>
    </xf>
    <xf numFmtId="168" fontId="3" fillId="0" borderId="16" xfId="31" applyNumberFormat="1" applyFont="1" applyBorder="1"/>
    <xf numFmtId="175" fontId="3" fillId="3" borderId="0" xfId="16" applyNumberFormat="1" applyFont="1" applyFill="1" applyBorder="1"/>
    <xf numFmtId="175" fontId="3" fillId="4" borderId="14" xfId="16" applyNumberFormat="1" applyFont="1" applyFill="1" applyBorder="1"/>
    <xf numFmtId="0" fontId="10" fillId="3" borderId="0" xfId="23" applyFont="1" applyFill="1" applyBorder="1"/>
    <xf numFmtId="0" fontId="2" fillId="0" borderId="13" xfId="23" applyBorder="1"/>
    <xf numFmtId="168" fontId="3" fillId="4" borderId="14" xfId="23" applyNumberFormat="1" applyFont="1" applyFill="1" applyBorder="1"/>
    <xf numFmtId="175" fontId="3" fillId="0" borderId="0" xfId="23" applyNumberFormat="1" applyFont="1" applyFill="1" applyBorder="1"/>
    <xf numFmtId="180" fontId="3" fillId="0" borderId="0" xfId="23" applyNumberFormat="1" applyFont="1" applyFill="1" applyBorder="1"/>
    <xf numFmtId="164" fontId="3" fillId="4" borderId="4" xfId="23" quotePrefix="1" applyNumberFormat="1" applyFont="1" applyFill="1" applyBorder="1" applyAlignment="1" applyProtection="1">
      <alignment horizontal="right"/>
    </xf>
    <xf numFmtId="164" fontId="3" fillId="3" borderId="8" xfId="23" quotePrefix="1" applyNumberFormat="1" applyFont="1" applyFill="1" applyBorder="1" applyAlignment="1" applyProtection="1">
      <alignment horizontal="right"/>
    </xf>
    <xf numFmtId="9" fontId="3" fillId="0" borderId="0" xfId="31" quotePrefix="1" applyNumberFormat="1" applyFont="1" applyFill="1" applyBorder="1"/>
    <xf numFmtId="168" fontId="3" fillId="3" borderId="9" xfId="18" applyFont="1" applyFill="1" applyBorder="1" applyAlignment="1">
      <alignment horizontal="left" indent="1"/>
    </xf>
    <xf numFmtId="168" fontId="3" fillId="4" borderId="13" xfId="18" applyFont="1" applyFill="1" applyBorder="1"/>
    <xf numFmtId="168" fontId="3" fillId="0" borderId="19" xfId="18" applyFont="1" applyBorder="1"/>
    <xf numFmtId="168" fontId="3" fillId="0" borderId="9" xfId="18" applyFont="1" applyBorder="1"/>
    <xf numFmtId="168" fontId="3" fillId="0" borderId="20" xfId="18" applyFont="1" applyBorder="1"/>
    <xf numFmtId="168" fontId="3" fillId="0" borderId="10" xfId="18" applyFont="1" applyBorder="1"/>
    <xf numFmtId="168" fontId="3" fillId="0" borderId="14" xfId="18" applyFont="1" applyBorder="1"/>
    <xf numFmtId="0" fontId="20" fillId="0" borderId="10" xfId="31" applyFont="1" applyFill="1" applyBorder="1" applyAlignment="1">
      <alignment horizontal="left"/>
    </xf>
    <xf numFmtId="166" fontId="4" fillId="4" borderId="13" xfId="35" applyNumberFormat="1" applyFont="1" applyFill="1" applyBorder="1" applyAlignment="1">
      <alignment horizontal="right"/>
    </xf>
    <xf numFmtId="166" fontId="4" fillId="3" borderId="13" xfId="35" applyNumberFormat="1" applyFont="1" applyFill="1" applyBorder="1" applyAlignment="1">
      <alignment horizontal="right"/>
    </xf>
    <xf numFmtId="166" fontId="4" fillId="3" borderId="10" xfId="35" applyNumberFormat="1" applyFont="1" applyFill="1" applyBorder="1" applyAlignment="1">
      <alignment horizontal="right"/>
    </xf>
    <xf numFmtId="166" fontId="4" fillId="3" borderId="0" xfId="35" applyNumberFormat="1" applyFont="1" applyFill="1" applyBorder="1"/>
    <xf numFmtId="175" fontId="4" fillId="3" borderId="0" xfId="16" applyNumberFormat="1" applyFont="1" applyFill="1" applyBorder="1"/>
    <xf numFmtId="166" fontId="3" fillId="3" borderId="12" xfId="35" applyNumberFormat="1" applyFont="1" applyFill="1" applyBorder="1"/>
    <xf numFmtId="166" fontId="4" fillId="3" borderId="10" xfId="35" applyNumberFormat="1" applyFont="1" applyFill="1" applyBorder="1"/>
    <xf numFmtId="166" fontId="4" fillId="3" borderId="14" xfId="35" applyNumberFormat="1" applyFont="1" applyFill="1" applyBorder="1"/>
    <xf numFmtId="166" fontId="4" fillId="3" borderId="13" xfId="35" applyNumberFormat="1" applyFont="1" applyFill="1" applyBorder="1"/>
    <xf numFmtId="168" fontId="3" fillId="0" borderId="10" xfId="16" applyNumberFormat="1" applyFont="1" applyFill="1" applyBorder="1"/>
    <xf numFmtId="166" fontId="4" fillId="0" borderId="10" xfId="35" applyNumberFormat="1" applyFont="1" applyFill="1" applyBorder="1" applyAlignment="1">
      <alignment horizontal="right"/>
    </xf>
    <xf numFmtId="166" fontId="4" fillId="0" borderId="13" xfId="35" applyNumberFormat="1" applyFont="1" applyFill="1" applyBorder="1"/>
    <xf numFmtId="0" fontId="20" fillId="0" borderId="14" xfId="31" applyFont="1" applyFill="1" applyBorder="1" applyAlignment="1">
      <alignment horizontal="left"/>
    </xf>
    <xf numFmtId="166" fontId="4" fillId="0" borderId="0" xfId="35" applyNumberFormat="1" applyFont="1" applyFill="1" applyBorder="1"/>
    <xf numFmtId="0" fontId="19" fillId="3" borderId="14" xfId="23" applyFont="1" applyFill="1" applyBorder="1"/>
    <xf numFmtId="167" fontId="4" fillId="3" borderId="10" xfId="16" applyFont="1" applyFill="1" applyBorder="1"/>
    <xf numFmtId="167" fontId="4" fillId="3" borderId="0" xfId="16" applyFont="1" applyFill="1" applyBorder="1"/>
    <xf numFmtId="167" fontId="3" fillId="3" borderId="10" xfId="16" applyFont="1" applyFill="1" applyBorder="1"/>
    <xf numFmtId="167" fontId="4" fillId="3" borderId="10" xfId="35" applyNumberFormat="1" applyFont="1" applyFill="1" applyBorder="1"/>
    <xf numFmtId="167" fontId="21" fillId="3" borderId="0" xfId="16" applyFont="1" applyFill="1" applyBorder="1"/>
    <xf numFmtId="167" fontId="21" fillId="3" borderId="13" xfId="16" applyFont="1" applyFill="1" applyBorder="1"/>
    <xf numFmtId="166" fontId="3" fillId="0" borderId="10" xfId="35" applyNumberFormat="1" applyFont="1" applyBorder="1" applyAlignment="1">
      <alignment horizontal="left" indent="2"/>
    </xf>
    <xf numFmtId="166" fontId="5" fillId="3" borderId="10" xfId="35" applyNumberFormat="1" applyFont="1" applyFill="1" applyBorder="1"/>
    <xf numFmtId="166" fontId="5" fillId="3" borderId="0" xfId="35" applyNumberFormat="1" applyFont="1" applyFill="1" applyBorder="1"/>
    <xf numFmtId="166" fontId="5" fillId="3" borderId="13" xfId="35" applyNumberFormat="1" applyFont="1" applyFill="1" applyBorder="1"/>
    <xf numFmtId="166" fontId="3" fillId="0" borderId="14" xfId="35" applyNumberFormat="1" applyFont="1" applyBorder="1" applyAlignment="1">
      <alignment horizontal="left" indent="2"/>
    </xf>
    <xf numFmtId="166" fontId="3" fillId="0" borderId="10" xfId="35" applyNumberFormat="1" applyFont="1" applyFill="1" applyBorder="1" applyAlignment="1">
      <alignment horizontal="left" indent="2"/>
    </xf>
    <xf numFmtId="166" fontId="3" fillId="4" borderId="13" xfId="35" applyNumberFormat="1" applyFont="1" applyFill="1" applyBorder="1"/>
    <xf numFmtId="166" fontId="4" fillId="0" borderId="10" xfId="35" applyNumberFormat="1" applyFont="1" applyFill="1" applyBorder="1"/>
    <xf numFmtId="166" fontId="3" fillId="0" borderId="14" xfId="35" applyNumberFormat="1" applyFont="1" applyFill="1" applyBorder="1" applyAlignment="1">
      <alignment horizontal="left" indent="2"/>
    </xf>
    <xf numFmtId="0" fontId="19" fillId="3" borderId="14" xfId="23" applyFont="1" applyFill="1" applyBorder="1" applyAlignment="1">
      <alignment wrapText="1"/>
    </xf>
    <xf numFmtId="167" fontId="5" fillId="3" borderId="0" xfId="16" applyFont="1" applyFill="1" applyBorder="1"/>
    <xf numFmtId="166" fontId="5" fillId="3" borderId="0" xfId="16" applyNumberFormat="1" applyFont="1" applyFill="1" applyBorder="1"/>
    <xf numFmtId="9" fontId="5" fillId="3" borderId="0" xfId="16" applyNumberFormat="1" applyFont="1" applyFill="1" applyBorder="1"/>
    <xf numFmtId="168" fontId="4" fillId="4" borderId="13" xfId="23" applyNumberFormat="1" applyFont="1" applyFill="1" applyBorder="1"/>
    <xf numFmtId="168" fontId="3" fillId="0" borderId="10" xfId="16" applyNumberFormat="1" applyFont="1" applyBorder="1"/>
    <xf numFmtId="168" fontId="4" fillId="0" borderId="0" xfId="31" applyNumberFormat="1" applyFont="1" applyBorder="1"/>
    <xf numFmtId="168" fontId="3" fillId="3" borderId="10" xfId="23" applyNumberFormat="1" applyFont="1" applyFill="1" applyBorder="1"/>
    <xf numFmtId="168" fontId="12" fillId="0" borderId="0" xfId="16" applyNumberFormat="1" applyFont="1" applyBorder="1"/>
    <xf numFmtId="168" fontId="12" fillId="0" borderId="13" xfId="16" applyNumberFormat="1" applyFont="1" applyBorder="1"/>
    <xf numFmtId="168" fontId="12" fillId="0" borderId="10" xfId="16" applyNumberFormat="1" applyFont="1" applyBorder="1" applyAlignment="1">
      <alignment horizontal="right"/>
    </xf>
    <xf numFmtId="166" fontId="3" fillId="0" borderId="12" xfId="35" applyNumberFormat="1" applyFont="1" applyFill="1" applyBorder="1"/>
    <xf numFmtId="166" fontId="3" fillId="0" borderId="14" xfId="35" applyNumberFormat="1" applyFont="1" applyFill="1" applyBorder="1"/>
    <xf numFmtId="166" fontId="3" fillId="0" borderId="13" xfId="35" applyNumberFormat="1" applyFont="1" applyFill="1" applyBorder="1"/>
    <xf numFmtId="166" fontId="3" fillId="0" borderId="10" xfId="35" applyNumberFormat="1" applyFont="1" applyFill="1" applyBorder="1" applyAlignment="1">
      <alignment horizontal="right"/>
    </xf>
    <xf numFmtId="166" fontId="8" fillId="8" borderId="10" xfId="35" applyNumberFormat="1" applyFont="1" applyFill="1" applyBorder="1" applyAlignment="1">
      <alignment horizontal="left" indent="2"/>
    </xf>
    <xf numFmtId="166" fontId="3" fillId="8" borderId="13" xfId="35" applyNumberFormat="1" applyFont="1" applyFill="1" applyBorder="1"/>
    <xf numFmtId="166" fontId="3" fillId="8" borderId="0" xfId="35" applyNumberFormat="1" applyFont="1" applyFill="1" applyBorder="1"/>
    <xf numFmtId="166" fontId="3" fillId="8" borderId="10" xfId="35" applyNumberFormat="1" applyFont="1" applyFill="1" applyBorder="1"/>
    <xf numFmtId="166" fontId="4" fillId="8" borderId="10" xfId="35" applyNumberFormat="1" applyFont="1" applyFill="1" applyBorder="1"/>
    <xf numFmtId="166" fontId="4" fillId="8" borderId="0" xfId="35" applyNumberFormat="1" applyFont="1" applyFill="1" applyBorder="1"/>
    <xf numFmtId="166" fontId="4" fillId="8" borderId="12" xfId="35" applyNumberFormat="1" applyFont="1" applyFill="1" applyBorder="1"/>
    <xf numFmtId="166" fontId="4" fillId="8" borderId="14" xfId="35" applyNumberFormat="1" applyFont="1" applyFill="1" applyBorder="1"/>
    <xf numFmtId="166" fontId="4" fillId="8" borderId="13" xfId="35" applyNumberFormat="1" applyFont="1" applyFill="1" applyBorder="1"/>
    <xf numFmtId="166" fontId="4" fillId="8" borderId="10" xfId="35" applyNumberFormat="1" applyFont="1" applyFill="1" applyBorder="1" applyAlignment="1">
      <alignment horizontal="right"/>
    </xf>
    <xf numFmtId="0" fontId="3" fillId="0" borderId="10" xfId="32" applyFont="1" applyBorder="1" applyAlignment="1">
      <alignment horizontal="left" indent="2"/>
    </xf>
    <xf numFmtId="166" fontId="3" fillId="3" borderId="14" xfId="35" applyNumberFormat="1" applyFont="1" applyFill="1" applyBorder="1"/>
    <xf numFmtId="168" fontId="4" fillId="0" borderId="10" xfId="31" applyNumberFormat="1" applyFont="1" applyBorder="1"/>
    <xf numFmtId="168" fontId="3" fillId="0" borderId="12" xfId="16" applyNumberFormat="1" applyFont="1" applyBorder="1"/>
    <xf numFmtId="168" fontId="4" fillId="0" borderId="0" xfId="16" applyNumberFormat="1" applyFont="1" applyBorder="1"/>
    <xf numFmtId="168" fontId="4" fillId="0" borderId="13" xfId="18" applyNumberFormat="1" applyFont="1" applyFill="1" applyBorder="1"/>
    <xf numFmtId="168" fontId="3" fillId="0" borderId="10" xfId="16" applyNumberFormat="1" applyFont="1" applyFill="1" applyBorder="1" applyAlignment="1">
      <alignment horizontal="right"/>
    </xf>
    <xf numFmtId="168" fontId="3" fillId="0" borderId="0" xfId="16" applyNumberFormat="1" applyFont="1" applyBorder="1"/>
    <xf numFmtId="168" fontId="3" fillId="0" borderId="13" xfId="16" applyNumberFormat="1" applyFont="1" applyBorder="1"/>
    <xf numFmtId="168" fontId="3" fillId="0" borderId="0" xfId="16" applyNumberFormat="1" applyFont="1" applyFill="1" applyBorder="1"/>
    <xf numFmtId="166" fontId="3" fillId="8" borderId="10" xfId="35" applyNumberFormat="1" applyFont="1" applyFill="1" applyBorder="1" applyAlignment="1">
      <alignment horizontal="right"/>
    </xf>
    <xf numFmtId="167" fontId="4" fillId="8" borderId="0" xfId="16" applyFont="1" applyFill="1" applyBorder="1"/>
    <xf numFmtId="167" fontId="4" fillId="8" borderId="12" xfId="16" applyFont="1" applyFill="1" applyBorder="1"/>
    <xf numFmtId="166" fontId="3" fillId="8" borderId="14" xfId="35" applyNumberFormat="1" applyFont="1" applyFill="1" applyBorder="1"/>
    <xf numFmtId="167" fontId="5" fillId="0" borderId="12" xfId="16" quotePrefix="1" applyNumberFormat="1" applyFont="1" applyFill="1" applyBorder="1" applyAlignment="1" applyProtection="1">
      <alignment horizontal="right"/>
    </xf>
    <xf numFmtId="175" fontId="5" fillId="0" borderId="10" xfId="16" applyNumberFormat="1" applyFont="1" applyFill="1" applyBorder="1" applyAlignment="1">
      <alignment horizontal="left"/>
    </xf>
    <xf numFmtId="175" fontId="4" fillId="4" borderId="13" xfId="35" applyNumberFormat="1" applyFont="1" applyFill="1" applyBorder="1" applyAlignment="1">
      <alignment horizontal="right"/>
    </xf>
    <xf numFmtId="175" fontId="4" fillId="0" borderId="10" xfId="16" applyNumberFormat="1" applyFont="1" applyFill="1" applyBorder="1"/>
    <xf numFmtId="168" fontId="5" fillId="0" borderId="12" xfId="18" quotePrefix="1" applyFont="1" applyFill="1" applyBorder="1" applyAlignment="1" applyProtection="1">
      <alignment horizontal="right"/>
    </xf>
    <xf numFmtId="168" fontId="4" fillId="0" borderId="13" xfId="18" applyFont="1" applyFill="1" applyBorder="1"/>
    <xf numFmtId="169" fontId="3" fillId="3" borderId="10" xfId="29" applyNumberFormat="1" applyFont="1" applyFill="1" applyBorder="1"/>
    <xf numFmtId="169" fontId="4" fillId="4" borderId="13" xfId="35" applyNumberFormat="1" applyFont="1" applyFill="1" applyBorder="1" applyAlignment="1">
      <alignment horizontal="right"/>
    </xf>
    <xf numFmtId="169" fontId="4" fillId="0" borderId="0" xfId="31" applyNumberFormat="1" applyFont="1" applyFill="1" applyBorder="1"/>
    <xf numFmtId="168" fontId="23" fillId="0" borderId="0" xfId="31" applyNumberFormat="1" applyFont="1" applyFill="1" applyBorder="1"/>
    <xf numFmtId="168" fontId="23" fillId="0" borderId="13" xfId="31" applyNumberFormat="1" applyFont="1" applyFill="1" applyBorder="1"/>
    <xf numFmtId="169" fontId="2" fillId="0" borderId="0" xfId="23" applyNumberFormat="1"/>
    <xf numFmtId="166" fontId="3" fillId="3" borderId="15" xfId="35" applyNumberFormat="1" applyFont="1" applyFill="1" applyBorder="1"/>
    <xf numFmtId="168" fontId="13" fillId="0" borderId="2" xfId="31" applyNumberFormat="1" applyFont="1" applyFill="1" applyBorder="1"/>
    <xf numFmtId="168" fontId="13" fillId="0" borderId="9" xfId="31" applyNumberFormat="1" applyFont="1" applyFill="1" applyBorder="1"/>
    <xf numFmtId="168" fontId="13" fillId="0" borderId="19" xfId="31" applyNumberFormat="1" applyFont="1" applyFill="1" applyBorder="1"/>
    <xf numFmtId="168" fontId="5" fillId="0" borderId="9" xfId="31" applyNumberFormat="1" applyFont="1" applyFill="1" applyBorder="1"/>
    <xf numFmtId="168" fontId="13" fillId="0" borderId="9" xfId="31" applyNumberFormat="1" applyFont="1" applyFill="1" applyBorder="1" applyAlignment="1">
      <alignment horizontal="right"/>
    </xf>
    <xf numFmtId="0" fontId="13" fillId="3" borderId="0" xfId="23" applyFont="1" applyFill="1" applyBorder="1"/>
    <xf numFmtId="0" fontId="3" fillId="3" borderId="21" xfId="29" applyFont="1" applyFill="1" applyBorder="1" applyAlignment="1">
      <alignment horizontal="left" indent="1"/>
    </xf>
    <xf numFmtId="166" fontId="3" fillId="4" borderId="22" xfId="35" applyNumberFormat="1" applyFont="1" applyFill="1" applyBorder="1" applyAlignment="1" applyProtection="1">
      <alignment horizontal="right"/>
    </xf>
    <xf numFmtId="166" fontId="3" fillId="0" borderId="21" xfId="35" applyNumberFormat="1" applyFont="1" applyFill="1" applyBorder="1" applyAlignment="1" applyProtection="1">
      <alignment horizontal="right"/>
    </xf>
    <xf numFmtId="166" fontId="3" fillId="0" borderId="1" xfId="35" applyNumberFormat="1" applyFont="1" applyFill="1" applyBorder="1" applyAlignment="1" applyProtection="1">
      <alignment horizontal="right"/>
    </xf>
    <xf numFmtId="166" fontId="3" fillId="0" borderId="23" xfId="35" applyNumberFormat="1" applyFont="1" applyFill="1" applyBorder="1" applyAlignment="1" applyProtection="1">
      <alignment horizontal="right"/>
    </xf>
    <xf numFmtId="166" fontId="3" fillId="0" borderId="24" xfId="35" applyNumberFormat="1" applyFont="1" applyFill="1" applyBorder="1" applyAlignment="1" applyProtection="1">
      <alignment horizontal="right"/>
    </xf>
    <xf numFmtId="166" fontId="13" fillId="0" borderId="1" xfId="35" applyNumberFormat="1" applyFont="1" applyFill="1" applyBorder="1" applyAlignment="1" applyProtection="1">
      <alignment horizontal="right"/>
    </xf>
    <xf numFmtId="166" fontId="13" fillId="0" borderId="21" xfId="35" applyNumberFormat="1" applyFont="1" applyFill="1" applyBorder="1" applyAlignment="1" applyProtection="1">
      <alignment horizontal="right"/>
    </xf>
    <xf numFmtId="166" fontId="13" fillId="0" borderId="5" xfId="35" applyNumberFormat="1" applyFont="1" applyFill="1" applyBorder="1" applyAlignment="1" applyProtection="1">
      <alignment horizontal="right"/>
    </xf>
    <xf numFmtId="166" fontId="13" fillId="0" borderId="16" xfId="35" applyNumberFormat="1" applyFont="1" applyFill="1" applyBorder="1" applyAlignment="1" applyProtection="1">
      <alignment horizontal="right"/>
    </xf>
    <xf numFmtId="166" fontId="5" fillId="0" borderId="15" xfId="35" applyNumberFormat="1" applyFont="1" applyFill="1" applyBorder="1" applyAlignment="1" applyProtection="1">
      <alignment horizontal="right"/>
    </xf>
    <xf numFmtId="166" fontId="3" fillId="0" borderId="0" xfId="35" applyNumberFormat="1" applyFont="1" applyFill="1" applyBorder="1" applyAlignment="1">
      <alignment horizontal="right"/>
    </xf>
    <xf numFmtId="168" fontId="3" fillId="0" borderId="9" xfId="31" applyNumberFormat="1" applyFont="1" applyFill="1" applyBorder="1" applyAlignment="1">
      <alignment horizontal="right"/>
    </xf>
    <xf numFmtId="0" fontId="3" fillId="0" borderId="10" xfId="23" applyFont="1" applyFill="1" applyBorder="1" applyAlignment="1">
      <alignment horizontal="left" indent="1"/>
    </xf>
    <xf numFmtId="167" fontId="4" fillId="3" borderId="0" xfId="35" applyNumberFormat="1" applyFont="1" applyFill="1" applyBorder="1"/>
    <xf numFmtId="37" fontId="3" fillId="3" borderId="25" xfId="23" applyNumberFormat="1" applyFont="1" applyFill="1" applyBorder="1" applyProtection="1"/>
    <xf numFmtId="164" fontId="3" fillId="4" borderId="26" xfId="23" quotePrefix="1" applyNumberFormat="1" applyFont="1" applyFill="1" applyBorder="1" applyAlignment="1" applyProtection="1">
      <alignment horizontal="right"/>
    </xf>
    <xf numFmtId="164" fontId="3" fillId="3" borderId="26" xfId="23" quotePrefix="1" applyNumberFormat="1" applyFont="1" applyFill="1" applyBorder="1" applyAlignment="1" applyProtection="1">
      <alignment horizontal="right"/>
    </xf>
    <xf numFmtId="164" fontId="3" fillId="3" borderId="25" xfId="23" quotePrefix="1" applyNumberFormat="1" applyFont="1" applyFill="1" applyBorder="1" applyAlignment="1" applyProtection="1">
      <alignment horizontal="right"/>
    </xf>
    <xf numFmtId="164" fontId="3" fillId="3" borderId="27" xfId="23" quotePrefix="1" applyNumberFormat="1" applyFont="1" applyFill="1" applyBorder="1" applyAlignment="1" applyProtection="1">
      <alignment horizontal="right"/>
    </xf>
    <xf numFmtId="164" fontId="3" fillId="3" borderId="28" xfId="23" quotePrefix="1" applyNumberFormat="1" applyFont="1" applyFill="1" applyBorder="1" applyAlignment="1" applyProtection="1">
      <alignment horizontal="right"/>
    </xf>
    <xf numFmtId="168" fontId="3" fillId="3" borderId="10" xfId="18" applyFont="1" applyFill="1" applyBorder="1" applyAlignment="1">
      <alignment horizontal="left" indent="1"/>
    </xf>
    <xf numFmtId="168" fontId="3" fillId="0" borderId="12" xfId="18" applyFont="1" applyBorder="1"/>
    <xf numFmtId="167" fontId="4" fillId="3" borderId="12" xfId="16" applyFont="1" applyFill="1" applyBorder="1"/>
    <xf numFmtId="166" fontId="24" fillId="3" borderId="0" xfId="35" applyNumberFormat="1" applyFont="1" applyFill="1" applyBorder="1"/>
    <xf numFmtId="166" fontId="25" fillId="0" borderId="0" xfId="35" applyNumberFormat="1" applyFont="1" applyFill="1" applyBorder="1"/>
    <xf numFmtId="166" fontId="25" fillId="3" borderId="0" xfId="35" applyNumberFormat="1" applyFont="1" applyFill="1" applyBorder="1"/>
    <xf numFmtId="175" fontId="3" fillId="8" borderId="0" xfId="16" applyNumberFormat="1" applyFont="1" applyFill="1" applyBorder="1"/>
    <xf numFmtId="167" fontId="3" fillId="8" borderId="0" xfId="16" applyFont="1" applyFill="1" applyBorder="1"/>
    <xf numFmtId="167" fontId="3" fillId="0" borderId="12" xfId="16" applyNumberFormat="1" applyFont="1" applyBorder="1"/>
    <xf numFmtId="167" fontId="3" fillId="8" borderId="0" xfId="16" applyNumberFormat="1" applyFont="1" applyFill="1" applyBorder="1"/>
    <xf numFmtId="166" fontId="4" fillId="0" borderId="12" xfId="35" applyNumberFormat="1" applyFont="1" applyFill="1" applyBorder="1"/>
    <xf numFmtId="166" fontId="3" fillId="0" borderId="10" xfId="35" applyNumberFormat="1" applyFont="1" applyFill="1" applyBorder="1" applyAlignment="1">
      <alignment horizontal="left"/>
    </xf>
    <xf numFmtId="168" fontId="12" fillId="0" borderId="10" xfId="31" applyNumberFormat="1" applyFont="1" applyBorder="1"/>
    <xf numFmtId="168" fontId="12" fillId="0" borderId="10" xfId="31" applyNumberFormat="1" applyFont="1" applyBorder="1" applyAlignment="1">
      <alignment horizontal="right"/>
    </xf>
    <xf numFmtId="167" fontId="12" fillId="0" borderId="10" xfId="16" quotePrefix="1" applyNumberFormat="1" applyFont="1" applyFill="1" applyBorder="1" applyAlignment="1" applyProtection="1">
      <alignment horizontal="right"/>
    </xf>
    <xf numFmtId="170" fontId="26" fillId="3" borderId="10" xfId="23" applyNumberFormat="1" applyFont="1" applyFill="1" applyBorder="1" applyAlignment="1" applyProtection="1">
      <alignment horizontal="right"/>
    </xf>
    <xf numFmtId="170" fontId="12" fillId="3" borderId="0" xfId="23" applyNumberFormat="1" applyFont="1" applyFill="1" applyBorder="1" applyAlignment="1" applyProtection="1">
      <alignment horizontal="right"/>
    </xf>
    <xf numFmtId="170" fontId="26" fillId="0" borderId="10" xfId="23" applyNumberFormat="1" applyFont="1" applyFill="1" applyBorder="1" applyAlignment="1" applyProtection="1">
      <alignment horizontal="right"/>
    </xf>
    <xf numFmtId="168" fontId="12" fillId="0" borderId="0" xfId="31" applyNumberFormat="1" applyFont="1" applyBorder="1"/>
    <xf numFmtId="168" fontId="12" fillId="3" borderId="0" xfId="31" applyNumberFormat="1" applyFont="1" applyFill="1" applyBorder="1"/>
    <xf numFmtId="167" fontId="3" fillId="0" borderId="12" xfId="16" applyFont="1" applyFill="1" applyBorder="1"/>
    <xf numFmtId="167" fontId="10" fillId="3" borderId="0" xfId="16" applyFont="1" applyFill="1" applyBorder="1"/>
    <xf numFmtId="175" fontId="3" fillId="0" borderId="10" xfId="16" applyNumberFormat="1" applyFont="1" applyFill="1" applyBorder="1"/>
    <xf numFmtId="9" fontId="10" fillId="3" borderId="0" xfId="16" applyNumberFormat="1" applyFont="1" applyFill="1" applyBorder="1"/>
    <xf numFmtId="167" fontId="10" fillId="3" borderId="10" xfId="16" applyFont="1" applyFill="1" applyBorder="1"/>
    <xf numFmtId="167" fontId="10" fillId="3" borderId="10" xfId="16" applyFont="1" applyFill="1" applyBorder="1" applyAlignment="1">
      <alignment horizontal="right"/>
    </xf>
    <xf numFmtId="168" fontId="4" fillId="3" borderId="0" xfId="16" applyNumberFormat="1" applyFont="1" applyFill="1" applyBorder="1"/>
    <xf numFmtId="166" fontId="4" fillId="0" borderId="0" xfId="16" applyNumberFormat="1" applyFont="1" applyFill="1" applyBorder="1"/>
    <xf numFmtId="166" fontId="3" fillId="0" borderId="0" xfId="16" applyNumberFormat="1" applyFont="1" applyFill="1" applyBorder="1"/>
    <xf numFmtId="37" fontId="10" fillId="0" borderId="10" xfId="16" applyNumberFormat="1" applyFont="1" applyFill="1" applyBorder="1" applyAlignment="1">
      <alignment horizontal="right"/>
    </xf>
    <xf numFmtId="0" fontId="3" fillId="0" borderId="10" xfId="29" applyFont="1" applyFill="1" applyBorder="1"/>
    <xf numFmtId="167" fontId="10" fillId="0" borderId="0" xfId="16" applyFont="1" applyFill="1" applyBorder="1"/>
    <xf numFmtId="172" fontId="10" fillId="0" borderId="0" xfId="16" applyNumberFormat="1" applyFont="1" applyFill="1" applyBorder="1"/>
    <xf numFmtId="166" fontId="14" fillId="0" borderId="10" xfId="16" applyNumberFormat="1" applyFont="1" applyFill="1" applyBorder="1"/>
    <xf numFmtId="167" fontId="10" fillId="0" borderId="10" xfId="16" applyFont="1" applyFill="1" applyBorder="1" applyAlignment="1">
      <alignment horizontal="right"/>
    </xf>
    <xf numFmtId="168" fontId="3" fillId="0" borderId="29" xfId="31" applyNumberFormat="1" applyFont="1" applyFill="1" applyBorder="1"/>
    <xf numFmtId="168" fontId="3" fillId="0" borderId="2" xfId="31" applyNumberFormat="1" applyFont="1" applyFill="1" applyBorder="1" applyAlignment="1"/>
    <xf numFmtId="166" fontId="3" fillId="0" borderId="30" xfId="35" applyNumberFormat="1" applyFont="1" applyFill="1" applyBorder="1" applyAlignment="1" applyProtection="1">
      <alignment horizontal="right"/>
    </xf>
    <xf numFmtId="166" fontId="3" fillId="4" borderId="10" xfId="35" applyNumberFormat="1" applyFont="1" applyFill="1" applyBorder="1" applyAlignment="1" applyProtection="1">
      <alignment horizontal="right"/>
    </xf>
    <xf numFmtId="168" fontId="3" fillId="4" borderId="9" xfId="31" applyNumberFormat="1" applyFont="1" applyFill="1" applyBorder="1"/>
    <xf numFmtId="5" fontId="3" fillId="0" borderId="2" xfId="31" applyNumberFormat="1" applyFont="1" applyFill="1" applyBorder="1"/>
    <xf numFmtId="0" fontId="3" fillId="3" borderId="23" xfId="29" applyFont="1" applyFill="1" applyBorder="1" applyAlignment="1">
      <alignment horizontal="left" indent="1"/>
    </xf>
    <xf numFmtId="166" fontId="3" fillId="4" borderId="21" xfId="35" applyNumberFormat="1" applyFont="1" applyFill="1" applyBorder="1" applyAlignment="1" applyProtection="1">
      <alignment horizontal="right"/>
    </xf>
    <xf numFmtId="0" fontId="8" fillId="3" borderId="14" xfId="29" applyFont="1" applyFill="1" applyBorder="1" applyAlignment="1">
      <alignment horizontal="left"/>
    </xf>
    <xf numFmtId="166" fontId="3" fillId="0" borderId="0" xfId="35" applyNumberFormat="1" applyFont="1" applyBorder="1"/>
    <xf numFmtId="166" fontId="3" fillId="0" borderId="10" xfId="35" applyNumberFormat="1" applyFont="1" applyBorder="1"/>
    <xf numFmtId="168" fontId="3" fillId="4" borderId="10" xfId="31" applyNumberFormat="1" applyFont="1" applyFill="1" applyBorder="1"/>
    <xf numFmtId="167" fontId="4" fillId="4" borderId="10" xfId="16" applyNumberFormat="1" applyFont="1" applyFill="1" applyBorder="1"/>
    <xf numFmtId="167" fontId="27" fillId="0" borderId="0" xfId="16" applyNumberFormat="1" applyFont="1" applyFill="1" applyBorder="1"/>
    <xf numFmtId="166" fontId="4" fillId="4" borderId="10" xfId="35" applyNumberFormat="1" applyFont="1" applyFill="1" applyBorder="1" applyAlignment="1">
      <alignment horizontal="right"/>
    </xf>
    <xf numFmtId="166" fontId="3" fillId="0" borderId="10" xfId="16" applyNumberFormat="1" applyFont="1" applyFill="1" applyBorder="1"/>
    <xf numFmtId="166" fontId="3" fillId="0" borderId="10" xfId="16" applyNumberFormat="1" applyFont="1" applyFill="1" applyBorder="1" applyAlignment="1">
      <alignment horizontal="right"/>
    </xf>
    <xf numFmtId="166" fontId="3" fillId="4" borderId="15" xfId="35" applyNumberFormat="1" applyFont="1" applyFill="1" applyBorder="1" applyAlignment="1" applyProtection="1">
      <alignment horizontal="right"/>
    </xf>
    <xf numFmtId="166" fontId="3" fillId="3" borderId="15" xfId="35" applyNumberFormat="1" applyFont="1" applyFill="1" applyBorder="1" applyAlignment="1" applyProtection="1">
      <alignment horizontal="right"/>
    </xf>
    <xf numFmtId="166" fontId="3" fillId="3" borderId="17" xfId="35" applyNumberFormat="1" applyFont="1" applyFill="1" applyBorder="1" applyAlignment="1" applyProtection="1">
      <alignment horizontal="right"/>
    </xf>
    <xf numFmtId="166" fontId="3" fillId="3" borderId="18" xfId="35" applyNumberFormat="1" applyFont="1" applyFill="1" applyBorder="1" applyAlignment="1" applyProtection="1">
      <alignment horizontal="right"/>
    </xf>
    <xf numFmtId="0" fontId="3" fillId="3" borderId="0" xfId="29" applyFont="1" applyFill="1" applyBorder="1" applyAlignment="1">
      <alignment horizontal="left" indent="1"/>
    </xf>
    <xf numFmtId="175" fontId="3" fillId="0" borderId="10" xfId="16" applyNumberFormat="1" applyFont="1" applyFill="1" applyBorder="1" applyAlignment="1" applyProtection="1">
      <alignment horizontal="right"/>
    </xf>
    <xf numFmtId="166" fontId="3" fillId="0" borderId="9" xfId="35" applyNumberFormat="1" applyFont="1" applyFill="1" applyBorder="1" applyAlignment="1" applyProtection="1">
      <alignment horizontal="right"/>
    </xf>
    <xf numFmtId="0" fontId="10" fillId="3" borderId="0" xfId="29" applyFont="1" applyFill="1" applyBorder="1"/>
    <xf numFmtId="166" fontId="10" fillId="4" borderId="10" xfId="35" applyNumberFormat="1" applyFont="1" applyFill="1" applyBorder="1" applyAlignment="1" applyProtection="1">
      <alignment horizontal="right"/>
    </xf>
    <xf numFmtId="167" fontId="10" fillId="0" borderId="10" xfId="16" applyNumberFormat="1" applyFont="1" applyFill="1" applyBorder="1"/>
    <xf numFmtId="167" fontId="10" fillId="0" borderId="14" xfId="16" applyNumberFormat="1" applyFont="1" applyFill="1" applyBorder="1"/>
    <xf numFmtId="167" fontId="10" fillId="0" borderId="0" xfId="16" applyNumberFormat="1" applyFont="1" applyFill="1" applyBorder="1"/>
    <xf numFmtId="167" fontId="10" fillId="0" borderId="13" xfId="16" applyNumberFormat="1" applyFont="1" applyFill="1" applyBorder="1"/>
    <xf numFmtId="39" fontId="10" fillId="0" borderId="0" xfId="16" applyNumberFormat="1" applyFont="1" applyFill="1" applyBorder="1"/>
    <xf numFmtId="175" fontId="10" fillId="0" borderId="0" xfId="16" applyNumberFormat="1" applyFont="1" applyFill="1" applyBorder="1"/>
    <xf numFmtId="167" fontId="10" fillId="0" borderId="10" xfId="16" applyNumberFormat="1" applyFont="1" applyFill="1" applyBorder="1" applyAlignment="1">
      <alignment horizontal="right"/>
    </xf>
    <xf numFmtId="0" fontId="28" fillId="0" borderId="0" xfId="23" applyFont="1"/>
    <xf numFmtId="0" fontId="8" fillId="3" borderId="0" xfId="29" applyFont="1" applyFill="1" applyBorder="1"/>
    <xf numFmtId="0" fontId="3" fillId="0" borderId="0" xfId="29" applyFont="1" applyFill="1" applyBorder="1"/>
    <xf numFmtId="7" fontId="3" fillId="0" borderId="10" xfId="16" applyNumberFormat="1" applyFont="1" applyFill="1" applyBorder="1"/>
    <xf numFmtId="0" fontId="3" fillId="3" borderId="31" xfId="23" applyFont="1" applyFill="1" applyBorder="1"/>
    <xf numFmtId="0" fontId="3" fillId="4" borderId="32" xfId="23" applyFont="1" applyFill="1" applyBorder="1"/>
    <xf numFmtId="0" fontId="3" fillId="3" borderId="32" xfId="23" applyFont="1" applyFill="1" applyBorder="1"/>
    <xf numFmtId="7" fontId="3" fillId="3" borderId="31" xfId="18" applyNumberFormat="1" applyFont="1" applyFill="1" applyBorder="1"/>
    <xf numFmtId="7" fontId="3" fillId="3" borderId="32" xfId="18" applyNumberFormat="1" applyFont="1" applyFill="1" applyBorder="1"/>
    <xf numFmtId="7" fontId="3" fillId="0" borderId="32" xfId="18" applyNumberFormat="1" applyFont="1" applyFill="1" applyBorder="1"/>
    <xf numFmtId="7" fontId="3" fillId="0" borderId="32" xfId="18" applyNumberFormat="1" applyFont="1" applyFill="1" applyBorder="1" applyAlignment="1">
      <alignment horizontal="right"/>
    </xf>
    <xf numFmtId="7" fontId="3" fillId="0" borderId="0" xfId="18" applyNumberFormat="1" applyFont="1" applyFill="1" applyBorder="1"/>
    <xf numFmtId="0" fontId="3" fillId="4" borderId="10" xfId="23" applyFont="1" applyFill="1" applyBorder="1"/>
    <xf numFmtId="37" fontId="3" fillId="0" borderId="10" xfId="16" applyNumberFormat="1" applyFont="1" applyFill="1" applyBorder="1"/>
    <xf numFmtId="37" fontId="3" fillId="0" borderId="10" xfId="16" applyNumberFormat="1" applyFont="1" applyFill="1" applyBorder="1" applyAlignment="1">
      <alignment horizontal="right"/>
    </xf>
    <xf numFmtId="39" fontId="3" fillId="3" borderId="0" xfId="23" applyNumberFormat="1" applyFont="1" applyFill="1" applyBorder="1"/>
    <xf numFmtId="39" fontId="3" fillId="0" borderId="0" xfId="23" applyNumberFormat="1" applyFont="1" applyFill="1" applyBorder="1"/>
    <xf numFmtId="167" fontId="3" fillId="3" borderId="10" xfId="23" applyNumberFormat="1" applyFont="1" applyFill="1" applyBorder="1"/>
    <xf numFmtId="0" fontId="2" fillId="0" borderId="10" xfId="23" applyBorder="1"/>
    <xf numFmtId="167" fontId="3" fillId="4" borderId="10" xfId="23" applyNumberFormat="1" applyFont="1" applyFill="1" applyBorder="1"/>
    <xf numFmtId="167" fontId="3" fillId="0" borderId="0" xfId="23" applyNumberFormat="1" applyFont="1" applyFill="1" applyBorder="1" applyAlignment="1">
      <alignment horizontal="right"/>
    </xf>
    <xf numFmtId="167" fontId="3" fillId="0" borderId="13" xfId="23" applyNumberFormat="1" applyFont="1" applyFill="1" applyBorder="1"/>
    <xf numFmtId="166" fontId="3" fillId="4" borderId="10" xfId="35" applyNumberFormat="1" applyFont="1" applyFill="1" applyBorder="1"/>
    <xf numFmtId="37" fontId="3" fillId="0" borderId="33" xfId="23" applyNumberFormat="1" applyFont="1" applyFill="1" applyBorder="1" applyAlignment="1" applyProtection="1">
      <alignment horizontal="left"/>
    </xf>
    <xf numFmtId="166" fontId="3" fillId="4" borderId="34" xfId="35" applyNumberFormat="1" applyFont="1" applyFill="1" applyBorder="1"/>
    <xf numFmtId="166" fontId="3" fillId="0" borderId="34" xfId="35" applyNumberFormat="1" applyFont="1" applyFill="1" applyBorder="1"/>
    <xf numFmtId="166" fontId="3" fillId="0" borderId="35" xfId="35" applyNumberFormat="1" applyFont="1" applyFill="1" applyBorder="1" applyAlignment="1">
      <alignment horizontal="right"/>
    </xf>
    <xf numFmtId="166" fontId="3" fillId="0" borderId="33" xfId="35" applyNumberFormat="1" applyFont="1" applyFill="1" applyBorder="1"/>
    <xf numFmtId="166" fontId="3" fillId="0" borderId="33" xfId="35" applyNumberFormat="1" applyFont="1" applyFill="1" applyBorder="1" applyAlignment="1">
      <alignment horizontal="right"/>
    </xf>
    <xf numFmtId="166" fontId="3" fillId="0" borderId="36" xfId="35" applyNumberFormat="1" applyFont="1" applyFill="1" applyBorder="1"/>
    <xf numFmtId="166" fontId="3" fillId="0" borderId="34" xfId="35" applyNumberFormat="1" applyFont="1" applyFill="1" applyBorder="1" applyAlignment="1">
      <alignment horizontal="right"/>
    </xf>
    <xf numFmtId="166" fontId="4" fillId="0" borderId="31" xfId="35" applyNumberFormat="1" applyFont="1" applyFill="1" applyBorder="1"/>
    <xf numFmtId="0" fontId="22" fillId="0" borderId="0" xfId="23" applyFont="1" applyBorder="1"/>
    <xf numFmtId="7" fontId="3" fillId="0" borderId="10" xfId="23" applyNumberFormat="1" applyFont="1" applyFill="1" applyBorder="1"/>
    <xf numFmtId="7" fontId="3" fillId="0" borderId="10" xfId="23" applyNumberFormat="1" applyFont="1" applyFill="1" applyBorder="1" applyAlignment="1">
      <alignment horizontal="right"/>
    </xf>
    <xf numFmtId="166" fontId="4" fillId="4" borderId="10" xfId="35" applyNumberFormat="1" applyFont="1" applyFill="1" applyBorder="1"/>
    <xf numFmtId="9" fontId="4" fillId="3" borderId="0" xfId="35" applyFont="1" applyFill="1" applyBorder="1"/>
    <xf numFmtId="9" fontId="4" fillId="3" borderId="10" xfId="35" applyFont="1" applyFill="1" applyBorder="1"/>
    <xf numFmtId="7" fontId="4" fillId="3" borderId="10" xfId="35" applyNumberFormat="1" applyFont="1" applyFill="1" applyBorder="1"/>
    <xf numFmtId="10" fontId="4" fillId="3" borderId="10" xfId="35" applyNumberFormat="1" applyFont="1" applyFill="1" applyBorder="1"/>
    <xf numFmtId="9" fontId="4" fillId="0" borderId="10" xfId="35" applyFont="1" applyFill="1" applyBorder="1"/>
    <xf numFmtId="9" fontId="4" fillId="0" borderId="10" xfId="35" applyFont="1" applyFill="1" applyBorder="1" applyAlignment="1">
      <alignment horizontal="right"/>
    </xf>
    <xf numFmtId="37" fontId="3" fillId="3" borderId="31" xfId="23" applyNumberFormat="1" applyFont="1" applyFill="1" applyBorder="1" applyAlignment="1" applyProtection="1">
      <alignment horizontal="left"/>
    </xf>
    <xf numFmtId="167" fontId="11" fillId="3" borderId="32" xfId="16" applyFont="1" applyFill="1" applyBorder="1"/>
    <xf numFmtId="167" fontId="11" fillId="3" borderId="31" xfId="16" applyFont="1" applyFill="1" applyBorder="1"/>
    <xf numFmtId="167" fontId="11" fillId="0" borderId="32" xfId="16" applyFont="1" applyFill="1" applyBorder="1"/>
    <xf numFmtId="167" fontId="11" fillId="3" borderId="0" xfId="16" applyFont="1" applyFill="1" applyBorder="1"/>
    <xf numFmtId="37" fontId="3" fillId="3" borderId="37" xfId="23" applyNumberFormat="1" applyFont="1" applyFill="1" applyBorder="1" applyAlignment="1" applyProtection="1">
      <alignment horizontal="left"/>
    </xf>
    <xf numFmtId="0" fontId="3" fillId="4" borderId="38" xfId="23" applyFont="1" applyFill="1" applyBorder="1"/>
    <xf numFmtId="0" fontId="3" fillId="3" borderId="38" xfId="23" applyFont="1" applyFill="1" applyBorder="1"/>
    <xf numFmtId="0" fontId="3" fillId="3" borderId="37" xfId="23" applyFont="1" applyFill="1" applyBorder="1"/>
    <xf numFmtId="167" fontId="11" fillId="3" borderId="38" xfId="16" applyFont="1" applyFill="1" applyBorder="1"/>
    <xf numFmtId="167" fontId="11" fillId="3" borderId="37" xfId="16" applyFont="1" applyFill="1" applyBorder="1"/>
    <xf numFmtId="167" fontId="11" fillId="0" borderId="38" xfId="16" applyFont="1" applyFill="1" applyBorder="1"/>
    <xf numFmtId="167" fontId="11" fillId="0" borderId="38" xfId="16" applyFont="1" applyFill="1" applyBorder="1" applyAlignment="1">
      <alignment horizontal="right"/>
    </xf>
    <xf numFmtId="168" fontId="4" fillId="4" borderId="10" xfId="23" applyNumberFormat="1" applyFont="1" applyFill="1" applyBorder="1"/>
    <xf numFmtId="168" fontId="4" fillId="3" borderId="10" xfId="23" applyNumberFormat="1" applyFont="1" applyFill="1" applyBorder="1"/>
    <xf numFmtId="168" fontId="4" fillId="3" borderId="0" xfId="23" applyNumberFormat="1" applyFont="1" applyFill="1" applyBorder="1"/>
    <xf numFmtId="168" fontId="12" fillId="3" borderId="0" xfId="23" applyNumberFormat="1" applyFont="1" applyFill="1" applyBorder="1"/>
    <xf numFmtId="166" fontId="8" fillId="8" borderId="0" xfId="35" applyNumberFormat="1" applyFont="1" applyFill="1" applyBorder="1" applyAlignment="1">
      <alignment horizontal="left" indent="2"/>
    </xf>
    <xf numFmtId="37" fontId="8" fillId="3" borderId="31" xfId="23" applyNumberFormat="1" applyFont="1" applyFill="1" applyBorder="1" applyAlignment="1" applyProtection="1">
      <alignment horizontal="left"/>
    </xf>
    <xf numFmtId="0" fontId="3" fillId="0" borderId="32" xfId="23" applyFont="1" applyFill="1" applyBorder="1"/>
    <xf numFmtId="0" fontId="3" fillId="0" borderId="32" xfId="23" applyFont="1" applyFill="1" applyBorder="1" applyAlignment="1">
      <alignment horizontal="right"/>
    </xf>
    <xf numFmtId="170" fontId="8" fillId="3" borderId="0" xfId="30" applyNumberFormat="1" applyFont="1" applyFill="1" applyBorder="1" applyAlignment="1" applyProtection="1">
      <alignment horizontal="left"/>
    </xf>
    <xf numFmtId="166" fontId="3" fillId="0" borderId="0" xfId="23" applyNumberFormat="1" applyFont="1" applyFill="1" applyBorder="1"/>
    <xf numFmtId="166" fontId="3" fillId="0" borderId="10" xfId="23" applyNumberFormat="1" applyFont="1" applyFill="1" applyBorder="1"/>
    <xf numFmtId="166" fontId="3" fillId="0" borderId="10" xfId="23" applyNumberFormat="1" applyFont="1" applyFill="1" applyBorder="1" applyAlignment="1">
      <alignment horizontal="right"/>
    </xf>
    <xf numFmtId="168" fontId="4" fillId="3" borderId="0" xfId="23" applyNumberFormat="1" applyFont="1" applyFill="1" applyBorder="1" applyAlignment="1">
      <alignment horizontal="right"/>
    </xf>
    <xf numFmtId="170" fontId="3" fillId="4" borderId="10" xfId="23" applyNumberFormat="1" applyFont="1" applyFill="1" applyBorder="1" applyAlignment="1" applyProtection="1">
      <alignment horizontal="right"/>
    </xf>
    <xf numFmtId="168" fontId="3" fillId="4" borderId="10" xfId="23" applyNumberFormat="1" applyFont="1" applyFill="1" applyBorder="1"/>
    <xf numFmtId="0" fontId="3" fillId="3" borderId="10" xfId="23" applyFont="1" applyFill="1" applyBorder="1" applyAlignment="1">
      <alignment horizontal="right"/>
    </xf>
    <xf numFmtId="171" fontId="3" fillId="3" borderId="0" xfId="23" applyNumberFormat="1" applyFont="1" applyFill="1" applyBorder="1"/>
    <xf numFmtId="168" fontId="8" fillId="3" borderId="0" xfId="18" applyNumberFormat="1" applyFont="1" applyFill="1" applyBorder="1" applyAlignment="1" applyProtection="1">
      <alignment horizontal="left"/>
    </xf>
    <xf numFmtId="168" fontId="3" fillId="3" borderId="14" xfId="23" applyNumberFormat="1" applyFont="1" applyFill="1" applyBorder="1"/>
    <xf numFmtId="167" fontId="3" fillId="3" borderId="0" xfId="16" applyFont="1" applyFill="1" applyBorder="1" applyAlignment="1" applyProtection="1">
      <alignment horizontal="left"/>
    </xf>
    <xf numFmtId="167" fontId="5" fillId="4" borderId="10" xfId="16" applyFont="1" applyFill="1" applyBorder="1"/>
    <xf numFmtId="167" fontId="5" fillId="3" borderId="10" xfId="16" applyFont="1" applyFill="1" applyBorder="1"/>
    <xf numFmtId="167" fontId="5" fillId="3" borderId="14" xfId="16" applyFont="1" applyFill="1" applyBorder="1" applyAlignment="1">
      <alignment horizontal="right"/>
    </xf>
    <xf numFmtId="167" fontId="5" fillId="0" borderId="10" xfId="16" applyFont="1" applyFill="1" applyBorder="1"/>
    <xf numFmtId="167" fontId="5" fillId="0" borderId="10" xfId="16" applyFont="1" applyFill="1" applyBorder="1" applyAlignment="1">
      <alignment horizontal="right"/>
    </xf>
    <xf numFmtId="167" fontId="8" fillId="3" borderId="0" xfId="16" applyFont="1" applyFill="1" applyBorder="1"/>
    <xf numFmtId="167" fontId="5" fillId="0" borderId="0" xfId="16" applyFont="1" applyFill="1" applyBorder="1"/>
    <xf numFmtId="167" fontId="3" fillId="3" borderId="0" xfId="16" applyFont="1" applyFill="1" applyBorder="1" applyProtection="1"/>
    <xf numFmtId="167" fontId="3" fillId="4" borderId="10" xfId="16" applyNumberFormat="1" applyFont="1" applyFill="1" applyBorder="1"/>
    <xf numFmtId="167" fontId="3" fillId="3" borderId="14" xfId="16" applyFont="1" applyFill="1" applyBorder="1"/>
    <xf numFmtId="167" fontId="3" fillId="3" borderId="0" xfId="16" applyFont="1" applyFill="1" applyBorder="1" applyAlignment="1" applyProtection="1">
      <alignment horizontal="left" indent="1"/>
    </xf>
    <xf numFmtId="167" fontId="3" fillId="3" borderId="0" xfId="16" applyNumberFormat="1" applyFont="1" applyFill="1" applyBorder="1" applyProtection="1"/>
    <xf numFmtId="181" fontId="3" fillId="4" borderId="10" xfId="16" applyNumberFormat="1" applyFont="1" applyFill="1" applyBorder="1"/>
    <xf numFmtId="181" fontId="3" fillId="3" borderId="10" xfId="16" applyNumberFormat="1" applyFont="1" applyFill="1" applyBorder="1"/>
    <xf numFmtId="168" fontId="3" fillId="3" borderId="0" xfId="16" applyNumberFormat="1" applyFont="1" applyFill="1" applyBorder="1"/>
    <xf numFmtId="181" fontId="3" fillId="3" borderId="0" xfId="16" applyNumberFormat="1" applyFont="1" applyFill="1" applyBorder="1"/>
    <xf numFmtId="181" fontId="3" fillId="0" borderId="10" xfId="16" applyNumberFormat="1" applyFont="1" applyFill="1" applyBorder="1"/>
    <xf numFmtId="181" fontId="3" fillId="0" borderId="10" xfId="16" applyNumberFormat="1" applyFont="1" applyFill="1" applyBorder="1" applyAlignment="1">
      <alignment horizontal="right"/>
    </xf>
    <xf numFmtId="167" fontId="13" fillId="0" borderId="0" xfId="35" applyNumberFormat="1" applyFont="1" applyFill="1" applyBorder="1"/>
    <xf numFmtId="167" fontId="13" fillId="0" borderId="10" xfId="35" applyNumberFormat="1" applyFont="1" applyFill="1" applyBorder="1" applyAlignment="1">
      <alignment horizontal="right"/>
    </xf>
    <xf numFmtId="168" fontId="8" fillId="0" borderId="0" xfId="18" applyFont="1" applyFill="1" applyBorder="1" applyAlignment="1" applyProtection="1">
      <alignment horizontal="left"/>
    </xf>
    <xf numFmtId="168" fontId="3" fillId="4" borderId="10" xfId="18" applyFont="1" applyFill="1" applyBorder="1"/>
    <xf numFmtId="166" fontId="3" fillId="3" borderId="0" xfId="35" applyNumberFormat="1" applyFont="1" applyFill="1" applyBorder="1" applyAlignment="1" applyProtection="1">
      <alignment horizontal="left" indent="1"/>
    </xf>
    <xf numFmtId="166" fontId="3" fillId="4" borderId="10" xfId="35" applyNumberFormat="1" applyFont="1" applyFill="1" applyBorder="1" applyAlignment="1">
      <alignment horizontal="right"/>
    </xf>
    <xf numFmtId="167" fontId="3" fillId="3" borderId="31" xfId="16" applyNumberFormat="1" applyFont="1" applyFill="1" applyBorder="1" applyProtection="1"/>
    <xf numFmtId="7" fontId="3" fillId="3" borderId="31" xfId="23" applyNumberFormat="1" applyFont="1" applyFill="1" applyBorder="1"/>
    <xf numFmtId="171" fontId="3" fillId="3" borderId="32" xfId="23" applyNumberFormat="1" applyFont="1" applyFill="1" applyBorder="1"/>
    <xf numFmtId="170" fontId="13" fillId="3" borderId="31" xfId="23" applyNumberFormat="1" applyFont="1" applyFill="1" applyBorder="1"/>
    <xf numFmtId="170" fontId="13" fillId="0" borderId="32" xfId="23" applyNumberFormat="1" applyFont="1" applyFill="1" applyBorder="1" applyAlignment="1">
      <alignment horizontal="right"/>
    </xf>
    <xf numFmtId="37" fontId="8" fillId="3" borderId="39" xfId="23" applyNumberFormat="1" applyFont="1" applyFill="1" applyBorder="1" applyAlignment="1" applyProtection="1">
      <alignment horizontal="left"/>
    </xf>
    <xf numFmtId="168" fontId="10" fillId="0" borderId="10" xfId="23" applyNumberFormat="1" applyFont="1" applyFill="1" applyBorder="1" applyAlignment="1">
      <alignment horizontal="right"/>
    </xf>
    <xf numFmtId="168" fontId="3" fillId="0" borderId="13" xfId="23" applyNumberFormat="1" applyFont="1" applyFill="1" applyBorder="1" applyAlignment="1">
      <alignment horizontal="right"/>
    </xf>
    <xf numFmtId="167" fontId="3" fillId="3" borderId="39" xfId="23" applyNumberFormat="1" applyFont="1" applyFill="1" applyBorder="1" applyAlignment="1" applyProtection="1">
      <alignment horizontal="left"/>
    </xf>
    <xf numFmtId="167" fontId="3" fillId="0" borderId="0" xfId="16" applyNumberFormat="1" applyFont="1" applyFill="1" applyBorder="1" applyAlignment="1">
      <alignment horizontal="right"/>
    </xf>
    <xf numFmtId="167" fontId="3" fillId="0" borderId="13" xfId="16" applyNumberFormat="1" applyFont="1" applyFill="1" applyBorder="1" applyAlignment="1">
      <alignment horizontal="right"/>
    </xf>
    <xf numFmtId="37" fontId="3" fillId="3" borderId="13" xfId="23" applyNumberFormat="1" applyFont="1" applyFill="1" applyBorder="1" applyAlignment="1" applyProtection="1">
      <alignment horizontal="left"/>
    </xf>
    <xf numFmtId="167" fontId="3" fillId="0" borderId="14" xfId="16" applyNumberFormat="1" applyFont="1" applyFill="1" applyBorder="1" applyAlignment="1">
      <alignment horizontal="right"/>
    </xf>
    <xf numFmtId="168" fontId="4" fillId="0" borderId="10" xfId="23" applyNumberFormat="1" applyFont="1" applyFill="1" applyBorder="1" applyAlignment="1">
      <alignment horizontal="right"/>
    </xf>
    <xf numFmtId="167" fontId="4" fillId="3" borderId="10" xfId="16" applyNumberFormat="1" applyFont="1" applyFill="1" applyBorder="1"/>
    <xf numFmtId="167" fontId="4" fillId="3" borderId="0" xfId="16" applyNumberFormat="1" applyFont="1" applyFill="1" applyBorder="1" applyAlignment="1">
      <alignment horizontal="right"/>
    </xf>
    <xf numFmtId="167" fontId="12" fillId="3" borderId="0" xfId="16" applyNumberFormat="1" applyFont="1" applyFill="1" applyBorder="1"/>
    <xf numFmtId="167" fontId="3" fillId="4" borderId="10" xfId="16" applyFont="1" applyFill="1" applyBorder="1"/>
    <xf numFmtId="175" fontId="3" fillId="3" borderId="10" xfId="16" applyNumberFormat="1" applyFont="1" applyFill="1" applyBorder="1"/>
    <xf numFmtId="167" fontId="3" fillId="3" borderId="10" xfId="16" applyNumberFormat="1" applyFont="1" applyFill="1" applyBorder="1" applyAlignment="1">
      <alignment horizontal="right"/>
    </xf>
    <xf numFmtId="7" fontId="3" fillId="4" borderId="10" xfId="18" applyNumberFormat="1" applyFont="1" applyFill="1" applyBorder="1"/>
    <xf numFmtId="7" fontId="4" fillId="3" borderId="0" xfId="18" applyNumberFormat="1" applyFont="1" applyFill="1" applyBorder="1"/>
    <xf numFmtId="7" fontId="4" fillId="0" borderId="0" xfId="18" applyNumberFormat="1" applyFont="1" applyFill="1" applyBorder="1"/>
    <xf numFmtId="7" fontId="4" fillId="3" borderId="13" xfId="18" applyNumberFormat="1" applyFont="1" applyFill="1" applyBorder="1"/>
    <xf numFmtId="7" fontId="4" fillId="3" borderId="10" xfId="18" applyNumberFormat="1" applyFont="1" applyFill="1" applyBorder="1"/>
    <xf numFmtId="7" fontId="3" fillId="0" borderId="10" xfId="18" applyNumberFormat="1" applyFont="1" applyFill="1" applyBorder="1"/>
    <xf numFmtId="7" fontId="3" fillId="0" borderId="10" xfId="18" applyNumberFormat="1" applyFont="1" applyFill="1" applyBorder="1" applyAlignment="1">
      <alignment horizontal="right"/>
    </xf>
    <xf numFmtId="37" fontId="3" fillId="4" borderId="10" xfId="23" applyNumberFormat="1" applyFont="1" applyFill="1" applyBorder="1"/>
    <xf numFmtId="37" fontId="3" fillId="3" borderId="10" xfId="23" applyNumberFormat="1" applyFont="1" applyFill="1" applyBorder="1"/>
    <xf numFmtId="37" fontId="4" fillId="3" borderId="0" xfId="23" applyNumberFormat="1" applyFont="1" applyFill="1" applyBorder="1"/>
    <xf numFmtId="37" fontId="4" fillId="3" borderId="10" xfId="23" applyNumberFormat="1" applyFont="1" applyFill="1" applyBorder="1"/>
    <xf numFmtId="37" fontId="4" fillId="0" borderId="10" xfId="23" applyNumberFormat="1" applyFont="1" applyFill="1" applyBorder="1"/>
    <xf numFmtId="37" fontId="4" fillId="0" borderId="10" xfId="23" applyNumberFormat="1" applyFont="1" applyFill="1" applyBorder="1" applyAlignment="1">
      <alignment horizontal="right"/>
    </xf>
    <xf numFmtId="37" fontId="3" fillId="3" borderId="0" xfId="23" applyNumberFormat="1" applyFont="1" applyFill="1" applyAlignment="1" applyProtection="1">
      <alignment horizontal="left"/>
    </xf>
    <xf numFmtId="181" fontId="4" fillId="4" borderId="10" xfId="16" applyNumberFormat="1" applyFont="1" applyFill="1" applyBorder="1" applyAlignment="1">
      <alignment horizontal="right"/>
    </xf>
    <xf numFmtId="181" fontId="4" fillId="3" borderId="10" xfId="16" applyNumberFormat="1" applyFont="1" applyFill="1" applyBorder="1" applyAlignment="1">
      <alignment horizontal="right"/>
    </xf>
    <xf numFmtId="181" fontId="4" fillId="3" borderId="0" xfId="16" applyNumberFormat="1" applyFont="1" applyFill="1" applyBorder="1" applyAlignment="1">
      <alignment horizontal="right"/>
    </xf>
    <xf numFmtId="181" fontId="4" fillId="0" borderId="10" xfId="16" applyNumberFormat="1" applyFont="1" applyFill="1" applyBorder="1" applyAlignment="1">
      <alignment horizontal="right"/>
    </xf>
    <xf numFmtId="37" fontId="3" fillId="4" borderId="32" xfId="23" applyNumberFormat="1" applyFont="1" applyFill="1" applyBorder="1"/>
    <xf numFmtId="37" fontId="3" fillId="3" borderId="32" xfId="23" applyNumberFormat="1" applyFont="1" applyFill="1" applyBorder="1"/>
    <xf numFmtId="37" fontId="3" fillId="3" borderId="31" xfId="23" applyNumberFormat="1" applyFont="1" applyFill="1" applyBorder="1"/>
    <xf numFmtId="37" fontId="4" fillId="3" borderId="31" xfId="23" applyNumberFormat="1" applyFont="1" applyFill="1" applyBorder="1"/>
    <xf numFmtId="37" fontId="4" fillId="3" borderId="32" xfId="23" applyNumberFormat="1" applyFont="1" applyFill="1" applyBorder="1"/>
    <xf numFmtId="37" fontId="4" fillId="0" borderId="32" xfId="23" applyNumberFormat="1" applyFont="1" applyFill="1" applyBorder="1"/>
    <xf numFmtId="37" fontId="4" fillId="0" borderId="32" xfId="23" applyNumberFormat="1" applyFont="1" applyFill="1" applyBorder="1" applyAlignment="1">
      <alignment horizontal="right"/>
    </xf>
    <xf numFmtId="37" fontId="3" fillId="3" borderId="38" xfId="23" applyNumberFormat="1" applyFont="1" applyFill="1" applyBorder="1"/>
    <xf numFmtId="37" fontId="3" fillId="0" borderId="10" xfId="23" applyNumberFormat="1" applyFont="1" applyFill="1" applyBorder="1"/>
    <xf numFmtId="37" fontId="3" fillId="0" borderId="10" xfId="23" applyNumberFormat="1" applyFont="1" applyFill="1" applyBorder="1" applyAlignment="1">
      <alignment horizontal="right"/>
    </xf>
    <xf numFmtId="167" fontId="12" fillId="3" borderId="0" xfId="23" applyNumberFormat="1" applyFont="1" applyFill="1" applyBorder="1"/>
    <xf numFmtId="37" fontId="14" fillId="3" borderId="0" xfId="23" applyNumberFormat="1" applyFont="1" applyFill="1" applyBorder="1"/>
    <xf numFmtId="167" fontId="4" fillId="3" borderId="0" xfId="23" applyNumberFormat="1" applyFont="1" applyFill="1" applyBorder="1"/>
    <xf numFmtId="175" fontId="3" fillId="3" borderId="10" xfId="23" applyNumberFormat="1" applyFont="1" applyFill="1" applyBorder="1"/>
    <xf numFmtId="167" fontId="3" fillId="4" borderId="32" xfId="23" applyNumberFormat="1" applyFont="1" applyFill="1" applyBorder="1"/>
    <xf numFmtId="167" fontId="3" fillId="3" borderId="32" xfId="23" applyNumberFormat="1" applyFont="1" applyFill="1" applyBorder="1"/>
    <xf numFmtId="167" fontId="3" fillId="3" borderId="31" xfId="23" applyNumberFormat="1" applyFont="1" applyFill="1" applyBorder="1"/>
    <xf numFmtId="167" fontId="3" fillId="3" borderId="40" xfId="23" applyNumberFormat="1" applyFont="1" applyFill="1" applyBorder="1"/>
    <xf numFmtId="167" fontId="3" fillId="0" borderId="32" xfId="23" applyNumberFormat="1" applyFont="1" applyFill="1" applyBorder="1"/>
    <xf numFmtId="167" fontId="3" fillId="0" borderId="32" xfId="23" applyNumberFormat="1" applyFont="1" applyFill="1" applyBorder="1" applyAlignment="1">
      <alignment horizontal="right"/>
    </xf>
    <xf numFmtId="167" fontId="3" fillId="4" borderId="13" xfId="23" applyNumberFormat="1" applyFont="1" applyFill="1" applyBorder="1"/>
    <xf numFmtId="167" fontId="3" fillId="3" borderId="41" xfId="23" applyNumberFormat="1" applyFont="1" applyFill="1" applyBorder="1"/>
    <xf numFmtId="167" fontId="3" fillId="3" borderId="38" xfId="23" applyNumberFormat="1" applyFont="1" applyFill="1" applyBorder="1"/>
    <xf numFmtId="37" fontId="8" fillId="0" borderId="0" xfId="23" applyNumberFormat="1" applyFont="1" applyFill="1" applyBorder="1"/>
    <xf numFmtId="167" fontId="3" fillId="0" borderId="14" xfId="16" applyNumberFormat="1" applyFont="1" applyFill="1" applyBorder="1"/>
    <xf numFmtId="0" fontId="3" fillId="0" borderId="0" xfId="32" applyFont="1" applyFill="1" applyBorder="1" applyAlignment="1">
      <alignment horizontal="left" indent="2"/>
    </xf>
    <xf numFmtId="167" fontId="3" fillId="0" borderId="10" xfId="35" applyNumberFormat="1" applyFont="1" applyFill="1" applyBorder="1"/>
    <xf numFmtId="0" fontId="20" fillId="0" borderId="0" xfId="31" applyFont="1" applyFill="1" applyBorder="1" applyAlignment="1">
      <alignment horizontal="left"/>
    </xf>
    <xf numFmtId="0" fontId="5" fillId="0" borderId="0" xfId="31" quotePrefix="1" applyFont="1" applyFill="1" applyBorder="1" applyAlignment="1">
      <alignment horizontal="left" indent="1"/>
    </xf>
    <xf numFmtId="168" fontId="12" fillId="0" borderId="13" xfId="35" applyNumberFormat="1" applyFont="1" applyFill="1" applyBorder="1"/>
    <xf numFmtId="168" fontId="12" fillId="0" borderId="10" xfId="35" applyNumberFormat="1" applyFont="1" applyFill="1" applyBorder="1"/>
    <xf numFmtId="168" fontId="12" fillId="0" borderId="0" xfId="35" applyNumberFormat="1" applyFont="1" applyFill="1" applyBorder="1"/>
    <xf numFmtId="168" fontId="12" fillId="0" borderId="10" xfId="35" applyNumberFormat="1" applyFont="1" applyFill="1" applyBorder="1" applyAlignment="1">
      <alignment horizontal="right"/>
    </xf>
    <xf numFmtId="167" fontId="12" fillId="0" borderId="13" xfId="35" applyNumberFormat="1" applyFont="1" applyFill="1" applyBorder="1"/>
    <xf numFmtId="167" fontId="12" fillId="0" borderId="10" xfId="35" applyNumberFormat="1" applyFont="1" applyFill="1" applyBorder="1"/>
    <xf numFmtId="167" fontId="12" fillId="0" borderId="0" xfId="35" applyNumberFormat="1" applyFont="1" applyFill="1" applyBorder="1"/>
    <xf numFmtId="167" fontId="12" fillId="0" borderId="10" xfId="35" applyNumberFormat="1" applyFont="1" applyFill="1" applyBorder="1" applyAlignment="1">
      <alignment horizontal="right"/>
    </xf>
    <xf numFmtId="0" fontId="20" fillId="0" borderId="0" xfId="31" quotePrefix="1" applyFont="1" applyFill="1" applyBorder="1" applyAlignment="1">
      <alignment horizontal="left"/>
    </xf>
    <xf numFmtId="166" fontId="8" fillId="0" borderId="13" xfId="35" applyNumberFormat="1" applyFont="1" applyFill="1" applyBorder="1"/>
    <xf numFmtId="168" fontId="8" fillId="0" borderId="13" xfId="35" applyNumberFormat="1" applyFont="1" applyFill="1" applyBorder="1"/>
    <xf numFmtId="168" fontId="8" fillId="0" borderId="10" xfId="35" applyNumberFormat="1" applyFont="1" applyFill="1" applyBorder="1"/>
    <xf numFmtId="168" fontId="8" fillId="0" borderId="0" xfId="35" applyNumberFormat="1" applyFont="1" applyFill="1" applyBorder="1"/>
    <xf numFmtId="168" fontId="8" fillId="0" borderId="10" xfId="35" applyNumberFormat="1" applyFont="1" applyFill="1" applyBorder="1" applyAlignment="1">
      <alignment horizontal="right"/>
    </xf>
    <xf numFmtId="0" fontId="17" fillId="0" borderId="0" xfId="23" applyFont="1" applyBorder="1"/>
    <xf numFmtId="166" fontId="8" fillId="0" borderId="0" xfId="35" applyNumberFormat="1" applyFont="1" applyFill="1" applyBorder="1"/>
    <xf numFmtId="0" fontId="5" fillId="0" borderId="0" xfId="31" quotePrefix="1" applyFont="1" applyFill="1" applyBorder="1" applyAlignment="1">
      <alignment horizontal="left"/>
    </xf>
    <xf numFmtId="167" fontId="3" fillId="0" borderId="13" xfId="35" applyNumberFormat="1" applyFont="1" applyFill="1" applyBorder="1"/>
    <xf numFmtId="167" fontId="3" fillId="0" borderId="0" xfId="35" applyNumberFormat="1" applyFont="1" applyFill="1" applyBorder="1"/>
    <xf numFmtId="167" fontId="3" fillId="0" borderId="10" xfId="35" applyNumberFormat="1" applyFont="1" applyFill="1" applyBorder="1" applyAlignment="1">
      <alignment horizontal="right"/>
    </xf>
    <xf numFmtId="167" fontId="8" fillId="0" borderId="13" xfId="35" applyNumberFormat="1" applyFont="1" applyFill="1" applyBorder="1"/>
    <xf numFmtId="167" fontId="8" fillId="0" borderId="10" xfId="35" applyNumberFormat="1" applyFont="1" applyFill="1" applyBorder="1"/>
    <xf numFmtId="167" fontId="8" fillId="0" borderId="0" xfId="35" applyNumberFormat="1" applyFont="1" applyFill="1" applyBorder="1"/>
    <xf numFmtId="167" fontId="8" fillId="0" borderId="10" xfId="35" applyNumberFormat="1" applyFont="1" applyFill="1" applyBorder="1" applyAlignment="1">
      <alignment horizontal="right"/>
    </xf>
    <xf numFmtId="166" fontId="8" fillId="0" borderId="10" xfId="35" applyNumberFormat="1" applyFont="1" applyFill="1" applyBorder="1"/>
    <xf numFmtId="182" fontId="8" fillId="0" borderId="0" xfId="35" applyNumberFormat="1" applyFont="1" applyFill="1" applyBorder="1" applyAlignment="1">
      <alignment horizontal="right"/>
    </xf>
    <xf numFmtId="182" fontId="8" fillId="0" borderId="10" xfId="35" applyNumberFormat="1" applyFont="1" applyFill="1" applyBorder="1" applyAlignment="1">
      <alignment horizontal="right"/>
    </xf>
    <xf numFmtId="37" fontId="3" fillId="0" borderId="0" xfId="23" applyNumberFormat="1" applyFont="1" applyFill="1" applyBorder="1" applyAlignment="1">
      <alignment horizontal="left" indent="1"/>
    </xf>
    <xf numFmtId="166" fontId="3" fillId="0" borderId="15" xfId="35" applyNumberFormat="1" applyFont="1" applyFill="1" applyBorder="1"/>
    <xf numFmtId="166" fontId="3" fillId="0" borderId="5" xfId="35" applyNumberFormat="1" applyFont="1" applyFill="1" applyBorder="1"/>
    <xf numFmtId="166" fontId="3" fillId="0" borderId="15" xfId="35" applyNumberFormat="1" applyFont="1" applyFill="1" applyBorder="1" applyAlignment="1">
      <alignment horizontal="right"/>
    </xf>
    <xf numFmtId="37" fontId="13" fillId="9" borderId="0" xfId="23" applyNumberFormat="1" applyFont="1" applyFill="1" applyBorder="1"/>
    <xf numFmtId="166" fontId="13" fillId="9" borderId="0" xfId="35" applyNumberFormat="1" applyFont="1" applyFill="1" applyBorder="1"/>
    <xf numFmtId="167" fontId="13" fillId="9" borderId="0" xfId="16" applyFont="1" applyFill="1" applyBorder="1"/>
    <xf numFmtId="166" fontId="13" fillId="9" borderId="0" xfId="35" applyNumberFormat="1" applyFont="1" applyFill="1" applyBorder="1" applyAlignment="1">
      <alignment horizontal="right"/>
    </xf>
    <xf numFmtId="5" fontId="3" fillId="0" borderId="10" xfId="23" applyNumberFormat="1" applyFont="1" applyFill="1" applyBorder="1"/>
    <xf numFmtId="5" fontId="3" fillId="0" borderId="10" xfId="23" applyNumberFormat="1" applyFont="1" applyFill="1" applyBorder="1" applyAlignment="1">
      <alignment horizontal="right"/>
    </xf>
    <xf numFmtId="5" fontId="3" fillId="0" borderId="0" xfId="23" applyNumberFormat="1" applyFont="1" applyFill="1" applyBorder="1"/>
    <xf numFmtId="9" fontId="3" fillId="0" borderId="10" xfId="35" applyNumberFormat="1" applyFont="1" applyFill="1" applyBorder="1"/>
    <xf numFmtId="9" fontId="3" fillId="0" borderId="0" xfId="35" applyNumberFormat="1" applyFont="1" applyFill="1" applyBorder="1"/>
    <xf numFmtId="9" fontId="3" fillId="0" borderId="10" xfId="35" applyNumberFormat="1" applyFont="1" applyFill="1" applyBorder="1" applyAlignment="1">
      <alignment horizontal="right"/>
    </xf>
    <xf numFmtId="0" fontId="3" fillId="0" borderId="31" xfId="23" applyFont="1" applyFill="1" applyBorder="1"/>
    <xf numFmtId="0" fontId="3" fillId="0" borderId="31" xfId="23" applyFont="1" applyFill="1" applyBorder="1" applyAlignment="1">
      <alignment horizontal="right"/>
    </xf>
    <xf numFmtId="0" fontId="3" fillId="0" borderId="9" xfId="23" applyFont="1" applyFill="1" applyBorder="1"/>
    <xf numFmtId="0" fontId="3" fillId="0" borderId="9" xfId="23" applyFont="1" applyFill="1" applyBorder="1" applyAlignment="1">
      <alignment horizontal="right"/>
    </xf>
    <xf numFmtId="164" fontId="3" fillId="0" borderId="0" xfId="23" applyNumberFormat="1" applyFont="1" applyFill="1" applyBorder="1"/>
    <xf numFmtId="164" fontId="3" fillId="0" borderId="10" xfId="23" applyNumberFormat="1" applyFont="1" applyFill="1" applyBorder="1" applyAlignment="1">
      <alignment horizontal="right"/>
    </xf>
    <xf numFmtId="37" fontId="3" fillId="0" borderId="0" xfId="23" applyNumberFormat="1" applyFont="1" applyFill="1"/>
    <xf numFmtId="37" fontId="4" fillId="0" borderId="0" xfId="23" applyNumberFormat="1" applyFont="1" applyFill="1"/>
    <xf numFmtId="0" fontId="3" fillId="0" borderId="0" xfId="23" applyFont="1" applyFill="1"/>
    <xf numFmtId="0" fontId="3" fillId="3" borderId="0" xfId="23" applyFont="1" applyFill="1"/>
    <xf numFmtId="37" fontId="3" fillId="0" borderId="0" xfId="23" applyNumberFormat="1" applyFont="1" applyFill="1" applyAlignment="1" applyProtection="1">
      <alignment horizontal="left"/>
    </xf>
    <xf numFmtId="37" fontId="4" fillId="0" borderId="0" xfId="23" applyNumberFormat="1" applyFont="1" applyFill="1" applyAlignment="1">
      <alignment horizontal="right"/>
    </xf>
    <xf numFmtId="167" fontId="3" fillId="3" borderId="0" xfId="23" applyNumberFormat="1" applyFont="1" applyFill="1" applyAlignment="1">
      <alignment horizontal="right"/>
    </xf>
    <xf numFmtId="37" fontId="3" fillId="3" borderId="0" xfId="23" applyNumberFormat="1" applyFont="1" applyFill="1"/>
    <xf numFmtId="167" fontId="3" fillId="0" borderId="0" xfId="23" applyNumberFormat="1" applyFont="1" applyFill="1" applyAlignment="1">
      <alignment horizontal="right"/>
    </xf>
    <xf numFmtId="37" fontId="3" fillId="0" borderId="0" xfId="23" applyNumberFormat="1" applyFont="1" applyFill="1" applyAlignment="1">
      <alignment horizontal="right"/>
    </xf>
    <xf numFmtId="37" fontId="3" fillId="3" borderId="10" xfId="23" applyNumberFormat="1" applyFont="1" applyFill="1" applyBorder="1" applyAlignment="1">
      <alignment horizontal="right"/>
    </xf>
    <xf numFmtId="37" fontId="3" fillId="3" borderId="0" xfId="23" applyNumberFormat="1" applyFont="1" applyFill="1" applyAlignment="1">
      <alignment horizontal="right"/>
    </xf>
    <xf numFmtId="37" fontId="3" fillId="0" borderId="0" xfId="23" applyNumberFormat="1" applyFont="1" applyFill="1" applyBorder="1" applyProtection="1"/>
    <xf numFmtId="37" fontId="3" fillId="0" borderId="10" xfId="23" applyNumberFormat="1" applyFont="1" applyFill="1" applyBorder="1" applyProtection="1"/>
    <xf numFmtId="37" fontId="3" fillId="0" borderId="10" xfId="23" applyNumberFormat="1" applyFont="1" applyFill="1" applyBorder="1" applyAlignment="1" applyProtection="1">
      <alignment horizontal="right"/>
    </xf>
    <xf numFmtId="37" fontId="19" fillId="4" borderId="0" xfId="23" applyNumberFormat="1" applyFont="1" applyFill="1"/>
    <xf numFmtId="37" fontId="19" fillId="0" borderId="0" xfId="23" applyNumberFormat="1" applyFont="1" applyFill="1"/>
    <xf numFmtId="37" fontId="3" fillId="10" borderId="0" xfId="23" applyNumberFormat="1" applyFont="1" applyFill="1" applyBorder="1" applyProtection="1"/>
    <xf numFmtId="37" fontId="3" fillId="10" borderId="10" xfId="23" applyNumberFormat="1" applyFont="1" applyFill="1" applyBorder="1" applyProtection="1"/>
    <xf numFmtId="37" fontId="3" fillId="4" borderId="0" xfId="23" applyNumberFormat="1" applyFont="1" applyFill="1" applyBorder="1" applyProtection="1"/>
    <xf numFmtId="37" fontId="3" fillId="4" borderId="0" xfId="23" applyNumberFormat="1" applyFont="1" applyFill="1"/>
    <xf numFmtId="37" fontId="3" fillId="10" borderId="0" xfId="23" applyNumberFormat="1" applyFont="1" applyFill="1"/>
    <xf numFmtId="37" fontId="3" fillId="10" borderId="10" xfId="23" applyNumberFormat="1" applyFont="1" applyFill="1" applyBorder="1"/>
    <xf numFmtId="167" fontId="3" fillId="4" borderId="0" xfId="23" applyNumberFormat="1" applyFont="1" applyFill="1" applyBorder="1" applyAlignment="1" applyProtection="1">
      <alignment horizontal="right"/>
    </xf>
    <xf numFmtId="167" fontId="3" fillId="3" borderId="0" xfId="23" applyNumberFormat="1" applyFont="1" applyFill="1" applyBorder="1" applyAlignment="1" applyProtection="1">
      <alignment horizontal="right"/>
    </xf>
    <xf numFmtId="167" fontId="3" fillId="10" borderId="0" xfId="23" applyNumberFormat="1" applyFont="1" applyFill="1" applyBorder="1" applyAlignment="1" applyProtection="1">
      <alignment horizontal="right"/>
    </xf>
    <xf numFmtId="167" fontId="3" fillId="10" borderId="10" xfId="23" applyNumberFormat="1" applyFont="1" applyFill="1" applyBorder="1" applyAlignment="1" applyProtection="1">
      <alignment horizontal="right"/>
    </xf>
    <xf numFmtId="167" fontId="3" fillId="0" borderId="10" xfId="23" applyNumberFormat="1" applyFont="1" applyFill="1" applyBorder="1" applyAlignment="1" applyProtection="1">
      <alignment horizontal="right"/>
    </xf>
    <xf numFmtId="167" fontId="3" fillId="4" borderId="0" xfId="23" applyNumberFormat="1" applyFont="1" applyFill="1" applyAlignment="1">
      <alignment horizontal="right"/>
    </xf>
    <xf numFmtId="167" fontId="3" fillId="10" borderId="0" xfId="23" applyNumberFormat="1" applyFont="1" applyFill="1" applyAlignment="1">
      <alignment horizontal="right"/>
    </xf>
    <xf numFmtId="167" fontId="3" fillId="10" borderId="10" xfId="23" applyNumberFormat="1" applyFont="1" applyFill="1" applyBorder="1" applyAlignment="1">
      <alignment horizontal="right"/>
    </xf>
    <xf numFmtId="0" fontId="3" fillId="4" borderId="0" xfId="23" applyFont="1" applyFill="1"/>
    <xf numFmtId="166" fontId="3" fillId="3" borderId="0" xfId="35" applyNumberFormat="1" applyFont="1" applyFill="1"/>
    <xf numFmtId="0" fontId="3" fillId="10" borderId="0" xfId="23" applyFont="1" applyFill="1"/>
    <xf numFmtId="169" fontId="3" fillId="0" borderId="0" xfId="23" applyNumberFormat="1" applyFont="1" applyFill="1"/>
    <xf numFmtId="166" fontId="3" fillId="10" borderId="0" xfId="35" applyNumberFormat="1" applyFont="1" applyFill="1"/>
    <xf numFmtId="166" fontId="3" fillId="10" borderId="10" xfId="35" applyNumberFormat="1" applyFont="1" applyFill="1" applyBorder="1"/>
    <xf numFmtId="167" fontId="3" fillId="3" borderId="10" xfId="16" applyFont="1" applyFill="1" applyBorder="1" applyAlignment="1">
      <alignment horizontal="right"/>
    </xf>
    <xf numFmtId="167" fontId="8" fillId="8" borderId="0" xfId="16" applyFont="1" applyFill="1" applyBorder="1" applyAlignment="1">
      <alignment horizontal="left" indent="2"/>
    </xf>
    <xf numFmtId="167" fontId="3" fillId="4" borderId="0" xfId="16" applyFont="1" applyFill="1" applyBorder="1" applyAlignment="1">
      <alignment horizontal="left" indent="2"/>
    </xf>
    <xf numFmtId="167" fontId="3" fillId="8" borderId="0" xfId="16" applyFont="1" applyFill="1" applyBorder="1" applyAlignment="1">
      <alignment horizontal="left" indent="2"/>
    </xf>
    <xf numFmtId="167" fontId="3" fillId="8" borderId="0" xfId="16" applyNumberFormat="1" applyFont="1" applyFill="1" applyBorder="1" applyAlignment="1">
      <alignment horizontal="left" indent="2"/>
    </xf>
    <xf numFmtId="167" fontId="3" fillId="8" borderId="0" xfId="16" applyNumberFormat="1" applyFont="1" applyFill="1" applyBorder="1" applyAlignment="1"/>
    <xf numFmtId="167" fontId="3" fillId="8" borderId="10" xfId="16" applyNumberFormat="1" applyFont="1" applyFill="1" applyBorder="1" applyAlignment="1"/>
    <xf numFmtId="167" fontId="3" fillId="8" borderId="10" xfId="16" applyNumberFormat="1" applyFont="1" applyFill="1" applyBorder="1" applyAlignment="1">
      <alignment horizontal="right"/>
    </xf>
    <xf numFmtId="167" fontId="29" fillId="8" borderId="0" xfId="16" applyNumberFormat="1" applyFont="1" applyFill="1" applyBorder="1" applyAlignment="1"/>
    <xf numFmtId="164" fontId="3" fillId="3" borderId="0" xfId="23" quotePrefix="1" applyNumberFormat="1" applyFont="1" applyFill="1" applyBorder="1" applyAlignment="1" applyProtection="1"/>
    <xf numFmtId="167" fontId="3" fillId="3" borderId="0" xfId="16" quotePrefix="1" applyFont="1" applyFill="1" applyBorder="1" applyAlignment="1" applyProtection="1"/>
    <xf numFmtId="167" fontId="3" fillId="3" borderId="10" xfId="16" quotePrefix="1" applyFont="1" applyFill="1" applyBorder="1" applyAlignment="1" applyProtection="1"/>
    <xf numFmtId="167" fontId="3" fillId="3" borderId="0" xfId="16" applyFont="1" applyFill="1" applyBorder="1" applyAlignment="1"/>
    <xf numFmtId="167" fontId="13" fillId="3" borderId="0" xfId="16" applyFont="1" applyFill="1" applyBorder="1" applyAlignment="1"/>
    <xf numFmtId="167" fontId="3" fillId="3" borderId="10" xfId="16" applyFont="1" applyFill="1" applyBorder="1" applyAlignment="1"/>
    <xf numFmtId="167" fontId="3" fillId="8" borderId="10" xfId="16" applyNumberFormat="1" applyFont="1" applyFill="1" applyBorder="1" applyAlignment="1">
      <alignment horizontal="left" indent="2"/>
    </xf>
    <xf numFmtId="167" fontId="3" fillId="8" borderId="10" xfId="16" applyNumberFormat="1" applyFont="1" applyFill="1" applyBorder="1" applyAlignment="1">
      <alignment horizontal="right" indent="2"/>
    </xf>
    <xf numFmtId="7" fontId="3" fillId="3" borderId="10" xfId="23" applyNumberFormat="1" applyFont="1" applyFill="1" applyBorder="1"/>
    <xf numFmtId="7" fontId="3" fillId="3" borderId="10" xfId="23" applyNumberFormat="1" applyFont="1" applyFill="1" applyBorder="1" applyAlignment="1">
      <alignment horizontal="right"/>
    </xf>
    <xf numFmtId="1" fontId="3" fillId="3" borderId="0" xfId="23" applyNumberFormat="1" applyFont="1" applyFill="1" applyBorder="1"/>
    <xf numFmtId="1" fontId="3" fillId="3" borderId="10" xfId="23" applyNumberFormat="1" applyFont="1" applyFill="1" applyBorder="1"/>
    <xf numFmtId="1" fontId="3" fillId="3" borderId="10" xfId="23" applyNumberFormat="1" applyFont="1" applyFill="1" applyBorder="1" applyAlignment="1">
      <alignment horizontal="right"/>
    </xf>
    <xf numFmtId="37" fontId="3" fillId="0" borderId="0" xfId="16" applyNumberFormat="1" applyFont="1" applyBorder="1"/>
    <xf numFmtId="9" fontId="3" fillId="3" borderId="10" xfId="35" applyFont="1" applyFill="1" applyBorder="1"/>
    <xf numFmtId="9" fontId="3" fillId="3" borderId="10" xfId="35" applyFont="1" applyFill="1" applyBorder="1" applyAlignment="1">
      <alignment horizontal="right"/>
    </xf>
    <xf numFmtId="9" fontId="3" fillId="0" borderId="0" xfId="35" applyFont="1" applyBorder="1"/>
    <xf numFmtId="0" fontId="2" fillId="0" borderId="10" xfId="23" applyBorder="1" applyAlignment="1">
      <alignment horizontal="right"/>
    </xf>
    <xf numFmtId="170" fontId="3" fillId="3" borderId="0" xfId="23" applyNumberFormat="1" applyFont="1" applyFill="1" applyBorder="1"/>
    <xf numFmtId="170" fontId="3" fillId="3" borderId="10" xfId="23" applyNumberFormat="1" applyFont="1" applyFill="1" applyBorder="1"/>
    <xf numFmtId="170" fontId="3" fillId="3" borderId="10" xfId="23" applyNumberFormat="1" applyFont="1" applyFill="1" applyBorder="1" applyAlignment="1">
      <alignment horizontal="right"/>
    </xf>
    <xf numFmtId="0" fontId="30" fillId="3" borderId="0" xfId="23" applyFont="1" applyFill="1" applyBorder="1"/>
    <xf numFmtId="0" fontId="31" fillId="0" borderId="0" xfId="23" applyFont="1"/>
    <xf numFmtId="166" fontId="21" fillId="3" borderId="0" xfId="35" applyNumberFormat="1" applyFont="1" applyFill="1" applyBorder="1"/>
    <xf numFmtId="0" fontId="31" fillId="0" borderId="10" xfId="23" applyFont="1" applyBorder="1"/>
    <xf numFmtId="0" fontId="31" fillId="0" borderId="10" xfId="23" applyFont="1" applyBorder="1" applyAlignment="1">
      <alignment horizontal="right"/>
    </xf>
    <xf numFmtId="166" fontId="21" fillId="0" borderId="0" xfId="35" applyNumberFormat="1" applyFont="1" applyFill="1" applyBorder="1" applyAlignment="1">
      <alignment horizontal="left"/>
    </xf>
    <xf numFmtId="0" fontId="31" fillId="0" borderId="0" xfId="23" applyFont="1" applyBorder="1"/>
    <xf numFmtId="167" fontId="31" fillId="0" borderId="0" xfId="16" applyFont="1" applyBorder="1"/>
    <xf numFmtId="167" fontId="31" fillId="0" borderId="0" xfId="16" applyFont="1"/>
    <xf numFmtId="167" fontId="31" fillId="0" borderId="10" xfId="16" applyFont="1" applyBorder="1"/>
    <xf numFmtId="167" fontId="31" fillId="0" borderId="10" xfId="16" applyFont="1" applyBorder="1" applyAlignment="1">
      <alignment horizontal="right"/>
    </xf>
    <xf numFmtId="166" fontId="21" fillId="0" borderId="0" xfId="35" applyNumberFormat="1" applyFont="1" applyFill="1" applyBorder="1" applyAlignment="1">
      <alignment horizontal="left" indent="2"/>
    </xf>
    <xf numFmtId="166" fontId="31" fillId="0" borderId="0" xfId="35" applyNumberFormat="1" applyFont="1" applyBorder="1"/>
    <xf numFmtId="166" fontId="31" fillId="0" borderId="0" xfId="35" applyNumberFormat="1" applyFont="1"/>
    <xf numFmtId="166" fontId="31" fillId="0" borderId="10" xfId="35" applyNumberFormat="1" applyFont="1" applyBorder="1"/>
    <xf numFmtId="166" fontId="31" fillId="0" borderId="10" xfId="35" applyNumberFormat="1" applyFont="1" applyBorder="1" applyAlignment="1">
      <alignment horizontal="right"/>
    </xf>
    <xf numFmtId="0" fontId="21" fillId="0" borderId="0" xfId="32" applyFont="1" applyFill="1" applyBorder="1" applyAlignment="1">
      <alignment horizontal="left" indent="2"/>
    </xf>
    <xf numFmtId="0" fontId="31" fillId="0" borderId="0" xfId="23" applyFont="1" applyFill="1"/>
    <xf numFmtId="9" fontId="31" fillId="0" borderId="0" xfId="23" applyNumberFormat="1" applyFont="1" applyBorder="1"/>
    <xf numFmtId="9" fontId="31" fillId="0" borderId="0" xfId="23" applyNumberFormat="1" applyFont="1"/>
    <xf numFmtId="9" fontId="31" fillId="0" borderId="10" xfId="23" applyNumberFormat="1" applyFont="1" applyBorder="1"/>
    <xf numFmtId="9" fontId="31" fillId="0" borderId="10" xfId="23" applyNumberFormat="1" applyFont="1" applyBorder="1" applyAlignment="1">
      <alignment horizontal="right"/>
    </xf>
    <xf numFmtId="0" fontId="32" fillId="0" borderId="0" xfId="23" applyFont="1" applyBorder="1"/>
    <xf numFmtId="0" fontId="32" fillId="0" borderId="0" xfId="23" applyFont="1"/>
    <xf numFmtId="0" fontId="32" fillId="0" borderId="0" xfId="23" applyFont="1" applyFill="1"/>
    <xf numFmtId="0" fontId="32" fillId="0" borderId="10" xfId="23" applyFont="1" applyBorder="1"/>
    <xf numFmtId="0" fontId="32" fillId="0" borderId="10" xfId="23" applyFont="1" applyBorder="1" applyAlignment="1">
      <alignment horizontal="right"/>
    </xf>
    <xf numFmtId="0" fontId="2" fillId="0" borderId="15" xfId="23" applyBorder="1"/>
    <xf numFmtId="0" fontId="2" fillId="0" borderId="15" xfId="23" applyBorder="1" applyAlignment="1">
      <alignment horizontal="right"/>
    </xf>
    <xf numFmtId="39" fontId="33" fillId="0" borderId="0" xfId="16" applyNumberFormat="1" applyFont="1"/>
    <xf numFmtId="39" fontId="19" fillId="0" borderId="0" xfId="16" applyNumberFormat="1" applyFont="1"/>
    <xf numFmtId="0" fontId="7" fillId="0" borderId="0" xfId="23" applyFont="1"/>
    <xf numFmtId="43" fontId="34" fillId="0" borderId="0" xfId="23" applyNumberFormat="1" applyFont="1"/>
    <xf numFmtId="43" fontId="34" fillId="0" borderId="0" xfId="23" applyNumberFormat="1" applyFont="1" applyAlignment="1">
      <alignment horizontal="right"/>
    </xf>
    <xf numFmtId="0" fontId="35" fillId="0" borderId="0" xfId="23" applyFont="1" applyAlignment="1">
      <alignment horizontal="left"/>
    </xf>
    <xf numFmtId="183" fontId="35" fillId="0" borderId="0" xfId="16" applyNumberFormat="1" applyFont="1" applyAlignment="1">
      <alignment horizontal="left"/>
    </xf>
    <xf numFmtId="167" fontId="33" fillId="0" borderId="0" xfId="16" applyFont="1"/>
    <xf numFmtId="181" fontId="35" fillId="0" borderId="0" xfId="16" applyNumberFormat="1" applyFont="1" applyFill="1" applyBorder="1" applyAlignment="1"/>
    <xf numFmtId="181" fontId="35" fillId="0" borderId="0" xfId="16" applyNumberFormat="1" applyFont="1" applyFill="1" applyBorder="1" applyAlignment="1">
      <alignment horizontal="right"/>
    </xf>
    <xf numFmtId="167" fontId="19" fillId="0" borderId="0" xfId="16" applyFont="1" applyFill="1" applyBorder="1"/>
    <xf numFmtId="0" fontId="36" fillId="0" borderId="0" xfId="23" applyFont="1" applyAlignment="1">
      <alignment horizontal="left"/>
    </xf>
    <xf numFmtId="166" fontId="36" fillId="0" borderId="0" xfId="35" applyNumberFormat="1" applyFont="1" applyAlignment="1">
      <alignment horizontal="right"/>
    </xf>
    <xf numFmtId="166" fontId="33" fillId="0" borderId="0" xfId="35" applyNumberFormat="1" applyFont="1" applyAlignment="1">
      <alignment horizontal="right"/>
    </xf>
    <xf numFmtId="167" fontId="19" fillId="0" borderId="0" xfId="16" applyFont="1" applyBorder="1"/>
    <xf numFmtId="166" fontId="19" fillId="0" borderId="0" xfId="35" applyNumberFormat="1" applyFont="1" applyFill="1" applyBorder="1" applyAlignment="1"/>
    <xf numFmtId="166" fontId="19" fillId="0" borderId="0" xfId="35" applyNumberFormat="1" applyFont="1"/>
    <xf numFmtId="166" fontId="37" fillId="0" borderId="0" xfId="35" applyNumberFormat="1" applyFont="1" applyFill="1" applyBorder="1" applyAlignment="1"/>
    <xf numFmtId="166" fontId="4" fillId="8" borderId="14" xfId="35" applyNumberFormat="1" applyFont="1" applyFill="1" applyBorder="1" applyAlignment="1">
      <alignment horizontal="right"/>
    </xf>
    <xf numFmtId="166" fontId="4" fillId="8" borderId="0" xfId="35" applyNumberFormat="1" applyFont="1" applyFill="1" applyBorder="1" applyAlignment="1">
      <alignment horizontal="right"/>
    </xf>
    <xf numFmtId="166" fontId="4" fillId="8" borderId="13" xfId="35" applyNumberFormat="1" applyFont="1" applyFill="1" applyBorder="1" applyAlignment="1">
      <alignment horizontal="right"/>
    </xf>
    <xf numFmtId="0" fontId="36" fillId="0" borderId="0" xfId="23" applyFont="1" applyBorder="1" applyAlignment="1">
      <alignment horizontal="left" vertical="top"/>
    </xf>
    <xf numFmtId="0" fontId="36" fillId="0" borderId="0" xfId="23" applyFont="1" applyBorder="1"/>
    <xf numFmtId="0" fontId="36" fillId="0" borderId="0" xfId="23" applyFont="1" applyFill="1" applyBorder="1"/>
    <xf numFmtId="0" fontId="36" fillId="0" borderId="0" xfId="23" applyFont="1" applyFill="1" applyBorder="1" applyAlignment="1">
      <alignment horizontal="right"/>
    </xf>
    <xf numFmtId="183" fontId="36" fillId="0" borderId="0" xfId="16" applyNumberFormat="1" applyFont="1" applyAlignment="1">
      <alignment horizontal="left"/>
    </xf>
    <xf numFmtId="183" fontId="36" fillId="0" borderId="0" xfId="16" applyNumberFormat="1" applyFont="1" applyFill="1" applyBorder="1" applyAlignment="1"/>
    <xf numFmtId="183" fontId="36" fillId="0" borderId="0" xfId="16" applyNumberFormat="1" applyFont="1" applyFill="1" applyBorder="1" applyAlignment="1">
      <alignment horizontal="right"/>
    </xf>
    <xf numFmtId="0" fontId="36" fillId="0" borderId="0" xfId="23" applyFont="1"/>
    <xf numFmtId="166" fontId="19" fillId="0" borderId="0" xfId="35" applyNumberFormat="1" applyFont="1" applyFill="1" applyBorder="1" applyAlignment="1">
      <alignment horizontal="right"/>
    </xf>
    <xf numFmtId="166" fontId="31" fillId="0" borderId="0" xfId="35" applyNumberFormat="1" applyFont="1" applyFill="1" applyBorder="1" applyAlignment="1"/>
    <xf numFmtId="183" fontId="36" fillId="0" borderId="0" xfId="16" applyNumberFormat="1" applyFont="1" applyAlignment="1"/>
    <xf numFmtId="0" fontId="35" fillId="0" borderId="0" xfId="23" applyFont="1" applyBorder="1" applyAlignment="1">
      <alignment horizontal="left" vertical="top"/>
    </xf>
    <xf numFmtId="37" fontId="34" fillId="0" borderId="0" xfId="16" applyNumberFormat="1" applyFont="1"/>
    <xf numFmtId="167" fontId="34" fillId="0" borderId="0" xfId="16" applyFont="1"/>
    <xf numFmtId="167" fontId="34" fillId="0" borderId="0" xfId="16" applyFont="1" applyAlignment="1">
      <alignment horizontal="right"/>
    </xf>
    <xf numFmtId="183" fontId="35" fillId="0" borderId="0" xfId="23" applyNumberFormat="1" applyFont="1" applyFill="1" applyBorder="1"/>
    <xf numFmtId="167" fontId="34" fillId="0" borderId="0" xfId="16" applyFont="1" applyFill="1" applyBorder="1"/>
    <xf numFmtId="166" fontId="36" fillId="0" borderId="0" xfId="35" applyNumberFormat="1" applyFont="1" applyBorder="1" applyAlignment="1">
      <alignment horizontal="right" vertical="top"/>
    </xf>
    <xf numFmtId="166" fontId="19" fillId="0" borderId="0" xfId="35" applyNumberFormat="1" applyFont="1" applyAlignment="1">
      <alignment horizontal="right"/>
    </xf>
    <xf numFmtId="166" fontId="36" fillId="0" borderId="0" xfId="35" applyNumberFormat="1" applyFont="1" applyFill="1" applyBorder="1"/>
    <xf numFmtId="166" fontId="19" fillId="0" borderId="0" xfId="35" applyNumberFormat="1" applyFont="1" applyFill="1" applyBorder="1"/>
    <xf numFmtId="166" fontId="36" fillId="0" borderId="0" xfId="35" applyNumberFormat="1" applyFont="1" applyFill="1" applyBorder="1" applyAlignment="1">
      <alignment horizontal="right"/>
    </xf>
    <xf numFmtId="183" fontId="36" fillId="0" borderId="0" xfId="23" applyNumberFormat="1" applyFont="1" applyBorder="1" applyAlignment="1">
      <alignment horizontal="left" vertical="top"/>
    </xf>
    <xf numFmtId="183" fontId="19" fillId="0" borderId="0" xfId="16" applyNumberFormat="1" applyFont="1" applyFill="1" applyBorder="1"/>
    <xf numFmtId="183" fontId="19" fillId="0" borderId="0" xfId="16" applyNumberFormat="1" applyFont="1" applyFill="1" applyBorder="1" applyAlignment="1">
      <alignment horizontal="right"/>
    </xf>
    <xf numFmtId="183" fontId="37" fillId="0" borderId="0" xfId="16" applyNumberFormat="1" applyFont="1" applyFill="1" applyBorder="1"/>
    <xf numFmtId="183" fontId="36" fillId="0" borderId="0" xfId="23" applyNumberFormat="1" applyFont="1" applyFill="1" applyBorder="1"/>
    <xf numFmtId="167" fontId="19" fillId="0" borderId="0" xfId="16" applyFont="1" applyBorder="1" applyAlignment="1">
      <alignment horizontal="right"/>
    </xf>
    <xf numFmtId="167" fontId="19" fillId="0" borderId="0" xfId="16" applyFont="1" applyAlignment="1">
      <alignment horizontal="right"/>
    </xf>
    <xf numFmtId="183" fontId="36" fillId="0" borderId="0" xfId="16" applyNumberFormat="1" applyFont="1" applyFill="1" applyBorder="1"/>
    <xf numFmtId="167" fontId="34" fillId="0" borderId="0" xfId="16" applyFont="1" applyBorder="1"/>
    <xf numFmtId="183" fontId="35" fillId="0" borderId="0" xfId="23" applyNumberFormat="1" applyFont="1" applyBorder="1"/>
    <xf numFmtId="183" fontId="35" fillId="0" borderId="0" xfId="23" applyNumberFormat="1" applyFont="1" applyBorder="1" applyAlignment="1">
      <alignment horizontal="right"/>
    </xf>
    <xf numFmtId="0" fontId="2" fillId="0" borderId="0" xfId="23" applyBorder="1" applyAlignment="1">
      <alignment horizontal="right"/>
    </xf>
    <xf numFmtId="0" fontId="35" fillId="11" borderId="0" xfId="23" applyFont="1" applyFill="1" applyBorder="1" applyAlignment="1">
      <alignment horizontal="left" vertical="top"/>
    </xf>
    <xf numFmtId="0" fontId="2" fillId="11" borderId="0" xfId="23" applyFill="1"/>
    <xf numFmtId="167" fontId="19" fillId="11" borderId="0" xfId="16" applyFont="1" applyFill="1"/>
    <xf numFmtId="39" fontId="34" fillId="11" borderId="0" xfId="16" applyNumberFormat="1" applyFont="1" applyFill="1"/>
    <xf numFmtId="39" fontId="34" fillId="11" borderId="0" xfId="16" applyNumberFormat="1" applyFont="1" applyFill="1" applyAlignment="1">
      <alignment horizontal="right"/>
    </xf>
    <xf numFmtId="0" fontId="35" fillId="0" borderId="0" xfId="23" applyFont="1" applyFill="1" applyBorder="1" applyAlignment="1">
      <alignment horizontal="left" vertical="top"/>
    </xf>
    <xf numFmtId="183" fontId="35" fillId="0" borderId="0" xfId="16" applyNumberFormat="1" applyFont="1" applyFill="1" applyBorder="1"/>
    <xf numFmtId="183" fontId="35" fillId="0" borderId="0" xfId="16" applyNumberFormat="1" applyFont="1" applyFill="1" applyBorder="1" applyAlignment="1">
      <alignment horizontal="right"/>
    </xf>
    <xf numFmtId="0" fontId="36" fillId="0" borderId="0" xfId="23" applyFont="1" applyFill="1" applyBorder="1" applyAlignment="1">
      <alignment horizontal="left" vertical="top"/>
    </xf>
    <xf numFmtId="166" fontId="19" fillId="0" borderId="0" xfId="35" applyNumberFormat="1" applyFont="1" applyFill="1"/>
    <xf numFmtId="166" fontId="19" fillId="0" borderId="0" xfId="35" applyNumberFormat="1" applyFont="1" applyFill="1" applyAlignment="1">
      <alignment horizontal="right"/>
    </xf>
    <xf numFmtId="181" fontId="36" fillId="0" borderId="0" xfId="16" applyNumberFormat="1" applyFont="1" applyFill="1" applyBorder="1"/>
    <xf numFmtId="181" fontId="36" fillId="0" borderId="0" xfId="16" applyNumberFormat="1" applyFont="1" applyFill="1" applyBorder="1" applyAlignment="1">
      <alignment horizontal="right"/>
    </xf>
    <xf numFmtId="167" fontId="2" fillId="0" borderId="0" xfId="23" applyNumberFormat="1" applyAlignment="1">
      <alignment horizontal="right"/>
    </xf>
    <xf numFmtId="37" fontId="34" fillId="0" borderId="0" xfId="23" applyNumberFormat="1" applyFont="1" applyFill="1" applyBorder="1" applyAlignment="1" applyProtection="1">
      <alignment horizontal="left"/>
    </xf>
    <xf numFmtId="37" fontId="19" fillId="0" borderId="0" xfId="23" applyNumberFormat="1" applyFont="1" applyFill="1" applyBorder="1" applyAlignment="1" applyProtection="1">
      <alignment horizontal="left" indent="1"/>
    </xf>
    <xf numFmtId="37" fontId="19" fillId="0" borderId="0" xfId="23" applyNumberFormat="1" applyFont="1" applyFill="1" applyBorder="1" applyAlignment="1" applyProtection="1">
      <alignment horizontal="left" indent="2"/>
    </xf>
    <xf numFmtId="37" fontId="19" fillId="0" borderId="11" xfId="23" applyNumberFormat="1" applyFont="1" applyFill="1" applyBorder="1" applyAlignment="1" applyProtection="1">
      <alignment horizontal="left" indent="1"/>
    </xf>
    <xf numFmtId="167" fontId="19" fillId="0" borderId="2" xfId="16" applyFont="1" applyBorder="1"/>
    <xf numFmtId="37" fontId="19" fillId="0" borderId="17" xfId="23" applyNumberFormat="1" applyFont="1" applyFill="1" applyBorder="1" applyAlignment="1" applyProtection="1">
      <alignment horizontal="left" indent="2"/>
    </xf>
    <xf numFmtId="166" fontId="19" fillId="0" borderId="5" xfId="35" applyNumberFormat="1" applyFont="1" applyBorder="1"/>
    <xf numFmtId="0" fontId="38" fillId="0" borderId="0" xfId="23" applyFont="1" applyAlignment="1">
      <alignment horizontal="centerContinuous"/>
    </xf>
    <xf numFmtId="167" fontId="39" fillId="0" borderId="0" xfId="23" applyNumberFormat="1" applyFont="1"/>
    <xf numFmtId="0" fontId="40" fillId="0" borderId="0" xfId="23" applyFont="1"/>
    <xf numFmtId="167" fontId="40" fillId="0" borderId="0" xfId="23" applyNumberFormat="1" applyFont="1"/>
    <xf numFmtId="167" fontId="17" fillId="0" borderId="0" xfId="23" applyNumberFormat="1" applyFont="1"/>
    <xf numFmtId="0" fontId="19" fillId="0" borderId="7" xfId="23" applyFont="1" applyFill="1" applyBorder="1"/>
    <xf numFmtId="164" fontId="4" fillId="0" borderId="6" xfId="23" applyNumberFormat="1" applyFont="1" applyFill="1" applyBorder="1" applyAlignment="1">
      <alignment horizontal="right"/>
    </xf>
    <xf numFmtId="164" fontId="4" fillId="0" borderId="3" xfId="23" applyNumberFormat="1" applyFont="1" applyFill="1" applyBorder="1" applyAlignment="1">
      <alignment horizontal="right"/>
    </xf>
    <xf numFmtId="164" fontId="3" fillId="0" borderId="3" xfId="23" applyNumberFormat="1" applyFont="1" applyFill="1" applyBorder="1" applyAlignment="1">
      <alignment horizontal="right"/>
    </xf>
    <xf numFmtId="164" fontId="3" fillId="0" borderId="6" xfId="23" applyNumberFormat="1" applyFont="1" applyFill="1" applyBorder="1" applyAlignment="1">
      <alignment horizontal="right"/>
    </xf>
    <xf numFmtId="164" fontId="3" fillId="0" borderId="7" xfId="23" applyNumberFormat="1" applyFont="1" applyFill="1" applyBorder="1" applyAlignment="1">
      <alignment horizontal="right"/>
    </xf>
    <xf numFmtId="164" fontId="3" fillId="0" borderId="4" xfId="23" applyNumberFormat="1" applyFont="1" applyFill="1" applyBorder="1" applyAlignment="1">
      <alignment horizontal="right"/>
    </xf>
    <xf numFmtId="0" fontId="19" fillId="0" borderId="0" xfId="23" applyFont="1" applyFill="1"/>
    <xf numFmtId="0" fontId="19" fillId="0" borderId="0" xfId="23" applyFont="1" applyFill="1" applyBorder="1"/>
    <xf numFmtId="0" fontId="19" fillId="0" borderId="9" xfId="23" applyFont="1" applyFill="1" applyBorder="1"/>
    <xf numFmtId="0" fontId="19" fillId="0" borderId="10" xfId="23" applyFont="1" applyFill="1" applyBorder="1"/>
    <xf numFmtId="9" fontId="19" fillId="0" borderId="10" xfId="23" applyNumberFormat="1" applyFont="1" applyFill="1" applyBorder="1"/>
    <xf numFmtId="0" fontId="19" fillId="0" borderId="14" xfId="23" applyFont="1" applyFill="1" applyBorder="1"/>
    <xf numFmtId="0" fontId="19" fillId="0" borderId="13" xfId="23" applyFont="1" applyFill="1" applyBorder="1"/>
    <xf numFmtId="0" fontId="34" fillId="0" borderId="10" xfId="23" applyFont="1" applyFill="1" applyBorder="1"/>
    <xf numFmtId="7" fontId="19" fillId="0" borderId="0" xfId="23" applyNumberFormat="1" applyFont="1" applyFill="1" applyBorder="1"/>
    <xf numFmtId="0" fontId="34" fillId="0" borderId="0" xfId="23" applyFont="1" applyFill="1" applyBorder="1"/>
    <xf numFmtId="167" fontId="12" fillId="0" borderId="10" xfId="16" applyFont="1" applyFill="1" applyBorder="1"/>
    <xf numFmtId="167" fontId="12" fillId="0" borderId="14" xfId="16" applyFont="1" applyFill="1" applyBorder="1"/>
    <xf numFmtId="167" fontId="12" fillId="0" borderId="0" xfId="16" applyFont="1" applyFill="1" applyBorder="1"/>
    <xf numFmtId="167" fontId="12" fillId="0" borderId="13" xfId="16" applyFont="1" applyFill="1" applyBorder="1"/>
    <xf numFmtId="167" fontId="4" fillId="0" borderId="0" xfId="16" applyFont="1" applyFill="1" applyBorder="1"/>
    <xf numFmtId="167" fontId="33" fillId="0" borderId="0" xfId="16" applyNumberFormat="1" applyFont="1" applyFill="1" applyBorder="1"/>
    <xf numFmtId="167" fontId="33" fillId="0" borderId="13" xfId="16" applyNumberFormat="1" applyFont="1" applyFill="1" applyBorder="1"/>
    <xf numFmtId="166" fontId="3" fillId="0" borderId="0" xfId="35" applyNumberFormat="1" applyFont="1" applyFill="1" applyBorder="1" applyAlignment="1">
      <alignment horizontal="left" indent="2"/>
    </xf>
    <xf numFmtId="0" fontId="19" fillId="0" borderId="10" xfId="23" applyFont="1" applyFill="1" applyBorder="1" applyAlignment="1">
      <alignment wrapText="1"/>
    </xf>
    <xf numFmtId="167" fontId="4" fillId="0" borderId="10" xfId="16" applyFont="1" applyFill="1" applyBorder="1"/>
    <xf numFmtId="167" fontId="4" fillId="0" borderId="13" xfId="16" applyFont="1" applyFill="1" applyBorder="1"/>
    <xf numFmtId="167" fontId="3" fillId="0" borderId="14" xfId="16" applyFont="1" applyFill="1" applyBorder="1"/>
    <xf numFmtId="167" fontId="3" fillId="0" borderId="13" xfId="16" applyFont="1" applyFill="1" applyBorder="1"/>
    <xf numFmtId="168" fontId="45" fillId="0" borderId="10" xfId="16" applyNumberFormat="1" applyFont="1" applyFill="1" applyBorder="1"/>
    <xf numFmtId="168" fontId="45" fillId="0" borderId="0" xfId="16" applyNumberFormat="1" applyFont="1" applyFill="1" applyBorder="1"/>
    <xf numFmtId="168" fontId="8" fillId="0" borderId="10" xfId="16" applyNumberFormat="1" applyFont="1" applyBorder="1"/>
    <xf numFmtId="168" fontId="8" fillId="0" borderId="0" xfId="16" applyNumberFormat="1" applyFont="1" applyBorder="1"/>
    <xf numFmtId="168" fontId="8" fillId="0" borderId="0" xfId="16" applyNumberFormat="1" applyFont="1" applyFill="1" applyBorder="1"/>
    <xf numFmtId="168" fontId="8" fillId="0" borderId="14" xfId="16" applyNumberFormat="1" applyFont="1" applyBorder="1"/>
    <xf numFmtId="168" fontId="8" fillId="0" borderId="13" xfId="16" applyNumberFormat="1" applyFont="1" applyBorder="1"/>
    <xf numFmtId="166" fontId="5" fillId="8" borderId="10" xfId="35" applyNumberFormat="1" applyFont="1" applyFill="1" applyBorder="1"/>
    <xf numFmtId="0" fontId="3" fillId="0" borderId="10" xfId="32" applyFont="1" applyFill="1" applyBorder="1" applyAlignment="1">
      <alignment horizontal="left" indent="2"/>
    </xf>
    <xf numFmtId="166" fontId="46" fillId="0" borderId="10" xfId="35" applyNumberFormat="1" applyFont="1" applyFill="1" applyBorder="1"/>
    <xf numFmtId="166" fontId="47" fillId="0" borderId="0" xfId="35" applyNumberFormat="1" applyFont="1" applyFill="1" applyBorder="1"/>
    <xf numFmtId="166" fontId="47" fillId="0" borderId="10" xfId="35" applyNumberFormat="1" applyFont="1" applyFill="1" applyBorder="1"/>
    <xf numFmtId="168" fontId="19" fillId="0" borderId="0" xfId="23" applyNumberFormat="1" applyFont="1" applyFill="1" applyBorder="1"/>
    <xf numFmtId="10" fontId="19" fillId="0" borderId="0" xfId="35" applyNumberFormat="1" applyFont="1" applyFill="1" applyBorder="1"/>
    <xf numFmtId="168" fontId="19" fillId="0" borderId="14" xfId="23" applyNumberFormat="1" applyFont="1" applyFill="1" applyBorder="1"/>
    <xf numFmtId="168" fontId="19" fillId="0" borderId="13" xfId="23" applyNumberFormat="1" applyFont="1" applyFill="1" applyBorder="1"/>
    <xf numFmtId="167" fontId="33" fillId="0" borderId="10" xfId="16" applyFont="1" applyFill="1" applyBorder="1"/>
    <xf numFmtId="167" fontId="33" fillId="0" borderId="0" xfId="16" applyFont="1" applyFill="1" applyBorder="1"/>
    <xf numFmtId="167" fontId="19" fillId="0" borderId="10" xfId="16" applyFont="1" applyFill="1" applyBorder="1"/>
    <xf numFmtId="167" fontId="19" fillId="0" borderId="10" xfId="23" applyNumberFormat="1" applyFont="1" applyFill="1" applyBorder="1"/>
    <xf numFmtId="167" fontId="19" fillId="0" borderId="10" xfId="16" applyNumberFormat="1" applyFont="1" applyFill="1" applyBorder="1"/>
    <xf numFmtId="167" fontId="19" fillId="0" borderId="0" xfId="16" applyNumberFormat="1" applyFont="1" applyFill="1" applyBorder="1"/>
    <xf numFmtId="166" fontId="19" fillId="0" borderId="10" xfId="35" applyNumberFormat="1" applyFont="1" applyFill="1" applyBorder="1"/>
    <xf numFmtId="166" fontId="33" fillId="0" borderId="0" xfId="35" applyNumberFormat="1" applyFont="1" applyFill="1" applyBorder="1"/>
    <xf numFmtId="166" fontId="19" fillId="0" borderId="13" xfId="35" applyNumberFormat="1" applyFont="1" applyFill="1" applyBorder="1"/>
    <xf numFmtId="167" fontId="3" fillId="8" borderId="0" xfId="35" applyNumberFormat="1" applyFont="1" applyFill="1" applyBorder="1"/>
    <xf numFmtId="166" fontId="5" fillId="8" borderId="13" xfId="35" applyNumberFormat="1" applyFont="1" applyFill="1" applyBorder="1"/>
    <xf numFmtId="167" fontId="19" fillId="0" borderId="0" xfId="23" applyNumberFormat="1" applyFont="1" applyFill="1" applyBorder="1"/>
    <xf numFmtId="9" fontId="19" fillId="0" borderId="0" xfId="35" applyFont="1" applyFill="1" applyBorder="1"/>
    <xf numFmtId="9" fontId="19" fillId="0" borderId="13" xfId="35" applyFont="1" applyFill="1" applyBorder="1"/>
    <xf numFmtId="166" fontId="9" fillId="0" borderId="10" xfId="35" applyNumberFormat="1" applyFont="1" applyFill="1" applyBorder="1" applyAlignment="1">
      <alignment horizontal="left" indent="2"/>
    </xf>
    <xf numFmtId="166" fontId="9" fillId="0" borderId="0" xfId="35" applyNumberFormat="1" applyFont="1" applyFill="1" applyBorder="1" applyAlignment="1">
      <alignment horizontal="left" indent="2"/>
    </xf>
    <xf numFmtId="166" fontId="47" fillId="0" borderId="13" xfId="35" applyNumberFormat="1" applyFont="1" applyFill="1" applyBorder="1"/>
    <xf numFmtId="0" fontId="19" fillId="0" borderId="10" xfId="23" applyFont="1" applyFill="1" applyBorder="1" applyAlignment="1">
      <alignment horizontal="left" indent="1"/>
    </xf>
    <xf numFmtId="39" fontId="19" fillId="0" borderId="10" xfId="23" applyNumberFormat="1" applyFont="1" applyFill="1" applyBorder="1"/>
    <xf numFmtId="0" fontId="19" fillId="0" borderId="0" xfId="23" applyFont="1" applyFill="1" applyBorder="1" applyAlignment="1">
      <alignment horizontal="left" indent="1"/>
    </xf>
    <xf numFmtId="166" fontId="5" fillId="0" borderId="10" xfId="35" applyNumberFormat="1" applyFont="1" applyFill="1" applyBorder="1" applyAlignment="1">
      <alignment horizontal="right"/>
    </xf>
    <xf numFmtId="166" fontId="5" fillId="0" borderId="0" xfId="35" applyNumberFormat="1" applyFont="1" applyFill="1" applyBorder="1" applyAlignment="1">
      <alignment horizontal="right"/>
    </xf>
    <xf numFmtId="167" fontId="36" fillId="0" borderId="0" xfId="23" applyNumberFormat="1" applyFont="1" applyFill="1" applyBorder="1" applyAlignment="1">
      <alignment horizontal="right"/>
    </xf>
    <xf numFmtId="167" fontId="19" fillId="0" borderId="0" xfId="23" applyNumberFormat="1" applyFont="1" applyFill="1" applyBorder="1" applyAlignment="1">
      <alignment horizontal="center"/>
    </xf>
    <xf numFmtId="166" fontId="19" fillId="0" borderId="10" xfId="23" applyNumberFormat="1" applyFont="1" applyFill="1" applyBorder="1" applyAlignment="1">
      <alignment horizontal="center"/>
    </xf>
    <xf numFmtId="166" fontId="5" fillId="0" borderId="0" xfId="35" applyNumberFormat="1" applyFont="1" applyFill="1" applyBorder="1"/>
    <xf numFmtId="166" fontId="5" fillId="0" borderId="10" xfId="35" applyNumberFormat="1" applyFont="1" applyFill="1" applyBorder="1"/>
    <xf numFmtId="9" fontId="33" fillId="0" borderId="0" xfId="23" applyNumberFormat="1" applyFont="1" applyFill="1" applyBorder="1"/>
    <xf numFmtId="9" fontId="33" fillId="0" borderId="10" xfId="23" applyNumberFormat="1" applyFont="1" applyFill="1" applyBorder="1"/>
    <xf numFmtId="9" fontId="19" fillId="0" borderId="0" xfId="23" applyNumberFormat="1" applyFont="1" applyFill="1" applyBorder="1" applyAlignment="1">
      <alignment horizontal="right"/>
    </xf>
    <xf numFmtId="9" fontId="19" fillId="0" borderId="0" xfId="23" applyNumberFormat="1" applyFont="1" applyFill="1" applyBorder="1"/>
    <xf numFmtId="39" fontId="33" fillId="0" borderId="0" xfId="16" applyNumberFormat="1" applyFont="1" applyFill="1" applyBorder="1"/>
    <xf numFmtId="39" fontId="4" fillId="0" borderId="0" xfId="16" applyNumberFormat="1" applyFont="1" applyFill="1" applyBorder="1"/>
    <xf numFmtId="167" fontId="19" fillId="3" borderId="10" xfId="23" applyNumberFormat="1" applyFont="1" applyFill="1" applyBorder="1"/>
    <xf numFmtId="39" fontId="3" fillId="0" borderId="0" xfId="16" applyNumberFormat="1" applyFont="1" applyFill="1" applyBorder="1"/>
    <xf numFmtId="167" fontId="19" fillId="3" borderId="0" xfId="23" applyNumberFormat="1" applyFont="1" applyFill="1" applyBorder="1" applyAlignment="1">
      <alignment horizontal="right"/>
    </xf>
    <xf numFmtId="167" fontId="19" fillId="3" borderId="0" xfId="23" applyNumberFormat="1" applyFont="1" applyFill="1" applyBorder="1"/>
    <xf numFmtId="167" fontId="3" fillId="0" borderId="0" xfId="16" applyFont="1" applyFill="1" applyBorder="1" applyAlignment="1">
      <alignment horizontal="right"/>
    </xf>
    <xf numFmtId="0" fontId="36" fillId="0" borderId="10" xfId="23" applyFont="1" applyFill="1" applyBorder="1" applyAlignment="1">
      <alignment horizontal="right"/>
    </xf>
    <xf numFmtId="166" fontId="5" fillId="0" borderId="0" xfId="35" applyNumberFormat="1" applyFont="1" applyFill="1" applyBorder="1" applyAlignment="1">
      <alignment horizontal="center"/>
    </xf>
    <xf numFmtId="166" fontId="5" fillId="0" borderId="0" xfId="35" quotePrefix="1" applyNumberFormat="1" applyFont="1" applyFill="1" applyBorder="1" applyAlignment="1">
      <alignment horizontal="center"/>
    </xf>
    <xf numFmtId="166" fontId="5" fillId="0" borderId="10" xfId="35" applyNumberFormat="1" applyFont="1" applyFill="1" applyBorder="1" applyAlignment="1">
      <alignment horizontal="center"/>
    </xf>
    <xf numFmtId="166" fontId="3" fillId="0" borderId="0" xfId="35" applyNumberFormat="1" applyFont="1" applyFill="1" applyBorder="1" applyAlignment="1">
      <alignment horizontal="center"/>
    </xf>
    <xf numFmtId="166" fontId="19" fillId="0" borderId="10" xfId="23" applyNumberFormat="1" applyFont="1" applyFill="1" applyBorder="1"/>
    <xf numFmtId="9" fontId="19" fillId="0" borderId="13" xfId="23" applyNumberFormat="1" applyFont="1" applyFill="1" applyBorder="1"/>
    <xf numFmtId="167" fontId="19" fillId="0" borderId="13" xfId="16" applyFont="1" applyFill="1" applyBorder="1"/>
    <xf numFmtId="167" fontId="49" fillId="0" borderId="14" xfId="16" applyNumberFormat="1" applyFont="1" applyFill="1" applyBorder="1"/>
    <xf numFmtId="167" fontId="49" fillId="0" borderId="0" xfId="16" applyNumberFormat="1" applyFont="1" applyFill="1" applyBorder="1"/>
    <xf numFmtId="167" fontId="49" fillId="0" borderId="13" xfId="16" applyNumberFormat="1" applyFont="1" applyFill="1" applyBorder="1"/>
    <xf numFmtId="167" fontId="49" fillId="0" borderId="10" xfId="16" applyNumberFormat="1" applyFont="1" applyFill="1" applyBorder="1"/>
    <xf numFmtId="166" fontId="49" fillId="0" borderId="14" xfId="35" applyNumberFormat="1" applyFont="1" applyFill="1" applyBorder="1"/>
    <xf numFmtId="166" fontId="49" fillId="0" borderId="0" xfId="35" applyNumberFormat="1" applyFont="1" applyFill="1" applyBorder="1"/>
    <xf numFmtId="166" fontId="49" fillId="0" borderId="10" xfId="35" applyNumberFormat="1" applyFont="1" applyFill="1" applyBorder="1"/>
    <xf numFmtId="167" fontId="19" fillId="8" borderId="0" xfId="16" applyFont="1" applyFill="1" applyBorder="1"/>
    <xf numFmtId="166" fontId="47" fillId="3" borderId="0" xfId="35" applyNumberFormat="1" applyFont="1" applyFill="1" applyBorder="1"/>
    <xf numFmtId="9" fontId="46" fillId="0" borderId="10" xfId="35" applyNumberFormat="1" applyFont="1" applyFill="1" applyBorder="1"/>
    <xf numFmtId="9" fontId="47" fillId="0" borderId="13" xfId="35" applyNumberFormat="1" applyFont="1" applyFill="1" applyBorder="1"/>
    <xf numFmtId="0" fontId="52" fillId="0" borderId="10" xfId="23" applyFont="1" applyFill="1" applyBorder="1"/>
    <xf numFmtId="166" fontId="7" fillId="0" borderId="0" xfId="35" applyNumberFormat="1" applyFont="1" applyFill="1" applyBorder="1"/>
    <xf numFmtId="167" fontId="47" fillId="0" borderId="0" xfId="16" applyFont="1" applyFill="1" applyBorder="1"/>
    <xf numFmtId="167" fontId="47" fillId="0" borderId="13" xfId="16" applyFont="1" applyFill="1" applyBorder="1"/>
    <xf numFmtId="167" fontId="14" fillId="0" borderId="14" xfId="16" applyFont="1" applyFill="1" applyBorder="1"/>
    <xf numFmtId="167" fontId="14" fillId="0" borderId="0" xfId="16" applyFont="1" applyFill="1" applyBorder="1"/>
    <xf numFmtId="167" fontId="14" fillId="0" borderId="13" xfId="16" applyFont="1" applyFill="1" applyBorder="1"/>
    <xf numFmtId="37" fontId="19" fillId="0" borderId="0" xfId="16" applyNumberFormat="1" applyFont="1" applyFill="1"/>
    <xf numFmtId="166" fontId="19" fillId="0" borderId="10" xfId="35" applyNumberFormat="1" applyFont="1" applyFill="1" applyBorder="1" applyAlignment="1">
      <alignment horizontal="right"/>
    </xf>
    <xf numFmtId="166" fontId="4" fillId="12" borderId="0" xfId="35" applyNumberFormat="1" applyFont="1" applyFill="1" applyBorder="1"/>
    <xf numFmtId="167" fontId="4" fillId="8" borderId="13" xfId="35" applyNumberFormat="1" applyFont="1" applyFill="1" applyBorder="1"/>
    <xf numFmtId="167" fontId="4" fillId="8" borderId="13" xfId="16" applyFont="1" applyFill="1" applyBorder="1"/>
    <xf numFmtId="166" fontId="4" fillId="0" borderId="14" xfId="35" applyNumberFormat="1" applyFont="1" applyFill="1" applyBorder="1"/>
    <xf numFmtId="167" fontId="47" fillId="0" borderId="13" xfId="35" applyNumberFormat="1" applyFont="1" applyFill="1" applyBorder="1"/>
    <xf numFmtId="166" fontId="50" fillId="0" borderId="0" xfId="35" applyNumberFormat="1" applyFont="1" applyFill="1" applyBorder="1"/>
    <xf numFmtId="166" fontId="51" fillId="0" borderId="10" xfId="35" applyNumberFormat="1" applyFont="1" applyFill="1" applyBorder="1" applyAlignment="1">
      <alignment horizontal="right"/>
    </xf>
    <xf numFmtId="166" fontId="51" fillId="0" borderId="10" xfId="35" applyNumberFormat="1" applyFont="1" applyFill="1" applyBorder="1"/>
    <xf numFmtId="166" fontId="51" fillId="0" borderId="13" xfId="35" applyNumberFormat="1" applyFont="1" applyFill="1" applyBorder="1"/>
    <xf numFmtId="167" fontId="19" fillId="0" borderId="13" xfId="23" applyNumberFormat="1" applyFont="1" applyFill="1" applyBorder="1"/>
    <xf numFmtId="9" fontId="4" fillId="0" borderId="0" xfId="35" applyNumberFormat="1" applyFont="1" applyFill="1" applyBorder="1" applyAlignment="1">
      <alignment horizontal="right"/>
    </xf>
    <xf numFmtId="9" fontId="33" fillId="0" borderId="0" xfId="35" applyNumberFormat="1" applyFont="1" applyFill="1" applyBorder="1"/>
    <xf numFmtId="7" fontId="19" fillId="0" borderId="13" xfId="23" applyNumberFormat="1" applyFont="1" applyFill="1" applyBorder="1"/>
    <xf numFmtId="168" fontId="52" fillId="0" borderId="10" xfId="18" applyFont="1" applyFill="1" applyBorder="1"/>
    <xf numFmtId="168" fontId="52" fillId="0" borderId="0" xfId="18" applyFont="1" applyFill="1" applyBorder="1"/>
    <xf numFmtId="168" fontId="9" fillId="0" borderId="10" xfId="18" applyFont="1" applyFill="1" applyBorder="1"/>
    <xf numFmtId="168" fontId="9" fillId="0" borderId="0" xfId="18" applyFont="1" applyFill="1" applyBorder="1"/>
    <xf numFmtId="0" fontId="52" fillId="0" borderId="0" xfId="23" applyFont="1" applyFill="1" applyBorder="1"/>
    <xf numFmtId="168" fontId="34" fillId="0" borderId="10" xfId="18" applyFont="1" applyFill="1" applyBorder="1"/>
    <xf numFmtId="168" fontId="34" fillId="0" borderId="0" xfId="18" applyFont="1" applyFill="1" applyBorder="1"/>
    <xf numFmtId="168" fontId="8" fillId="0" borderId="10" xfId="18" applyFont="1" applyFill="1" applyBorder="1"/>
    <xf numFmtId="168" fontId="34" fillId="0" borderId="0" xfId="18" applyNumberFormat="1" applyFont="1" applyFill="1" applyBorder="1"/>
    <xf numFmtId="168" fontId="8" fillId="0" borderId="14" xfId="18" applyFont="1" applyFill="1" applyBorder="1"/>
    <xf numFmtId="168" fontId="8" fillId="0" borderId="13" xfId="18" applyFont="1" applyFill="1" applyBorder="1"/>
    <xf numFmtId="168" fontId="34" fillId="0" borderId="0" xfId="18" applyFont="1" applyFill="1"/>
    <xf numFmtId="166" fontId="19" fillId="0" borderId="14" xfId="35" applyNumberFormat="1" applyFont="1" applyFill="1" applyBorder="1"/>
    <xf numFmtId="166" fontId="23" fillId="0" borderId="10" xfId="35" applyNumberFormat="1" applyFont="1" applyFill="1" applyBorder="1"/>
    <xf numFmtId="166" fontId="33" fillId="0" borderId="13" xfId="35" applyNumberFormat="1" applyFont="1" applyFill="1" applyBorder="1"/>
    <xf numFmtId="168" fontId="52" fillId="0" borderId="0" xfId="18" applyNumberFormat="1" applyFont="1" applyFill="1" applyBorder="1"/>
    <xf numFmtId="168" fontId="9" fillId="0" borderId="14" xfId="18" applyFont="1" applyFill="1" applyBorder="1"/>
    <xf numFmtId="168" fontId="9" fillId="0" borderId="13" xfId="18" applyFont="1" applyFill="1" applyBorder="1"/>
    <xf numFmtId="168" fontId="9" fillId="0" borderId="0" xfId="18" applyNumberFormat="1" applyFont="1" applyFill="1" applyBorder="1"/>
    <xf numFmtId="0" fontId="53" fillId="0" borderId="0" xfId="23" applyFont="1" applyFill="1"/>
    <xf numFmtId="168" fontId="52" fillId="0" borderId="0" xfId="18" applyFont="1" applyFill="1"/>
    <xf numFmtId="166" fontId="19" fillId="0" borderId="14" xfId="23" applyNumberFormat="1" applyFont="1" applyFill="1" applyBorder="1"/>
    <xf numFmtId="166" fontId="19" fillId="0" borderId="0" xfId="23" applyNumberFormat="1" applyFont="1" applyFill="1" applyBorder="1"/>
    <xf numFmtId="166" fontId="19" fillId="0" borderId="13" xfId="23" applyNumberFormat="1" applyFont="1" applyFill="1" applyBorder="1"/>
    <xf numFmtId="166" fontId="33" fillId="0" borderId="0" xfId="23" applyNumberFormat="1" applyFont="1" applyFill="1" applyBorder="1"/>
    <xf numFmtId="166" fontId="33" fillId="0" borderId="10" xfId="23" applyNumberFormat="1" applyFont="1" applyFill="1" applyBorder="1"/>
    <xf numFmtId="168" fontId="34" fillId="0" borderId="10" xfId="23" applyNumberFormat="1" applyFont="1" applyFill="1" applyBorder="1"/>
    <xf numFmtId="168" fontId="34" fillId="0" borderId="0" xfId="23" applyNumberFormat="1" applyFont="1" applyFill="1" applyBorder="1"/>
    <xf numFmtId="168" fontId="34" fillId="0" borderId="14" xfId="23" applyNumberFormat="1" applyFont="1" applyFill="1" applyBorder="1"/>
    <xf numFmtId="168" fontId="34" fillId="0" borderId="13" xfId="23" applyNumberFormat="1" applyFont="1" applyFill="1" applyBorder="1"/>
    <xf numFmtId="0" fontId="34" fillId="0" borderId="0" xfId="23" applyFont="1" applyFill="1"/>
    <xf numFmtId="166" fontId="23" fillId="3" borderId="0" xfId="35" applyNumberFormat="1" applyFont="1" applyFill="1" applyBorder="1"/>
    <xf numFmtId="166" fontId="33" fillId="0" borderId="10" xfId="35" applyNumberFormat="1" applyFont="1" applyFill="1" applyBorder="1"/>
    <xf numFmtId="0" fontId="19" fillId="0" borderId="10" xfId="35" applyNumberFormat="1" applyFont="1" applyFill="1" applyBorder="1"/>
    <xf numFmtId="166" fontId="23" fillId="0" borderId="0" xfId="35" applyNumberFormat="1" applyFont="1" applyFill="1" applyBorder="1"/>
    <xf numFmtId="10" fontId="19" fillId="0" borderId="0" xfId="23" applyNumberFormat="1" applyFont="1" applyFill="1" applyBorder="1"/>
    <xf numFmtId="167" fontId="34" fillId="0" borderId="10" xfId="16" applyFont="1" applyFill="1" applyBorder="1"/>
    <xf numFmtId="167" fontId="34" fillId="0" borderId="14" xfId="16" applyFont="1" applyFill="1" applyBorder="1"/>
    <xf numFmtId="167" fontId="34" fillId="0" borderId="13" xfId="16" applyFont="1" applyFill="1" applyBorder="1"/>
    <xf numFmtId="168" fontId="19" fillId="0" borderId="10" xfId="23" applyNumberFormat="1" applyFont="1" applyFill="1" applyBorder="1"/>
    <xf numFmtId="164" fontId="34" fillId="0" borderId="10" xfId="23" applyNumberFormat="1" applyFont="1" applyFill="1" applyBorder="1" applyAlignment="1">
      <alignment horizontal="center"/>
    </xf>
    <xf numFmtId="0" fontId="34" fillId="0" borderId="0" xfId="23" applyFont="1" applyFill="1" applyBorder="1" applyAlignment="1">
      <alignment horizontal="center"/>
    </xf>
    <xf numFmtId="0" fontId="34" fillId="0" borderId="10" xfId="23" applyFont="1" applyFill="1" applyBorder="1" applyAlignment="1">
      <alignment horizontal="center"/>
    </xf>
    <xf numFmtId="0" fontId="34" fillId="0" borderId="14" xfId="23" applyFont="1" applyFill="1" applyBorder="1" applyAlignment="1">
      <alignment horizontal="center"/>
    </xf>
    <xf numFmtId="0" fontId="34" fillId="0" borderId="13" xfId="23" applyFont="1" applyFill="1" applyBorder="1" applyAlignment="1">
      <alignment horizontal="center"/>
    </xf>
    <xf numFmtId="0" fontId="34" fillId="0" borderId="10" xfId="23" applyFont="1" applyFill="1" applyBorder="1" applyAlignment="1">
      <alignment horizontal="right"/>
    </xf>
    <xf numFmtId="0" fontId="34" fillId="0" borderId="14" xfId="23" applyFont="1" applyFill="1" applyBorder="1" applyAlignment="1">
      <alignment horizontal="right"/>
    </xf>
    <xf numFmtId="0" fontId="34" fillId="0" borderId="0" xfId="23" applyFont="1" applyFill="1" applyBorder="1" applyAlignment="1">
      <alignment horizontal="right"/>
    </xf>
    <xf numFmtId="0" fontId="34" fillId="0" borderId="13" xfId="23" applyFont="1" applyFill="1" applyBorder="1" applyAlignment="1">
      <alignment horizontal="right"/>
    </xf>
    <xf numFmtId="0" fontId="34" fillId="0" borderId="10" xfId="23" applyFont="1" applyFill="1" applyBorder="1" applyAlignment="1">
      <alignment horizontal="left" indent="1"/>
    </xf>
    <xf numFmtId="9" fontId="19" fillId="0" borderId="10" xfId="35" applyFont="1" applyFill="1" applyBorder="1"/>
    <xf numFmtId="9" fontId="19" fillId="0" borderId="14" xfId="35" applyFont="1" applyFill="1" applyBorder="1"/>
    <xf numFmtId="0" fontId="19" fillId="0" borderId="17" xfId="23" applyFont="1" applyFill="1" applyBorder="1" applyAlignment="1">
      <alignment horizontal="left" indent="1"/>
    </xf>
    <xf numFmtId="166" fontId="19" fillId="0" borderId="15" xfId="35" applyNumberFormat="1" applyFont="1" applyFill="1" applyBorder="1"/>
    <xf numFmtId="166" fontId="19" fillId="0" borderId="5" xfId="35" applyNumberFormat="1" applyFont="1" applyFill="1" applyBorder="1"/>
    <xf numFmtId="166" fontId="19" fillId="0" borderId="17" xfId="35" applyNumberFormat="1" applyFont="1" applyFill="1" applyBorder="1"/>
    <xf numFmtId="166" fontId="19" fillId="0" borderId="16" xfId="35" applyNumberFormat="1" applyFont="1" applyFill="1" applyBorder="1"/>
    <xf numFmtId="0" fontId="19" fillId="0" borderId="14" xfId="23" applyFont="1" applyFill="1" applyBorder="1" applyAlignment="1">
      <alignment horizontal="left" indent="1"/>
    </xf>
    <xf numFmtId="0" fontId="34" fillId="0" borderId="14" xfId="23" applyFont="1" applyFill="1" applyBorder="1"/>
    <xf numFmtId="7" fontId="34" fillId="0" borderId="0" xfId="23" applyNumberFormat="1" applyFont="1" applyFill="1" applyBorder="1"/>
    <xf numFmtId="0" fontId="19" fillId="0" borderId="14" xfId="23" applyFont="1" applyFill="1" applyBorder="1" applyAlignment="1">
      <alignment horizontal="left" indent="2"/>
    </xf>
    <xf numFmtId="166" fontId="19" fillId="0" borderId="0" xfId="23" applyNumberFormat="1" applyFont="1" applyFill="1"/>
    <xf numFmtId="0" fontId="19" fillId="0" borderId="0" xfId="23" applyFont="1" applyFill="1" applyBorder="1" applyAlignment="1">
      <alignment horizontal="left" indent="2"/>
    </xf>
    <xf numFmtId="0" fontId="19" fillId="0" borderId="15" xfId="23" applyFont="1" applyFill="1" applyBorder="1"/>
    <xf numFmtId="0" fontId="19" fillId="0" borderId="5" xfId="23" applyFont="1" applyFill="1" applyBorder="1"/>
    <xf numFmtId="0" fontId="19" fillId="0" borderId="17" xfId="23" applyFont="1" applyFill="1" applyBorder="1"/>
    <xf numFmtId="168" fontId="19" fillId="0" borderId="5" xfId="23" applyNumberFormat="1" applyFont="1" applyFill="1" applyBorder="1"/>
    <xf numFmtId="0" fontId="19" fillId="0" borderId="16" xfId="23" applyFont="1" applyFill="1" applyBorder="1"/>
    <xf numFmtId="167" fontId="19" fillId="0" borderId="0" xfId="16" applyFont="1" applyFill="1"/>
    <xf numFmtId="167" fontId="19" fillId="0" borderId="0" xfId="23" applyNumberFormat="1" applyFont="1" applyFill="1"/>
    <xf numFmtId="9" fontId="19" fillId="0" borderId="0" xfId="23" applyNumberFormat="1" applyFont="1" applyFill="1"/>
    <xf numFmtId="0" fontId="54" fillId="0" borderId="0" xfId="23" applyFont="1" applyFill="1"/>
    <xf numFmtId="164" fontId="19" fillId="0" borderId="5" xfId="23" applyNumberFormat="1" applyFont="1" applyFill="1" applyBorder="1" applyAlignment="1">
      <alignment horizontal="center"/>
    </xf>
    <xf numFmtId="164" fontId="19" fillId="0" borderId="15" xfId="23" applyNumberFormat="1" applyFont="1" applyFill="1" applyBorder="1" applyAlignment="1">
      <alignment horizontal="center"/>
    </xf>
    <xf numFmtId="164" fontId="19" fillId="0" borderId="0" xfId="23" applyNumberFormat="1" applyFont="1" applyFill="1" applyBorder="1" applyAlignment="1">
      <alignment horizontal="center"/>
    </xf>
    <xf numFmtId="168" fontId="19" fillId="0" borderId="0" xfId="23" applyNumberFormat="1" applyFont="1" applyFill="1"/>
    <xf numFmtId="0" fontId="19" fillId="0" borderId="0" xfId="23" applyFont="1" applyFill="1" applyAlignment="1">
      <alignment horizontal="left" indent="1"/>
    </xf>
    <xf numFmtId="170" fontId="19" fillId="0" borderId="0" xfId="23" applyNumberFormat="1" applyFont="1" applyFill="1"/>
    <xf numFmtId="170" fontId="19" fillId="0" borderId="10" xfId="23" applyNumberFormat="1" applyFont="1" applyFill="1" applyBorder="1"/>
    <xf numFmtId="0" fontId="19" fillId="0" borderId="7" xfId="23" applyFont="1" applyFill="1" applyBorder="1" applyAlignment="1">
      <alignment horizontal="right"/>
    </xf>
    <xf numFmtId="0" fontId="19" fillId="0" borderId="6" xfId="23" applyFont="1" applyFill="1" applyBorder="1" applyAlignment="1">
      <alignment horizontal="right"/>
    </xf>
    <xf numFmtId="0" fontId="19" fillId="0" borderId="3" xfId="23" applyFont="1" applyFill="1" applyBorder="1" applyAlignment="1">
      <alignment horizontal="right"/>
    </xf>
    <xf numFmtId="164" fontId="19" fillId="0" borderId="3" xfId="23" applyNumberFormat="1" applyFont="1" applyFill="1" applyBorder="1" applyAlignment="1">
      <alignment horizontal="right"/>
    </xf>
    <xf numFmtId="164" fontId="19" fillId="0" borderId="6" xfId="23" applyNumberFormat="1" applyFont="1" applyFill="1" applyBorder="1" applyAlignment="1">
      <alignment horizontal="right"/>
    </xf>
    <xf numFmtId="0" fontId="19" fillId="0" borderId="0" xfId="23" applyFont="1" applyFill="1" applyBorder="1" applyAlignment="1">
      <alignment horizontal="right"/>
    </xf>
    <xf numFmtId="168" fontId="19" fillId="0" borderId="0" xfId="18" applyFont="1" applyFill="1" applyBorder="1"/>
    <xf numFmtId="168" fontId="19" fillId="0" borderId="10" xfId="18" applyFont="1" applyFill="1" applyBorder="1"/>
    <xf numFmtId="0" fontId="19" fillId="0" borderId="0" xfId="23" applyFont="1" applyBorder="1"/>
    <xf numFmtId="0" fontId="19" fillId="0" borderId="10" xfId="23" applyFont="1" applyBorder="1"/>
    <xf numFmtId="167" fontId="19" fillId="0" borderId="10" xfId="16" applyFont="1" applyBorder="1"/>
    <xf numFmtId="167" fontId="19" fillId="0" borderId="0" xfId="23" applyNumberFormat="1" applyFont="1" applyBorder="1"/>
    <xf numFmtId="167" fontId="19" fillId="0" borderId="10" xfId="23" applyNumberFormat="1" applyFont="1" applyBorder="1"/>
    <xf numFmtId="167" fontId="55" fillId="0" borderId="0" xfId="16" applyFont="1" applyBorder="1"/>
    <xf numFmtId="0" fontId="56" fillId="0" borderId="9" xfId="23" applyFont="1" applyFill="1" applyBorder="1"/>
    <xf numFmtId="0" fontId="19" fillId="0" borderId="2" xfId="23" applyFont="1" applyFill="1" applyBorder="1"/>
    <xf numFmtId="167" fontId="19" fillId="0" borderId="9" xfId="16" applyFont="1" applyBorder="1"/>
    <xf numFmtId="0" fontId="56" fillId="0" borderId="0" xfId="23" applyFont="1" applyFill="1" applyBorder="1"/>
    <xf numFmtId="0" fontId="34" fillId="0" borderId="15" xfId="23" applyFont="1" applyFill="1" applyBorder="1"/>
    <xf numFmtId="166" fontId="8" fillId="0" borderId="0" xfId="35" applyNumberFormat="1" applyFont="1" applyFill="1" applyBorder="1" applyAlignment="1">
      <alignment horizontal="left"/>
    </xf>
    <xf numFmtId="166" fontId="3" fillId="0" borderId="0" xfId="35" applyNumberFormat="1" applyFont="1" applyFill="1" applyBorder="1" applyAlignment="1">
      <alignment horizontal="left"/>
    </xf>
    <xf numFmtId="6" fontId="19" fillId="0" borderId="0" xfId="23" applyNumberFormat="1" applyFont="1" applyFill="1"/>
    <xf numFmtId="0" fontId="19" fillId="0" borderId="0" xfId="23" applyFont="1" applyFill="1" applyAlignment="1">
      <alignment horizontal="right"/>
    </xf>
    <xf numFmtId="6" fontId="19" fillId="0" borderId="0" xfId="23" applyNumberFormat="1" applyFont="1" applyFill="1" applyAlignment="1">
      <alignment horizontal="right"/>
    </xf>
    <xf numFmtId="0" fontId="19" fillId="0" borderId="0" xfId="23" applyFont="1" applyFill="1" applyAlignment="1"/>
    <xf numFmtId="167" fontId="33" fillId="0" borderId="0" xfId="16" applyFont="1" applyBorder="1"/>
    <xf numFmtId="167" fontId="19" fillId="0" borderId="13" xfId="16" applyNumberFormat="1" applyFont="1" applyFill="1" applyBorder="1"/>
    <xf numFmtId="37" fontId="19" fillId="0" borderId="0" xfId="16" applyNumberFormat="1" applyFont="1" applyFill="1" applyBorder="1"/>
    <xf numFmtId="166" fontId="33" fillId="0" borderId="0" xfId="35" applyNumberFormat="1" applyFont="1" applyBorder="1"/>
    <xf numFmtId="166" fontId="6" fillId="0" borderId="0" xfId="35" applyNumberFormat="1" applyFont="1"/>
    <xf numFmtId="0" fontId="19" fillId="0" borderId="0" xfId="23" applyFont="1" applyFill="1" applyAlignment="1">
      <alignment horizontal="center"/>
    </xf>
    <xf numFmtId="0" fontId="19" fillId="0" borderId="42" xfId="23" applyFont="1" applyFill="1" applyBorder="1"/>
    <xf numFmtId="167" fontId="19" fillId="0" borderId="0" xfId="16" applyFont="1" applyFill="1" applyAlignment="1">
      <alignment horizontal="right"/>
    </xf>
    <xf numFmtId="167" fontId="19" fillId="0" borderId="0" xfId="16" applyNumberFormat="1" applyFont="1" applyFill="1" applyBorder="1" applyAlignment="1">
      <alignment horizontal="right"/>
    </xf>
    <xf numFmtId="39" fontId="19" fillId="0" borderId="0" xfId="16" applyNumberFormat="1" applyFont="1" applyFill="1" applyBorder="1" applyAlignment="1">
      <alignment horizontal="right"/>
    </xf>
    <xf numFmtId="167" fontId="19" fillId="0" borderId="0" xfId="16" applyFont="1" applyFill="1" applyBorder="1" applyAlignment="1">
      <alignment horizontal="right"/>
    </xf>
    <xf numFmtId="166" fontId="19" fillId="0" borderId="0" xfId="16" applyNumberFormat="1" applyFont="1" applyFill="1" applyBorder="1" applyAlignment="1">
      <alignment horizontal="right"/>
    </xf>
    <xf numFmtId="184" fontId="19" fillId="0" borderId="0" xfId="16" applyNumberFormat="1" applyFont="1" applyFill="1" applyBorder="1" applyAlignment="1">
      <alignment horizontal="right"/>
    </xf>
    <xf numFmtId="0" fontId="19" fillId="0" borderId="0" xfId="23" applyFont="1" applyFill="1" applyBorder="1" applyAlignment="1">
      <alignment horizontal="left"/>
    </xf>
    <xf numFmtId="39" fontId="34" fillId="0" borderId="0" xfId="16" applyNumberFormat="1" applyFont="1" applyFill="1" applyBorder="1" applyAlignment="1">
      <alignment horizontal="right"/>
    </xf>
    <xf numFmtId="0" fontId="34" fillId="0" borderId="11" xfId="23" applyFont="1" applyFill="1" applyBorder="1"/>
    <xf numFmtId="0" fontId="34" fillId="0" borderId="0" xfId="23" applyFont="1"/>
    <xf numFmtId="166" fontId="19" fillId="0" borderId="13" xfId="16" applyNumberFormat="1" applyFont="1" applyFill="1" applyBorder="1" applyAlignment="1">
      <alignment horizontal="right"/>
    </xf>
    <xf numFmtId="166" fontId="19" fillId="0" borderId="5" xfId="16" applyNumberFormat="1" applyFont="1" applyFill="1" applyBorder="1" applyAlignment="1">
      <alignment horizontal="right"/>
    </xf>
    <xf numFmtId="184" fontId="19" fillId="0" borderId="5" xfId="16" applyNumberFormat="1" applyFont="1" applyFill="1" applyBorder="1" applyAlignment="1">
      <alignment horizontal="right"/>
    </xf>
    <xf numFmtId="166" fontId="19" fillId="0" borderId="16" xfId="16" applyNumberFormat="1" applyFont="1" applyFill="1" applyBorder="1" applyAlignment="1">
      <alignment horizontal="right"/>
    </xf>
    <xf numFmtId="37" fontId="19" fillId="0" borderId="0" xfId="16" applyNumberFormat="1" applyFont="1" applyFill="1" applyBorder="1" applyAlignment="1">
      <alignment horizontal="right"/>
    </xf>
    <xf numFmtId="166" fontId="34" fillId="0" borderId="0" xfId="16" applyNumberFormat="1" applyFont="1" applyFill="1" applyBorder="1" applyAlignment="1">
      <alignment horizontal="right"/>
    </xf>
    <xf numFmtId="184" fontId="19" fillId="0" borderId="0" xfId="16" quotePrefix="1" applyNumberFormat="1" applyFont="1" applyFill="1" applyBorder="1" applyAlignment="1">
      <alignment horizontal="right"/>
    </xf>
    <xf numFmtId="167" fontId="19" fillId="0" borderId="2" xfId="16" applyFont="1" applyFill="1" applyBorder="1" applyAlignment="1">
      <alignment horizontal="right"/>
    </xf>
    <xf numFmtId="166" fontId="19" fillId="0" borderId="19" xfId="16" applyNumberFormat="1" applyFont="1" applyFill="1" applyBorder="1" applyAlignment="1">
      <alignment horizontal="right"/>
    </xf>
    <xf numFmtId="166" fontId="19" fillId="0" borderId="5" xfId="35" applyNumberFormat="1" applyFont="1" applyFill="1" applyBorder="1" applyAlignment="1">
      <alignment horizontal="right"/>
    </xf>
    <xf numFmtId="184" fontId="19" fillId="0" borderId="16" xfId="16" applyNumberFormat="1" applyFont="1" applyFill="1" applyBorder="1" applyAlignment="1">
      <alignment horizontal="right"/>
    </xf>
    <xf numFmtId="166" fontId="19" fillId="0" borderId="2" xfId="16" applyNumberFormat="1" applyFont="1" applyFill="1" applyBorder="1" applyAlignment="1">
      <alignment horizontal="right"/>
    </xf>
    <xf numFmtId="0" fontId="19" fillId="0" borderId="0" xfId="23" applyFont="1" applyFill="1" applyBorder="1" applyAlignment="1">
      <alignment horizontal="center"/>
    </xf>
    <xf numFmtId="167" fontId="34" fillId="0" borderId="3" xfId="16" applyFont="1" applyFill="1" applyBorder="1" applyAlignment="1">
      <alignment horizontal="right"/>
    </xf>
    <xf numFmtId="0" fontId="59" fillId="0" borderId="27" xfId="23" applyFont="1" applyFill="1" applyBorder="1" applyAlignment="1">
      <alignment horizontal="center"/>
    </xf>
    <xf numFmtId="0" fontId="34" fillId="0" borderId="27" xfId="23" quotePrefix="1" applyFont="1" applyFill="1" applyBorder="1" applyAlignment="1">
      <alignment horizontal="center"/>
    </xf>
    <xf numFmtId="0" fontId="34" fillId="5" borderId="27" xfId="23" quotePrefix="1" applyFont="1" applyFill="1" applyBorder="1" applyAlignment="1">
      <alignment horizontal="center"/>
    </xf>
    <xf numFmtId="0" fontId="34" fillId="0" borderId="27" xfId="23" applyFont="1" applyFill="1" applyBorder="1" applyAlignment="1">
      <alignment horizontal="center"/>
    </xf>
    <xf numFmtId="0" fontId="34" fillId="0" borderId="26" xfId="23" applyFont="1" applyFill="1" applyBorder="1" applyAlignment="1">
      <alignment horizontal="center"/>
    </xf>
    <xf numFmtId="167" fontId="34" fillId="0" borderId="0" xfId="16" applyFont="1" applyFill="1" applyBorder="1" applyAlignment="1">
      <alignment horizontal="right"/>
    </xf>
    <xf numFmtId="37" fontId="34" fillId="0" borderId="0" xfId="16" applyNumberFormat="1" applyFont="1" applyFill="1" applyBorder="1" applyAlignment="1">
      <alignment horizontal="right"/>
    </xf>
    <xf numFmtId="167" fontId="19" fillId="5" borderId="0" xfId="16" applyFont="1" applyFill="1" applyAlignment="1">
      <alignment horizontal="right"/>
    </xf>
    <xf numFmtId="167" fontId="19" fillId="5" borderId="0" xfId="16" applyFont="1" applyFill="1" applyBorder="1" applyAlignment="1">
      <alignment horizontal="right"/>
    </xf>
    <xf numFmtId="0" fontId="2" fillId="0" borderId="0" xfId="23" applyFont="1" applyFill="1"/>
    <xf numFmtId="167" fontId="2" fillId="0" borderId="0" xfId="23" applyNumberFormat="1" applyFont="1" applyFill="1" applyAlignment="1">
      <alignment horizontal="center"/>
    </xf>
    <xf numFmtId="166" fontId="2" fillId="0" borderId="0" xfId="35" applyNumberFormat="1" applyFont="1" applyFill="1" applyAlignment="1">
      <alignment horizontal="center"/>
    </xf>
    <xf numFmtId="185" fontId="2" fillId="0" borderId="0" xfId="23" applyNumberFormat="1" applyFont="1" applyFill="1" applyAlignment="1">
      <alignment horizontal="center"/>
    </xf>
    <xf numFmtId="0" fontId="7" fillId="0" borderId="0" xfId="23" applyFont="1" applyFill="1" applyBorder="1"/>
    <xf numFmtId="166" fontId="2" fillId="0" borderId="0" xfId="23" applyNumberFormat="1" applyFont="1" applyFill="1" applyAlignment="1">
      <alignment horizontal="center"/>
    </xf>
    <xf numFmtId="0" fontId="3" fillId="0" borderId="0" xfId="23" applyFont="1" applyFill="1" applyBorder="1" applyAlignment="1">
      <alignment horizontal="left"/>
    </xf>
    <xf numFmtId="170" fontId="2" fillId="0" borderId="0" xfId="23" applyNumberFormat="1" applyFont="1" applyFill="1" applyAlignment="1">
      <alignment horizontal="center"/>
    </xf>
    <xf numFmtId="167" fontId="5" fillId="0" borderId="0" xfId="16" applyFont="1" applyFill="1" applyBorder="1" applyAlignment="1">
      <alignment horizontal="left" indent="1"/>
    </xf>
    <xf numFmtId="186" fontId="2" fillId="0" borderId="0" xfId="23" applyNumberFormat="1" applyFont="1" applyFill="1" applyAlignment="1">
      <alignment horizontal="center"/>
    </xf>
    <xf numFmtId="0" fontId="3" fillId="0" borderId="0" xfId="29" applyFont="1" applyFill="1" applyBorder="1" applyAlignment="1">
      <alignment horizontal="left"/>
    </xf>
    <xf numFmtId="167" fontId="19" fillId="0" borderId="0" xfId="35" applyNumberFormat="1" applyFont="1" applyFill="1" applyBorder="1" applyAlignment="1">
      <alignment horizontal="right"/>
    </xf>
    <xf numFmtId="0" fontId="3" fillId="0" borderId="0" xfId="29" applyFont="1" applyFill="1" applyBorder="1" applyAlignment="1">
      <alignment horizontal="left" indent="1"/>
    </xf>
    <xf numFmtId="0" fontId="3" fillId="0" borderId="11" xfId="23" applyFont="1" applyFill="1" applyBorder="1" applyAlignment="1">
      <alignment horizontal="left"/>
    </xf>
    <xf numFmtId="167" fontId="19" fillId="5" borderId="2" xfId="16" applyFont="1" applyFill="1" applyBorder="1" applyAlignment="1">
      <alignment horizontal="right"/>
    </xf>
    <xf numFmtId="0" fontId="3" fillId="0" borderId="14" xfId="23" applyFont="1" applyFill="1" applyBorder="1" applyAlignment="1">
      <alignment horizontal="left" indent="1"/>
    </xf>
    <xf numFmtId="0" fontId="3" fillId="0" borderId="17" xfId="29" applyFont="1" applyFill="1" applyBorder="1" applyAlignment="1">
      <alignment horizontal="left" indent="1"/>
    </xf>
    <xf numFmtId="167" fontId="19" fillId="0" borderId="5" xfId="16" applyFont="1" applyFill="1" applyBorder="1" applyAlignment="1">
      <alignment horizontal="right"/>
    </xf>
    <xf numFmtId="167" fontId="19" fillId="5" borderId="5" xfId="16" applyFont="1" applyFill="1" applyBorder="1" applyAlignment="1">
      <alignment horizontal="right"/>
    </xf>
    <xf numFmtId="166" fontId="19" fillId="5" borderId="0" xfId="16" applyNumberFormat="1" applyFont="1" applyFill="1" applyBorder="1" applyAlignment="1">
      <alignment horizontal="right"/>
    </xf>
    <xf numFmtId="0" fontId="3" fillId="0" borderId="11" xfId="23" applyFont="1" applyFill="1" applyBorder="1"/>
    <xf numFmtId="167" fontId="19" fillId="0" borderId="0" xfId="23" applyNumberFormat="1" applyFont="1" applyAlignment="1">
      <alignment horizontal="right"/>
    </xf>
    <xf numFmtId="10" fontId="2" fillId="0" borderId="0" xfId="23" applyNumberFormat="1" applyFont="1"/>
    <xf numFmtId="167" fontId="5" fillId="0" borderId="17" xfId="16" applyFont="1" applyFill="1" applyBorder="1" applyAlignment="1">
      <alignment horizontal="left" indent="1"/>
    </xf>
    <xf numFmtId="168" fontId="3" fillId="0" borderId="0" xfId="22" applyNumberFormat="1" applyFont="1" applyFill="1" applyBorder="1" applyAlignment="1" applyProtection="1">
      <alignment horizontal="left" indent="1"/>
    </xf>
    <xf numFmtId="167" fontId="3" fillId="0" borderId="0" xfId="16" applyFont="1" applyFill="1" applyBorder="1" applyAlignment="1" applyProtection="1">
      <alignment horizontal="left"/>
    </xf>
    <xf numFmtId="168" fontId="3" fillId="0" borderId="0" xfId="22" applyNumberFormat="1" applyFont="1" applyFill="1" applyBorder="1" applyAlignment="1" applyProtection="1">
      <alignment horizontal="left"/>
    </xf>
    <xf numFmtId="0" fontId="18" fillId="0" borderId="0" xfId="31" applyFont="1" applyFill="1" applyBorder="1" applyAlignment="1">
      <alignment horizontal="left"/>
    </xf>
    <xf numFmtId="37" fontId="9" fillId="0" borderId="0" xfId="29" applyNumberFormat="1" applyFont="1" applyFill="1" applyBorder="1" applyAlignment="1" applyProtection="1">
      <alignment horizontal="left"/>
    </xf>
    <xf numFmtId="0" fontId="8" fillId="0" borderId="0" xfId="31" applyFont="1" applyFill="1" applyBorder="1" applyAlignment="1">
      <alignment horizontal="left"/>
    </xf>
    <xf numFmtId="167" fontId="34" fillId="5" borderId="0" xfId="16" applyFont="1" applyFill="1" applyBorder="1" applyAlignment="1">
      <alignment horizontal="right"/>
    </xf>
    <xf numFmtId="166" fontId="60" fillId="0" borderId="0" xfId="35" applyNumberFormat="1" applyFont="1"/>
    <xf numFmtId="0" fontId="3" fillId="0" borderId="0" xfId="31" applyFont="1" applyFill="1" applyBorder="1" applyAlignment="1">
      <alignment horizontal="left"/>
    </xf>
    <xf numFmtId="37" fontId="3" fillId="0" borderId="0" xfId="31" applyNumberFormat="1" applyFont="1" applyFill="1" applyBorder="1" applyAlignment="1">
      <alignment horizontal="left"/>
    </xf>
    <xf numFmtId="37" fontId="5" fillId="0" borderId="0" xfId="23" applyNumberFormat="1" applyFont="1" applyFill="1" applyAlignment="1" applyProtection="1">
      <alignment horizontal="left"/>
    </xf>
    <xf numFmtId="167" fontId="17" fillId="0" borderId="0" xfId="23" applyNumberFormat="1" applyFont="1" applyFill="1" applyAlignment="1">
      <alignment horizontal="center"/>
    </xf>
    <xf numFmtId="166" fontId="17" fillId="0" borderId="0" xfId="35" applyNumberFormat="1" applyFont="1" applyFill="1" applyAlignment="1">
      <alignment horizontal="center"/>
    </xf>
    <xf numFmtId="37" fontId="8" fillId="0" borderId="0" xfId="23" applyNumberFormat="1" applyFont="1" applyFill="1" applyBorder="1" applyProtection="1"/>
    <xf numFmtId="39" fontId="60" fillId="0" borderId="0" xfId="16" applyNumberFormat="1" applyFont="1" applyAlignment="1">
      <alignment horizontal="center"/>
    </xf>
    <xf numFmtId="39" fontId="17" fillId="0" borderId="0" xfId="23" applyNumberFormat="1" applyFont="1" applyAlignment="1">
      <alignment horizontal="center"/>
    </xf>
    <xf numFmtId="0" fontId="2" fillId="0" borderId="33" xfId="23" applyFont="1" applyFill="1" applyBorder="1"/>
    <xf numFmtId="37" fontId="8" fillId="0" borderId="0" xfId="23" applyNumberFormat="1" applyFont="1" applyFill="1" applyBorder="1" applyAlignment="1" applyProtection="1"/>
    <xf numFmtId="37" fontId="3" fillId="0" borderId="0" xfId="23" applyNumberFormat="1" applyFont="1" applyFill="1" applyBorder="1" applyAlignment="1" applyProtection="1">
      <alignment horizontal="left" indent="2"/>
    </xf>
    <xf numFmtId="37" fontId="3" fillId="0" borderId="0" xfId="23" applyNumberFormat="1" applyFont="1" applyFill="1" applyBorder="1" applyAlignment="1" applyProtection="1">
      <alignment horizontal="left" indent="1"/>
    </xf>
    <xf numFmtId="37" fontId="8" fillId="0" borderId="0" xfId="23" applyNumberFormat="1" applyFont="1" applyFill="1" applyBorder="1" applyAlignment="1" applyProtection="1">
      <alignment horizontal="left" indent="1"/>
    </xf>
    <xf numFmtId="37" fontId="61" fillId="0" borderId="0" xfId="23" applyNumberFormat="1" applyFont="1" applyFill="1" applyBorder="1" applyAlignment="1" applyProtection="1"/>
    <xf numFmtId="167" fontId="2" fillId="0" borderId="0" xfId="23" applyNumberFormat="1" applyFont="1" applyFill="1" applyBorder="1"/>
    <xf numFmtId="166" fontId="2" fillId="0" borderId="0" xfId="35" applyNumberFormat="1" applyFont="1" applyFill="1" applyBorder="1"/>
    <xf numFmtId="167" fontId="34" fillId="0" borderId="27" xfId="23" applyNumberFormat="1" applyFont="1" applyFill="1" applyBorder="1" applyAlignment="1">
      <alignment horizontal="center"/>
    </xf>
    <xf numFmtId="167" fontId="34" fillId="0" borderId="0" xfId="23" applyNumberFormat="1" applyFont="1" applyFill="1" applyBorder="1" applyAlignment="1">
      <alignment horizontal="center"/>
    </xf>
    <xf numFmtId="37" fontId="8" fillId="5" borderId="0" xfId="23" applyNumberFormat="1" applyFont="1" applyFill="1" applyBorder="1" applyAlignment="1" applyProtection="1">
      <alignment horizontal="left" indent="1"/>
    </xf>
    <xf numFmtId="37" fontId="19" fillId="5" borderId="0" xfId="16" applyNumberFormat="1" applyFont="1" applyFill="1" applyBorder="1" applyAlignment="1">
      <alignment horizontal="right"/>
    </xf>
    <xf numFmtId="0" fontId="2" fillId="5" borderId="0" xfId="23" applyFont="1" applyFill="1"/>
    <xf numFmtId="37" fontId="3" fillId="0" borderId="11" xfId="23" applyNumberFormat="1" applyFont="1" applyFill="1" applyBorder="1" applyAlignment="1" applyProtection="1">
      <alignment horizontal="left" indent="1"/>
    </xf>
    <xf numFmtId="37" fontId="3" fillId="0" borderId="17" xfId="23" applyNumberFormat="1" applyFont="1" applyFill="1" applyBorder="1" applyAlignment="1" applyProtection="1">
      <alignment horizontal="left" indent="1"/>
    </xf>
    <xf numFmtId="37" fontId="19" fillId="0" borderId="5" xfId="16" applyNumberFormat="1" applyFont="1" applyFill="1" applyBorder="1" applyAlignment="1">
      <alignment horizontal="right"/>
    </xf>
    <xf numFmtId="167" fontId="19" fillId="0" borderId="2" xfId="16" applyNumberFormat="1" applyFont="1" applyFill="1" applyBorder="1" applyAlignment="1">
      <alignment horizontal="right"/>
    </xf>
    <xf numFmtId="9" fontId="19" fillId="0" borderId="0" xfId="16" applyNumberFormat="1" applyFont="1" applyFill="1" applyBorder="1" applyAlignment="1">
      <alignment horizontal="right"/>
    </xf>
    <xf numFmtId="167" fontId="37" fillId="0" borderId="0" xfId="16" applyFont="1" applyFill="1" applyBorder="1" applyAlignment="1">
      <alignment horizontal="right"/>
    </xf>
    <xf numFmtId="166" fontId="37" fillId="0" borderId="0" xfId="16" applyNumberFormat="1" applyFont="1" applyFill="1" applyBorder="1" applyAlignment="1">
      <alignment horizontal="right"/>
    </xf>
    <xf numFmtId="167" fontId="37" fillId="5" borderId="0" xfId="16" applyFont="1" applyFill="1" applyBorder="1" applyAlignment="1">
      <alignment horizontal="right"/>
    </xf>
    <xf numFmtId="184" fontId="37" fillId="0" borderId="0" xfId="16" applyNumberFormat="1" applyFont="1" applyFill="1" applyBorder="1" applyAlignment="1">
      <alignment horizontal="right"/>
    </xf>
    <xf numFmtId="37" fontId="3" fillId="0" borderId="17" xfId="23" applyNumberFormat="1" applyFont="1" applyFill="1" applyBorder="1" applyAlignment="1" applyProtection="1">
      <alignment horizontal="left" indent="2"/>
    </xf>
    <xf numFmtId="0" fontId="57" fillId="9" borderId="7" xfId="23" applyFont="1" applyFill="1" applyBorder="1"/>
    <xf numFmtId="167" fontId="58" fillId="9" borderId="3" xfId="16" applyFont="1" applyFill="1" applyBorder="1" applyAlignment="1">
      <alignment horizontal="right"/>
    </xf>
    <xf numFmtId="0" fontId="62" fillId="9" borderId="3" xfId="23" applyFont="1" applyFill="1" applyBorder="1"/>
    <xf numFmtId="0" fontId="62" fillId="9" borderId="4" xfId="23" applyFont="1" applyFill="1" applyBorder="1"/>
    <xf numFmtId="0" fontId="19" fillId="0" borderId="14" xfId="23" applyFont="1" applyBorder="1"/>
    <xf numFmtId="0" fontId="19" fillId="0" borderId="14" xfId="23" applyFont="1" applyBorder="1" applyAlignment="1">
      <alignment horizontal="left" indent="2"/>
    </xf>
    <xf numFmtId="166" fontId="19" fillId="3" borderId="0" xfId="23" applyNumberFormat="1" applyFont="1" applyFill="1" applyBorder="1"/>
    <xf numFmtId="166" fontId="19" fillId="3" borderId="0" xfId="35" applyNumberFormat="1" applyFont="1" applyFill="1" applyBorder="1"/>
    <xf numFmtId="39" fontId="19" fillId="3" borderId="0" xfId="23" applyNumberFormat="1" applyFont="1" applyFill="1" applyBorder="1"/>
    <xf numFmtId="0" fontId="19" fillId="3" borderId="0" xfId="23" applyFont="1" applyFill="1" applyBorder="1"/>
    <xf numFmtId="0" fontId="19" fillId="0" borderId="13" xfId="23" applyFont="1" applyBorder="1"/>
    <xf numFmtId="0" fontId="34" fillId="0" borderId="14" xfId="23" applyFont="1" applyBorder="1"/>
    <xf numFmtId="0" fontId="19" fillId="0" borderId="14" xfId="23" applyFont="1" applyBorder="1" applyAlignment="1">
      <alignment horizontal="left" indent="1"/>
    </xf>
    <xf numFmtId="0" fontId="19" fillId="0" borderId="17" xfId="23" applyFont="1" applyBorder="1" applyAlignment="1">
      <alignment horizontal="left" indent="1"/>
    </xf>
    <xf numFmtId="167" fontId="19" fillId="3" borderId="5" xfId="23" applyNumberFormat="1" applyFont="1" applyFill="1" applyBorder="1"/>
    <xf numFmtId="0" fontId="19" fillId="0" borderId="5" xfId="23" applyFont="1" applyBorder="1"/>
    <xf numFmtId="0" fontId="2" fillId="0" borderId="2" xfId="23" applyBorder="1"/>
    <xf numFmtId="0" fontId="34" fillId="0" borderId="2" xfId="23" applyFont="1" applyFill="1" applyBorder="1" applyAlignment="1">
      <alignment horizontal="center"/>
    </xf>
    <xf numFmtId="166" fontId="34" fillId="0" borderId="2" xfId="23" applyNumberFormat="1" applyFont="1" applyFill="1" applyBorder="1" applyAlignment="1">
      <alignment horizontal="center"/>
    </xf>
    <xf numFmtId="0" fontId="34" fillId="0" borderId="2" xfId="23" applyFont="1" applyFill="1" applyBorder="1" applyAlignment="1">
      <alignment horizontal="left"/>
    </xf>
    <xf numFmtId="0" fontId="2" fillId="0" borderId="19" xfId="23" applyBorder="1"/>
    <xf numFmtId="187" fontId="58" fillId="0" borderId="0" xfId="23" applyNumberFormat="1" applyFont="1" applyFill="1" applyBorder="1" applyAlignment="1">
      <alignment horizontal="center"/>
    </xf>
    <xf numFmtId="2" fontId="58" fillId="0" borderId="0" xfId="23" applyNumberFormat="1" applyFont="1" applyFill="1" applyBorder="1" applyAlignment="1">
      <alignment horizontal="center"/>
    </xf>
    <xf numFmtId="2" fontId="58" fillId="0" borderId="13" xfId="23" applyNumberFormat="1" applyFont="1" applyFill="1" applyBorder="1" applyAlignment="1">
      <alignment horizontal="center"/>
    </xf>
    <xf numFmtId="0" fontId="34" fillId="0" borderId="40" xfId="23" applyFont="1" applyFill="1" applyBorder="1"/>
    <xf numFmtId="1" fontId="34" fillId="0" borderId="31" xfId="23" applyNumberFormat="1" applyFont="1" applyFill="1" applyBorder="1" applyAlignment="1">
      <alignment horizontal="center"/>
    </xf>
    <xf numFmtId="188" fontId="34" fillId="0" borderId="31" xfId="23" applyNumberFormat="1" applyFont="1" applyFill="1" applyBorder="1" applyAlignment="1">
      <alignment horizontal="center"/>
    </xf>
    <xf numFmtId="188" fontId="34" fillId="0" borderId="36" xfId="23" applyNumberFormat="1" applyFont="1" applyFill="1" applyBorder="1" applyAlignment="1">
      <alignment horizontal="center"/>
    </xf>
    <xf numFmtId="0" fontId="34" fillId="0" borderId="14" xfId="29" applyFont="1" applyFill="1" applyBorder="1"/>
    <xf numFmtId="3" fontId="34" fillId="0" borderId="37" xfId="23" applyNumberFormat="1" applyFont="1" applyFill="1" applyBorder="1" applyAlignment="1">
      <alignment horizontal="center"/>
    </xf>
    <xf numFmtId="3" fontId="34" fillId="0" borderId="0" xfId="23" applyNumberFormat="1" applyFont="1" applyFill="1" applyBorder="1" applyAlignment="1">
      <alignment horizontal="center"/>
    </xf>
    <xf numFmtId="3" fontId="34" fillId="0" borderId="13" xfId="23" applyNumberFormat="1" applyFont="1" applyFill="1" applyBorder="1" applyAlignment="1">
      <alignment horizontal="center"/>
    </xf>
    <xf numFmtId="0" fontId="52" fillId="0" borderId="14" xfId="23" applyFont="1" applyBorder="1"/>
    <xf numFmtId="9" fontId="63" fillId="0" borderId="0" xfId="35" applyFont="1" applyFill="1" applyBorder="1" applyAlignment="1">
      <alignment horizontal="center"/>
    </xf>
    <xf numFmtId="9" fontId="63" fillId="0" borderId="0" xfId="23" applyNumberFormat="1" applyFont="1" applyFill="1" applyBorder="1" applyAlignment="1">
      <alignment horizontal="center"/>
    </xf>
    <xf numFmtId="9" fontId="52" fillId="0" borderId="0" xfId="23" applyNumberFormat="1" applyFont="1" applyFill="1" applyBorder="1" applyAlignment="1">
      <alignment horizontal="center"/>
    </xf>
    <xf numFmtId="9" fontId="52" fillId="0" borderId="13" xfId="23" applyNumberFormat="1" applyFont="1" applyFill="1" applyBorder="1" applyAlignment="1">
      <alignment horizontal="center"/>
    </xf>
    <xf numFmtId="9" fontId="52" fillId="0" borderId="0" xfId="35" applyNumberFormat="1" applyFont="1" applyFill="1" applyBorder="1" applyAlignment="1">
      <alignment horizontal="center"/>
    </xf>
    <xf numFmtId="9" fontId="64" fillId="0" borderId="0" xfId="23" applyNumberFormat="1" applyFont="1" applyFill="1" applyBorder="1" applyAlignment="1">
      <alignment horizontal="center"/>
    </xf>
    <xf numFmtId="9" fontId="64" fillId="0" borderId="13" xfId="23" applyNumberFormat="1" applyFont="1" applyFill="1" applyBorder="1" applyAlignment="1">
      <alignment horizontal="center"/>
    </xf>
    <xf numFmtId="9" fontId="52" fillId="0" borderId="0" xfId="35" applyFont="1" applyFill="1" applyBorder="1" applyAlignment="1">
      <alignment horizontal="center"/>
    </xf>
    <xf numFmtId="166" fontId="52" fillId="0" borderId="0" xfId="23" applyNumberFormat="1" applyFont="1" applyFill="1" applyBorder="1" applyAlignment="1">
      <alignment horizontal="center"/>
    </xf>
    <xf numFmtId="166" fontId="52" fillId="0" borderId="13" xfId="23" applyNumberFormat="1" applyFont="1" applyFill="1" applyBorder="1" applyAlignment="1">
      <alignment horizontal="center"/>
    </xf>
    <xf numFmtId="0" fontId="52" fillId="0" borderId="14" xfId="23" applyFont="1" applyBorder="1" applyAlignment="1">
      <alignment horizontal="left"/>
    </xf>
    <xf numFmtId="9" fontId="65" fillId="0" borderId="5" xfId="35" applyFont="1" applyFill="1" applyBorder="1" applyAlignment="1">
      <alignment horizontal="center"/>
    </xf>
    <xf numFmtId="9" fontId="64" fillId="0" borderId="5" xfId="23" applyNumberFormat="1" applyFont="1" applyFill="1" applyBorder="1" applyAlignment="1">
      <alignment horizontal="center"/>
    </xf>
    <xf numFmtId="9" fontId="64" fillId="0" borderId="16" xfId="23" applyNumberFormat="1" applyFont="1" applyFill="1" applyBorder="1" applyAlignment="1">
      <alignment horizontal="center"/>
    </xf>
    <xf numFmtId="0" fontId="34" fillId="0" borderId="14" xfId="23" quotePrefix="1" applyFont="1" applyBorder="1"/>
    <xf numFmtId="0" fontId="19" fillId="0" borderId="14" xfId="23" quotePrefix="1" applyFont="1" applyBorder="1"/>
    <xf numFmtId="37" fontId="65" fillId="0" borderId="5" xfId="23" applyNumberFormat="1" applyFont="1" applyFill="1" applyBorder="1" applyAlignment="1">
      <alignment horizontal="center"/>
    </xf>
    <xf numFmtId="37" fontId="19" fillId="0" borderId="5" xfId="23" applyNumberFormat="1" applyFont="1" applyFill="1" applyBorder="1" applyAlignment="1">
      <alignment horizontal="center"/>
    </xf>
    <xf numFmtId="37" fontId="19" fillId="0" borderId="16" xfId="23" applyNumberFormat="1" applyFont="1" applyFill="1" applyBorder="1" applyAlignment="1">
      <alignment horizontal="center"/>
    </xf>
    <xf numFmtId="9" fontId="19" fillId="0" borderId="0" xfId="35" applyFont="1" applyFill="1" applyBorder="1" applyAlignment="1">
      <alignment horizontal="center"/>
    </xf>
    <xf numFmtId="37" fontId="19" fillId="0" borderId="0" xfId="35" applyNumberFormat="1" applyFont="1" applyFill="1" applyBorder="1" applyAlignment="1">
      <alignment horizontal="center"/>
    </xf>
    <xf numFmtId="37" fontId="19" fillId="0" borderId="13" xfId="35" applyNumberFormat="1" applyFont="1" applyFill="1" applyBorder="1" applyAlignment="1">
      <alignment horizontal="center"/>
    </xf>
    <xf numFmtId="37" fontId="19" fillId="0" borderId="0" xfId="23" applyNumberFormat="1" applyFont="1" applyFill="1" applyBorder="1" applyAlignment="1">
      <alignment horizontal="center"/>
    </xf>
    <xf numFmtId="37" fontId="64" fillId="0" borderId="0" xfId="23" applyNumberFormat="1" applyFont="1" applyFill="1" applyBorder="1" applyAlignment="1">
      <alignment horizontal="center"/>
    </xf>
    <xf numFmtId="37" fontId="64" fillId="0" borderId="13" xfId="23" applyNumberFormat="1" applyFont="1" applyFill="1" applyBorder="1" applyAlignment="1">
      <alignment horizontal="center"/>
    </xf>
    <xf numFmtId="189" fontId="52" fillId="0" borderId="0" xfId="23" applyNumberFormat="1" applyFont="1" applyFill="1" applyBorder="1" applyAlignment="1">
      <alignment horizontal="center"/>
    </xf>
    <xf numFmtId="37" fontId="34" fillId="0" borderId="5" xfId="23" applyNumberFormat="1" applyFont="1" applyFill="1" applyBorder="1" applyAlignment="1">
      <alignment horizontal="center"/>
    </xf>
    <xf numFmtId="37" fontId="34" fillId="0" borderId="16" xfId="23" applyNumberFormat="1" applyFont="1" applyFill="1" applyBorder="1" applyAlignment="1">
      <alignment horizontal="center"/>
    </xf>
    <xf numFmtId="3" fontId="34" fillId="0" borderId="0" xfId="23" applyNumberFormat="1" applyFont="1" applyBorder="1" applyAlignment="1">
      <alignment horizontal="center"/>
    </xf>
    <xf numFmtId="3" fontId="34" fillId="0" borderId="13" xfId="23" applyNumberFormat="1" applyFont="1" applyBorder="1" applyAlignment="1">
      <alignment horizontal="center"/>
    </xf>
    <xf numFmtId="0" fontId="34" fillId="0" borderId="17" xfId="23" applyFont="1" applyFill="1" applyBorder="1"/>
    <xf numFmtId="3" fontId="34" fillId="0" borderId="5" xfId="23" applyNumberFormat="1" applyFont="1" applyFill="1" applyBorder="1" applyAlignment="1">
      <alignment horizontal="center"/>
    </xf>
    <xf numFmtId="3" fontId="34" fillId="0" borderId="16" xfId="23" applyNumberFormat="1" applyFont="1" applyFill="1" applyBorder="1" applyAlignment="1">
      <alignment horizontal="center"/>
    </xf>
    <xf numFmtId="0" fontId="17" fillId="0" borderId="0" xfId="23" applyFont="1" applyFill="1" applyBorder="1"/>
    <xf numFmtId="2" fontId="2" fillId="0" borderId="0" xfId="23" applyNumberFormat="1" applyFill="1" applyBorder="1"/>
    <xf numFmtId="0" fontId="19" fillId="0" borderId="7" xfId="23" applyFont="1" applyBorder="1" applyAlignment="1">
      <alignment horizontal="left" indent="1"/>
    </xf>
    <xf numFmtId="9" fontId="19" fillId="0" borderId="3" xfId="23" applyNumberFormat="1" applyFont="1" applyBorder="1" applyAlignment="1">
      <alignment horizontal="center"/>
    </xf>
    <xf numFmtId="9" fontId="19" fillId="0" borderId="4" xfId="23" applyNumberFormat="1" applyFont="1" applyBorder="1" applyAlignment="1">
      <alignment horizontal="center"/>
    </xf>
    <xf numFmtId="0" fontId="2" fillId="0" borderId="0" xfId="23" applyFill="1" applyBorder="1" applyAlignment="1">
      <alignment horizontal="right"/>
    </xf>
    <xf numFmtId="3" fontId="57" fillId="0" borderId="0" xfId="23" applyNumberFormat="1" applyFont="1" applyBorder="1" applyAlignment="1">
      <alignment horizontal="center"/>
    </xf>
    <xf numFmtId="167" fontId="19" fillId="0" borderId="13" xfId="23" applyNumberFormat="1" applyFont="1" applyBorder="1"/>
    <xf numFmtId="190" fontId="2" fillId="0" borderId="0" xfId="23" applyNumberFormat="1" applyFill="1" applyBorder="1"/>
    <xf numFmtId="6" fontId="19" fillId="0" borderId="0" xfId="23" applyNumberFormat="1" applyFont="1" applyBorder="1" applyAlignment="1">
      <alignment horizontal="center"/>
    </xf>
    <xf numFmtId="6" fontId="19" fillId="0" borderId="13" xfId="23" applyNumberFormat="1" applyFont="1" applyBorder="1" applyAlignment="1">
      <alignment horizontal="center"/>
    </xf>
    <xf numFmtId="191" fontId="2" fillId="0" borderId="0" xfId="23" applyNumberFormat="1" applyFont="1" applyFill="1" applyBorder="1"/>
    <xf numFmtId="0" fontId="2" fillId="0" borderId="0" xfId="23" quotePrefix="1" applyFont="1" applyFill="1" applyBorder="1"/>
    <xf numFmtId="41" fontId="65" fillId="0" borderId="0" xfId="23" applyNumberFormat="1" applyFont="1" applyBorder="1" applyAlignment="1">
      <alignment horizontal="center"/>
    </xf>
    <xf numFmtId="41" fontId="66" fillId="0" borderId="0" xfId="23" applyNumberFormat="1" applyFont="1" applyAlignment="1">
      <alignment horizontal="center"/>
    </xf>
    <xf numFmtId="41" fontId="66" fillId="0" borderId="13" xfId="23" applyNumberFormat="1" applyFont="1" applyBorder="1" applyAlignment="1">
      <alignment horizontal="center"/>
    </xf>
    <xf numFmtId="192" fontId="2" fillId="0" borderId="0" xfId="23" applyNumberFormat="1" applyFont="1" applyFill="1" applyBorder="1"/>
    <xf numFmtId="5" fontId="67" fillId="0" borderId="0" xfId="23" applyNumberFormat="1" applyFont="1" applyBorder="1" applyAlignment="1">
      <alignment horizontal="center"/>
    </xf>
    <xf numFmtId="5" fontId="64" fillId="0" borderId="0" xfId="23" applyNumberFormat="1" applyFont="1" applyFill="1" applyBorder="1" applyAlignment="1">
      <alignment horizontal="center"/>
    </xf>
    <xf numFmtId="5" fontId="64" fillId="0" borderId="13" xfId="23" applyNumberFormat="1" applyFont="1" applyFill="1" applyBorder="1" applyAlignment="1">
      <alignment horizontal="center"/>
    </xf>
    <xf numFmtId="174" fontId="2" fillId="0" borderId="0" xfId="23" applyNumberFormat="1" applyFill="1" applyBorder="1"/>
    <xf numFmtId="0" fontId="19" fillId="0" borderId="0" xfId="23" quotePrefix="1" applyFont="1" applyFill="1" applyBorder="1"/>
    <xf numFmtId="41" fontId="67" fillId="0" borderId="0" xfId="23" applyNumberFormat="1" applyFont="1" applyBorder="1" applyAlignment="1">
      <alignment horizontal="center"/>
    </xf>
    <xf numFmtId="41" fontId="67" fillId="0" borderId="0" xfId="23" applyNumberFormat="1" applyFont="1" applyAlignment="1">
      <alignment horizontal="center"/>
    </xf>
    <xf numFmtId="41" fontId="67" fillId="0" borderId="13" xfId="23" applyNumberFormat="1" applyFont="1" applyBorder="1" applyAlignment="1">
      <alignment horizontal="center"/>
    </xf>
    <xf numFmtId="7" fontId="2" fillId="0" borderId="0" xfId="23" applyNumberFormat="1" applyFill="1" applyBorder="1"/>
    <xf numFmtId="5" fontId="19" fillId="0" borderId="0" xfId="23" applyNumberFormat="1" applyFont="1" applyBorder="1" applyAlignment="1">
      <alignment horizontal="center"/>
    </xf>
    <xf numFmtId="5" fontId="19" fillId="0" borderId="13" xfId="23" applyNumberFormat="1" applyFont="1" applyBorder="1" applyAlignment="1">
      <alignment horizontal="center"/>
    </xf>
    <xf numFmtId="189" fontId="2" fillId="0" borderId="0" xfId="23" applyNumberFormat="1" applyFill="1" applyBorder="1"/>
    <xf numFmtId="193" fontId="65" fillId="0" borderId="31" xfId="23" applyNumberFormat="1" applyFont="1" applyBorder="1" applyAlignment="1">
      <alignment horizontal="center"/>
    </xf>
    <xf numFmtId="193" fontId="65" fillId="0" borderId="5" xfId="23" applyNumberFormat="1" applyFont="1" applyBorder="1" applyAlignment="1">
      <alignment horizontal="center"/>
    </xf>
    <xf numFmtId="193" fontId="64" fillId="0" borderId="31" xfId="23" applyNumberFormat="1" applyFont="1" applyBorder="1" applyAlignment="1">
      <alignment horizontal="center"/>
    </xf>
    <xf numFmtId="193" fontId="64" fillId="0" borderId="36" xfId="23" applyNumberFormat="1" applyFont="1" applyBorder="1" applyAlignment="1">
      <alignment horizontal="center"/>
    </xf>
    <xf numFmtId="0" fontId="34" fillId="0" borderId="43" xfId="23" applyFont="1" applyFill="1" applyBorder="1"/>
    <xf numFmtId="190" fontId="34" fillId="0" borderId="44" xfId="23" applyNumberFormat="1" applyFont="1" applyFill="1" applyBorder="1" applyAlignment="1">
      <alignment horizontal="center"/>
    </xf>
    <xf numFmtId="190" fontId="34" fillId="0" borderId="45" xfId="23" applyNumberFormat="1" applyFont="1" applyFill="1" applyBorder="1" applyAlignment="1">
      <alignment horizontal="center"/>
    </xf>
    <xf numFmtId="194" fontId="17" fillId="0" borderId="0" xfId="23" applyNumberFormat="1" applyFont="1" applyFill="1" applyBorder="1"/>
    <xf numFmtId="9" fontId="19" fillId="0" borderId="0" xfId="35" applyFont="1" applyBorder="1" applyAlignment="1">
      <alignment horizontal="center"/>
    </xf>
    <xf numFmtId="0" fontId="34" fillId="0" borderId="0" xfId="23" applyFont="1" applyBorder="1" applyAlignment="1">
      <alignment horizontal="right"/>
    </xf>
    <xf numFmtId="37" fontId="19" fillId="0" borderId="0" xfId="16" applyNumberFormat="1" applyFont="1" applyBorder="1" applyAlignment="1">
      <alignment horizontal="center"/>
    </xf>
    <xf numFmtId="0" fontId="19" fillId="0" borderId="0" xfId="23" applyFont="1" applyBorder="1" applyAlignment="1">
      <alignment horizontal="center"/>
    </xf>
    <xf numFmtId="9" fontId="7" fillId="0" borderId="0" xfId="35" applyFont="1" applyBorder="1" applyAlignment="1">
      <alignment horizontal="center"/>
    </xf>
    <xf numFmtId="166" fontId="19" fillId="0" borderId="0" xfId="23" applyNumberFormat="1" applyFont="1" applyBorder="1" applyAlignment="1">
      <alignment horizontal="center"/>
    </xf>
    <xf numFmtId="0" fontId="54" fillId="0" borderId="0" xfId="23" applyFont="1" applyBorder="1"/>
    <xf numFmtId="188" fontId="54" fillId="0" borderId="0" xfId="23" applyNumberFormat="1" applyFont="1" applyBorder="1" applyAlignment="1">
      <alignment horizontal="center"/>
    </xf>
    <xf numFmtId="0" fontId="57" fillId="0" borderId="0" xfId="23" applyFont="1" applyBorder="1" applyAlignment="1">
      <alignment horizontal="center"/>
    </xf>
    <xf numFmtId="0" fontId="17" fillId="0" borderId="0" xfId="23" applyFont="1" applyBorder="1" applyAlignment="1">
      <alignment horizontal="center"/>
    </xf>
    <xf numFmtId="0" fontId="34" fillId="0" borderId="0" xfId="23" applyFont="1" applyBorder="1" applyAlignment="1">
      <alignment horizontal="center"/>
    </xf>
    <xf numFmtId="0" fontId="34" fillId="0" borderId="0" xfId="23" applyFont="1" applyFill="1" applyBorder="1" applyAlignment="1">
      <alignment horizontal="left"/>
    </xf>
    <xf numFmtId="190" fontId="34" fillId="0" borderId="0" xfId="23" applyNumberFormat="1" applyFont="1" applyFill="1" applyBorder="1" applyAlignment="1">
      <alignment horizontal="center"/>
    </xf>
    <xf numFmtId="9" fontId="57" fillId="0" borderId="0" xfId="35" applyFont="1" applyBorder="1" applyAlignment="1">
      <alignment horizontal="center"/>
    </xf>
    <xf numFmtId="0" fontId="56" fillId="0" borderId="0" xfId="23" applyFont="1" applyFill="1" applyBorder="1" applyAlignment="1">
      <alignment horizontal="center"/>
    </xf>
    <xf numFmtId="0" fontId="19" fillId="0" borderId="0" xfId="23" applyFont="1" applyFill="1" applyBorder="1" applyAlignment="1">
      <alignment horizontal="center" wrapText="1"/>
    </xf>
    <xf numFmtId="0" fontId="62" fillId="0" borderId="0" xfId="23" applyFont="1" applyFill="1" applyBorder="1"/>
    <xf numFmtId="0" fontId="68" fillId="0" borderId="0" xfId="23" applyFont="1" applyFill="1" applyBorder="1" applyAlignment="1">
      <alignment horizontal="center"/>
    </xf>
    <xf numFmtId="39" fontId="19" fillId="0" borderId="0" xfId="16" applyNumberFormat="1" applyFont="1" applyBorder="1"/>
    <xf numFmtId="41" fontId="19" fillId="0" borderId="0" xfId="23" applyNumberFormat="1" applyFont="1" applyBorder="1"/>
    <xf numFmtId="190" fontId="2" fillId="0" borderId="0" xfId="23" applyNumberFormat="1" applyFill="1" applyBorder="1" applyAlignment="1">
      <alignment horizontal="center"/>
    </xf>
    <xf numFmtId="190" fontId="19" fillId="0" borderId="0" xfId="23" applyNumberFormat="1" applyFont="1" applyFill="1" applyBorder="1" applyAlignment="1">
      <alignment horizontal="center"/>
    </xf>
    <xf numFmtId="0" fontId="34" fillId="0" borderId="0" xfId="23" applyFont="1" applyBorder="1"/>
    <xf numFmtId="166" fontId="34" fillId="0" borderId="0" xfId="23" applyNumberFormat="1" applyFont="1" applyBorder="1" applyAlignment="1">
      <alignment horizontal="center"/>
    </xf>
    <xf numFmtId="9" fontId="2" fillId="0" borderId="0" xfId="35" applyFont="1"/>
    <xf numFmtId="37" fontId="34" fillId="0" borderId="0" xfId="23" applyNumberFormat="1" applyFont="1" applyFill="1" applyBorder="1"/>
    <xf numFmtId="16" fontId="19" fillId="0" borderId="0" xfId="23" applyNumberFormat="1" applyFont="1" applyFill="1" applyAlignment="1">
      <alignment horizontal="left"/>
    </xf>
    <xf numFmtId="39" fontId="19" fillId="0" borderId="0" xfId="16" applyNumberFormat="1" applyFont="1" applyFill="1"/>
    <xf numFmtId="39" fontId="34" fillId="0" borderId="0" xfId="16" applyNumberFormat="1" applyFont="1"/>
    <xf numFmtId="0" fontId="19" fillId="0" borderId="0" xfId="23" quotePrefix="1" applyFont="1" applyBorder="1"/>
    <xf numFmtId="166" fontId="19" fillId="0" borderId="0" xfId="23" applyNumberFormat="1" applyFont="1" applyBorder="1"/>
    <xf numFmtId="166" fontId="33" fillId="0" borderId="0" xfId="23" applyNumberFormat="1" applyFont="1" applyBorder="1" applyAlignment="1">
      <alignment horizontal="center"/>
    </xf>
    <xf numFmtId="39" fontId="34" fillId="0" borderId="0" xfId="16" applyNumberFormat="1" applyFont="1" applyFill="1"/>
    <xf numFmtId="166" fontId="34" fillId="0" borderId="0" xfId="35" applyNumberFormat="1" applyFont="1" applyBorder="1" applyAlignment="1">
      <alignment horizontal="center"/>
    </xf>
    <xf numFmtId="166" fontId="34" fillId="0" borderId="45" xfId="23" applyNumberFormat="1" applyFont="1" applyFill="1" applyBorder="1" applyAlignment="1">
      <alignment horizontal="center"/>
    </xf>
    <xf numFmtId="0" fontId="19" fillId="0" borderId="0" xfId="23" applyFont="1" applyBorder="1" applyAlignment="1">
      <alignment horizontal="left"/>
    </xf>
    <xf numFmtId="3" fontId="19" fillId="0" borderId="0" xfId="23" applyNumberFormat="1" applyFont="1" applyBorder="1" applyAlignment="1">
      <alignment horizontal="center"/>
    </xf>
    <xf numFmtId="0" fontId="69" fillId="0" borderId="0" xfId="23" applyFont="1" applyFill="1" applyBorder="1"/>
    <xf numFmtId="10" fontId="8" fillId="3" borderId="0" xfId="16" applyNumberFormat="1" applyFont="1" applyFill="1" applyBorder="1" applyAlignment="1">
      <alignment horizontal="center"/>
    </xf>
    <xf numFmtId="166" fontId="8" fillId="8" borderId="11" xfId="35" applyNumberFormat="1" applyFont="1" applyFill="1" applyBorder="1" applyAlignment="1">
      <alignment horizontal="left" indent="2"/>
    </xf>
    <xf numFmtId="10" fontId="33" fillId="8" borderId="19" xfId="23" applyNumberFormat="1" applyFont="1" applyFill="1" applyBorder="1" applyAlignment="1">
      <alignment horizontal="center"/>
    </xf>
    <xf numFmtId="0" fontId="2" fillId="0" borderId="0" xfId="23" applyFont="1" applyBorder="1" applyAlignment="1">
      <alignment horizontal="center"/>
    </xf>
    <xf numFmtId="166" fontId="8" fillId="8" borderId="14" xfId="35" applyNumberFormat="1" applyFont="1" applyFill="1" applyBorder="1" applyAlignment="1">
      <alignment horizontal="left" indent="2"/>
    </xf>
    <xf numFmtId="10" fontId="33" fillId="8" borderId="13" xfId="23" applyNumberFormat="1" applyFont="1" applyFill="1" applyBorder="1" applyAlignment="1">
      <alignment horizontal="center"/>
    </xf>
    <xf numFmtId="166" fontId="8" fillId="8" borderId="17" xfId="35" applyNumberFormat="1" applyFont="1" applyFill="1" applyBorder="1" applyAlignment="1">
      <alignment horizontal="left" indent="2"/>
    </xf>
    <xf numFmtId="10" fontId="33" fillId="8" borderId="16" xfId="23" applyNumberFormat="1" applyFont="1" applyFill="1" applyBorder="1" applyAlignment="1">
      <alignment horizontal="center"/>
    </xf>
    <xf numFmtId="166" fontId="34" fillId="0" borderId="0" xfId="23" applyNumberFormat="1" applyFont="1" applyFill="1" applyBorder="1" applyAlignment="1">
      <alignment horizontal="center"/>
    </xf>
    <xf numFmtId="0" fontId="71" fillId="0" borderId="2" xfId="23" applyFont="1" applyBorder="1"/>
    <xf numFmtId="0" fontId="71" fillId="0" borderId="19" xfId="23" applyFont="1" applyBorder="1"/>
    <xf numFmtId="0" fontId="15" fillId="0" borderId="14" xfId="23" applyFont="1" applyBorder="1"/>
    <xf numFmtId="5" fontId="15" fillId="0" borderId="0" xfId="18" applyNumberFormat="1" applyFont="1" applyBorder="1"/>
    <xf numFmtId="0" fontId="15" fillId="0" borderId="0" xfId="23" applyFont="1" applyBorder="1"/>
    <xf numFmtId="0" fontId="71" fillId="0" borderId="13" xfId="23" applyFont="1" applyBorder="1"/>
    <xf numFmtId="7" fontId="15" fillId="0" borderId="0" xfId="18" applyNumberFormat="1" applyFont="1" applyBorder="1"/>
    <xf numFmtId="0" fontId="15" fillId="0" borderId="17" xfId="23" applyFont="1" applyBorder="1"/>
    <xf numFmtId="7" fontId="15" fillId="0" borderId="5" xfId="18" applyNumberFormat="1" applyFont="1" applyBorder="1"/>
    <xf numFmtId="0" fontId="2" fillId="0" borderId="5" xfId="23" applyBorder="1"/>
    <xf numFmtId="0" fontId="71" fillId="0" borderId="5" xfId="23" applyFont="1" applyBorder="1"/>
    <xf numFmtId="0" fontId="71" fillId="0" borderId="16" xfId="23" applyFont="1" applyBorder="1"/>
    <xf numFmtId="168" fontId="15" fillId="0" borderId="0" xfId="18" applyNumberFormat="1" applyFont="1" applyBorder="1"/>
    <xf numFmtId="7" fontId="71" fillId="0" borderId="0" xfId="23" applyNumberFormat="1" applyFont="1" applyBorder="1"/>
    <xf numFmtId="0" fontId="71" fillId="0" borderId="0" xfId="23" applyFont="1" applyBorder="1"/>
    <xf numFmtId="0" fontId="15" fillId="0" borderId="5" xfId="23" applyFont="1" applyBorder="1"/>
    <xf numFmtId="7" fontId="70" fillId="0" borderId="47" xfId="18" applyNumberFormat="1" applyFont="1" applyFill="1" applyBorder="1" applyAlignment="1">
      <alignment horizontal="center"/>
    </xf>
    <xf numFmtId="5" fontId="70" fillId="0" borderId="2" xfId="18" applyNumberFormat="1" applyFont="1" applyFill="1" applyBorder="1" applyAlignment="1">
      <alignment horizontal="center"/>
    </xf>
    <xf numFmtId="0" fontId="72" fillId="0" borderId="48" xfId="23" applyFont="1" applyFill="1" applyBorder="1" applyAlignment="1">
      <alignment horizontal="centerContinuous"/>
    </xf>
    <xf numFmtId="0" fontId="70" fillId="0" borderId="2" xfId="23" applyFont="1" applyFill="1" applyBorder="1" applyAlignment="1">
      <alignment horizontal="centerContinuous"/>
    </xf>
    <xf numFmtId="0" fontId="70" fillId="0" borderId="49" xfId="23" applyFont="1" applyFill="1" applyBorder="1" applyAlignment="1">
      <alignment horizontal="centerContinuous"/>
    </xf>
    <xf numFmtId="0" fontId="72" fillId="0" borderId="2" xfId="23" applyFont="1" applyFill="1" applyBorder="1" applyAlignment="1">
      <alignment horizontal="centerContinuous"/>
    </xf>
    <xf numFmtId="0" fontId="70" fillId="0" borderId="19" xfId="23" applyFont="1" applyFill="1" applyBorder="1" applyAlignment="1">
      <alignment horizontal="centerContinuous"/>
    </xf>
    <xf numFmtId="7" fontId="70" fillId="0" borderId="50" xfId="18" applyNumberFormat="1" applyFont="1" applyFill="1" applyBorder="1" applyAlignment="1">
      <alignment horizontal="center"/>
    </xf>
    <xf numFmtId="5" fontId="15" fillId="0" borderId="5" xfId="18" applyNumberFormat="1" applyFont="1" applyBorder="1"/>
    <xf numFmtId="0" fontId="15" fillId="0" borderId="51" xfId="23" applyFont="1" applyFill="1" applyBorder="1" applyAlignment="1">
      <alignment horizontal="center"/>
    </xf>
    <xf numFmtId="0" fontId="15" fillId="0" borderId="5" xfId="23" applyFont="1" applyFill="1" applyBorder="1" applyAlignment="1">
      <alignment horizontal="center"/>
    </xf>
    <xf numFmtId="0" fontId="15" fillId="0" borderId="52" xfId="23" applyFont="1" applyFill="1" applyBorder="1" applyAlignment="1">
      <alignment horizontal="center"/>
    </xf>
    <xf numFmtId="0" fontId="15" fillId="0" borderId="16" xfId="23" applyFont="1" applyFill="1" applyBorder="1" applyAlignment="1">
      <alignment horizontal="center"/>
    </xf>
    <xf numFmtId="5" fontId="15" fillId="0" borderId="53" xfId="18" applyNumberFormat="1" applyFont="1" applyFill="1" applyBorder="1" applyAlignment="1">
      <alignment horizontal="center"/>
    </xf>
    <xf numFmtId="5" fontId="73" fillId="0" borderId="49" xfId="18" applyNumberFormat="1" applyFont="1" applyBorder="1"/>
    <xf numFmtId="195" fontId="73" fillId="0" borderId="49" xfId="18" applyNumberFormat="1" applyFont="1" applyBorder="1" applyAlignment="1">
      <alignment horizontal="center"/>
    </xf>
    <xf numFmtId="195" fontId="73" fillId="0" borderId="19" xfId="18" applyNumberFormat="1" applyFont="1" applyBorder="1" applyAlignment="1">
      <alignment horizontal="center"/>
    </xf>
    <xf numFmtId="5" fontId="73" fillId="0" borderId="54" xfId="18" applyNumberFormat="1" applyFont="1" applyBorder="1"/>
    <xf numFmtId="195" fontId="73" fillId="0" borderId="0" xfId="18" applyNumberFormat="1" applyFont="1" applyBorder="1" applyAlignment="1">
      <alignment horizontal="center"/>
    </xf>
    <xf numFmtId="195" fontId="73" fillId="0" borderId="54" xfId="18" applyNumberFormat="1" applyFont="1" applyBorder="1" applyAlignment="1">
      <alignment horizontal="center"/>
    </xf>
    <xf numFmtId="195" fontId="73" fillId="0" borderId="13" xfId="18" applyNumberFormat="1" applyFont="1" applyBorder="1" applyAlignment="1">
      <alignment horizontal="center"/>
    </xf>
    <xf numFmtId="5" fontId="15" fillId="5" borderId="53" xfId="18" applyNumberFormat="1" applyFont="1" applyFill="1" applyBorder="1" applyAlignment="1">
      <alignment horizontal="center"/>
    </xf>
    <xf numFmtId="5" fontId="73" fillId="5" borderId="54" xfId="18" applyNumberFormat="1" applyFont="1" applyFill="1" applyBorder="1"/>
    <xf numFmtId="195" fontId="73" fillId="5" borderId="54" xfId="18" applyNumberFormat="1" applyFont="1" applyFill="1" applyBorder="1" applyAlignment="1">
      <alignment horizontal="center"/>
    </xf>
    <xf numFmtId="195" fontId="73" fillId="5" borderId="13" xfId="18" applyNumberFormat="1" applyFont="1" applyFill="1" applyBorder="1" applyAlignment="1">
      <alignment horizontal="center"/>
    </xf>
    <xf numFmtId="5" fontId="15" fillId="0" borderId="50" xfId="18" applyNumberFormat="1" applyFont="1" applyFill="1" applyBorder="1" applyAlignment="1">
      <alignment horizontal="center"/>
    </xf>
    <xf numFmtId="5" fontId="73" fillId="0" borderId="52" xfId="18" applyNumberFormat="1" applyFont="1" applyBorder="1"/>
    <xf numFmtId="195" fontId="73" fillId="0" borderId="52" xfId="18" applyNumberFormat="1" applyFont="1" applyBorder="1" applyAlignment="1">
      <alignment horizontal="center"/>
    </xf>
    <xf numFmtId="195" fontId="73" fillId="0" borderId="16" xfId="18" applyNumberFormat="1" applyFont="1" applyBorder="1" applyAlignment="1">
      <alignment horizontal="center"/>
    </xf>
    <xf numFmtId="0" fontId="71" fillId="0" borderId="14" xfId="23" applyFont="1" applyBorder="1"/>
    <xf numFmtId="0" fontId="19" fillId="0" borderId="0" xfId="23" applyFont="1" applyAlignment="1">
      <alignment horizontal="center"/>
    </xf>
    <xf numFmtId="0" fontId="34" fillId="0" borderId="0" xfId="23" applyFont="1" applyAlignment="1">
      <alignment horizontal="center"/>
    </xf>
    <xf numFmtId="0" fontId="34" fillId="0" borderId="9" xfId="23" applyFont="1" applyBorder="1" applyAlignment="1">
      <alignment horizontal="center"/>
    </xf>
    <xf numFmtId="0" fontId="34" fillId="5" borderId="0" xfId="23" applyFont="1" applyFill="1" applyAlignment="1">
      <alignment horizontal="center"/>
    </xf>
    <xf numFmtId="0" fontId="19" fillId="5" borderId="0" xfId="23" applyFont="1" applyFill="1"/>
    <xf numFmtId="0" fontId="19" fillId="0" borderId="0" xfId="23" applyFont="1" applyAlignment="1">
      <alignment horizontal="left" indent="1"/>
    </xf>
    <xf numFmtId="167" fontId="34" fillId="5" borderId="0" xfId="16" applyFont="1" applyFill="1"/>
    <xf numFmtId="167" fontId="64" fillId="0" borderId="10" xfId="16" applyFont="1" applyBorder="1"/>
    <xf numFmtId="167" fontId="19" fillId="5" borderId="0" xfId="16" applyFont="1" applyFill="1"/>
    <xf numFmtId="0" fontId="19" fillId="0" borderId="0" xfId="23" applyFont="1" applyAlignment="1">
      <alignment horizontal="left" indent="2"/>
    </xf>
    <xf numFmtId="10" fontId="19" fillId="0" borderId="0" xfId="23" applyNumberFormat="1" applyFont="1" applyAlignment="1">
      <alignment horizontal="center"/>
    </xf>
    <xf numFmtId="14" fontId="19" fillId="0" borderId="0" xfId="23" applyNumberFormat="1" applyFont="1" applyAlignment="1">
      <alignment horizontal="center"/>
    </xf>
    <xf numFmtId="10" fontId="19" fillId="0" borderId="0" xfId="35" applyNumberFormat="1" applyFont="1" applyAlignment="1">
      <alignment horizontal="center"/>
    </xf>
    <xf numFmtId="0" fontId="19" fillId="0" borderId="0" xfId="23" applyFont="1" applyFill="1" applyAlignment="1">
      <alignment horizontal="left" indent="2"/>
    </xf>
    <xf numFmtId="10" fontId="19" fillId="0" borderId="0" xfId="35" applyNumberFormat="1" applyFont="1" applyFill="1" applyAlignment="1">
      <alignment horizontal="center"/>
    </xf>
    <xf numFmtId="14" fontId="19" fillId="0" borderId="0" xfId="23" applyNumberFormat="1" applyFont="1" applyFill="1" applyAlignment="1">
      <alignment horizontal="center"/>
    </xf>
    <xf numFmtId="0" fontId="34" fillId="0" borderId="0" xfId="23" applyFont="1" applyAlignment="1">
      <alignment horizontal="left"/>
    </xf>
    <xf numFmtId="167" fontId="34" fillId="0" borderId="10" xfId="16" applyFont="1" applyBorder="1"/>
    <xf numFmtId="167" fontId="34" fillId="5" borderId="0" xfId="16" applyNumberFormat="1" applyFont="1" applyFill="1" applyBorder="1"/>
    <xf numFmtId="0" fontId="74" fillId="0" borderId="0" xfId="23" applyFont="1" applyAlignment="1">
      <alignment horizontal="left" indent="1"/>
    </xf>
    <xf numFmtId="0" fontId="69" fillId="0" borderId="0" xfId="23" applyFont="1" applyAlignment="1">
      <alignment horizontal="center"/>
    </xf>
    <xf numFmtId="0" fontId="69" fillId="0" borderId="0" xfId="23" applyFont="1" applyAlignment="1">
      <alignment horizontal="left"/>
    </xf>
    <xf numFmtId="167" fontId="74" fillId="0" borderId="0" xfId="16" applyFont="1"/>
    <xf numFmtId="167" fontId="74" fillId="0" borderId="10" xfId="16" applyFont="1" applyBorder="1"/>
    <xf numFmtId="167" fontId="74" fillId="0" borderId="0" xfId="16" applyFont="1" applyBorder="1"/>
    <xf numFmtId="167" fontId="74" fillId="5" borderId="0" xfId="16" applyFont="1" applyFill="1" applyBorder="1"/>
    <xf numFmtId="0" fontId="53" fillId="0" borderId="0" xfId="23" applyFont="1"/>
    <xf numFmtId="10" fontId="34" fillId="0" borderId="0" xfId="35" applyNumberFormat="1" applyFont="1" applyAlignment="1">
      <alignment horizontal="center"/>
    </xf>
    <xf numFmtId="167" fontId="34" fillId="5" borderId="0" xfId="16" applyNumberFormat="1" applyFont="1" applyFill="1"/>
    <xf numFmtId="196" fontId="19" fillId="0" borderId="0" xfId="35" applyNumberFormat="1" applyFont="1" applyAlignment="1">
      <alignment horizontal="center"/>
    </xf>
    <xf numFmtId="196" fontId="19" fillId="0" borderId="0" xfId="23" applyNumberFormat="1" applyFont="1" applyAlignment="1">
      <alignment horizontal="center"/>
    </xf>
    <xf numFmtId="167" fontId="33" fillId="0" borderId="0" xfId="16" applyFont="1" applyFill="1"/>
    <xf numFmtId="167" fontId="34" fillId="0" borderId="0" xfId="16" applyNumberFormat="1" applyFont="1"/>
    <xf numFmtId="175" fontId="34" fillId="0" borderId="0" xfId="16" applyNumberFormat="1" applyFont="1"/>
    <xf numFmtId="0" fontId="7" fillId="0" borderId="0" xfId="23" applyFont="1" applyAlignment="1">
      <alignment horizontal="left"/>
    </xf>
    <xf numFmtId="167" fontId="7" fillId="0" borderId="0" xfId="16" applyFont="1"/>
    <xf numFmtId="167" fontId="7" fillId="0" borderId="10" xfId="16" applyFont="1" applyBorder="1"/>
    <xf numFmtId="0" fontId="74" fillId="0" borderId="0" xfId="23" applyFont="1" applyAlignment="1">
      <alignment horizontal="center"/>
    </xf>
    <xf numFmtId="0" fontId="74" fillId="0" borderId="0" xfId="23" applyFont="1"/>
    <xf numFmtId="167" fontId="74" fillId="0" borderId="0" xfId="16" applyNumberFormat="1" applyFont="1"/>
    <xf numFmtId="0" fontId="75" fillId="0" borderId="0" xfId="23" applyFont="1"/>
    <xf numFmtId="0" fontId="52" fillId="0" borderId="0" xfId="23" applyFont="1"/>
    <xf numFmtId="10" fontId="33" fillId="0" borderId="0" xfId="35" applyNumberFormat="1" applyFont="1"/>
    <xf numFmtId="167" fontId="33" fillId="0" borderId="10" xfId="16" applyFont="1" applyBorder="1"/>
    <xf numFmtId="10" fontId="33" fillId="0" borderId="10" xfId="35" applyNumberFormat="1" applyFont="1" applyBorder="1"/>
    <xf numFmtId="167" fontId="19" fillId="0" borderId="0" xfId="16" applyNumberFormat="1" applyFont="1"/>
    <xf numFmtId="175" fontId="19" fillId="0" borderId="0" xfId="16" applyNumberFormat="1" applyFont="1"/>
    <xf numFmtId="167" fontId="34" fillId="0" borderId="15" xfId="16" applyFont="1" applyBorder="1"/>
    <xf numFmtId="175" fontId="34" fillId="0" borderId="15" xfId="16" applyNumberFormat="1" applyFont="1" applyBorder="1"/>
    <xf numFmtId="0" fontId="7" fillId="0" borderId="0" xfId="23" applyFont="1" applyAlignment="1">
      <alignment horizontal="left" indent="1"/>
    </xf>
    <xf numFmtId="0" fontId="7" fillId="0" borderId="0" xfId="23" applyFont="1" applyAlignment="1">
      <alignment horizontal="center"/>
    </xf>
    <xf numFmtId="175" fontId="7" fillId="0" borderId="0" xfId="16" applyNumberFormat="1" applyFont="1"/>
    <xf numFmtId="39" fontId="7" fillId="0" borderId="0" xfId="16" applyNumberFormat="1" applyFont="1"/>
    <xf numFmtId="166" fontId="7" fillId="0" borderId="0" xfId="16" applyNumberFormat="1" applyFont="1"/>
    <xf numFmtId="189" fontId="19" fillId="0" borderId="0" xfId="23" applyNumberFormat="1" applyFont="1"/>
    <xf numFmtId="0" fontId="52" fillId="0" borderId="0" xfId="23" applyFont="1" applyAlignment="1">
      <alignment horizontal="center"/>
    </xf>
    <xf numFmtId="170" fontId="52" fillId="0" borderId="0" xfId="23" applyNumberFormat="1" applyFont="1"/>
    <xf numFmtId="0" fontId="34" fillId="0" borderId="2" xfId="23" applyFont="1" applyBorder="1"/>
    <xf numFmtId="0" fontId="34" fillId="0" borderId="2" xfId="23" applyFont="1" applyBorder="1" applyAlignment="1">
      <alignment horizontal="center"/>
    </xf>
    <xf numFmtId="167" fontId="34" fillId="0" borderId="2" xfId="16" applyFont="1" applyBorder="1"/>
    <xf numFmtId="0" fontId="19" fillId="0" borderId="55" xfId="23" applyFont="1" applyBorder="1"/>
    <xf numFmtId="0" fontId="19" fillId="0" borderId="55" xfId="23" applyFont="1" applyBorder="1" applyAlignment="1">
      <alignment horizontal="center"/>
    </xf>
    <xf numFmtId="167" fontId="19" fillId="0" borderId="55" xfId="23" applyNumberFormat="1" applyFont="1" applyBorder="1"/>
    <xf numFmtId="0" fontId="34" fillId="5" borderId="55" xfId="23" applyFont="1" applyFill="1" applyBorder="1" applyAlignment="1">
      <alignment horizontal="center"/>
    </xf>
    <xf numFmtId="0" fontId="34" fillId="5" borderId="56" xfId="23" applyFont="1" applyFill="1" applyBorder="1" applyAlignment="1">
      <alignment horizontal="center"/>
    </xf>
    <xf numFmtId="0" fontId="19" fillId="0" borderId="5" xfId="23" applyFont="1" applyBorder="1" applyAlignment="1">
      <alignment horizontal="center"/>
    </xf>
    <xf numFmtId="167" fontId="19" fillId="0" borderId="5" xfId="16" applyFont="1" applyBorder="1"/>
    <xf numFmtId="168" fontId="19" fillId="0" borderId="0" xfId="18" applyFont="1"/>
    <xf numFmtId="37" fontId="19" fillId="0" borderId="0" xfId="16" applyNumberFormat="1" applyFont="1"/>
    <xf numFmtId="0" fontId="2" fillId="0" borderId="3" xfId="23" applyBorder="1"/>
    <xf numFmtId="7" fontId="2" fillId="0" borderId="0" xfId="23" applyNumberFormat="1"/>
    <xf numFmtId="0" fontId="2" fillId="0" borderId="5" xfId="23" applyFont="1" applyBorder="1"/>
    <xf numFmtId="10" fontId="19" fillId="0" borderId="10" xfId="23" applyNumberFormat="1" applyFont="1" applyFill="1" applyBorder="1"/>
    <xf numFmtId="182" fontId="19" fillId="0" borderId="0" xfId="23" applyNumberFormat="1" applyFont="1" applyBorder="1" applyAlignment="1">
      <alignment horizontal="center"/>
    </xf>
    <xf numFmtId="172" fontId="3" fillId="3" borderId="5" xfId="23" applyNumberFormat="1" applyFont="1" applyFill="1" applyBorder="1" applyAlignment="1" applyProtection="1">
      <alignment horizontal="right"/>
    </xf>
    <xf numFmtId="166" fontId="85" fillId="0" borderId="0" xfId="35" applyNumberFormat="1" applyFont="1" applyFill="1" applyBorder="1"/>
    <xf numFmtId="166" fontId="3" fillId="3" borderId="0" xfId="23" applyNumberFormat="1" applyFont="1" applyFill="1" applyBorder="1" applyAlignment="1" applyProtection="1">
      <alignment horizontal="right"/>
    </xf>
    <xf numFmtId="167" fontId="86" fillId="0" borderId="0" xfId="16" applyNumberFormat="1" applyFont="1" applyFill="1" applyBorder="1"/>
    <xf numFmtId="7" fontId="87" fillId="3" borderId="0" xfId="18" applyNumberFormat="1" applyFont="1" applyFill="1" applyBorder="1"/>
    <xf numFmtId="167" fontId="87" fillId="0" borderId="0" xfId="16" applyFont="1" applyFill="1" applyBorder="1"/>
    <xf numFmtId="166" fontId="87" fillId="0" borderId="0" xfId="35" applyNumberFormat="1" applyFont="1" applyFill="1" applyBorder="1"/>
    <xf numFmtId="166" fontId="87" fillId="0" borderId="14" xfId="35" applyNumberFormat="1" applyFont="1" applyFill="1" applyBorder="1"/>
    <xf numFmtId="168" fontId="87" fillId="0" borderId="0" xfId="16" applyNumberFormat="1" applyFont="1" applyBorder="1"/>
    <xf numFmtId="168" fontId="87" fillId="0" borderId="0" xfId="18" applyFont="1" applyFill="1" applyBorder="1"/>
    <xf numFmtId="167" fontId="87" fillId="0" borderId="0" xfId="16" applyNumberFormat="1" applyFont="1" applyFill="1" applyBorder="1"/>
    <xf numFmtId="167" fontId="87" fillId="3" borderId="0" xfId="16" applyNumberFormat="1" applyFont="1" applyFill="1" applyBorder="1"/>
    <xf numFmtId="168" fontId="87" fillId="0" borderId="0" xfId="18" applyNumberFormat="1" applyFont="1" applyFill="1" applyBorder="1"/>
    <xf numFmtId="167" fontId="87" fillId="3" borderId="0" xfId="18" applyNumberFormat="1" applyFont="1" applyFill="1" applyBorder="1"/>
    <xf numFmtId="167" fontId="87" fillId="3" borderId="0" xfId="31" applyNumberFormat="1" applyFont="1" applyFill="1" applyBorder="1"/>
    <xf numFmtId="167" fontId="87" fillId="3" borderId="0" xfId="16" applyFont="1" applyFill="1" applyBorder="1" applyAlignment="1" applyProtection="1">
      <alignment horizontal="right"/>
    </xf>
    <xf numFmtId="168" fontId="87" fillId="3" borderId="0" xfId="31" applyNumberFormat="1" applyFont="1" applyFill="1" applyBorder="1"/>
    <xf numFmtId="166" fontId="87" fillId="8" borderId="0" xfId="35" applyNumberFormat="1" applyFont="1" applyFill="1" applyBorder="1"/>
    <xf numFmtId="166" fontId="86" fillId="0" borderId="0" xfId="23" applyNumberFormat="1" applyFont="1" applyFill="1" applyBorder="1"/>
    <xf numFmtId="166" fontId="86" fillId="0" borderId="0" xfId="35" applyNumberFormat="1" applyFont="1" applyFill="1" applyBorder="1"/>
    <xf numFmtId="167" fontId="87" fillId="0" borderId="0" xfId="31" applyNumberFormat="1" applyFont="1" applyFill="1" applyBorder="1"/>
    <xf numFmtId="167" fontId="87" fillId="0" borderId="0" xfId="18" applyNumberFormat="1" applyFont="1" applyFill="1" applyBorder="1"/>
    <xf numFmtId="168" fontId="87" fillId="0" borderId="0" xfId="31" applyNumberFormat="1" applyFont="1" applyFill="1" applyBorder="1"/>
    <xf numFmtId="167" fontId="14" fillId="0" borderId="0" xfId="16" applyNumberFormat="1" applyFont="1" applyFill="1" applyBorder="1" applyAlignment="1">
      <alignment horizontal="right"/>
    </xf>
    <xf numFmtId="167" fontId="3" fillId="3" borderId="0" xfId="16" applyNumberFormat="1" applyFont="1" applyFill="1" applyBorder="1" applyAlignment="1">
      <alignment horizontal="right"/>
    </xf>
    <xf numFmtId="166" fontId="3" fillId="2" borderId="10" xfId="35" applyNumberFormat="1" applyFont="1" applyFill="1" applyBorder="1"/>
    <xf numFmtId="172" fontId="19" fillId="0" borderId="0" xfId="35" applyNumberFormat="1" applyFont="1" applyFill="1" applyBorder="1"/>
    <xf numFmtId="166" fontId="84" fillId="0" borderId="0" xfId="35" applyNumberFormat="1" applyFont="1" applyFill="1" applyBorder="1"/>
    <xf numFmtId="167" fontId="86" fillId="0" borderId="0" xfId="16" applyFont="1"/>
    <xf numFmtId="167" fontId="87" fillId="8" borderId="0" xfId="35" applyNumberFormat="1" applyFont="1" applyFill="1" applyBorder="1"/>
    <xf numFmtId="37" fontId="9" fillId="0" borderId="13" xfId="23" applyNumberFormat="1" applyFont="1" applyFill="1" applyBorder="1" applyAlignment="1" applyProtection="1">
      <alignment horizontal="left"/>
    </xf>
    <xf numFmtId="172" fontId="9" fillId="0" borderId="0" xfId="35" applyNumberFormat="1" applyFont="1" applyFill="1" applyBorder="1"/>
    <xf numFmtId="172" fontId="52" fillId="0" borderId="0" xfId="35" applyNumberFormat="1" applyFont="1" applyFill="1" applyBorder="1"/>
    <xf numFmtId="172" fontId="52" fillId="0" borderId="0" xfId="23" applyNumberFormat="1" applyFont="1" applyFill="1" applyBorder="1"/>
    <xf numFmtId="172" fontId="9" fillId="0" borderId="10" xfId="35" applyNumberFormat="1" applyFont="1" applyFill="1" applyBorder="1"/>
    <xf numFmtId="166" fontId="9" fillId="0" borderId="10" xfId="35" applyNumberFormat="1" applyFont="1" applyFill="1" applyBorder="1" applyAlignment="1"/>
    <xf numFmtId="166" fontId="9" fillId="0" borderId="0" xfId="18" applyNumberFormat="1" applyFont="1" applyFill="1" applyBorder="1"/>
    <xf numFmtId="37" fontId="2" fillId="0" borderId="0" xfId="23" applyNumberFormat="1" applyAlignment="1">
      <alignment horizontal="right"/>
    </xf>
    <xf numFmtId="172" fontId="88" fillId="0" borderId="0" xfId="0" applyNumberFormat="1" applyFont="1"/>
    <xf numFmtId="172" fontId="48" fillId="0" borderId="0" xfId="23" applyNumberFormat="1" applyFont="1" applyBorder="1" applyAlignment="1">
      <alignment horizontal="center"/>
    </xf>
    <xf numFmtId="167" fontId="89" fillId="0" borderId="0" xfId="16" applyFont="1" applyFill="1" applyBorder="1"/>
    <xf numFmtId="166" fontId="89" fillId="0" borderId="0" xfId="35" applyNumberFormat="1" applyFont="1" applyFill="1" applyBorder="1"/>
    <xf numFmtId="167" fontId="90" fillId="0" borderId="0" xfId="16" applyNumberFormat="1" applyFont="1" applyFill="1" applyBorder="1"/>
    <xf numFmtId="166" fontId="90" fillId="0" borderId="0" xfId="23" applyNumberFormat="1" applyFont="1" applyFill="1" applyBorder="1"/>
    <xf numFmtId="166" fontId="90" fillId="0" borderId="0" xfId="35" applyNumberFormat="1" applyFont="1" applyFill="1" applyBorder="1"/>
    <xf numFmtId="166" fontId="87" fillId="8" borderId="13" xfId="35" applyNumberFormat="1" applyFont="1" applyFill="1" applyBorder="1"/>
    <xf numFmtId="0" fontId="0" fillId="0" borderId="13" xfId="0" applyBorder="1"/>
    <xf numFmtId="37" fontId="91" fillId="0" borderId="0" xfId="0" applyNumberFormat="1" applyFont="1"/>
    <xf numFmtId="0" fontId="91" fillId="0" borderId="0" xfId="0" applyFont="1"/>
    <xf numFmtId="37" fontId="92" fillId="0" borderId="16" xfId="0" applyNumberFormat="1" applyFont="1" applyBorder="1" applyAlignment="1">
      <alignment horizontal="center"/>
    </xf>
    <xf numFmtId="5" fontId="92" fillId="0" borderId="0" xfId="23" applyNumberFormat="1" applyFont="1" applyBorder="1" applyAlignment="1">
      <alignment horizontal="center"/>
    </xf>
    <xf numFmtId="172" fontId="48" fillId="0" borderId="10" xfId="35" applyNumberFormat="1" applyFont="1" applyFill="1" applyBorder="1" applyAlignment="1">
      <alignment horizontal="right"/>
    </xf>
    <xf numFmtId="172" fontId="93" fillId="0" borderId="0" xfId="0" applyNumberFormat="1" applyFont="1"/>
    <xf numFmtId="0" fontId="19" fillId="0" borderId="5" xfId="23" applyFont="1" applyBorder="1" applyAlignment="1">
      <alignment horizontal="right"/>
    </xf>
    <xf numFmtId="0" fontId="0" fillId="0" borderId="10" xfId="0" applyBorder="1"/>
    <xf numFmtId="167" fontId="96" fillId="3" borderId="0" xfId="16" applyNumberFormat="1" applyFont="1" applyFill="1" applyBorder="1"/>
    <xf numFmtId="167" fontId="96" fillId="0" borderId="0" xfId="16" applyNumberFormat="1" applyFont="1" applyFill="1" applyBorder="1" applyAlignment="1">
      <alignment horizontal="right"/>
    </xf>
    <xf numFmtId="168" fontId="96" fillId="0" borderId="0" xfId="18" applyNumberFormat="1" applyFont="1" applyFill="1" applyBorder="1"/>
    <xf numFmtId="167" fontId="96" fillId="3" borderId="0" xfId="31" applyNumberFormat="1" applyFont="1" applyFill="1" applyBorder="1"/>
    <xf numFmtId="168" fontId="96" fillId="3" borderId="0" xfId="31" applyNumberFormat="1" applyFont="1" applyFill="1" applyBorder="1"/>
    <xf numFmtId="167" fontId="96" fillId="3" borderId="0" xfId="16" applyFont="1" applyFill="1" applyBorder="1" applyAlignment="1" applyProtection="1">
      <alignment horizontal="right"/>
    </xf>
    <xf numFmtId="168" fontId="96" fillId="0" borderId="0" xfId="31" applyNumberFormat="1" applyFont="1" applyFill="1" applyBorder="1"/>
    <xf numFmtId="166" fontId="97" fillId="0" borderId="0" xfId="35" applyNumberFormat="1" applyFont="1" applyFill="1" applyBorder="1"/>
    <xf numFmtId="167" fontId="98" fillId="3" borderId="0" xfId="16" applyFont="1" applyFill="1" applyBorder="1"/>
    <xf numFmtId="168" fontId="99" fillId="3" borderId="0" xfId="18" applyNumberFormat="1" applyFont="1" applyFill="1" applyBorder="1"/>
    <xf numFmtId="167" fontId="96" fillId="0" borderId="0" xfId="16" applyFont="1" applyFill="1" applyBorder="1"/>
    <xf numFmtId="166" fontId="96" fillId="0" borderId="0" xfId="35" applyNumberFormat="1" applyFont="1" applyFill="1" applyBorder="1"/>
    <xf numFmtId="167" fontId="97" fillId="0" borderId="0" xfId="16" applyNumberFormat="1" applyFont="1" applyFill="1" applyBorder="1"/>
    <xf numFmtId="166" fontId="97" fillId="0" borderId="0" xfId="23" applyNumberFormat="1" applyFont="1" applyFill="1" applyBorder="1"/>
    <xf numFmtId="167" fontId="96" fillId="3" borderId="0" xfId="18" applyNumberFormat="1" applyFont="1" applyFill="1" applyBorder="1"/>
    <xf numFmtId="168" fontId="98" fillId="0" borderId="0" xfId="18" applyNumberFormat="1" applyFont="1" applyFill="1" applyBorder="1"/>
    <xf numFmtId="167" fontId="96" fillId="0" borderId="0" xfId="31" applyNumberFormat="1" applyFont="1" applyFill="1" applyBorder="1"/>
    <xf numFmtId="167" fontId="96" fillId="0" borderId="0" xfId="16" applyNumberFormat="1" applyFont="1" applyFill="1" applyBorder="1"/>
    <xf numFmtId="167" fontId="96" fillId="0" borderId="0" xfId="18" applyNumberFormat="1" applyFont="1" applyFill="1" applyBorder="1"/>
    <xf numFmtId="168" fontId="96" fillId="0" borderId="0" xfId="18" applyFont="1" applyFill="1" applyBorder="1"/>
    <xf numFmtId="168" fontId="98" fillId="0" borderId="0" xfId="23" applyNumberFormat="1" applyFont="1" applyFill="1" applyBorder="1"/>
    <xf numFmtId="166" fontId="98" fillId="3" borderId="0" xfId="35" applyNumberFormat="1" applyFont="1" applyFill="1" applyBorder="1"/>
    <xf numFmtId="168" fontId="96" fillId="0" borderId="0" xfId="16" applyNumberFormat="1" applyFont="1" applyBorder="1"/>
    <xf numFmtId="166" fontId="96" fillId="3" borderId="0" xfId="35" applyNumberFormat="1" applyFont="1" applyFill="1" applyBorder="1"/>
    <xf numFmtId="167" fontId="97" fillId="0" borderId="0" xfId="16" applyFont="1"/>
    <xf numFmtId="7" fontId="2" fillId="0" borderId="0" xfId="23" applyNumberFormat="1" applyAlignment="1">
      <alignment horizontal="right"/>
    </xf>
    <xf numFmtId="43" fontId="4" fillId="8" borderId="0" xfId="15" applyFont="1" applyFill="1" applyBorder="1"/>
    <xf numFmtId="181" fontId="3" fillId="8" borderId="0" xfId="15" applyNumberFormat="1" applyFont="1" applyFill="1" applyBorder="1"/>
    <xf numFmtId="166" fontId="4" fillId="8" borderId="0" xfId="34" applyNumberFormat="1" applyFont="1" applyFill="1" applyBorder="1"/>
    <xf numFmtId="10" fontId="3" fillId="8" borderId="0" xfId="35" applyNumberFormat="1" applyFont="1" applyFill="1" applyBorder="1"/>
    <xf numFmtId="166" fontId="2" fillId="0" borderId="0" xfId="34" applyNumberFormat="1" applyFont="1"/>
    <xf numFmtId="37" fontId="100" fillId="0" borderId="10" xfId="16" applyNumberFormat="1" applyFont="1" applyFill="1" applyBorder="1" applyAlignment="1">
      <alignment horizontal="right"/>
    </xf>
    <xf numFmtId="197" fontId="100" fillId="0" borderId="0" xfId="16" applyNumberFormat="1" applyFont="1" applyFill="1" applyBorder="1"/>
    <xf numFmtId="166" fontId="19" fillId="0" borderId="0" xfId="34" applyNumberFormat="1" applyFont="1" applyBorder="1"/>
    <xf numFmtId="0" fontId="2" fillId="0" borderId="0" xfId="23"/>
    <xf numFmtId="39" fontId="34" fillId="0" borderId="2" xfId="16" applyNumberFormat="1" applyFont="1" applyFill="1" applyBorder="1" applyAlignment="1">
      <alignment horizontal="right"/>
    </xf>
    <xf numFmtId="39" fontId="34" fillId="0" borderId="2" xfId="16" applyNumberFormat="1" applyFont="1" applyBorder="1"/>
    <xf numFmtId="0" fontId="15" fillId="0" borderId="11" xfId="23" applyFont="1" applyBorder="1"/>
    <xf numFmtId="37" fontId="1" fillId="0" borderId="0" xfId="16" applyNumberFormat="1" applyFont="1"/>
    <xf numFmtId="37" fontId="98" fillId="3" borderId="0" xfId="23" applyNumberFormat="1" applyFont="1" applyFill="1" applyBorder="1"/>
    <xf numFmtId="9" fontId="98" fillId="3" borderId="0" xfId="35" applyFont="1" applyFill="1" applyBorder="1"/>
    <xf numFmtId="7" fontId="19" fillId="0" borderId="10" xfId="23" applyNumberFormat="1" applyFont="1" applyFill="1" applyBorder="1"/>
    <xf numFmtId="186" fontId="97" fillId="13" borderId="0" xfId="23" applyNumberFormat="1" applyFont="1" applyFill="1" applyBorder="1" applyAlignment="1">
      <alignment horizontal="center"/>
    </xf>
    <xf numFmtId="9" fontId="103" fillId="0" borderId="0" xfId="35" applyFont="1" applyBorder="1" applyAlignment="1">
      <alignment horizontal="center"/>
    </xf>
    <xf numFmtId="166" fontId="103" fillId="0" borderId="0" xfId="23" applyNumberFormat="1" applyFont="1" applyFill="1" applyBorder="1" applyAlignment="1">
      <alignment horizontal="center"/>
    </xf>
    <xf numFmtId="167" fontId="103" fillId="13" borderId="0" xfId="23" applyNumberFormat="1" applyFont="1" applyFill="1" applyBorder="1" applyAlignment="1">
      <alignment horizontal="center"/>
    </xf>
    <xf numFmtId="39" fontId="97" fillId="0" borderId="0" xfId="16" applyNumberFormat="1" applyFont="1" applyBorder="1" applyAlignment="1">
      <alignment horizontal="center"/>
    </xf>
    <xf numFmtId="167" fontId="103" fillId="13" borderId="0" xfId="16" applyNumberFormat="1" applyFont="1" applyFill="1" applyBorder="1" applyAlignment="1">
      <alignment horizontal="center"/>
    </xf>
    <xf numFmtId="5" fontId="103" fillId="13" borderId="0" xfId="18" applyNumberFormat="1" applyFont="1" applyFill="1" applyBorder="1" applyAlignment="1">
      <alignment horizontal="center"/>
    </xf>
    <xf numFmtId="0" fontId="104" fillId="0" borderId="2" xfId="0" applyFont="1" applyBorder="1" applyAlignment="1">
      <alignment horizontal="right"/>
    </xf>
    <xf numFmtId="195" fontId="105" fillId="0" borderId="2" xfId="18" applyNumberFormat="1" applyFont="1" applyBorder="1" applyAlignment="1">
      <alignment horizontal="center"/>
    </xf>
    <xf numFmtId="195" fontId="105" fillId="0" borderId="0" xfId="18" applyNumberFormat="1" applyFont="1" applyBorder="1" applyAlignment="1">
      <alignment horizontal="center"/>
    </xf>
    <xf numFmtId="195" fontId="105" fillId="5" borderId="0" xfId="18" applyNumberFormat="1" applyFont="1" applyFill="1" applyBorder="1" applyAlignment="1">
      <alignment horizontal="center"/>
    </xf>
    <xf numFmtId="195" fontId="105" fillId="0" borderId="5" xfId="18" applyNumberFormat="1" applyFont="1" applyBorder="1" applyAlignment="1">
      <alignment horizontal="center"/>
    </xf>
    <xf numFmtId="0" fontId="106" fillId="0" borderId="51" xfId="23" applyFont="1" applyFill="1" applyBorder="1" applyAlignment="1">
      <alignment horizontal="center"/>
    </xf>
    <xf numFmtId="190" fontId="107" fillId="0" borderId="46" xfId="23" applyNumberFormat="1" applyFont="1" applyFill="1" applyBorder="1" applyAlignment="1">
      <alignment horizontal="center"/>
    </xf>
    <xf numFmtId="0" fontId="109" fillId="0" borderId="0" xfId="0" applyFont="1"/>
    <xf numFmtId="49" fontId="109" fillId="0" borderId="0" xfId="0" applyNumberFormat="1" applyFont="1"/>
    <xf numFmtId="49" fontId="110" fillId="0" borderId="0" xfId="0" applyNumberFormat="1" applyFont="1"/>
    <xf numFmtId="171" fontId="17" fillId="0" borderId="0" xfId="23" applyNumberFormat="1" applyFont="1"/>
    <xf numFmtId="167" fontId="112" fillId="3" borderId="0" xfId="23" applyNumberFormat="1" applyFont="1" applyFill="1" applyBorder="1"/>
    <xf numFmtId="167" fontId="112" fillId="0" borderId="0" xfId="23" applyNumberFormat="1" applyFont="1" applyFill="1" applyBorder="1"/>
    <xf numFmtId="168" fontId="112" fillId="3" borderId="0" xfId="23" applyNumberFormat="1" applyFont="1" applyFill="1" applyBorder="1"/>
    <xf numFmtId="181" fontId="100" fillId="8" borderId="13" xfId="15" applyNumberFormat="1" applyFont="1" applyFill="1" applyBorder="1"/>
    <xf numFmtId="166" fontId="87" fillId="8" borderId="0" xfId="34" applyNumberFormat="1" applyFont="1" applyFill="1" applyBorder="1"/>
    <xf numFmtId="166" fontId="87" fillId="8" borderId="13" xfId="34" applyNumberFormat="1" applyFont="1" applyFill="1" applyBorder="1"/>
    <xf numFmtId="198" fontId="100" fillId="0" borderId="0" xfId="16" applyNumberFormat="1" applyFont="1" applyFill="1" applyBorder="1"/>
    <xf numFmtId="183" fontId="100" fillId="0" borderId="10" xfId="15" applyNumberFormat="1" applyFont="1" applyFill="1" applyBorder="1" applyAlignment="1">
      <alignment horizontal="right"/>
    </xf>
    <xf numFmtId="188" fontId="34" fillId="0" borderId="57" xfId="23" applyNumberFormat="1" applyFont="1" applyFill="1" applyBorder="1" applyAlignment="1">
      <alignment horizontal="center"/>
    </xf>
    <xf numFmtId="3" fontId="34" fillId="0" borderId="58" xfId="23" applyNumberFormat="1" applyFont="1" applyFill="1" applyBorder="1" applyAlignment="1">
      <alignment horizontal="center"/>
    </xf>
    <xf numFmtId="9" fontId="63" fillId="0" borderId="58" xfId="23" applyNumberFormat="1" applyFont="1" applyFill="1" applyBorder="1" applyAlignment="1">
      <alignment horizontal="center"/>
    </xf>
    <xf numFmtId="9" fontId="52" fillId="0" borderId="58" xfId="23" applyNumberFormat="1" applyFont="1" applyFill="1" applyBorder="1" applyAlignment="1">
      <alignment horizontal="center"/>
    </xf>
    <xf numFmtId="9" fontId="65" fillId="0" borderId="59" xfId="35" applyFont="1" applyFill="1" applyBorder="1" applyAlignment="1">
      <alignment horizontal="center"/>
    </xf>
    <xf numFmtId="37" fontId="65" fillId="0" borderId="59" xfId="23" applyNumberFormat="1" applyFont="1" applyFill="1" applyBorder="1" applyAlignment="1">
      <alignment horizontal="center"/>
    </xf>
    <xf numFmtId="37" fontId="19" fillId="0" borderId="58" xfId="35" applyNumberFormat="1" applyFont="1" applyFill="1" applyBorder="1" applyAlignment="1">
      <alignment horizontal="center"/>
    </xf>
    <xf numFmtId="37" fontId="19" fillId="0" borderId="58" xfId="23" applyNumberFormat="1" applyFont="1" applyFill="1" applyBorder="1" applyAlignment="1">
      <alignment horizontal="center"/>
    </xf>
    <xf numFmtId="189" fontId="52" fillId="0" borderId="58" xfId="23" applyNumberFormat="1" applyFont="1" applyFill="1" applyBorder="1" applyAlignment="1">
      <alignment horizontal="center"/>
    </xf>
    <xf numFmtId="37" fontId="34" fillId="0" borderId="59" xfId="23" applyNumberFormat="1" applyFont="1" applyFill="1" applyBorder="1" applyAlignment="1">
      <alignment horizontal="center"/>
    </xf>
    <xf numFmtId="3" fontId="34" fillId="0" borderId="58" xfId="23" applyNumberFormat="1" applyFont="1" applyBorder="1" applyAlignment="1">
      <alignment horizontal="center"/>
    </xf>
    <xf numFmtId="3" fontId="34" fillId="0" borderId="59" xfId="23" applyNumberFormat="1" applyFont="1" applyFill="1" applyBorder="1" applyAlignment="1">
      <alignment horizontal="center"/>
    </xf>
    <xf numFmtId="9" fontId="19" fillId="0" borderId="60" xfId="23" applyNumberFormat="1" applyFont="1" applyBorder="1" applyAlignment="1">
      <alignment horizontal="center"/>
    </xf>
    <xf numFmtId="167" fontId="19" fillId="0" borderId="58" xfId="23" applyNumberFormat="1" applyFont="1" applyBorder="1"/>
    <xf numFmtId="6" fontId="19" fillId="0" borderId="58" xfId="23" applyNumberFormat="1" applyFont="1" applyBorder="1" applyAlignment="1">
      <alignment horizontal="center"/>
    </xf>
    <xf numFmtId="41" fontId="65" fillId="0" borderId="58" xfId="23" applyNumberFormat="1" applyFont="1" applyBorder="1" applyAlignment="1">
      <alignment horizontal="center"/>
    </xf>
    <xf numFmtId="5" fontId="67" fillId="0" borderId="58" xfId="23" applyNumberFormat="1" applyFont="1" applyBorder="1" applyAlignment="1">
      <alignment horizontal="center"/>
    </xf>
    <xf numFmtId="41" fontId="67" fillId="0" borderId="58" xfId="23" applyNumberFormat="1" applyFont="1" applyBorder="1" applyAlignment="1">
      <alignment horizontal="center"/>
    </xf>
    <xf numFmtId="5" fontId="19" fillId="0" borderId="58" xfId="23" applyNumberFormat="1" applyFont="1" applyBorder="1" applyAlignment="1">
      <alignment horizontal="center"/>
    </xf>
    <xf numFmtId="193" fontId="65" fillId="0" borderId="46" xfId="23" applyNumberFormat="1" applyFont="1" applyBorder="1" applyAlignment="1">
      <alignment horizontal="center"/>
    </xf>
    <xf numFmtId="190" fontId="34" fillId="0" borderId="57" xfId="23" applyNumberFormat="1" applyFont="1" applyFill="1" applyBorder="1" applyAlignment="1">
      <alignment horizontal="center"/>
    </xf>
    <xf numFmtId="172" fontId="52" fillId="0" borderId="13" xfId="23" applyNumberFormat="1" applyFont="1" applyFill="1" applyBorder="1"/>
    <xf numFmtId="172" fontId="52" fillId="0" borderId="10" xfId="23" applyNumberFormat="1" applyFont="1" applyFill="1" applyBorder="1"/>
    <xf numFmtId="0" fontId="2" fillId="0" borderId="0" xfId="24"/>
    <xf numFmtId="0" fontId="2" fillId="14" borderId="0" xfId="72" applyFont="1" applyFill="1" applyAlignment="1">
      <alignment vertical="top"/>
    </xf>
    <xf numFmtId="0" fontId="2" fillId="14" borderId="0" xfId="24" applyFill="1" applyAlignment="1">
      <alignment vertical="top"/>
    </xf>
    <xf numFmtId="0" fontId="2" fillId="14" borderId="0" xfId="24" applyFill="1"/>
    <xf numFmtId="0" fontId="76" fillId="14" borderId="0" xfId="72" applyFont="1" applyFill="1" applyAlignment="1">
      <alignment horizontal="left" vertical="top"/>
    </xf>
    <xf numFmtId="0" fontId="2" fillId="14" borderId="0" xfId="24" applyFont="1" applyFill="1" applyAlignment="1">
      <alignment vertical="top"/>
    </xf>
    <xf numFmtId="0" fontId="53" fillId="14" borderId="0" xfId="72" applyFont="1" applyFill="1" applyAlignment="1">
      <alignment vertical="top"/>
    </xf>
    <xf numFmtId="0" fontId="0" fillId="14" borderId="0" xfId="0" applyFill="1" applyAlignment="1">
      <alignment vertical="top"/>
    </xf>
    <xf numFmtId="0" fontId="116" fillId="14" borderId="0" xfId="0" applyFont="1" applyFill="1" applyAlignment="1">
      <alignment vertical="top"/>
    </xf>
    <xf numFmtId="0" fontId="117" fillId="14" borderId="0" xfId="0" applyFont="1" applyFill="1" applyAlignment="1">
      <alignment vertical="top"/>
    </xf>
    <xf numFmtId="0" fontId="116" fillId="14" borderId="61" xfId="0" applyFont="1" applyFill="1" applyBorder="1" applyAlignment="1">
      <alignment vertical="top"/>
    </xf>
    <xf numFmtId="9" fontId="116" fillId="14" borderId="61" xfId="0" applyNumberFormat="1" applyFont="1" applyFill="1" applyBorder="1" applyAlignment="1">
      <alignment vertical="top"/>
    </xf>
    <xf numFmtId="3" fontId="116" fillId="14" borderId="61" xfId="0" applyNumberFormat="1" applyFont="1" applyFill="1" applyBorder="1" applyAlignment="1">
      <alignment vertical="top"/>
    </xf>
    <xf numFmtId="2" fontId="2" fillId="0" borderId="0" xfId="24" applyNumberFormat="1" applyAlignment="1">
      <alignment horizontal="left"/>
    </xf>
    <xf numFmtId="0" fontId="2" fillId="0" borderId="0" xfId="24" applyNumberFormat="1" applyAlignment="1">
      <alignment horizontal="left"/>
    </xf>
    <xf numFmtId="1" fontId="2" fillId="0" borderId="0" xfId="24" applyNumberFormat="1" applyAlignment="1">
      <alignment horizontal="left"/>
    </xf>
    <xf numFmtId="0" fontId="2" fillId="0" borderId="0" xfId="24" applyFont="1"/>
    <xf numFmtId="199" fontId="2" fillId="0" borderId="0" xfId="24" applyNumberFormat="1" applyAlignment="1">
      <alignment horizontal="left"/>
    </xf>
    <xf numFmtId="49" fontId="2" fillId="0" borderId="0" xfId="24" applyNumberFormat="1"/>
    <xf numFmtId="0" fontId="0" fillId="14" borderId="66" xfId="0" applyFill="1" applyBorder="1" applyAlignment="1">
      <alignment vertical="top"/>
    </xf>
    <xf numFmtId="0" fontId="116" fillId="14" borderId="0" xfId="0" applyFont="1" applyFill="1" applyAlignment="1">
      <alignment vertical="top"/>
    </xf>
    <xf numFmtId="0" fontId="116" fillId="14" borderId="62" xfId="0" applyFont="1" applyFill="1" applyBorder="1" applyAlignment="1">
      <alignment vertical="top"/>
    </xf>
    <xf numFmtId="0" fontId="116" fillId="14" borderId="63" xfId="0" applyFont="1" applyFill="1" applyBorder="1" applyAlignment="1">
      <alignment vertical="top"/>
    </xf>
    <xf numFmtId="0" fontId="116" fillId="14" borderId="64" xfId="0" applyFont="1" applyFill="1" applyBorder="1" applyAlignment="1">
      <alignment vertical="top"/>
    </xf>
    <xf numFmtId="0" fontId="117" fillId="14" borderId="0" xfId="0" applyFont="1" applyFill="1" applyAlignment="1">
      <alignment vertical="top"/>
    </xf>
    <xf numFmtId="0" fontId="0" fillId="14" borderId="0" xfId="0" applyFill="1" applyAlignment="1">
      <alignment vertical="top"/>
    </xf>
    <xf numFmtId="0" fontId="0" fillId="14" borderId="65" xfId="0" applyFill="1" applyBorder="1" applyAlignment="1">
      <alignment vertical="top"/>
    </xf>
  </cellXfs>
  <cellStyles count="73">
    <cellStyle name="%" xfId="1"/>
    <cellStyle name="_SUMMARY " xfId="2"/>
    <cellStyle name="=C:\WINNT35\SYSTEM32\COMMAND.COM" xfId="3"/>
    <cellStyle name="0_Capex &amp; Depreciation " xfId="4"/>
    <cellStyle name="0_Capex &amp; Depreciation _RRST1" xfId="5"/>
    <cellStyle name="0_Valuing BP " xfId="6"/>
    <cellStyle name="0_Valuing BP _RRST1" xfId="7"/>
    <cellStyle name="c_HardInc " xfId="8"/>
    <cellStyle name="c_HardInc _RRST1" xfId="9"/>
    <cellStyle name="c_HardInc _RRST1_1" xfId="10"/>
    <cellStyle name="c_HardInc _RRST11" xfId="11"/>
    <cellStyle name="c_HardInc _RRST3" xfId="12"/>
    <cellStyle name="c_HardInc _RRST6" xfId="13"/>
    <cellStyle name="c_HardInc _RRST7" xfId="14"/>
    <cellStyle name="Comma" xfId="15" builtinId="3"/>
    <cellStyle name="Comma 2" xfId="16"/>
    <cellStyle name="Comma 3" xfId="17"/>
    <cellStyle name="Currency 10" xfId="69"/>
    <cellStyle name="Currency 11" xfId="71"/>
    <cellStyle name="Currency 2" xfId="18"/>
    <cellStyle name="Currency 3" xfId="19"/>
    <cellStyle name="Currency 4" xfId="20"/>
    <cellStyle name="Currency 5" xfId="59"/>
    <cellStyle name="Currency 6" xfId="61"/>
    <cellStyle name="Currency 7" xfId="63"/>
    <cellStyle name="Currency 8" xfId="65"/>
    <cellStyle name="Currency 9" xfId="67"/>
    <cellStyle name="Currency_BS" xfId="21"/>
    <cellStyle name="Currency_IS" xfId="22"/>
    <cellStyle name="Normal" xfId="0" builtinId="0"/>
    <cellStyle name="Normal 10" xfId="64"/>
    <cellStyle name="Normal 11" xfId="66"/>
    <cellStyle name="Normal 12" xfId="68"/>
    <cellStyle name="Normal 13" xfId="70"/>
    <cellStyle name="Normal 2" xfId="23"/>
    <cellStyle name="Normal 3" xfId="24"/>
    <cellStyle name="Normal 4" xfId="25"/>
    <cellStyle name="Normal 5" xfId="26"/>
    <cellStyle name="Normal 6" xfId="58"/>
    <cellStyle name="Normal 7" xfId="27"/>
    <cellStyle name="Normal 8" xfId="60"/>
    <cellStyle name="Normal 9" xfId="62"/>
    <cellStyle name="Normal_BS" xfId="28"/>
    <cellStyle name="Normal_DisclaimerSheet Samples" xfId="72"/>
    <cellStyle name="Normal_IS" xfId="29"/>
    <cellStyle name="Normal_Sheet1" xfId="30"/>
    <cellStyle name="Normal_SVVS" xfId="31"/>
    <cellStyle name="Normal_SVVS_1" xfId="32"/>
    <cellStyle name="p " xfId="33"/>
    <cellStyle name="Percent" xfId="34" builtinId="5"/>
    <cellStyle name="Percent 2" xfId="35"/>
    <cellStyle name="Percent 3" xfId="36"/>
    <cellStyle name="RRSInstruction" xfId="37"/>
    <cellStyle name="s_HardInc " xfId="38"/>
    <cellStyle name="s_HardInc _RRST1" xfId="39"/>
    <cellStyle name="s_HardInc _RRST1_1" xfId="40"/>
    <cellStyle name="s_HardInc _RRST11" xfId="41"/>
    <cellStyle name="s_HardInc _RRST3" xfId="42"/>
    <cellStyle name="s_HardInc _RRST6" xfId="43"/>
    <cellStyle name="s_HardInc _RRST7" xfId="44"/>
    <cellStyle name="s_Valuation " xfId="45"/>
    <cellStyle name="s_Valuation _RRST1" xfId="46"/>
    <cellStyle name="s_Valuation _RRST1_1" xfId="47"/>
    <cellStyle name="s_Valuation _RRST11" xfId="48"/>
    <cellStyle name="s_Valuation _RRST3" xfId="49"/>
    <cellStyle name="s_Valuation _RRST6" xfId="50"/>
    <cellStyle name="s_Valuation _RRST7" xfId="51"/>
    <cellStyle name="ssp " xfId="52"/>
    <cellStyle name="Style 1" xfId="53"/>
    <cellStyle name="Style 2" xfId="54"/>
    <cellStyle name="Style 3" xfId="55"/>
    <cellStyle name="Style 4" xfId="56"/>
    <cellStyle name="쬞\?1@" xfId="57"/>
  </cellStyles>
  <dxfs count="17">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externalLinks/externalLink1.xml" Type="http://schemas.openxmlformats.org/officeDocument/2006/relationships/externalLink"/>
<Relationship Id="rId11" Target="externalLinks/externalLink2.xml" Type="http://schemas.openxmlformats.org/officeDocument/2006/relationships/externalLink"/>
<Relationship Id="rId12" Target="theme/theme1.xml" Type="http://schemas.openxmlformats.org/officeDocument/2006/relationships/theme"/>
<Relationship Id="rId13" Target="styles.xml" Type="http://schemas.openxmlformats.org/officeDocument/2006/relationships/styles"/>
<Relationship Id="rId14" Target="sharedStrings.xml" Type="http://schemas.openxmlformats.org/officeDocument/2006/relationships/sharedStrings"/>
<Relationship Id="rId15"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firstButton="1" fmlaLink="$A$3"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
<Relationship Id="rId1" Target="../media/image1.png" Type="http://schemas.openxmlformats.org/officeDocument/2006/relationships/image"/>
<Relationship Id="rId2" Target="../media/image2.jpeg" Type="http://schemas.openxmlformats.org/officeDocument/2006/relationships/image"/>
<Relationship Id="rId3" Target="../media/image3.gif"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0</xdr:col>
      <xdr:colOff>1581150</xdr:colOff>
      <xdr:row>0</xdr:row>
      <xdr:rowOff>323850</xdr:rowOff>
    </xdr:to>
    <xdr:pic>
      <xdr:nvPicPr>
        <xdr:cNvPr id="2"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28575"/>
          <a:ext cx="15621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95250</xdr:rowOff>
    </xdr:from>
    <xdr:to>
      <xdr:col>1</xdr:col>
      <xdr:colOff>523875</xdr:colOff>
      <xdr:row>0</xdr:row>
      <xdr:rowOff>314325</xdr:rowOff>
    </xdr:to>
    <xdr:pic>
      <xdr:nvPicPr>
        <xdr:cNvPr id="3" name="Picture 6" descr="MSMS_logo_3" hidden="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050" y="95250"/>
          <a:ext cx="221932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174</xdr:row>
      <xdr:rowOff>0</xdr:rowOff>
    </xdr:from>
    <xdr:to>
      <xdr:col>7</xdr:col>
      <xdr:colOff>390525</xdr:colOff>
      <xdr:row>194</xdr:row>
      <xdr:rowOff>19050</xdr:rowOff>
    </xdr:to>
    <xdr:pic>
      <xdr:nvPicPr>
        <xdr:cNvPr id="2140161" name="Picture 1" descr="C:\Users\priscr\AppData\Local\Temp\MercuryPriceRatingHistoryChart\VRSK.O_2018_02_20_18_57_37.gif"/>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8117800"/>
          <a:ext cx="6400800" cy="382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2276475</xdr:colOff>
      <xdr:row>5</xdr:row>
      <xdr:rowOff>152400</xdr:rowOff>
    </xdr:to>
    <xdr:grpSp>
      <xdr:nvGrpSpPr>
        <xdr:cNvPr id="1927840" name="Group 7"/>
        <xdr:cNvGrpSpPr>
          <a:grpSpLocks/>
        </xdr:cNvGrpSpPr>
      </xdr:nvGrpSpPr>
      <xdr:grpSpPr bwMode="auto">
        <a:xfrm>
          <a:off x="0" y="190500"/>
          <a:ext cx="2276475" cy="674204"/>
          <a:chOff x="14" y="22"/>
          <a:chExt cx="239" cy="66"/>
        </a:xfrm>
      </xdr:grpSpPr>
      <xdr:sp macro="" textlink="">
        <xdr:nvSpPr>
          <xdr:cNvPr id="1927841" name="Rectangle 8"/>
          <xdr:cNvSpPr>
            <a:spLocks noChangeArrowheads="1"/>
          </xdr:cNvSpPr>
        </xdr:nvSpPr>
        <xdr:spPr bwMode="auto">
          <a:xfrm>
            <a:off x="14" y="22"/>
            <a:ext cx="239" cy="66"/>
          </a:xfrm>
          <a:prstGeom prst="rect">
            <a:avLst/>
          </a:prstGeom>
          <a:solidFill>
            <a:srgbClr xmlns:mc="http://schemas.openxmlformats.org/markup-compatibility/2006" xmlns:a14="http://schemas.microsoft.com/office/drawing/2010/main" val="99CCFF" mc:Ignorable="a14" a14:legacySpreadsheetColorIndex="44"/>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mc:AlternateContent xmlns:mc="http://schemas.openxmlformats.org/markup-compatibility/2006">
        <mc:Choice xmlns:a14="http://schemas.microsoft.com/office/drawing/2010/main" Requires="a14">
          <xdr:grpSp>
            <xdr:nvGrpSpPr>
              <xdr:cNvPr id="1927842" name="Group 9"/>
              <xdr:cNvGrpSpPr>
                <a:grpSpLocks/>
              </xdr:cNvGrpSpPr>
            </xdr:nvGrpSpPr>
            <xdr:grpSpPr bwMode="auto">
              <a:xfrm>
                <a:off x="18" y="29"/>
                <a:ext cx="230" cy="54"/>
                <a:chOff x="18" y="29"/>
                <a:chExt cx="230" cy="54"/>
              </a:xfrm>
            </xdr:grpSpPr>
            <xdr:sp macro="" textlink="">
              <xdr:nvSpPr>
                <xdr:cNvPr id="1025" name="Group Box 1" hidden="1">
                  <a:extLst>
                    <a:ext uri="{63B3BB69-23CF-44E3-9099-C40C66FF867C}">
                      <a14:compatExt spid="_x0000_s1025"/>
                    </a:ext>
                  </a:extLst>
                </xdr:cNvPr>
                <xdr:cNvSpPr/>
              </xdr:nvSpPr>
              <xdr:spPr>
                <a:xfrm>
                  <a:off x="18" y="29"/>
                  <a:ext cx="230" cy="54"/>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VERISK Scenario Analysis</a:t>
                  </a:r>
                </a:p>
              </xdr:txBody>
            </xdr:sp>
            <xdr:sp macro="" textlink="">
              <xdr:nvSpPr>
                <xdr:cNvPr id="1026" name="Option Button 2" hidden="1">
                  <a:extLst>
                    <a:ext uri="{63B3BB69-23CF-44E3-9099-C40C66FF867C}">
                      <a14:compatExt spid="_x0000_s1026"/>
                    </a:ext>
                  </a:extLst>
                </xdr:cNvPr>
                <xdr:cNvSpPr/>
              </xdr:nvSpPr>
              <xdr:spPr>
                <a:xfrm>
                  <a:off x="23" y="48"/>
                  <a:ext cx="74" cy="23"/>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Bear Case</a:t>
                  </a:r>
                </a:p>
              </xdr:txBody>
            </xdr:sp>
            <xdr:sp macro="" textlink="">
              <xdr:nvSpPr>
                <xdr:cNvPr id="1027" name="Option Button 3" hidden="1">
                  <a:extLst>
                    <a:ext uri="{63B3BB69-23CF-44E3-9099-C40C66FF867C}">
                      <a14:compatExt spid="_x0000_s1027"/>
                    </a:ext>
                  </a:extLst>
                </xdr:cNvPr>
                <xdr:cNvSpPr/>
              </xdr:nvSpPr>
              <xdr:spPr>
                <a:xfrm>
                  <a:off x="97" y="48"/>
                  <a:ext cx="72" cy="23"/>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Base Case</a:t>
                  </a:r>
                </a:p>
              </xdr:txBody>
            </xdr:sp>
            <xdr:sp macro="" textlink="">
              <xdr:nvSpPr>
                <xdr:cNvPr id="1028" name="Option Button 4" hidden="1">
                  <a:extLst>
                    <a:ext uri="{63B3BB69-23CF-44E3-9099-C40C66FF867C}">
                      <a14:compatExt spid="_x0000_s1028"/>
                    </a:ext>
                  </a:extLst>
                </xdr:cNvPr>
                <xdr:cNvSpPr/>
              </xdr:nvSpPr>
              <xdr:spPr>
                <a:xfrm>
                  <a:off x="175" y="48"/>
                  <a:ext cx="64" cy="23"/>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Bull Case</a:t>
                  </a:r>
                </a:p>
              </xdr:txBody>
            </xdr:sp>
          </xdr:grpSp>
        </mc:Choice>
        <mc:Fallback/>
      </mc:AlternateContent>
    </xdr:grpSp>
    <xdr:clientData/>
  </xdr:twoCellAnchor>
</xdr:wsDr>
</file>

<file path=xl/externalLinks/_rels/externalLink1.xml.rels><?xml version="1.0" encoding="UTF-8" standalone="yes"?>
<Relationships xmlns="http://schemas.openxmlformats.org/package/2006/relationships">
<Relationship Id="rId1" Target="FIN_ANALYTICS/MSCI/Models%20from%20AST/MSCI072016.xls" TargetMode="External" Type="http://schemas.microsoft.com/office/2006/relationships/xlExternalLinkPath/xlAlternateStartup"/>
</Relationships>

</file>

<file path=xl/externalLinks/_rels/externalLink2.xml.rels><?xml version="1.0" encoding="UTF-8" standalone="yes"?>
<Relationships xmlns="http://schemas.openxmlformats.org/package/2006/relationships">
<Relationship Id="rId1" Target="Print%20" TargetMode="External" Type="http://schemas.microsoft.com/office/2006/relationships/xlExternalLinkPath/xlPathMissing"/>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W-Cache"/>
      <sheetName val="Preview"/>
      <sheetName val="MXB2"/>
      <sheetName val="Variance"/>
      <sheetName val="Perf Stats_new"/>
      <sheetName val="Revenue Model"/>
      <sheetName val="new_DCF"/>
      <sheetName val="QC"/>
      <sheetName val="Old v New"/>
      <sheetName val="SOTP hc"/>
      <sheetName val="SOTP"/>
      <sheetName val="Blackrock2016"/>
      <sheetName val="Guidance"/>
      <sheetName val="MWA RR"/>
      <sheetName val="Model - Old"/>
      <sheetName val="Pro Forma"/>
      <sheetName val="old segments"/>
      <sheetName val="Perf Stats_old"/>
      <sheetName val="__FDSCACHE__"/>
      <sheetName val="Mult Valuation"/>
      <sheetName val="mwareDates"/>
      <sheetName val="DCF"/>
      <sheetName val="mwareSettings"/>
      <sheetName val="Old v New (ex ISS pre exp)"/>
      <sheetName val="SOTP (hc 010815)"/>
      <sheetName val="SOTP (old)"/>
      <sheetName val="MSCI072016"/>
      <sheetName val="#REF"/>
    </sheetNames>
    <sheetDataSet>
      <sheetData sheetId="0"/>
      <sheetData sheetId="1"/>
      <sheetData sheetId="2" refreshError="1">
        <row r="1">
          <cell r="C1" t="str">
            <v>4Q06</v>
          </cell>
          <cell r="D1">
            <v>2006</v>
          </cell>
          <cell r="E1" t="str">
            <v>1Q07</v>
          </cell>
          <cell r="F1" t="str">
            <v>2Q07</v>
          </cell>
          <cell r="G1" t="str">
            <v>3Q07</v>
          </cell>
          <cell r="H1" t="str">
            <v>4Q07</v>
          </cell>
          <cell r="I1">
            <v>2007</v>
          </cell>
          <cell r="J1" t="str">
            <v>1Q08</v>
          </cell>
          <cell r="K1" t="str">
            <v>2Q08</v>
          </cell>
          <cell r="L1" t="str">
            <v>3Q08</v>
          </cell>
          <cell r="M1" t="str">
            <v>4Q08</v>
          </cell>
          <cell r="N1">
            <v>2008</v>
          </cell>
          <cell r="O1" t="str">
            <v>1Q09</v>
          </cell>
          <cell r="P1" t="str">
            <v>2Q09</v>
          </cell>
          <cell r="Q1" t="str">
            <v>3Q09</v>
          </cell>
          <cell r="R1" t="str">
            <v>4Q09</v>
          </cell>
          <cell r="S1">
            <v>2009</v>
          </cell>
          <cell r="T1" t="str">
            <v>1Q10</v>
          </cell>
          <cell r="U1" t="str">
            <v>2Q10</v>
          </cell>
          <cell r="V1" t="str">
            <v>3Q10</v>
          </cell>
          <cell r="W1" t="str">
            <v>4Q10</v>
          </cell>
          <cell r="X1">
            <v>2010</v>
          </cell>
          <cell r="Y1" t="str">
            <v>1Q11</v>
          </cell>
          <cell r="Z1" t="str">
            <v>2Q11</v>
          </cell>
          <cell r="AA1" t="str">
            <v>3Q11</v>
          </cell>
          <cell r="AB1" t="str">
            <v>4Q11</v>
          </cell>
          <cell r="AC1">
            <v>2011</v>
          </cell>
          <cell r="AD1" t="str">
            <v>1Q12</v>
          </cell>
          <cell r="AE1" t="str">
            <v>2Q12</v>
          </cell>
          <cell r="AF1" t="str">
            <v>3Q12</v>
          </cell>
          <cell r="AG1" t="str">
            <v>4Q12</v>
          </cell>
          <cell r="AH1">
            <v>2012</v>
          </cell>
          <cell r="AI1" t="str">
            <v>1Q13</v>
          </cell>
          <cell r="AJ1" t="str">
            <v>2Q13</v>
          </cell>
          <cell r="AK1" t="str">
            <v>3Q13</v>
          </cell>
          <cell r="AL1" t="str">
            <v>4Q13</v>
          </cell>
          <cell r="AM1">
            <v>2013</v>
          </cell>
          <cell r="AN1" t="str">
            <v>1Q13R</v>
          </cell>
          <cell r="AO1" t="str">
            <v>2Q13R</v>
          </cell>
          <cell r="AP1" t="str">
            <v>3Q13R</v>
          </cell>
          <cell r="AQ1" t="str">
            <v>4Q13R</v>
          </cell>
          <cell r="AR1" t="str">
            <v>2013R</v>
          </cell>
          <cell r="AS1" t="str">
            <v>1Q14</v>
          </cell>
          <cell r="AT1" t="str">
            <v>2Q14</v>
          </cell>
          <cell r="AU1" t="str">
            <v>3Q14</v>
          </cell>
          <cell r="AV1" t="str">
            <v>4Q14</v>
          </cell>
          <cell r="AW1">
            <v>2014</v>
          </cell>
          <cell r="AX1" t="str">
            <v>1Q15</v>
          </cell>
          <cell r="AY1" t="str">
            <v>2Q15</v>
          </cell>
          <cell r="AZ1" t="str">
            <v>3Q15</v>
          </cell>
          <cell r="BA1" t="str">
            <v>4Q15</v>
          </cell>
          <cell r="BB1">
            <v>2015</v>
          </cell>
          <cell r="BC1" t="str">
            <v>1Q16</v>
          </cell>
          <cell r="BD1" t="str">
            <v>2Q16</v>
          </cell>
          <cell r="BE1" t="str">
            <v>3Q16</v>
          </cell>
          <cell r="BF1" t="str">
            <v>4Q16</v>
          </cell>
          <cell r="BG1">
            <v>2016</v>
          </cell>
          <cell r="BH1" t="str">
            <v>1Q17</v>
          </cell>
          <cell r="BI1" t="str">
            <v>2Q17E</v>
          </cell>
          <cell r="BJ1" t="str">
            <v>3Q17E</v>
          </cell>
          <cell r="BK1" t="str">
            <v>4Q17E</v>
          </cell>
          <cell r="BL1" t="str">
            <v>2017E</v>
          </cell>
          <cell r="BM1" t="str">
            <v>2018E</v>
          </cell>
          <cell r="BN1" t="str">
            <v>2019E</v>
          </cell>
          <cell r="BO1" t="str">
            <v>2020E</v>
          </cell>
          <cell r="BS1">
            <v>2006</v>
          </cell>
          <cell r="BT1">
            <v>2007</v>
          </cell>
          <cell r="BU1">
            <v>2008</v>
          </cell>
          <cell r="BV1">
            <v>2009</v>
          </cell>
          <cell r="BW1">
            <v>2010</v>
          </cell>
          <cell r="BX1">
            <v>2011</v>
          </cell>
          <cell r="BY1">
            <v>2012</v>
          </cell>
          <cell r="BZ1" t="str">
            <v>2013R</v>
          </cell>
          <cell r="CA1">
            <v>2014</v>
          </cell>
          <cell r="CB1">
            <v>2015</v>
          </cell>
          <cell r="CC1">
            <v>2016</v>
          </cell>
          <cell r="CD1" t="str">
            <v>2017E</v>
          </cell>
          <cell r="CE1" t="str">
            <v>2018E</v>
          </cell>
          <cell r="CF1" t="str">
            <v>2019E</v>
          </cell>
          <cell r="CG1" t="str">
            <v>2020E</v>
          </cell>
          <cell r="CI1" t="str">
            <v>ElementName</v>
          </cell>
          <cell r="CJ1" t="str">
            <v>ScaleOverride</v>
          </cell>
          <cell r="CK1" t="str">
            <v>UnitOverride</v>
          </cell>
          <cell r="CL1" t="str">
            <v>ReverseSign</v>
          </cell>
          <cell r="CM1" t="str">
            <v>IsDrivingAssumption</v>
          </cell>
          <cell r="CN1" t="str">
            <v>SegmentID</v>
          </cell>
        </row>
        <row r="2">
          <cell r="O2" t="str">
            <v>Feb</v>
          </cell>
          <cell r="P2" t="str">
            <v>May</v>
          </cell>
          <cell r="Q2" t="str">
            <v>Aug</v>
          </cell>
          <cell r="R2" t="str">
            <v>Nov</v>
          </cell>
          <cell r="T2" t="str">
            <v>Feb</v>
          </cell>
          <cell r="U2" t="str">
            <v>May</v>
          </cell>
          <cell r="V2" t="str">
            <v>Aug</v>
          </cell>
          <cell r="W2" t="str">
            <v>Nov</v>
          </cell>
          <cell r="Y2" t="str">
            <v>Mar</v>
          </cell>
          <cell r="Z2" t="str">
            <v>Jun</v>
          </cell>
          <cell r="AA2" t="str">
            <v>Sept</v>
          </cell>
          <cell r="AB2" t="str">
            <v>Dec</v>
          </cell>
          <cell r="AD2" t="str">
            <v>Mar</v>
          </cell>
          <cell r="AE2" t="str">
            <v>Jun</v>
          </cell>
          <cell r="AF2" t="str">
            <v>Sept</v>
          </cell>
          <cell r="AG2" t="str">
            <v>Dec</v>
          </cell>
        </row>
        <row r="3">
          <cell r="A3">
            <v>2</v>
          </cell>
        </row>
        <row r="7">
          <cell r="A7" t="str">
            <v>MSCI Only Until Q3 2010 then Pro Forma</v>
          </cell>
        </row>
        <row r="8">
          <cell r="A8" t="str">
            <v>MSCI Inc.</v>
          </cell>
          <cell r="BR8" t="str">
            <v>MSCI Inc.</v>
          </cell>
        </row>
        <row r="9">
          <cell r="A9" t="str">
            <v>Quarterly Income Statement</v>
          </cell>
          <cell r="BR9" t="str">
            <v>Annual Income Statement</v>
          </cell>
        </row>
        <row r="10">
          <cell r="A10" t="str">
            <v>(Values in millions, except per-share amounts)</v>
          </cell>
          <cell r="BR10" t="str">
            <v>(Values in millions, except per-share amounts)</v>
          </cell>
        </row>
        <row r="11">
          <cell r="A11" t="str">
            <v>Fiscal Year Ending Dec. 31</v>
          </cell>
          <cell r="C11" t="str">
            <v>4Q06</v>
          </cell>
          <cell r="D11">
            <v>2006</v>
          </cell>
          <cell r="E11" t="str">
            <v>1Q07</v>
          </cell>
          <cell r="F11" t="str">
            <v>2Q07</v>
          </cell>
          <cell r="G11" t="str">
            <v>3Q07</v>
          </cell>
          <cell r="H11" t="str">
            <v>4Q07</v>
          </cell>
          <cell r="I11">
            <v>2007</v>
          </cell>
          <cell r="J11" t="str">
            <v>1Q08</v>
          </cell>
          <cell r="K11" t="str">
            <v>2Q08</v>
          </cell>
          <cell r="L11" t="str">
            <v>3Q08</v>
          </cell>
          <cell r="M11" t="str">
            <v>4Q08</v>
          </cell>
          <cell r="N11">
            <v>2008</v>
          </cell>
          <cell r="O11" t="str">
            <v>1Q09</v>
          </cell>
          <cell r="P11" t="str">
            <v>2Q09</v>
          </cell>
          <cell r="Q11" t="str">
            <v>3Q09</v>
          </cell>
          <cell r="R11" t="str">
            <v>4Q09</v>
          </cell>
          <cell r="S11">
            <v>2009</v>
          </cell>
          <cell r="T11" t="str">
            <v>1Q10</v>
          </cell>
          <cell r="U11" t="str">
            <v>2Q10</v>
          </cell>
          <cell r="V11" t="str">
            <v>3Q10</v>
          </cell>
          <cell r="W11" t="str">
            <v>4Q10</v>
          </cell>
          <cell r="X11">
            <v>2010</v>
          </cell>
          <cell r="Y11" t="str">
            <v>1Q11</v>
          </cell>
          <cell r="Z11" t="str">
            <v>2Q11</v>
          </cell>
          <cell r="AA11" t="str">
            <v>3Q11</v>
          </cell>
          <cell r="AB11" t="str">
            <v>4Q11</v>
          </cell>
          <cell r="AC11">
            <v>2011</v>
          </cell>
          <cell r="AD11" t="str">
            <v>1Q12</v>
          </cell>
          <cell r="AE11" t="str">
            <v>2Q12</v>
          </cell>
          <cell r="AF11" t="str">
            <v>3Q12</v>
          </cell>
          <cell r="AG11" t="str">
            <v>4Q12</v>
          </cell>
          <cell r="AH11">
            <v>2012</v>
          </cell>
          <cell r="AI11" t="str">
            <v>1Q13</v>
          </cell>
          <cell r="AJ11" t="str">
            <v>2Q13</v>
          </cell>
          <cell r="AK11" t="str">
            <v>3Q13</v>
          </cell>
          <cell r="AL11" t="str">
            <v>4Q13</v>
          </cell>
          <cell r="AM11">
            <v>2013</v>
          </cell>
          <cell r="AN11" t="str">
            <v>1Q13R</v>
          </cell>
          <cell r="AO11" t="str">
            <v>2Q13R</v>
          </cell>
          <cell r="AP11" t="str">
            <v>3Q13R</v>
          </cell>
          <cell r="AQ11" t="str">
            <v>4Q13R</v>
          </cell>
          <cell r="AR11" t="str">
            <v>2013R</v>
          </cell>
          <cell r="AS11" t="str">
            <v>1Q14</v>
          </cell>
          <cell r="AT11" t="str">
            <v>2Q14</v>
          </cell>
          <cell r="AU11" t="str">
            <v>3Q14</v>
          </cell>
          <cell r="AV11" t="str">
            <v>4Q14</v>
          </cell>
          <cell r="AW11">
            <v>2014</v>
          </cell>
          <cell r="AX11" t="str">
            <v>1Q15</v>
          </cell>
          <cell r="AY11" t="str">
            <v>2Q15</v>
          </cell>
          <cell r="AZ11" t="str">
            <v>3Q15</v>
          </cell>
          <cell r="BA11" t="str">
            <v>4Q15</v>
          </cell>
          <cell r="BB11">
            <v>2015</v>
          </cell>
          <cell r="BC11" t="str">
            <v>1Q16</v>
          </cell>
          <cell r="BD11" t="str">
            <v>2Q16</v>
          </cell>
          <cell r="BE11" t="str">
            <v>3Q16</v>
          </cell>
          <cell r="BF11" t="str">
            <v>4Q16</v>
          </cell>
          <cell r="BG11">
            <v>2016</v>
          </cell>
          <cell r="BH11" t="str">
            <v>1Q17</v>
          </cell>
          <cell r="BI11" t="str">
            <v>2Q17E</v>
          </cell>
          <cell r="BJ11" t="str">
            <v>3Q17E</v>
          </cell>
          <cell r="BK11" t="str">
            <v>4Q17E</v>
          </cell>
          <cell r="BL11" t="str">
            <v>2017E</v>
          </cell>
          <cell r="BM11" t="str">
            <v>2018E</v>
          </cell>
          <cell r="BN11" t="str">
            <v>2019E</v>
          </cell>
          <cell r="BO11" t="str">
            <v>2020E</v>
          </cell>
          <cell r="BP11" t="str">
            <v>CAGR '16-'20</v>
          </cell>
          <cell r="BR11" t="str">
            <v>Fiscal Year Ending Dec. 31</v>
          </cell>
          <cell r="BS11">
            <v>2006</v>
          </cell>
          <cell r="BT11">
            <v>2007</v>
          </cell>
          <cell r="BU11">
            <v>2008</v>
          </cell>
          <cell r="BV11">
            <v>2009</v>
          </cell>
          <cell r="BW11">
            <v>2010</v>
          </cell>
          <cell r="BX11">
            <v>2011</v>
          </cell>
          <cell r="BY11">
            <v>2012</v>
          </cell>
          <cell r="BZ11" t="str">
            <v>2013R</v>
          </cell>
          <cell r="CA11">
            <v>2014</v>
          </cell>
          <cell r="CB11">
            <v>2015</v>
          </cell>
          <cell r="CC11">
            <v>2016</v>
          </cell>
          <cell r="CD11" t="str">
            <v>2017E</v>
          </cell>
          <cell r="CE11" t="str">
            <v>2018E</v>
          </cell>
          <cell r="CF11" t="str">
            <v>2019E</v>
          </cell>
          <cell r="CG11" t="str">
            <v>2020E</v>
          </cell>
        </row>
        <row r="12">
          <cell r="A12" t="str">
            <v>Revenue</v>
          </cell>
          <cell r="BR12" t="str">
            <v>Revenue</v>
          </cell>
        </row>
        <row r="13">
          <cell r="A13" t="str">
            <v>Equity indices</v>
          </cell>
          <cell r="BR13" t="str">
            <v>Equity indices</v>
          </cell>
        </row>
        <row r="14">
          <cell r="A14" t="str">
            <v>Equity index subscriptions</v>
          </cell>
          <cell r="C14" t="str">
            <v>ND</v>
          </cell>
          <cell r="D14">
            <v>117.752</v>
          </cell>
          <cell r="E14">
            <v>33.154000000000003</v>
          </cell>
          <cell r="F14">
            <v>33.189</v>
          </cell>
          <cell r="G14">
            <v>33.405000000000001</v>
          </cell>
          <cell r="H14">
            <v>37.341000000000001</v>
          </cell>
          <cell r="I14">
            <v>137.089</v>
          </cell>
          <cell r="J14">
            <v>38.808999999999997</v>
          </cell>
          <cell r="K14">
            <v>41.804000000000002</v>
          </cell>
          <cell r="L14">
            <v>43.665999999999997</v>
          </cell>
          <cell r="M14">
            <v>45.537999999999997</v>
          </cell>
          <cell r="N14">
            <v>169.81700000000001</v>
          </cell>
          <cell r="O14">
            <v>45.267000000000003</v>
          </cell>
          <cell r="P14">
            <v>47.281999999999996</v>
          </cell>
          <cell r="Q14">
            <v>47.417999999999999</v>
          </cell>
          <cell r="R14">
            <v>48.384999999999998</v>
          </cell>
          <cell r="S14">
            <v>188.352</v>
          </cell>
          <cell r="T14">
            <v>50.174999999999997</v>
          </cell>
          <cell r="U14">
            <v>54.222000000000001</v>
          </cell>
          <cell r="V14">
            <v>58.984000000000002</v>
          </cell>
          <cell r="W14">
            <v>61.143000000000001</v>
          </cell>
          <cell r="X14">
            <v>224.524</v>
          </cell>
          <cell r="Y14">
            <v>62.158999999999999</v>
          </cell>
          <cell r="Z14">
            <v>66.275000000000006</v>
          </cell>
          <cell r="AA14">
            <v>66.278999999999996</v>
          </cell>
          <cell r="AB14">
            <v>69.677000000000007</v>
          </cell>
          <cell r="AC14">
            <v>264.39</v>
          </cell>
          <cell r="AD14">
            <v>71.638999999999996</v>
          </cell>
          <cell r="AE14">
            <v>75.828999999999994</v>
          </cell>
          <cell r="AF14">
            <v>73.894000000000005</v>
          </cell>
          <cell r="AG14">
            <v>79.268000000000001</v>
          </cell>
          <cell r="AH14">
            <v>300.63</v>
          </cell>
          <cell r="AI14">
            <v>84.888000000000005</v>
          </cell>
          <cell r="AJ14">
            <v>95.2</v>
          </cell>
          <cell r="AK14">
            <v>92.814999999999998</v>
          </cell>
          <cell r="AL14">
            <v>93.771000000000001</v>
          </cell>
          <cell r="AM14">
            <v>366.67400000000004</v>
          </cell>
          <cell r="AN14">
            <v>70.3</v>
          </cell>
          <cell r="AO14">
            <v>71.3</v>
          </cell>
          <cell r="AP14">
            <v>74.599999999999994</v>
          </cell>
          <cell r="AQ14">
            <v>76</v>
          </cell>
          <cell r="AR14">
            <v>292.2</v>
          </cell>
          <cell r="AS14">
            <v>76.900000000000006</v>
          </cell>
          <cell r="AT14">
            <v>79.400000000000006</v>
          </cell>
          <cell r="AU14">
            <v>81.3</v>
          </cell>
          <cell r="AV14">
            <v>82.5</v>
          </cell>
          <cell r="AW14">
            <v>320.10000000000002</v>
          </cell>
          <cell r="AX14">
            <v>85.1</v>
          </cell>
          <cell r="AY14">
            <v>87.5</v>
          </cell>
          <cell r="AZ14">
            <v>89.1</v>
          </cell>
          <cell r="BA14">
            <v>91.406999999999996</v>
          </cell>
          <cell r="BB14">
            <v>353.10699999999997</v>
          </cell>
          <cell r="BC14">
            <v>93.644999999999996</v>
          </cell>
          <cell r="BD14">
            <v>97.138999999999996</v>
          </cell>
          <cell r="BE14">
            <v>98.625</v>
          </cell>
          <cell r="BF14">
            <v>99.938999999999993</v>
          </cell>
          <cell r="BG14">
            <v>389.34799999999996</v>
          </cell>
          <cell r="BH14">
            <v>102.178</v>
          </cell>
          <cell r="BI14">
            <v>106.46247100781248</v>
          </cell>
          <cell r="BJ14">
            <v>108.388372921875</v>
          </cell>
          <cell r="BK14">
            <v>110.14994669531249</v>
          </cell>
          <cell r="BL14">
            <v>427.17879062499998</v>
          </cell>
          <cell r="BM14">
            <v>472.18087643745707</v>
          </cell>
          <cell r="BN14">
            <v>523.80387203859141</v>
          </cell>
          <cell r="BO14">
            <v>582.59677974827457</v>
          </cell>
          <cell r="BP14">
            <v>0.10533100040930088</v>
          </cell>
          <cell r="BR14" t="str">
            <v>Equity index subscriptions</v>
          </cell>
          <cell r="BS14">
            <v>117.752</v>
          </cell>
          <cell r="BT14">
            <v>137.089</v>
          </cell>
          <cell r="BU14">
            <v>169.81700000000001</v>
          </cell>
          <cell r="BV14">
            <v>188.352</v>
          </cell>
          <cell r="BW14">
            <v>224.524</v>
          </cell>
          <cell r="BX14">
            <v>264.39</v>
          </cell>
          <cell r="BY14">
            <v>300.63</v>
          </cell>
          <cell r="BZ14">
            <v>292.2</v>
          </cell>
          <cell r="CA14">
            <v>320.10000000000002</v>
          </cell>
          <cell r="CB14">
            <v>353.10699999999997</v>
          </cell>
          <cell r="CC14">
            <v>389.34799999999996</v>
          </cell>
          <cell r="CD14">
            <v>427.17879062499998</v>
          </cell>
          <cell r="CE14">
            <v>472.18087643745707</v>
          </cell>
          <cell r="CF14">
            <v>523.80387203859141</v>
          </cell>
          <cell r="CG14">
            <v>582.59677974827457</v>
          </cell>
        </row>
        <row r="15">
          <cell r="A15" t="str">
            <v>Equity index asset based fees</v>
          </cell>
          <cell r="C15" t="str">
            <v>ND</v>
          </cell>
          <cell r="D15">
            <v>39.020000000000003</v>
          </cell>
          <cell r="E15">
            <v>13.047000000000001</v>
          </cell>
          <cell r="F15">
            <v>14.644</v>
          </cell>
          <cell r="G15">
            <v>16.530999999999999</v>
          </cell>
          <cell r="H15">
            <v>18.681000000000001</v>
          </cell>
          <cell r="I15">
            <v>62.903000000000006</v>
          </cell>
          <cell r="J15">
            <v>19.588000000000001</v>
          </cell>
          <cell r="K15">
            <v>18.306999999999999</v>
          </cell>
          <cell r="L15">
            <v>18.312000000000001</v>
          </cell>
          <cell r="M15">
            <v>13.472</v>
          </cell>
          <cell r="N15">
            <v>69.678999999999988</v>
          </cell>
          <cell r="O15">
            <v>13.182</v>
          </cell>
          <cell r="P15">
            <v>15.22</v>
          </cell>
          <cell r="Q15">
            <v>20.151</v>
          </cell>
          <cell r="R15">
            <v>22.760999999999999</v>
          </cell>
          <cell r="S15">
            <v>71.313999999999993</v>
          </cell>
          <cell r="T15">
            <v>24.984999999999999</v>
          </cell>
          <cell r="U15">
            <v>25.696000000000002</v>
          </cell>
          <cell r="V15">
            <v>25.134</v>
          </cell>
          <cell r="W15">
            <v>30.045000000000002</v>
          </cell>
          <cell r="X15">
            <v>105.86</v>
          </cell>
          <cell r="Y15">
            <v>37.869</v>
          </cell>
          <cell r="Z15">
            <v>36.286999999999999</v>
          </cell>
          <cell r="AA15">
            <v>35.03</v>
          </cell>
          <cell r="AB15">
            <v>31.056999999999999</v>
          </cell>
          <cell r="AC15">
            <v>140.24299999999999</v>
          </cell>
          <cell r="AD15">
            <v>34.609000000000002</v>
          </cell>
          <cell r="AE15">
            <v>34.094000000000001</v>
          </cell>
          <cell r="AF15">
            <v>34.042000000000002</v>
          </cell>
          <cell r="AG15">
            <v>38.137999999999998</v>
          </cell>
          <cell r="AH15">
            <v>140.88300000000001</v>
          </cell>
          <cell r="AI15">
            <v>36.515000000000001</v>
          </cell>
          <cell r="AJ15">
            <v>36.97</v>
          </cell>
          <cell r="AK15">
            <v>36.801000000000002</v>
          </cell>
          <cell r="AL15">
            <v>39.200000000000003</v>
          </cell>
          <cell r="AM15">
            <v>149.48599999999999</v>
          </cell>
          <cell r="AN15">
            <v>36.515000000000001</v>
          </cell>
          <cell r="AO15">
            <v>36.97</v>
          </cell>
          <cell r="AP15">
            <v>36.801000000000002</v>
          </cell>
          <cell r="AQ15">
            <v>39.200000000000003</v>
          </cell>
          <cell r="AR15">
            <v>149.48599999999999</v>
          </cell>
          <cell r="AS15">
            <v>40.9</v>
          </cell>
          <cell r="AT15">
            <v>44.094999999999999</v>
          </cell>
          <cell r="AU15">
            <v>46.656999999999996</v>
          </cell>
          <cell r="AV15">
            <v>45.453000000000003</v>
          </cell>
          <cell r="AW15">
            <v>177.10499999999999</v>
          </cell>
          <cell r="AX15">
            <v>45.88</v>
          </cell>
          <cell r="AY15">
            <v>51.16</v>
          </cell>
          <cell r="AZ15">
            <v>50.735999999999997</v>
          </cell>
          <cell r="BA15">
            <v>50.198</v>
          </cell>
          <cell r="BB15">
            <v>197.97399999999999</v>
          </cell>
          <cell r="BC15">
            <v>48.698999999999998</v>
          </cell>
          <cell r="BD15">
            <v>49.634</v>
          </cell>
          <cell r="BE15">
            <v>56.122</v>
          </cell>
          <cell r="BF15">
            <v>55.774000000000001</v>
          </cell>
          <cell r="BG15">
            <v>210.20699999999999</v>
          </cell>
          <cell r="BH15">
            <v>57.508000000000003</v>
          </cell>
          <cell r="BI15">
            <v>59.651463787500006</v>
          </cell>
          <cell r="BJ15">
            <v>63.398514487062513</v>
          </cell>
          <cell r="BK15">
            <v>63.13117788628594</v>
          </cell>
          <cell r="BL15">
            <v>243.68115616084845</v>
          </cell>
          <cell r="BM15">
            <v>257.83818232203743</v>
          </cell>
          <cell r="BN15">
            <v>270.90280917992874</v>
          </cell>
          <cell r="BO15">
            <v>283.27955379446206</v>
          </cell>
          <cell r="BP15">
            <v>7.4289706164759828E-2</v>
          </cell>
          <cell r="BR15" t="str">
            <v>Equity index asset based fees</v>
          </cell>
          <cell r="BS15">
            <v>39.020000000000003</v>
          </cell>
          <cell r="BT15">
            <v>62.903000000000006</v>
          </cell>
          <cell r="BU15">
            <v>69.678999999999988</v>
          </cell>
          <cell r="BV15">
            <v>71.313999999999993</v>
          </cell>
          <cell r="BW15">
            <v>105.86</v>
          </cell>
          <cell r="BX15">
            <v>140.24299999999999</v>
          </cell>
          <cell r="BY15">
            <v>140.88300000000001</v>
          </cell>
          <cell r="BZ15">
            <v>149.48599999999999</v>
          </cell>
          <cell r="CA15">
            <v>177.10499999999999</v>
          </cell>
          <cell r="CB15">
            <v>197.97399999999999</v>
          </cell>
          <cell r="CC15">
            <v>210.20699999999999</v>
          </cell>
          <cell r="CD15">
            <v>243.68115616084845</v>
          </cell>
          <cell r="CE15">
            <v>257.83818232203743</v>
          </cell>
          <cell r="CF15">
            <v>270.90280917992874</v>
          </cell>
          <cell r="CG15">
            <v>283.27955379446206</v>
          </cell>
        </row>
        <row r="16">
          <cell r="A16" t="str">
            <v>Index non-recurring</v>
          </cell>
          <cell r="AN16">
            <v>1.6</v>
          </cell>
          <cell r="AO16">
            <v>1.6</v>
          </cell>
          <cell r="AP16">
            <v>1.4</v>
          </cell>
          <cell r="AQ16">
            <v>2.1</v>
          </cell>
          <cell r="AR16">
            <v>6.6999999999999993</v>
          </cell>
          <cell r="AS16">
            <v>1.3</v>
          </cell>
          <cell r="AT16">
            <v>2</v>
          </cell>
          <cell r="AU16">
            <v>1.9</v>
          </cell>
          <cell r="AV16">
            <v>1.5</v>
          </cell>
          <cell r="AW16">
            <v>6.6999999999999993</v>
          </cell>
          <cell r="AX16">
            <v>2.6</v>
          </cell>
          <cell r="AY16">
            <v>1.4</v>
          </cell>
          <cell r="AZ16">
            <v>1.7</v>
          </cell>
          <cell r="BA16">
            <v>2.097</v>
          </cell>
          <cell r="BB16">
            <v>7.7970000000000006</v>
          </cell>
          <cell r="BC16">
            <v>2.2690000000000001</v>
          </cell>
          <cell r="BD16">
            <v>5.3440000000000003</v>
          </cell>
          <cell r="BE16">
            <v>3.004</v>
          </cell>
          <cell r="BF16">
            <v>3.3570000000000002</v>
          </cell>
          <cell r="BG16">
            <v>13.974</v>
          </cell>
          <cell r="BH16">
            <v>3.7490000000000001</v>
          </cell>
          <cell r="BI16">
            <v>3.7490000000000001</v>
          </cell>
          <cell r="BJ16">
            <v>3.7490000000000001</v>
          </cell>
          <cell r="BK16">
            <v>3.7490000000000001</v>
          </cell>
          <cell r="BL16">
            <v>14.996</v>
          </cell>
          <cell r="BM16">
            <v>14.996</v>
          </cell>
          <cell r="BN16">
            <v>14.996</v>
          </cell>
          <cell r="BO16">
            <v>14.996</v>
          </cell>
          <cell r="BP16">
            <v>0.13974994392182438</v>
          </cell>
          <cell r="BR16" t="str">
            <v>Index non-recurring</v>
          </cell>
          <cell r="BS16">
            <v>0</v>
          </cell>
          <cell r="BT16">
            <v>0</v>
          </cell>
          <cell r="BU16">
            <v>0</v>
          </cell>
          <cell r="BV16">
            <v>0</v>
          </cell>
          <cell r="BW16">
            <v>0</v>
          </cell>
          <cell r="CA16">
            <v>6.6999999999999993</v>
          </cell>
          <cell r="CB16">
            <v>7.7970000000000006</v>
          </cell>
          <cell r="CC16">
            <v>13.974</v>
          </cell>
          <cell r="CD16">
            <v>14.996</v>
          </cell>
          <cell r="CE16">
            <v>14.996</v>
          </cell>
          <cell r="CF16">
            <v>14.996</v>
          </cell>
          <cell r="CG16">
            <v>14.996</v>
          </cell>
        </row>
        <row r="17">
          <cell r="A17" t="str">
            <v xml:space="preserve"> Equity indices total</v>
          </cell>
          <cell r="C17">
            <v>42.271999999999991</v>
          </cell>
          <cell r="D17">
            <v>156.77199999999999</v>
          </cell>
          <cell r="E17">
            <v>46.201000000000008</v>
          </cell>
          <cell r="F17">
            <v>47.832999999999998</v>
          </cell>
          <cell r="G17">
            <v>49.936</v>
          </cell>
          <cell r="H17">
            <v>56.022000000000006</v>
          </cell>
          <cell r="I17">
            <v>199.99200000000002</v>
          </cell>
          <cell r="J17">
            <v>58.396999999999998</v>
          </cell>
          <cell r="K17">
            <v>60.111000000000004</v>
          </cell>
          <cell r="L17">
            <v>61.977999999999994</v>
          </cell>
          <cell r="M17">
            <v>59.01</v>
          </cell>
          <cell r="N17">
            <v>239.49599999999998</v>
          </cell>
          <cell r="O17">
            <v>58.449000000000005</v>
          </cell>
          <cell r="P17">
            <v>62.501999999999995</v>
          </cell>
          <cell r="Q17">
            <v>67.569000000000003</v>
          </cell>
          <cell r="R17">
            <v>71.146000000000001</v>
          </cell>
          <cell r="S17">
            <v>259.666</v>
          </cell>
          <cell r="T17">
            <v>75.16</v>
          </cell>
          <cell r="U17">
            <v>79.918000000000006</v>
          </cell>
          <cell r="V17">
            <v>84.117999999999995</v>
          </cell>
          <cell r="W17">
            <v>91.188000000000002</v>
          </cell>
          <cell r="X17">
            <v>330.38400000000001</v>
          </cell>
          <cell r="Y17">
            <v>100.02799999999999</v>
          </cell>
          <cell r="Z17">
            <v>102.56200000000001</v>
          </cell>
          <cell r="AA17">
            <v>101.309</v>
          </cell>
          <cell r="AB17">
            <v>100.73400000000001</v>
          </cell>
          <cell r="AC17">
            <v>404.63299999999998</v>
          </cell>
          <cell r="AD17">
            <v>106.24799999999999</v>
          </cell>
          <cell r="AE17">
            <v>109.923</v>
          </cell>
          <cell r="AF17">
            <v>107.93600000000001</v>
          </cell>
          <cell r="AG17">
            <v>117.40600000000001</v>
          </cell>
          <cell r="AH17">
            <v>441.51300000000003</v>
          </cell>
          <cell r="AI17">
            <v>121.40300000000001</v>
          </cell>
          <cell r="AJ17">
            <v>132.17000000000002</v>
          </cell>
          <cell r="AK17">
            <v>129.61599999999999</v>
          </cell>
          <cell r="AL17">
            <v>132.971</v>
          </cell>
          <cell r="AM17">
            <v>516.16000000000008</v>
          </cell>
          <cell r="AN17">
            <v>108.41499999999999</v>
          </cell>
          <cell r="AO17">
            <v>109.86999999999999</v>
          </cell>
          <cell r="AP17">
            <v>112.801</v>
          </cell>
          <cell r="AQ17">
            <v>117.3</v>
          </cell>
          <cell r="AR17">
            <v>448.38599999999997</v>
          </cell>
          <cell r="AS17">
            <v>119.10000000000001</v>
          </cell>
          <cell r="AT17">
            <v>125.495</v>
          </cell>
          <cell r="AU17">
            <v>129.857</v>
          </cell>
          <cell r="AV17">
            <v>129.453</v>
          </cell>
          <cell r="AW17">
            <v>503.90500000000003</v>
          </cell>
          <cell r="AX17">
            <v>133.57999999999998</v>
          </cell>
          <cell r="AY17">
            <v>140.06</v>
          </cell>
          <cell r="AZ17">
            <v>141.53599999999997</v>
          </cell>
          <cell r="BA17">
            <v>143.702</v>
          </cell>
          <cell r="BB17">
            <v>558.87799999999993</v>
          </cell>
          <cell r="BC17">
            <v>144.613</v>
          </cell>
          <cell r="BD17">
            <v>152.11699999999999</v>
          </cell>
          <cell r="BE17">
            <v>157.751</v>
          </cell>
          <cell r="BF17">
            <v>159.07</v>
          </cell>
          <cell r="BG17">
            <v>613.529</v>
          </cell>
          <cell r="BH17">
            <v>163.435</v>
          </cell>
          <cell r="BI17">
            <v>169.8629347953125</v>
          </cell>
          <cell r="BJ17">
            <v>175.5358874089375</v>
          </cell>
          <cell r="BK17">
            <v>177.03012458159841</v>
          </cell>
          <cell r="BL17">
            <v>685.85594678584846</v>
          </cell>
          <cell r="BM17">
            <v>745.01505875949454</v>
          </cell>
          <cell r="BN17">
            <v>809.70268121852007</v>
          </cell>
          <cell r="BO17">
            <v>880.87233354273656</v>
          </cell>
          <cell r="BP17">
            <v>9.526495323525741E-2</v>
          </cell>
          <cell r="BR17" t="str">
            <v xml:space="preserve"> Equity indices total</v>
          </cell>
          <cell r="BS17">
            <v>156.77199999999999</v>
          </cell>
          <cell r="BT17">
            <v>199.99200000000002</v>
          </cell>
          <cell r="BU17">
            <v>239.49599999999998</v>
          </cell>
          <cell r="BV17">
            <v>259.666</v>
          </cell>
          <cell r="BW17">
            <v>330.38400000000001</v>
          </cell>
          <cell r="BX17">
            <v>404.63299999999998</v>
          </cell>
          <cell r="BY17">
            <v>441.51300000000003</v>
          </cell>
          <cell r="BZ17">
            <v>448.38599999999997</v>
          </cell>
          <cell r="CA17">
            <v>503.90500000000003</v>
          </cell>
          <cell r="CB17">
            <v>558.87799999999993</v>
          </cell>
          <cell r="CC17">
            <v>613.529</v>
          </cell>
          <cell r="CD17">
            <v>685.85594678584846</v>
          </cell>
          <cell r="CE17">
            <v>745.01505875949454</v>
          </cell>
          <cell r="CF17">
            <v>809.70268121852007</v>
          </cell>
          <cell r="CG17">
            <v>880.87233354273656</v>
          </cell>
        </row>
        <row r="19">
          <cell r="A19" t="str">
            <v>Analytics subscriptions</v>
          </cell>
          <cell r="AN19">
            <v>96.9</v>
          </cell>
          <cell r="AO19">
            <v>95.3</v>
          </cell>
          <cell r="AP19">
            <v>98.4</v>
          </cell>
          <cell r="AQ19">
            <v>103.1</v>
          </cell>
          <cell r="AR19">
            <v>393.70000000000005</v>
          </cell>
          <cell r="AS19">
            <v>100.5</v>
          </cell>
          <cell r="AT19">
            <v>103</v>
          </cell>
          <cell r="AU19">
            <v>102.2</v>
          </cell>
          <cell r="AV19">
            <v>104.1</v>
          </cell>
          <cell r="AW19">
            <v>409.79999999999995</v>
          </cell>
          <cell r="AX19">
            <v>105.4</v>
          </cell>
          <cell r="AY19">
            <v>106.4</v>
          </cell>
          <cell r="AZ19">
            <v>107.065</v>
          </cell>
          <cell r="BA19">
            <v>107.855</v>
          </cell>
          <cell r="BB19">
            <v>426.72</v>
          </cell>
          <cell r="BC19">
            <v>108.63</v>
          </cell>
          <cell r="BD19">
            <v>110.452</v>
          </cell>
          <cell r="BE19">
            <v>109.554</v>
          </cell>
          <cell r="BF19">
            <v>111.22799999999999</v>
          </cell>
          <cell r="BG19">
            <v>439.86399999999998</v>
          </cell>
          <cell r="BH19">
            <v>111.26900000000001</v>
          </cell>
          <cell r="BI19">
            <v>113.47128500781251</v>
          </cell>
          <cell r="BJ19">
            <v>114.1414918359375</v>
          </cell>
          <cell r="BK19">
            <v>114.97220142968749</v>
          </cell>
          <cell r="BL19">
            <v>453.85397827343752</v>
          </cell>
          <cell r="BM19">
            <v>469.63833669391602</v>
          </cell>
          <cell r="BN19">
            <v>486.83790068670805</v>
          </cell>
          <cell r="BO19">
            <v>506.68041428072917</v>
          </cell>
          <cell r="BP19">
            <v>3.4947271039344141E-2</v>
          </cell>
          <cell r="BR19" t="str">
            <v>Analytics subscriptions</v>
          </cell>
          <cell r="BS19">
            <v>0</v>
          </cell>
          <cell r="BT19">
            <v>0</v>
          </cell>
          <cell r="BU19">
            <v>0</v>
          </cell>
          <cell r="BV19">
            <v>0</v>
          </cell>
          <cell r="BW19">
            <v>0</v>
          </cell>
          <cell r="BX19">
            <v>0</v>
          </cell>
          <cell r="BY19">
            <v>0</v>
          </cell>
          <cell r="BZ19">
            <v>393.70000000000005</v>
          </cell>
          <cell r="CA19">
            <v>409.79999999999995</v>
          </cell>
          <cell r="CB19">
            <v>426.72</v>
          </cell>
          <cell r="CC19">
            <v>439.86399999999998</v>
          </cell>
          <cell r="CD19">
            <v>453.85397827343752</v>
          </cell>
          <cell r="CE19">
            <v>469.63833669391602</v>
          </cell>
          <cell r="CF19">
            <v>486.83790068670805</v>
          </cell>
          <cell r="CG19">
            <v>506.68041428072917</v>
          </cell>
        </row>
        <row r="20">
          <cell r="A20" t="str">
            <v>Analytics non-recurring</v>
          </cell>
          <cell r="AN20">
            <v>1.1000000000000001</v>
          </cell>
          <cell r="AO20">
            <v>1</v>
          </cell>
          <cell r="AP20">
            <v>0.6</v>
          </cell>
          <cell r="AQ20">
            <v>0.8</v>
          </cell>
          <cell r="AR20">
            <v>3.5</v>
          </cell>
          <cell r="AS20">
            <v>1</v>
          </cell>
          <cell r="AT20">
            <v>1</v>
          </cell>
          <cell r="AU20">
            <v>1</v>
          </cell>
          <cell r="AV20">
            <v>1.4</v>
          </cell>
          <cell r="AW20">
            <v>4.4000000000000004</v>
          </cell>
          <cell r="AX20">
            <v>1.4</v>
          </cell>
          <cell r="AY20">
            <v>1.2</v>
          </cell>
          <cell r="AZ20">
            <v>1.276</v>
          </cell>
          <cell r="BA20">
            <v>2.8130000000000002</v>
          </cell>
          <cell r="BB20">
            <v>6.6890000000000001</v>
          </cell>
          <cell r="BC20">
            <v>1.633</v>
          </cell>
          <cell r="BD20">
            <v>1.9410000000000001</v>
          </cell>
          <cell r="BE20">
            <v>1.7370000000000001</v>
          </cell>
          <cell r="BF20">
            <v>3.1779999999999999</v>
          </cell>
          <cell r="BG20">
            <v>8.4890000000000008</v>
          </cell>
          <cell r="BH20">
            <v>1.151</v>
          </cell>
          <cell r="BI20">
            <v>1.9410000000000001</v>
          </cell>
          <cell r="BJ20">
            <v>1.7370000000000001</v>
          </cell>
          <cell r="BK20">
            <v>3.1779999999999999</v>
          </cell>
          <cell r="BL20">
            <v>8.0070000000000014</v>
          </cell>
          <cell r="BM20">
            <v>8.0070000000000014</v>
          </cell>
          <cell r="BN20">
            <v>8.0070000000000014</v>
          </cell>
          <cell r="BO20">
            <v>8.0070000000000014</v>
          </cell>
          <cell r="BP20">
            <v>3.6625114859729857E-2</v>
          </cell>
          <cell r="BR20" t="str">
            <v>Analytics non-recurring</v>
          </cell>
          <cell r="BS20">
            <v>0</v>
          </cell>
          <cell r="BT20">
            <v>0</v>
          </cell>
          <cell r="BU20">
            <v>0</v>
          </cell>
          <cell r="BV20">
            <v>0</v>
          </cell>
          <cell r="BW20">
            <v>0</v>
          </cell>
          <cell r="BX20">
            <v>0</v>
          </cell>
          <cell r="BY20">
            <v>0</v>
          </cell>
          <cell r="BZ20">
            <v>3.5</v>
          </cell>
          <cell r="CA20">
            <v>4.4000000000000004</v>
          </cell>
          <cell r="CB20">
            <v>6.6890000000000001</v>
          </cell>
          <cell r="CC20">
            <v>8.4890000000000008</v>
          </cell>
          <cell r="CD20">
            <v>8.0070000000000014</v>
          </cell>
          <cell r="CE20">
            <v>8.0070000000000014</v>
          </cell>
          <cell r="CF20">
            <v>8.0070000000000014</v>
          </cell>
          <cell r="CG20">
            <v>8.0070000000000014</v>
          </cell>
        </row>
        <row r="21">
          <cell r="A21" t="str">
            <v>Analytics total</v>
          </cell>
          <cell r="AN21">
            <v>98</v>
          </cell>
          <cell r="AO21">
            <v>96.3</v>
          </cell>
          <cell r="AP21">
            <v>99</v>
          </cell>
          <cell r="AQ21">
            <v>103.89999999999999</v>
          </cell>
          <cell r="AR21">
            <v>397.2</v>
          </cell>
          <cell r="AS21">
            <v>101.5</v>
          </cell>
          <cell r="AT21">
            <v>104</v>
          </cell>
          <cell r="AU21">
            <v>103.2</v>
          </cell>
          <cell r="AV21">
            <v>105.5</v>
          </cell>
          <cell r="AW21">
            <v>414.2</v>
          </cell>
          <cell r="AX21">
            <v>106.80000000000001</v>
          </cell>
          <cell r="AY21">
            <v>107.60000000000001</v>
          </cell>
          <cell r="AZ21">
            <v>108.34099999999999</v>
          </cell>
          <cell r="BA21">
            <v>110.66800000000001</v>
          </cell>
          <cell r="BB21">
            <v>433.40900000000005</v>
          </cell>
          <cell r="BC21">
            <v>110.26299999999999</v>
          </cell>
          <cell r="BD21">
            <v>112.393</v>
          </cell>
          <cell r="BE21">
            <v>111.291</v>
          </cell>
          <cell r="BF21">
            <v>114.40599999999999</v>
          </cell>
          <cell r="BG21">
            <v>448.35300000000001</v>
          </cell>
          <cell r="BH21">
            <v>112.42</v>
          </cell>
          <cell r="BI21">
            <v>115.41228500781251</v>
          </cell>
          <cell r="BJ21">
            <v>115.8784918359375</v>
          </cell>
          <cell r="BK21">
            <v>118.15020142968748</v>
          </cell>
          <cell r="BL21">
            <v>461.86097827343747</v>
          </cell>
          <cell r="BM21">
            <v>477.64533669391602</v>
          </cell>
          <cell r="BN21">
            <v>494.84490068670806</v>
          </cell>
          <cell r="BO21">
            <v>514.68741428072917</v>
          </cell>
          <cell r="BP21">
            <v>3.4973248766214216E-2</v>
          </cell>
          <cell r="BR21" t="str">
            <v>Analytics total</v>
          </cell>
          <cell r="BX21">
            <v>362.459</v>
          </cell>
          <cell r="BY21">
            <v>376.40899999999999</v>
          </cell>
          <cell r="BZ21">
            <v>397.20400000000001</v>
          </cell>
          <cell r="CA21">
            <v>414.2</v>
          </cell>
          <cell r="CB21">
            <v>433.40900000000005</v>
          </cell>
          <cell r="CC21">
            <v>448.35300000000001</v>
          </cell>
          <cell r="CD21">
            <v>461.86097827343747</v>
          </cell>
          <cell r="CE21">
            <v>477.64533669391602</v>
          </cell>
          <cell r="CF21">
            <v>494.84490068670806</v>
          </cell>
          <cell r="CG21">
            <v>514.68741428072917</v>
          </cell>
        </row>
        <row r="23">
          <cell r="A23" t="str">
            <v>All Other subscriptions</v>
          </cell>
          <cell r="AN23">
            <v>12.5</v>
          </cell>
          <cell r="AO23">
            <v>19.7</v>
          </cell>
          <cell r="AP23">
            <v>16.2</v>
          </cell>
          <cell r="AQ23">
            <v>14.3</v>
          </cell>
          <cell r="AR23">
            <v>62.7</v>
          </cell>
          <cell r="AS23">
            <v>17.600000000000001</v>
          </cell>
          <cell r="AT23">
            <v>22.9</v>
          </cell>
          <cell r="AU23">
            <v>16.3</v>
          </cell>
          <cell r="AV23">
            <v>14.5</v>
          </cell>
          <cell r="AW23">
            <v>71.3</v>
          </cell>
          <cell r="AX23">
            <v>21.8</v>
          </cell>
          <cell r="AY23">
            <v>21.7</v>
          </cell>
          <cell r="AZ23">
            <v>17.600000000000001</v>
          </cell>
          <cell r="BA23">
            <v>16.640999999999998</v>
          </cell>
          <cell r="BB23">
            <v>77.741</v>
          </cell>
          <cell r="BC23">
            <v>23.062999999999999</v>
          </cell>
          <cell r="BD23">
            <v>25.140999999999998</v>
          </cell>
          <cell r="BE23">
            <v>18.329000000000001</v>
          </cell>
          <cell r="BF23">
            <v>17.923999999999999</v>
          </cell>
          <cell r="BG23">
            <v>84.456999999999994</v>
          </cell>
          <cell r="BH23">
            <v>24.652000000000001</v>
          </cell>
          <cell r="BI23">
            <v>26.321867640625005</v>
          </cell>
          <cell r="BJ23">
            <v>19.7705023125</v>
          </cell>
          <cell r="BK23">
            <v>19.743827484375007</v>
          </cell>
          <cell r="BL23">
            <v>90.488197437500006</v>
          </cell>
          <cell r="BM23">
            <v>101.13122130793751</v>
          </cell>
          <cell r="BN23">
            <v>112.83310179520484</v>
          </cell>
          <cell r="BO23">
            <v>124.9020685054471</v>
          </cell>
          <cell r="BP23">
            <v>9.9471311008969998E-2</v>
          </cell>
          <cell r="BR23" t="str">
            <v>All Other subscriptions</v>
          </cell>
          <cell r="BX23" t="str">
            <v>ND</v>
          </cell>
          <cell r="BY23" t="str">
            <v>ND</v>
          </cell>
          <cell r="BZ23">
            <v>62.7</v>
          </cell>
          <cell r="CA23">
            <v>71.3</v>
          </cell>
          <cell r="CB23">
            <v>77.741</v>
          </cell>
          <cell r="CC23">
            <v>84.456999999999994</v>
          </cell>
          <cell r="CD23">
            <v>90.488197437500006</v>
          </cell>
          <cell r="CE23">
            <v>101.13122130793751</v>
          </cell>
          <cell r="CF23">
            <v>112.83310179520484</v>
          </cell>
          <cell r="CG23">
            <v>124.9020685054471</v>
          </cell>
        </row>
        <row r="24">
          <cell r="A24" t="str">
            <v>All Other non-recurring</v>
          </cell>
          <cell r="AN24">
            <v>0.60000000000000009</v>
          </cell>
          <cell r="AO24">
            <v>2.5</v>
          </cell>
          <cell r="AP24">
            <v>0.7</v>
          </cell>
          <cell r="AQ24">
            <v>1.3</v>
          </cell>
          <cell r="AR24">
            <v>5.0999999999999996</v>
          </cell>
          <cell r="AS24">
            <v>1.5</v>
          </cell>
          <cell r="AT24">
            <v>1.9000000000000001</v>
          </cell>
          <cell r="AU24">
            <v>2.2000000000000002</v>
          </cell>
          <cell r="AV24">
            <v>1.7000000000000002</v>
          </cell>
          <cell r="AW24">
            <v>7.3000000000000007</v>
          </cell>
          <cell r="AX24">
            <v>0.6</v>
          </cell>
          <cell r="AY24">
            <v>1.2000000000000002</v>
          </cell>
          <cell r="AZ24">
            <v>1.3</v>
          </cell>
          <cell r="BA24">
            <v>1.8819999999999999</v>
          </cell>
          <cell r="BB24">
            <v>4.9820000000000002</v>
          </cell>
          <cell r="BC24">
            <v>0.88900000000000001</v>
          </cell>
          <cell r="BD24">
            <v>0.94499999999999995</v>
          </cell>
          <cell r="BE24">
            <v>1.0620000000000001</v>
          </cell>
          <cell r="BF24">
            <v>1.4119999999999999</v>
          </cell>
          <cell r="BG24">
            <v>4.3079999999999998</v>
          </cell>
          <cell r="BH24">
            <v>0.7</v>
          </cell>
          <cell r="BI24">
            <v>0.94499999999999995</v>
          </cell>
          <cell r="BJ24">
            <v>1.0620000000000001</v>
          </cell>
          <cell r="BK24">
            <v>1.4119999999999999</v>
          </cell>
          <cell r="BL24">
            <v>4.1189999999999998</v>
          </cell>
          <cell r="BM24">
            <v>5.6479999999999997</v>
          </cell>
          <cell r="BN24">
            <v>5.6479999999999997</v>
          </cell>
          <cell r="BO24">
            <v>5.6479999999999997</v>
          </cell>
          <cell r="BP24">
            <v>2.5411521769547418E-2</v>
          </cell>
          <cell r="BR24" t="str">
            <v>All Other non-recurring</v>
          </cell>
          <cell r="BX24" t="str">
            <v>ND</v>
          </cell>
          <cell r="BY24" t="str">
            <v>ND</v>
          </cell>
          <cell r="BZ24">
            <v>5.0999999999999996</v>
          </cell>
          <cell r="CA24">
            <v>7.3000000000000007</v>
          </cell>
          <cell r="CB24">
            <v>4.9820000000000002</v>
          </cell>
          <cell r="CC24">
            <v>4.3079999999999998</v>
          </cell>
          <cell r="CD24">
            <v>4.1189999999999998</v>
          </cell>
          <cell r="CE24">
            <v>5.6479999999999997</v>
          </cell>
          <cell r="CF24">
            <v>5.6479999999999997</v>
          </cell>
          <cell r="CG24">
            <v>5.6479999999999997</v>
          </cell>
        </row>
        <row r="25">
          <cell r="A25" t="str">
            <v>All Other total</v>
          </cell>
          <cell r="AN25">
            <v>13.1</v>
          </cell>
          <cell r="AO25">
            <v>22.2</v>
          </cell>
          <cell r="AP25">
            <v>16.899999999999999</v>
          </cell>
          <cell r="AQ25">
            <v>15.600000000000001</v>
          </cell>
          <cell r="AR25">
            <v>67.8</v>
          </cell>
          <cell r="AS25">
            <v>19.100000000000001</v>
          </cell>
          <cell r="AT25">
            <v>24.799999999999997</v>
          </cell>
          <cell r="AU25">
            <v>18.5</v>
          </cell>
          <cell r="AV25">
            <v>16.2</v>
          </cell>
          <cell r="AW25">
            <v>78.599999999999994</v>
          </cell>
          <cell r="AX25">
            <v>22.400000000000002</v>
          </cell>
          <cell r="AY25">
            <v>22.9</v>
          </cell>
          <cell r="AZ25">
            <v>18.900000000000002</v>
          </cell>
          <cell r="BA25">
            <v>18.523</v>
          </cell>
          <cell r="BB25">
            <v>82.722999999999999</v>
          </cell>
          <cell r="BC25">
            <v>23.951999999999998</v>
          </cell>
          <cell r="BD25">
            <v>26.085999999999999</v>
          </cell>
          <cell r="BE25">
            <v>19.391000000000002</v>
          </cell>
          <cell r="BF25">
            <v>19.335999999999999</v>
          </cell>
          <cell r="BG25">
            <v>88.765000000000001</v>
          </cell>
          <cell r="BH25">
            <v>25.352</v>
          </cell>
          <cell r="BI25">
            <v>27.266867640625005</v>
          </cell>
          <cell r="BJ25">
            <v>20.832502312500001</v>
          </cell>
          <cell r="BK25">
            <v>21.155827484375006</v>
          </cell>
          <cell r="BL25">
            <v>94.60719743750002</v>
          </cell>
          <cell r="BM25">
            <v>106.7792213079375</v>
          </cell>
          <cell r="BN25">
            <v>118.48110179520484</v>
          </cell>
          <cell r="BO25">
            <v>130.55006850544711</v>
          </cell>
          <cell r="BP25">
            <v>9.5544860021237188E-2</v>
          </cell>
          <cell r="BR25" t="str">
            <v>All Other total</v>
          </cell>
          <cell r="BX25" t="str">
            <v>ND</v>
          </cell>
          <cell r="BY25" t="str">
            <v>ND</v>
          </cell>
          <cell r="BZ25">
            <v>67.8</v>
          </cell>
          <cell r="CA25">
            <v>78.599999999999994</v>
          </cell>
          <cell r="CB25">
            <v>82.722999999999999</v>
          </cell>
          <cell r="CC25">
            <v>88.765000000000001</v>
          </cell>
          <cell r="CD25">
            <v>94.60719743750002</v>
          </cell>
          <cell r="CE25">
            <v>106.7792213079375</v>
          </cell>
          <cell r="CF25">
            <v>118.48110179520484</v>
          </cell>
          <cell r="CG25">
            <v>130.55006850544711</v>
          </cell>
        </row>
        <row r="27">
          <cell r="A27" t="str">
            <v xml:space="preserve"> Energy and Governance</v>
          </cell>
          <cell r="C27">
            <v>7.2349999999999994</v>
          </cell>
          <cell r="D27">
            <v>27.045999999999999</v>
          </cell>
          <cell r="E27">
            <v>7.2210000000000001</v>
          </cell>
          <cell r="F27">
            <v>6.2939999999999996</v>
          </cell>
          <cell r="G27">
            <v>6.35</v>
          </cell>
          <cell r="H27">
            <v>6.3109999999999999</v>
          </cell>
          <cell r="I27">
            <v>26.176000000000002</v>
          </cell>
          <cell r="J27">
            <v>6.32</v>
          </cell>
          <cell r="K27">
            <v>5.5839999999999996</v>
          </cell>
          <cell r="L27">
            <v>5.8390000000000004</v>
          </cell>
          <cell r="M27">
            <v>6.5270000000000001</v>
          </cell>
          <cell r="N27">
            <v>24.270000000000003</v>
          </cell>
          <cell r="O27">
            <v>5.7030000000000003</v>
          </cell>
          <cell r="P27">
            <v>5.7190000000000003</v>
          </cell>
          <cell r="Q27">
            <v>3.0550000000000002</v>
          </cell>
          <cell r="R27">
            <v>6.6639999999999997</v>
          </cell>
          <cell r="S27">
            <v>21.140999999999998</v>
          </cell>
          <cell r="T27">
            <v>5.6920000000000002</v>
          </cell>
          <cell r="U27">
            <v>5.1040000000000001</v>
          </cell>
          <cell r="V27">
            <v>33.597999999999999</v>
          </cell>
          <cell r="W27">
            <v>33.157000000000004</v>
          </cell>
          <cell r="X27">
            <v>77.551000000000002</v>
          </cell>
          <cell r="Y27">
            <v>35.119999999999997</v>
          </cell>
          <cell r="Z27">
            <v>33.921999999999997</v>
          </cell>
          <cell r="AA27">
            <v>31.593</v>
          </cell>
          <cell r="AB27">
            <v>33.213999999999999</v>
          </cell>
          <cell r="AC27">
            <v>133.84899999999999</v>
          </cell>
          <cell r="AD27">
            <v>29.664000000000001</v>
          </cell>
          <cell r="AE27">
            <v>34.768999999999998</v>
          </cell>
          <cell r="AF27">
            <v>33.372</v>
          </cell>
          <cell r="AG27">
            <v>34.414000000000001</v>
          </cell>
          <cell r="AH27">
            <v>132.21899999999999</v>
          </cell>
          <cell r="AI27">
            <v>35.585999999999999</v>
          </cell>
          <cell r="AJ27">
            <v>32.54</v>
          </cell>
          <cell r="AK27">
            <v>32.743000000000002</v>
          </cell>
          <cell r="AL27">
            <v>33.823999999999998</v>
          </cell>
          <cell r="AM27">
            <v>134.69299999999998</v>
          </cell>
          <cell r="BR27" t="str">
            <v xml:space="preserve"> Energy and Governance</v>
          </cell>
          <cell r="BS27">
            <v>27.045999999999999</v>
          </cell>
          <cell r="BT27">
            <v>26.176000000000002</v>
          </cell>
          <cell r="BU27">
            <v>24.270000000000003</v>
          </cell>
          <cell r="BV27">
            <v>21.140999999999998</v>
          </cell>
          <cell r="BW27">
            <v>77.551000000000002</v>
          </cell>
          <cell r="BX27">
            <v>133.84899999999999</v>
          </cell>
          <cell r="BY27">
            <v>132.21899999999999</v>
          </cell>
          <cell r="BZ27">
            <v>0</v>
          </cell>
        </row>
        <row r="28">
          <cell r="A28" t="str">
            <v>Subtotal MXB</v>
          </cell>
          <cell r="D28">
            <v>183.81799999999998</v>
          </cell>
          <cell r="E28">
            <v>53.422000000000011</v>
          </cell>
          <cell r="F28">
            <v>54.126999999999995</v>
          </cell>
          <cell r="G28">
            <v>56.286000000000001</v>
          </cell>
          <cell r="H28">
            <v>62.333000000000006</v>
          </cell>
          <cell r="I28">
            <v>226.16800000000001</v>
          </cell>
          <cell r="J28">
            <v>64.716999999999999</v>
          </cell>
          <cell r="K28">
            <v>65.695000000000007</v>
          </cell>
          <cell r="L28">
            <v>67.816999999999993</v>
          </cell>
          <cell r="M28">
            <v>65.536999999999992</v>
          </cell>
          <cell r="N28">
            <v>263.76599999999996</v>
          </cell>
          <cell r="O28">
            <v>64.152000000000001</v>
          </cell>
          <cell r="P28">
            <v>68.220999999999989</v>
          </cell>
          <cell r="Q28">
            <v>70.624000000000009</v>
          </cell>
          <cell r="R28">
            <v>77.81</v>
          </cell>
          <cell r="S28">
            <v>280.80700000000002</v>
          </cell>
          <cell r="T28">
            <v>80.852000000000004</v>
          </cell>
          <cell r="U28">
            <v>85.022000000000006</v>
          </cell>
          <cell r="V28">
            <v>117.71599999999999</v>
          </cell>
          <cell r="W28">
            <v>124.345</v>
          </cell>
          <cell r="X28">
            <v>407.935</v>
          </cell>
          <cell r="Y28">
            <v>135.148</v>
          </cell>
          <cell r="Z28">
            <v>136.48400000000001</v>
          </cell>
          <cell r="AA28">
            <v>132.90199999999999</v>
          </cell>
          <cell r="AB28">
            <v>133.94800000000001</v>
          </cell>
          <cell r="AC28">
            <v>538.48199999999997</v>
          </cell>
          <cell r="AD28">
            <v>135.91199999999998</v>
          </cell>
          <cell r="AE28">
            <v>144.69200000000001</v>
          </cell>
          <cell r="AF28">
            <v>141.30799999999999</v>
          </cell>
          <cell r="AG28">
            <v>151.82</v>
          </cell>
          <cell r="AH28">
            <v>573.73199999999997</v>
          </cell>
          <cell r="AI28">
            <v>156.989</v>
          </cell>
          <cell r="AJ28">
            <v>164.71</v>
          </cell>
          <cell r="AK28">
            <v>162.35899999999998</v>
          </cell>
          <cell r="AL28">
            <v>166.79500000000002</v>
          </cell>
          <cell r="AM28">
            <v>650.85300000000007</v>
          </cell>
          <cell r="BR28" t="str">
            <v>Subtotal MXB</v>
          </cell>
          <cell r="BS28">
            <v>183.81799999999998</v>
          </cell>
          <cell r="BT28">
            <v>226.16800000000001</v>
          </cell>
          <cell r="BU28">
            <v>263.76599999999996</v>
          </cell>
          <cell r="BV28">
            <v>280.80700000000002</v>
          </cell>
          <cell r="BW28">
            <v>407.935</v>
          </cell>
          <cell r="BX28">
            <v>538.48199999999997</v>
          </cell>
          <cell r="BY28">
            <v>573.73199999999997</v>
          </cell>
          <cell r="BZ28">
            <v>0</v>
          </cell>
        </row>
        <row r="29">
          <cell r="I29">
            <v>0.23039093015917933</v>
          </cell>
          <cell r="J29">
            <v>0.21142974804387671</v>
          </cell>
          <cell r="K29">
            <v>0.21371958541947667</v>
          </cell>
          <cell r="L29">
            <v>0.20486444231247547</v>
          </cell>
          <cell r="M29">
            <v>5.1401344392215886E-2</v>
          </cell>
          <cell r="N29">
            <v>0.1662392557744683</v>
          </cell>
          <cell r="O29">
            <v>-8.7303181544261532E-3</v>
          </cell>
          <cell r="P29">
            <v>3.845041479564637E-2</v>
          </cell>
          <cell r="Q29">
            <v>4.1390801716383985E-2</v>
          </cell>
          <cell r="R29">
            <v>0.18726826067717495</v>
          </cell>
          <cell r="S29">
            <v>6.4606507282970682E-2</v>
          </cell>
          <cell r="T29">
            <v>0.26031924180072341</v>
          </cell>
          <cell r="U29">
            <v>0.24627314170123604</v>
          </cell>
          <cell r="V29">
            <v>0.66679882193022166</v>
          </cell>
          <cell r="W29">
            <v>0.59805937540161924</v>
          </cell>
          <cell r="X29">
            <v>0.45272375688640243</v>
          </cell>
          <cell r="Y29">
            <v>0.67154801365457861</v>
          </cell>
          <cell r="Z29">
            <v>0.60527863376537838</v>
          </cell>
          <cell r="AA29">
            <v>0.12900540283393935</v>
          </cell>
          <cell r="AB29">
            <v>7.7228678274156692E-2</v>
          </cell>
          <cell r="AC29">
            <v>0.32001912069324767</v>
          </cell>
          <cell r="AD29">
            <v>5.6530618285137724E-3</v>
          </cell>
          <cell r="AE29">
            <v>6.0138917382257295E-2</v>
          </cell>
          <cell r="AF29">
            <v>6.3249612496425911E-2</v>
          </cell>
          <cell r="AG29">
            <v>0.13342491115955424</v>
          </cell>
          <cell r="AH29">
            <v>6.5461798165955321E-2</v>
          </cell>
          <cell r="AI29">
            <v>0.15507828594973239</v>
          </cell>
          <cell r="AJ29">
            <v>0.13834904486771893</v>
          </cell>
          <cell r="AK29">
            <v>0.14897245732725661</v>
          </cell>
          <cell r="AL29">
            <v>9.8636543274930988E-2</v>
          </cell>
          <cell r="AM29">
            <v>0.1344199033695177</v>
          </cell>
          <cell r="BR29" t="e">
            <v>#REF!</v>
          </cell>
          <cell r="BV29">
            <v>6.4606507282970682E-2</v>
          </cell>
          <cell r="BW29">
            <v>0.45272375688640243</v>
          </cell>
          <cell r="BX29">
            <v>0.32001912069324767</v>
          </cell>
          <cell r="BY29">
            <v>6.5461798165955321E-2</v>
          </cell>
          <cell r="BZ29">
            <v>0</v>
          </cell>
        </row>
        <row r="31">
          <cell r="A31" t="str">
            <v>Total Revenue</v>
          </cell>
          <cell r="C31">
            <v>81.585999999999999</v>
          </cell>
          <cell r="D31">
            <v>310.69799999999998</v>
          </cell>
          <cell r="E31">
            <v>87.069000000000017</v>
          </cell>
          <cell r="F31">
            <v>88.751999999999995</v>
          </cell>
          <cell r="G31">
            <v>92.407000000000011</v>
          </cell>
          <cell r="H31">
            <v>101.658</v>
          </cell>
          <cell r="I31">
            <v>369.88600000000002</v>
          </cell>
          <cell r="J31">
            <v>104.95099999999999</v>
          </cell>
          <cell r="K31">
            <v>108.19500000000001</v>
          </cell>
          <cell r="L31">
            <v>110.399</v>
          </cell>
          <cell r="M31">
            <v>107.416</v>
          </cell>
          <cell r="N31">
            <v>430.96100000000001</v>
          </cell>
          <cell r="O31">
            <v>105.91500000000001</v>
          </cell>
          <cell r="P31">
            <v>109.375</v>
          </cell>
          <cell r="Q31">
            <v>108.86799999999999</v>
          </cell>
          <cell r="R31">
            <v>118.78999999999999</v>
          </cell>
          <cell r="S31">
            <v>442.94799999999998</v>
          </cell>
          <cell r="T31">
            <v>121.67999999999999</v>
          </cell>
          <cell r="U31">
            <v>125.17</v>
          </cell>
          <cell r="V31">
            <v>202.733</v>
          </cell>
          <cell r="W31">
            <v>213.31799999999998</v>
          </cell>
          <cell r="X31">
            <v>662.90100000000007</v>
          </cell>
          <cell r="Y31">
            <v>223.29799999999997</v>
          </cell>
          <cell r="Z31">
            <v>226.483</v>
          </cell>
          <cell r="AA31">
            <v>225.02600000000001</v>
          </cell>
          <cell r="AB31">
            <v>226.13400000000001</v>
          </cell>
          <cell r="AC31">
            <v>900.94100000000003</v>
          </cell>
          <cell r="AD31">
            <v>229.05199999999999</v>
          </cell>
          <cell r="AE31">
            <v>238.565</v>
          </cell>
          <cell r="AF31">
            <v>235.44400000000002</v>
          </cell>
          <cell r="AG31">
            <v>247.08</v>
          </cell>
          <cell r="AH31">
            <v>950.14100000000008</v>
          </cell>
          <cell r="AI31">
            <v>251.90899999999999</v>
          </cell>
          <cell r="AJ31">
            <v>257.89800000000002</v>
          </cell>
          <cell r="AK31">
            <v>258.23799999999994</v>
          </cell>
          <cell r="AL31">
            <v>267.62199999999996</v>
          </cell>
          <cell r="AM31">
            <v>1035.6669999999999</v>
          </cell>
          <cell r="AN31">
            <v>219.51499999999999</v>
          </cell>
          <cell r="AO31">
            <v>228.36999999999998</v>
          </cell>
          <cell r="AP31">
            <v>228.70099999999999</v>
          </cell>
          <cell r="AQ31">
            <v>236.79999999999998</v>
          </cell>
          <cell r="AR31">
            <v>913.38599999999997</v>
          </cell>
          <cell r="AS31">
            <v>239.70000000000002</v>
          </cell>
          <cell r="AT31">
            <v>254.29500000000002</v>
          </cell>
          <cell r="AU31">
            <v>251.55700000000002</v>
          </cell>
          <cell r="AV31">
            <v>251.15299999999999</v>
          </cell>
          <cell r="AW31">
            <v>996.70500000000004</v>
          </cell>
          <cell r="AX31">
            <v>262.77999999999997</v>
          </cell>
          <cell r="AY31">
            <v>270.56</v>
          </cell>
          <cell r="AZ31">
            <v>268.77699999999993</v>
          </cell>
          <cell r="BA31">
            <v>272.89300000000003</v>
          </cell>
          <cell r="BB31">
            <v>1075.01</v>
          </cell>
          <cell r="BC31">
            <v>278.82799999999997</v>
          </cell>
          <cell r="BD31">
            <v>290.596</v>
          </cell>
          <cell r="BE31">
            <v>288.43300000000005</v>
          </cell>
          <cell r="BF31">
            <v>292.81200000000001</v>
          </cell>
          <cell r="BG31">
            <v>1150.6470000000002</v>
          </cell>
          <cell r="BH31">
            <v>301.20699999999999</v>
          </cell>
          <cell r="BI31">
            <v>312.54208744375001</v>
          </cell>
          <cell r="BJ31">
            <v>312.24688155737505</v>
          </cell>
          <cell r="BK31">
            <v>316.33615349566088</v>
          </cell>
          <cell r="BL31">
            <v>1242.324122496786</v>
          </cell>
          <cell r="BM31">
            <v>1329.4396167613479</v>
          </cell>
          <cell r="BN31">
            <v>1423.0286837004328</v>
          </cell>
          <cell r="BO31">
            <v>1526.109816328913</v>
          </cell>
          <cell r="BP31">
            <v>7.2592254160386949E-2</v>
          </cell>
          <cell r="BR31" t="str">
            <v>Total Revenue</v>
          </cell>
          <cell r="BS31">
            <v>310.69799999999998</v>
          </cell>
          <cell r="BT31">
            <v>369.88600000000002</v>
          </cell>
          <cell r="BU31">
            <v>430.96100000000001</v>
          </cell>
          <cell r="BV31">
            <v>442.94799999999998</v>
          </cell>
          <cell r="BW31">
            <v>662.90100000000007</v>
          </cell>
          <cell r="BX31">
            <v>900.94100000000003</v>
          </cell>
          <cell r="BY31">
            <v>950.14100000000008</v>
          </cell>
          <cell r="BZ31">
            <v>913.38599999999997</v>
          </cell>
          <cell r="CA31">
            <v>996.70500000000004</v>
          </cell>
          <cell r="CB31">
            <v>1075.01</v>
          </cell>
          <cell r="CC31">
            <v>1150.6470000000002</v>
          </cell>
          <cell r="CD31">
            <v>1242.324122496786</v>
          </cell>
          <cell r="CE31">
            <v>1329.4396167613479</v>
          </cell>
          <cell r="CF31">
            <v>1423.0286837004328</v>
          </cell>
          <cell r="CG31">
            <v>1526.109816328913</v>
          </cell>
          <cell r="CI31" t="str">
            <v>mstag:revenueNet</v>
          </cell>
          <cell r="CJ31">
            <v>6</v>
          </cell>
          <cell r="CK31" t="str">
            <v>ISO4217:USD</v>
          </cell>
          <cell r="CL31" t="b">
            <v>0</v>
          </cell>
        </row>
        <row r="32">
          <cell r="A32" t="str">
            <v>Annual Growth</v>
          </cell>
          <cell r="I32">
            <v>0.19050009977534477</v>
          </cell>
          <cell r="J32">
            <v>0.20537734440501176</v>
          </cell>
          <cell r="K32">
            <v>0.2190711195240671</v>
          </cell>
          <cell r="L32">
            <v>0.19470386442585497</v>
          </cell>
          <cell r="M32">
            <v>5.6640893977847329E-2</v>
          </cell>
          <cell r="N32">
            <v>0.16511844189831448</v>
          </cell>
          <cell r="O32">
            <v>9.1852388257378514E-3</v>
          </cell>
          <cell r="P32">
            <v>1.0906234114330449E-2</v>
          </cell>
          <cell r="Q32">
            <v>-1.3867879238036673E-2</v>
          </cell>
          <cell r="R32">
            <v>0.10588739107767919</v>
          </cell>
          <cell r="S32">
            <v>2.7814581829910257E-2</v>
          </cell>
          <cell r="T32">
            <v>0.14884577255346265</v>
          </cell>
          <cell r="U32">
            <v>0.14441142857142863</v>
          </cell>
          <cell r="V32">
            <v>0.86219091009295679</v>
          </cell>
          <cell r="W32">
            <v>0.79575721862109594</v>
          </cell>
          <cell r="X32">
            <v>0.49656618835619559</v>
          </cell>
          <cell r="Y32">
            <v>0.83512491781722531</v>
          </cell>
          <cell r="Z32">
            <v>0.80940321163218032</v>
          </cell>
          <cell r="AA32">
            <v>0.1099623642919505</v>
          </cell>
          <cell r="AB32">
            <v>6.0079318200995768E-2</v>
          </cell>
          <cell r="AC32">
            <v>0.35908831032084731</v>
          </cell>
          <cell r="AD32">
            <v>2.5768255873317436E-2</v>
          </cell>
          <cell r="AE32">
            <v>5.334616726200192E-2</v>
          </cell>
          <cell r="AF32">
            <v>4.6296872361416108E-2</v>
          </cell>
          <cell r="AG32">
            <v>9.2626495794528863E-2</v>
          </cell>
          <cell r="AH32">
            <v>5.4609569328069263E-2</v>
          </cell>
          <cell r="AI32">
            <v>9.9789567434469095E-2</v>
          </cell>
          <cell r="AJ32">
            <v>8.1038710623939192E-2</v>
          </cell>
          <cell r="AK32">
            <v>9.681283022714493E-2</v>
          </cell>
          <cell r="AL32">
            <v>8.3139064270681295E-2</v>
          </cell>
          <cell r="AM32">
            <v>9.0014008447167226E-2</v>
          </cell>
          <cell r="AS32">
            <v>9.1952713937544228E-2</v>
          </cell>
          <cell r="AT32">
            <v>0.11352191618864138</v>
          </cell>
          <cell r="AU32">
            <v>9.9938347449289866E-2</v>
          </cell>
          <cell r="AV32">
            <v>6.0612331081081106E-2</v>
          </cell>
          <cell r="AW32">
            <v>9.1219922354842442E-2</v>
          </cell>
          <cell r="AX32">
            <v>9.6287025448477115E-2</v>
          </cell>
          <cell r="AY32">
            <v>6.3961147486187198E-2</v>
          </cell>
          <cell r="AZ32">
            <v>6.8453670539877276E-2</v>
          </cell>
          <cell r="BA32">
            <v>8.6560781674915432E-2</v>
          </cell>
          <cell r="BB32">
            <v>7.8563867944878352E-2</v>
          </cell>
          <cell r="BC32">
            <v>6.1070096658802031E-2</v>
          </cell>
          <cell r="BD32">
            <v>7.4053814311058508E-2</v>
          </cell>
          <cell r="BE32">
            <v>7.3131257510873793E-2</v>
          </cell>
          <cell r="BF32">
            <v>7.2991978541039781E-2</v>
          </cell>
          <cell r="BG32">
            <v>7.0359345494460657E-2</v>
          </cell>
          <cell r="BH32">
            <v>8.026094940249906E-2</v>
          </cell>
          <cell r="BI32">
            <v>7.552095501572631E-2</v>
          </cell>
          <cell r="BJ32">
            <v>8.2562957627507982E-2</v>
          </cell>
          <cell r="BK32">
            <v>8.0338761716257867E-2</v>
          </cell>
          <cell r="BL32">
            <v>7.9674411437031356E-2</v>
          </cell>
          <cell r="BM32">
            <v>7.0122999857299639E-2</v>
          </cell>
          <cell r="BN32">
            <v>7.0397380790469866E-2</v>
          </cell>
          <cell r="BO32">
            <v>7.2437845989463012E-2</v>
          </cell>
          <cell r="BR32" t="str">
            <v>Annual Growth</v>
          </cell>
          <cell r="BS32">
            <v>0</v>
          </cell>
          <cell r="BT32">
            <v>0.19050009977534477</v>
          </cell>
          <cell r="BU32">
            <v>0.16511844189831448</v>
          </cell>
          <cell r="BW32">
            <v>0.49656618835619559</v>
          </cell>
          <cell r="BX32">
            <v>0.35908831032084731</v>
          </cell>
          <cell r="BY32">
            <v>5.4609569328069263E-2</v>
          </cell>
          <cell r="CA32">
            <v>9.1219922354842442E-2</v>
          </cell>
          <cell r="CB32">
            <v>7.8563867944878352E-2</v>
          </cell>
          <cell r="CC32">
            <v>7.0359345494460657E-2</v>
          </cell>
          <cell r="CD32">
            <v>7.9674411437031356E-2</v>
          </cell>
          <cell r="CE32">
            <v>7.0122999857299639E-2</v>
          </cell>
          <cell r="CF32">
            <v>7.0397380790469866E-2</v>
          </cell>
          <cell r="CG32">
            <v>7.2437845989463012E-2</v>
          </cell>
        </row>
        <row r="35">
          <cell r="A35" t="str">
            <v>Cost of Revenue</v>
          </cell>
          <cell r="C35">
            <v>37.806500000000007</v>
          </cell>
          <cell r="D35">
            <v>113.6765</v>
          </cell>
          <cell r="E35">
            <v>31.984000000000002</v>
          </cell>
          <cell r="F35">
            <v>30.078500000000002</v>
          </cell>
          <cell r="G35">
            <v>29.133499999999998</v>
          </cell>
          <cell r="H35">
            <v>29.834000000000003</v>
          </cell>
          <cell r="I35">
            <v>121.03</v>
          </cell>
          <cell r="J35">
            <v>30.86</v>
          </cell>
          <cell r="K35">
            <v>29.636000000000003</v>
          </cell>
          <cell r="L35">
            <v>27.8</v>
          </cell>
          <cell r="M35">
            <v>34.641999999999996</v>
          </cell>
          <cell r="N35">
            <v>122.938</v>
          </cell>
          <cell r="O35">
            <v>28.935000000000002</v>
          </cell>
          <cell r="P35">
            <v>29.269000000000002</v>
          </cell>
          <cell r="Q35">
            <v>28.247000000000003</v>
          </cell>
          <cell r="R35">
            <v>32.213999999999999</v>
          </cell>
          <cell r="S35">
            <v>118.66500000000001</v>
          </cell>
          <cell r="T35">
            <v>29.291</v>
          </cell>
          <cell r="U35">
            <v>30.462999999999997</v>
          </cell>
          <cell r="V35">
            <v>69.741</v>
          </cell>
          <cell r="W35">
            <v>69.131</v>
          </cell>
          <cell r="X35">
            <v>198.626</v>
          </cell>
          <cell r="Y35">
            <v>70.217999999999989</v>
          </cell>
          <cell r="Z35">
            <v>68.84</v>
          </cell>
          <cell r="AA35">
            <v>68.967999999999989</v>
          </cell>
          <cell r="AB35">
            <v>69.120999999999995</v>
          </cell>
          <cell r="AC35">
            <v>277.14699999999999</v>
          </cell>
          <cell r="AD35">
            <v>72.290999999999997</v>
          </cell>
          <cell r="AE35">
            <v>73.242999999999995</v>
          </cell>
          <cell r="AF35">
            <v>68.349999999999994</v>
          </cell>
          <cell r="AG35">
            <v>74.191000000000003</v>
          </cell>
          <cell r="AH35">
            <v>288.07499999999999</v>
          </cell>
          <cell r="AI35">
            <v>80.185000000000002</v>
          </cell>
          <cell r="AJ35">
            <v>83.359000000000009</v>
          </cell>
          <cell r="AK35">
            <v>80.039999999999992</v>
          </cell>
          <cell r="AL35">
            <v>84.727000000000004</v>
          </cell>
          <cell r="AM35">
            <v>328.31100000000004</v>
          </cell>
          <cell r="AN35">
            <v>65.300000000000011</v>
          </cell>
          <cell r="AO35">
            <v>69.695999999999998</v>
          </cell>
          <cell r="AP35">
            <v>68.150999999999996</v>
          </cell>
          <cell r="AQ35">
            <v>72.254000000000005</v>
          </cell>
          <cell r="AR35">
            <v>275.40100000000001</v>
          </cell>
          <cell r="AS35">
            <v>75.426999999999992</v>
          </cell>
          <cell r="AT35">
            <v>76.816000000000003</v>
          </cell>
          <cell r="AU35">
            <v>78.876000000000005</v>
          </cell>
          <cell r="AV35">
            <v>77.454999999999998</v>
          </cell>
          <cell r="AW35">
            <v>308.57400000000001</v>
          </cell>
          <cell r="AX35">
            <v>82.652999999999992</v>
          </cell>
          <cell r="AY35">
            <v>76.753</v>
          </cell>
          <cell r="AZ35">
            <v>65.593000000000004</v>
          </cell>
          <cell r="BA35">
            <v>64.804000000000002</v>
          </cell>
          <cell r="BB35">
            <v>289.803</v>
          </cell>
          <cell r="BC35">
            <v>63.171999999999997</v>
          </cell>
          <cell r="BD35">
            <v>62.13</v>
          </cell>
          <cell r="BE35">
            <v>62.985999999999997</v>
          </cell>
          <cell r="BF35">
            <v>63.819000000000003</v>
          </cell>
          <cell r="BG35">
            <v>252.10699999999997</v>
          </cell>
          <cell r="BH35">
            <v>67.521000000000001</v>
          </cell>
          <cell r="BI35">
            <v>68.384827372345839</v>
          </cell>
          <cell r="BJ35">
            <v>67.405693245232811</v>
          </cell>
          <cell r="BK35">
            <v>67.997130973482882</v>
          </cell>
          <cell r="BL35">
            <v>271.30865159106156</v>
          </cell>
          <cell r="BM35">
            <v>288.42035630211302</v>
          </cell>
          <cell r="BN35">
            <v>306.58985092688528</v>
          </cell>
          <cell r="BO35">
            <v>326.50939460576615</v>
          </cell>
          <cell r="BR35" t="str">
            <v>Cost of Revenue</v>
          </cell>
          <cell r="BS35">
            <v>113.6765</v>
          </cell>
          <cell r="BT35">
            <v>121.03</v>
          </cell>
          <cell r="BU35">
            <v>122.938</v>
          </cell>
          <cell r="BV35">
            <v>118.66500000000001</v>
          </cell>
          <cell r="BW35">
            <v>198.626</v>
          </cell>
          <cell r="BX35">
            <v>277.14699999999999</v>
          </cell>
          <cell r="BY35">
            <v>288.07499999999999</v>
          </cell>
          <cell r="BZ35">
            <v>275.40100000000001</v>
          </cell>
          <cell r="CA35">
            <v>308.57400000000001</v>
          </cell>
          <cell r="CB35">
            <v>289.803</v>
          </cell>
          <cell r="CC35">
            <v>252.10699999999997</v>
          </cell>
          <cell r="CD35">
            <v>271.30865159106156</v>
          </cell>
          <cell r="CE35">
            <v>288.42035630211302</v>
          </cell>
          <cell r="CF35">
            <v>306.58985092688528</v>
          </cell>
          <cell r="CG35">
            <v>326.50939460576615</v>
          </cell>
          <cell r="CI35" t="str">
            <v>mstag:costOfServicesSold</v>
          </cell>
          <cell r="CJ35">
            <v>6</v>
          </cell>
          <cell r="CK35" t="str">
            <v>ISO4217:USD</v>
          </cell>
          <cell r="CL35" t="b">
            <v>0</v>
          </cell>
        </row>
        <row r="36">
          <cell r="A36" t="str">
            <v>Gross Margin</v>
          </cell>
          <cell r="C36">
            <v>0.53660554506900682</v>
          </cell>
          <cell r="D36">
            <v>0.38158123796363785</v>
          </cell>
          <cell r="E36">
            <v>0.40129534648646636</v>
          </cell>
          <cell r="F36">
            <v>0.4442976702939383</v>
          </cell>
          <cell r="G36">
            <v>0.48240237359201232</v>
          </cell>
          <cell r="H36">
            <v>0.52137711966374156</v>
          </cell>
          <cell r="I36">
            <v>0.46486682466131368</v>
          </cell>
          <cell r="J36">
            <v>0.5231546579724029</v>
          </cell>
          <cell r="K36">
            <v>0.54888499885836062</v>
          </cell>
          <cell r="L36">
            <v>0.59007328545939797</v>
          </cell>
          <cell r="M36">
            <v>0.47141309489296124</v>
          </cell>
          <cell r="N36">
            <v>0.53391263468377259</v>
          </cell>
          <cell r="O36">
            <v>0.54896184062850728</v>
          </cell>
          <cell r="P36">
            <v>0.57096788378944896</v>
          </cell>
          <cell r="Q36">
            <v>0.60003681468056191</v>
          </cell>
          <cell r="R36">
            <v>0.58599151779976877</v>
          </cell>
          <cell r="S36">
            <v>0.577414380695638</v>
          </cell>
          <cell r="T36">
            <v>0.63772077375946168</v>
          </cell>
          <cell r="U36">
            <v>0.64170450001176171</v>
          </cell>
          <cell r="V36">
            <v>0.40754867647558524</v>
          </cell>
          <cell r="W36">
            <v>0.44403876311874224</v>
          </cell>
          <cell r="X36">
            <v>0.5130939978182798</v>
          </cell>
          <cell r="Y36">
            <v>0.48043626246781312</v>
          </cell>
          <cell r="Z36">
            <v>0.49561853404062017</v>
          </cell>
          <cell r="AA36">
            <v>0.48106123308904314</v>
          </cell>
          <cell r="AB36">
            <v>0.48397139188341753</v>
          </cell>
          <cell r="AC36">
            <v>0.69238052214295942</v>
          </cell>
          <cell r="AD36">
            <v>0.46810436164577074</v>
          </cell>
          <cell r="AE36">
            <v>0.493800624775385</v>
          </cell>
          <cell r="AF36">
            <v>0.5163048093526198</v>
          </cell>
          <cell r="AG36">
            <v>0.51132261889079167</v>
          </cell>
          <cell r="AH36">
            <v>0.69680815794708373</v>
          </cell>
          <cell r="AI36">
            <v>0.48923172961162886</v>
          </cell>
          <cell r="AJ36">
            <v>0.49390443810333307</v>
          </cell>
          <cell r="AK36">
            <v>0.50701839750183231</v>
          </cell>
          <cell r="AL36">
            <v>0.49202913756407574</v>
          </cell>
          <cell r="AM36">
            <v>0.68299559607479998</v>
          </cell>
          <cell r="AN36">
            <v>0.70252602327859137</v>
          </cell>
          <cell r="AO36">
            <v>0.69481105223978634</v>
          </cell>
          <cell r="AP36">
            <v>0.70200829904547857</v>
          </cell>
          <cell r="AQ36">
            <v>0.69487331081081072</v>
          </cell>
          <cell r="AR36">
            <v>0.69848344511520866</v>
          </cell>
          <cell r="AS36">
            <v>0.68532749269920745</v>
          </cell>
          <cell r="AT36">
            <v>0.69792563754694359</v>
          </cell>
          <cell r="AU36">
            <v>0.68644879689295069</v>
          </cell>
          <cell r="AV36">
            <v>0.6916023300537919</v>
          </cell>
          <cell r="AW36">
            <v>0.69040588739897957</v>
          </cell>
          <cell r="AX36">
            <v>0.68546693051221552</v>
          </cell>
          <cell r="AY36">
            <v>0.71631800709639259</v>
          </cell>
          <cell r="AZ36">
            <v>0.75595754100983337</v>
          </cell>
          <cell r="BA36">
            <v>0.76252963615776148</v>
          </cell>
          <cell r="BB36">
            <v>0.73041832169003085</v>
          </cell>
          <cell r="BC36">
            <v>0.77343738792373795</v>
          </cell>
          <cell r="BD36">
            <v>0.78619802061969191</v>
          </cell>
          <cell r="BE36">
            <v>0.78162692895750485</v>
          </cell>
          <cell r="BF36">
            <v>0.78204786689070116</v>
          </cell>
          <cell r="BG36">
            <v>0.78089978942282046</v>
          </cell>
          <cell r="BH36">
            <v>0.77583190297702243</v>
          </cell>
          <cell r="BI36">
            <v>0.7811980206196919</v>
          </cell>
          <cell r="BJ36">
            <v>0.7841269289575048</v>
          </cell>
          <cell r="BK36">
            <v>0.78504786689070116</v>
          </cell>
          <cell r="BL36">
            <v>0.78161202324092882</v>
          </cell>
          <cell r="BM36">
            <v>0.78305117986122996</v>
          </cell>
          <cell r="BN36">
            <v>0.78455117986122991</v>
          </cell>
          <cell r="BO36">
            <v>0.78605117986122985</v>
          </cell>
          <cell r="BR36" t="str">
            <v>Gross Margin</v>
          </cell>
          <cell r="BS36">
            <v>0.38158123796363785</v>
          </cell>
          <cell r="BT36">
            <v>0.46486682466131368</v>
          </cell>
          <cell r="BU36">
            <v>0.53391263468377259</v>
          </cell>
          <cell r="BV36">
            <v>0.577414380695638</v>
          </cell>
          <cell r="BW36">
            <v>0.5130939978182798</v>
          </cell>
          <cell r="BX36">
            <v>0.69238052214295942</v>
          </cell>
          <cell r="BY36">
            <v>0.69680815794708373</v>
          </cell>
          <cell r="BZ36">
            <v>0.69848344511520866</v>
          </cell>
          <cell r="CA36">
            <v>0.69040588739897957</v>
          </cell>
          <cell r="CB36">
            <v>0.73041832169003085</v>
          </cell>
          <cell r="CC36">
            <v>0.78089978942282046</v>
          </cell>
          <cell r="CD36">
            <v>0.78161202324092882</v>
          </cell>
          <cell r="CE36">
            <v>0.78305117986122996</v>
          </cell>
          <cell r="CF36">
            <v>0.78455117986122991</v>
          </cell>
          <cell r="CG36">
            <v>0.78605117986122985</v>
          </cell>
        </row>
        <row r="37">
          <cell r="A37" t="str">
            <v>BULL</v>
          </cell>
          <cell r="BF37">
            <v>0.79162692895750486</v>
          </cell>
          <cell r="BH37">
            <v>0.78343738792373796</v>
          </cell>
          <cell r="BI37">
            <v>0.79119802061969191</v>
          </cell>
          <cell r="BJ37">
            <v>0.79412692895750481</v>
          </cell>
          <cell r="BK37">
            <v>0.79504786689070117</v>
          </cell>
          <cell r="BM37">
            <v>0.79305117986122997</v>
          </cell>
          <cell r="BN37">
            <v>0.79455117986122992</v>
          </cell>
          <cell r="BO37">
            <v>0.79605117986122986</v>
          </cell>
        </row>
        <row r="38">
          <cell r="A38" t="str">
            <v>BASE</v>
          </cell>
          <cell r="AI38" t="e">
            <v>#REF!</v>
          </cell>
          <cell r="AJ38" t="e">
            <v>#REF!</v>
          </cell>
          <cell r="AK38" t="e">
            <v>#REF!</v>
          </cell>
          <cell r="AL38" t="e">
            <v>#REF!</v>
          </cell>
          <cell r="AM38" t="e">
            <v>#REF!</v>
          </cell>
          <cell r="AS38">
            <v>0.68532749269920745</v>
          </cell>
          <cell r="AT38">
            <v>0.69792563754694359</v>
          </cell>
          <cell r="AU38">
            <v>0.68644879689295069</v>
          </cell>
          <cell r="AV38">
            <v>0.6916023300537919</v>
          </cell>
          <cell r="AW38">
            <v>0.69032606429822341</v>
          </cell>
          <cell r="AX38">
            <v>0.68546693051221552</v>
          </cell>
          <cell r="AY38">
            <v>0.71631800709639259</v>
          </cell>
          <cell r="AZ38">
            <v>0.75595754100983337</v>
          </cell>
          <cell r="BA38">
            <v>0.76252963615776148</v>
          </cell>
          <cell r="BB38">
            <v>0.73006802869405074</v>
          </cell>
          <cell r="BC38">
            <v>0.77343738792373795</v>
          </cell>
          <cell r="BD38">
            <v>0.78619802061969191</v>
          </cell>
          <cell r="BE38">
            <v>0.78162692895750485</v>
          </cell>
          <cell r="BF38">
            <v>0.78204786689070116</v>
          </cell>
          <cell r="BG38">
            <v>0.78082755109790902</v>
          </cell>
          <cell r="BH38">
            <v>0.77583190297702243</v>
          </cell>
          <cell r="BI38">
            <v>0.7811980206196919</v>
          </cell>
          <cell r="BJ38">
            <v>0.7841269289575048</v>
          </cell>
          <cell r="BK38">
            <v>0.78504786689070116</v>
          </cell>
          <cell r="BL38">
            <v>0.78155117986123002</v>
          </cell>
          <cell r="BM38">
            <v>0.78305117986122996</v>
          </cell>
          <cell r="BN38">
            <v>0.78455117986122991</v>
          </cell>
          <cell r="BO38">
            <v>0.78605117986122985</v>
          </cell>
        </row>
        <row r="39">
          <cell r="A39" t="str">
            <v>BEAR</v>
          </cell>
          <cell r="BF39">
            <v>0.77362692895750484</v>
          </cell>
          <cell r="BH39">
            <v>0.76543738792373794</v>
          </cell>
          <cell r="BI39">
            <v>0.77319802061969189</v>
          </cell>
          <cell r="BJ39">
            <v>0.77612692895750479</v>
          </cell>
          <cell r="BK39">
            <v>0.77704786689070116</v>
          </cell>
          <cell r="BM39">
            <v>0.77555117986123001</v>
          </cell>
          <cell r="BN39">
            <v>0.77705117986122996</v>
          </cell>
          <cell r="BO39">
            <v>0.7785511798612299</v>
          </cell>
        </row>
        <row r="40">
          <cell r="A40" t="str">
            <v>y/y growth</v>
          </cell>
          <cell r="I40" t="e">
            <v>#DIV/0!</v>
          </cell>
          <cell r="J40" t="e">
            <v>#DIV/0!</v>
          </cell>
          <cell r="K40" t="e">
            <v>#DIV/0!</v>
          </cell>
          <cell r="L40" t="e">
            <v>#DIV/0!</v>
          </cell>
          <cell r="M40" t="e">
            <v>#DIV/0!</v>
          </cell>
          <cell r="N40">
            <v>-0.1332369794397098</v>
          </cell>
          <cell r="O40">
            <v>-0.9552762800962884</v>
          </cell>
          <cell r="P40">
            <v>-0.95021601141207346</v>
          </cell>
          <cell r="Q40">
            <v>-1.0712254955952232</v>
          </cell>
          <cell r="R40">
            <v>0.86945126817900387</v>
          </cell>
          <cell r="S40">
            <v>-0.83154769685242425</v>
          </cell>
          <cell r="T40">
            <v>15.204888667280336</v>
          </cell>
          <cell r="U40">
            <v>12.241181791767753</v>
          </cell>
          <cell r="V40">
            <v>-63.171792477695412</v>
          </cell>
          <cell r="W40">
            <v>6.5151272547392063</v>
          </cell>
          <cell r="X40">
            <v>16.852728881302681</v>
          </cell>
          <cell r="Y40">
            <v>4.6106727352116357</v>
          </cell>
          <cell r="Z40">
            <v>4.6048418026128317</v>
          </cell>
          <cell r="AA40">
            <v>-0.87246169844205967</v>
          </cell>
          <cell r="AB40">
            <v>-0.92450044210079252</v>
          </cell>
          <cell r="AC40">
            <v>-0.27685710638182437</v>
          </cell>
          <cell r="AD40">
            <v>-0.96914442938588374</v>
          </cell>
          <cell r="AE40">
            <v>-0.93409197480891115</v>
          </cell>
          <cell r="AF40">
            <v>-0.57897529159615257</v>
          </cell>
          <cell r="AG40">
            <v>0.54173680008561842</v>
          </cell>
          <cell r="AH40">
            <v>-0.84792161772329677</v>
          </cell>
          <cell r="AI40">
            <v>2.8725774815748935</v>
          </cell>
          <cell r="AJ40">
            <v>0.51911027133269738</v>
          </cell>
          <cell r="AK40">
            <v>1.091131112948116</v>
          </cell>
          <cell r="AL40">
            <v>-0.10242675643147836</v>
          </cell>
          <cell r="AM40">
            <v>0.64831932488616273</v>
          </cell>
          <cell r="AS40">
            <v>0.15508422664624777</v>
          </cell>
          <cell r="AT40">
            <v>0.10215794306703407</v>
          </cell>
          <cell r="AU40">
            <v>0.15737113175155182</v>
          </cell>
          <cell r="AV40">
            <v>7.1982173997287235E-2</v>
          </cell>
          <cell r="AW40">
            <v>0.12045344788145296</v>
          </cell>
          <cell r="AX40">
            <v>9.580123828337328E-2</v>
          </cell>
          <cell r="AY40">
            <v>-8.2014163715893318E-4</v>
          </cell>
          <cell r="AZ40">
            <v>-0.16840357016075869</v>
          </cell>
          <cell r="BA40">
            <v>-0.16333354851203918</v>
          </cell>
          <cell r="BB40">
            <v>-6.0831437515798559E-2</v>
          </cell>
          <cell r="BC40">
            <v>-0.23569622397251155</v>
          </cell>
          <cell r="BD40">
            <v>-0.19052024025119541</v>
          </cell>
          <cell r="BE40">
            <v>-3.9745094750964327E-2</v>
          </cell>
          <cell r="BF40">
            <v>-1.5199679032158464E-2</v>
          </cell>
          <cell r="BG40">
            <v>-0.13007456789612259</v>
          </cell>
          <cell r="BH40">
            <v>6.8843791553219846E-2</v>
          </cell>
          <cell r="BI40">
            <v>0.10067322344030005</v>
          </cell>
          <cell r="BJ40">
            <v>7.0169454247496432E-2</v>
          </cell>
          <cell r="BK40">
            <v>6.5468449419183727E-2</v>
          </cell>
          <cell r="BL40">
            <v>7.6164690353943243E-2</v>
          </cell>
          <cell r="BM40">
            <v>6.3070988008313122E-2</v>
          </cell>
          <cell r="BN40">
            <v>6.2996575060534798E-2</v>
          </cell>
          <cell r="BO40">
            <v>6.4971308145588935E-2</v>
          </cell>
          <cell r="BR40" t="str">
            <v>y/y growth</v>
          </cell>
          <cell r="BS40">
            <v>0</v>
          </cell>
          <cell r="BT40" t="e">
            <v>#DIV/0!</v>
          </cell>
          <cell r="BU40">
            <v>-0.1332369794397098</v>
          </cell>
          <cell r="BV40">
            <v>-0.83154769685242425</v>
          </cell>
          <cell r="BW40">
            <v>16.852728881302681</v>
          </cell>
          <cell r="BX40">
            <v>-0.27685710638182437</v>
          </cell>
          <cell r="BY40">
            <v>-0.84792161772329677</v>
          </cell>
          <cell r="CA40">
            <v>0.12045344788145296</v>
          </cell>
          <cell r="CB40">
            <v>-6.0831437515798559E-2</v>
          </cell>
          <cell r="CC40">
            <v>-0.13007456789612259</v>
          </cell>
          <cell r="CD40">
            <v>7.6164690353943243E-2</v>
          </cell>
          <cell r="CE40">
            <v>6.3070988008313122E-2</v>
          </cell>
          <cell r="CF40">
            <v>6.2996575060534798E-2</v>
          </cell>
          <cell r="CG40">
            <v>6.4971308145588935E-2</v>
          </cell>
        </row>
        <row r="42">
          <cell r="A42" t="str">
            <v>SG&amp;A Expenses</v>
          </cell>
          <cell r="C42">
            <v>28.268499999999996</v>
          </cell>
          <cell r="D42">
            <v>84.070499999999996</v>
          </cell>
          <cell r="E42">
            <v>18.682000000000002</v>
          </cell>
          <cell r="F42">
            <v>25.226500000000001</v>
          </cell>
          <cell r="G42">
            <v>22.872500000000002</v>
          </cell>
          <cell r="H42">
            <v>23.932000000000002</v>
          </cell>
          <cell r="I42">
            <v>90.713000000000008</v>
          </cell>
          <cell r="J42">
            <v>31.32</v>
          </cell>
          <cell r="K42">
            <v>38.005000000000003</v>
          </cell>
          <cell r="L42">
            <v>36.686999999999998</v>
          </cell>
          <cell r="M42">
            <v>32.750999999999998</v>
          </cell>
          <cell r="N42">
            <v>138.76300000000001</v>
          </cell>
          <cell r="O42">
            <v>34.716000000000001</v>
          </cell>
          <cell r="P42">
            <v>34.052</v>
          </cell>
          <cell r="Q42">
            <v>33.524999999999999</v>
          </cell>
          <cell r="R42">
            <v>33.487000000000002</v>
          </cell>
          <cell r="S42">
            <v>135.78</v>
          </cell>
          <cell r="T42">
            <v>37.460999999999999</v>
          </cell>
          <cell r="U42">
            <v>40.177000000000007</v>
          </cell>
          <cell r="V42">
            <v>63.305999999999997</v>
          </cell>
          <cell r="W42">
            <v>49.3</v>
          </cell>
          <cell r="X42">
            <v>190.24400000000003</v>
          </cell>
          <cell r="Y42">
            <v>51.417999999999999</v>
          </cell>
          <cell r="Z42">
            <v>53.320999999999998</v>
          </cell>
          <cell r="AA42">
            <v>53.724000000000004</v>
          </cell>
          <cell r="AB42">
            <v>54.508999999999993</v>
          </cell>
          <cell r="AC42">
            <v>212.97200000000001</v>
          </cell>
          <cell r="AD42">
            <v>55.436</v>
          </cell>
          <cell r="AE42">
            <v>57.601999999999997</v>
          </cell>
          <cell r="AF42">
            <v>62.973000000000006</v>
          </cell>
          <cell r="AG42">
            <v>57.172000000000004</v>
          </cell>
          <cell r="AH42">
            <v>233.18299999999999</v>
          </cell>
          <cell r="AI42">
            <v>61.631</v>
          </cell>
          <cell r="AJ42">
            <v>57.611999999999995</v>
          </cell>
          <cell r="AK42">
            <v>65.38</v>
          </cell>
          <cell r="AL42">
            <v>70.722000000000008</v>
          </cell>
          <cell r="AM42">
            <v>255.345</v>
          </cell>
          <cell r="AN42">
            <v>55.515000000000001</v>
          </cell>
          <cell r="AO42">
            <v>52.62</v>
          </cell>
          <cell r="AP42">
            <v>59.917000000000002</v>
          </cell>
          <cell r="AQ42">
            <v>64.174999999999997</v>
          </cell>
          <cell r="AR42">
            <v>232.22699999999998</v>
          </cell>
          <cell r="AS42">
            <v>67.658000000000001</v>
          </cell>
          <cell r="AT42">
            <v>71.516000000000005</v>
          </cell>
          <cell r="AU42">
            <v>70.832999999999998</v>
          </cell>
          <cell r="AV42">
            <v>69.344999999999999</v>
          </cell>
          <cell r="AW42">
            <v>279.35199999999998</v>
          </cell>
          <cell r="AX42">
            <v>72.465000000000003</v>
          </cell>
          <cell r="AY42">
            <v>75.555999999999997</v>
          </cell>
          <cell r="AZ42">
            <v>74.317000000000007</v>
          </cell>
          <cell r="BA42">
            <v>81.174999999999997</v>
          </cell>
          <cell r="BB42">
            <v>303.51300000000003</v>
          </cell>
          <cell r="BC42">
            <v>82.507000000000005</v>
          </cell>
          <cell r="BD42">
            <v>82.438999999999993</v>
          </cell>
          <cell r="BE42">
            <v>82.123000000000005</v>
          </cell>
          <cell r="BF42">
            <v>82.036000000000001</v>
          </cell>
          <cell r="BG42">
            <v>329.10500000000002</v>
          </cell>
          <cell r="BH42">
            <v>82.995000000000005</v>
          </cell>
          <cell r="BI42">
            <v>85.539451136103949</v>
          </cell>
          <cell r="BJ42">
            <v>85.000231749776646</v>
          </cell>
          <cell r="BK42">
            <v>86.254149504937459</v>
          </cell>
          <cell r="BL42">
            <v>339.78883239081802</v>
          </cell>
          <cell r="BM42">
            <v>356.99380102833084</v>
          </cell>
          <cell r="BN42">
            <v>375.01008616065729</v>
          </cell>
          <cell r="BO42">
            <v>394.5444599448137</v>
          </cell>
          <cell r="BR42" t="str">
            <v>SG&amp;A Expenses</v>
          </cell>
          <cell r="BS42">
            <v>84.070499999999996</v>
          </cell>
          <cell r="BT42">
            <v>90.713000000000008</v>
          </cell>
          <cell r="BU42">
            <v>138.76300000000001</v>
          </cell>
          <cell r="BV42">
            <v>135.78</v>
          </cell>
          <cell r="BW42">
            <v>190.24400000000003</v>
          </cell>
          <cell r="BX42">
            <v>212.97200000000001</v>
          </cell>
          <cell r="BY42">
            <v>233.18299999999999</v>
          </cell>
          <cell r="BZ42">
            <v>232.22699999999998</v>
          </cell>
          <cell r="CA42">
            <v>279.35199999999998</v>
          </cell>
          <cell r="CB42">
            <v>303.51300000000003</v>
          </cell>
          <cell r="CC42">
            <v>329.10500000000002</v>
          </cell>
          <cell r="CD42">
            <v>339.78883239081802</v>
          </cell>
          <cell r="CE42">
            <v>356.99380102833084</v>
          </cell>
          <cell r="CF42">
            <v>375.01008616065729</v>
          </cell>
          <cell r="CG42">
            <v>394.5444599448137</v>
          </cell>
          <cell r="CI42" t="str">
            <v>mstag:generalAndAdministrativeExpenses</v>
          </cell>
          <cell r="CJ42">
            <v>6</v>
          </cell>
          <cell r="CK42" t="str">
            <v>ISO4217:USD</v>
          </cell>
          <cell r="CL42" t="b">
            <v>0</v>
          </cell>
        </row>
        <row r="43">
          <cell r="A43" t="str">
            <v>% of Total Revenue</v>
          </cell>
          <cell r="C43">
            <v>0.34648714240188261</v>
          </cell>
          <cell r="D43">
            <v>0.4573572773069014</v>
          </cell>
          <cell r="E43">
            <v>0.34970611358616299</v>
          </cell>
          <cell r="F43">
            <v>0.46606130027527859</v>
          </cell>
          <cell r="G43">
            <v>0.40636215044593688</v>
          </cell>
          <cell r="H43">
            <v>0.38393788202075946</v>
          </cell>
          <cell r="I43">
            <v>0.40108680273071345</v>
          </cell>
          <cell r="J43">
            <v>0.48395321167544852</v>
          </cell>
          <cell r="K43">
            <v>0.57850673567242561</v>
          </cell>
          <cell r="L43">
            <v>0.54097055310615338</v>
          </cell>
          <cell r="M43">
            <v>0.49973297526588034</v>
          </cell>
          <cell r="N43">
            <v>0.52608372572659112</v>
          </cell>
          <cell r="O43">
            <v>0.54115226337448563</v>
          </cell>
          <cell r="P43">
            <v>0.49914249278081535</v>
          </cell>
          <cell r="Q43">
            <v>0.47469698685999084</v>
          </cell>
          <cell r="R43">
            <v>0.43036884719187768</v>
          </cell>
          <cell r="S43">
            <v>0.48353495461295476</v>
          </cell>
          <cell r="T43">
            <v>0.46332805620145445</v>
          </cell>
          <cell r="U43">
            <v>0.47254828162122747</v>
          </cell>
          <cell r="V43">
            <v>0.3122629271011626</v>
          </cell>
          <cell r="W43">
            <v>0.39647754232176602</v>
          </cell>
          <cell r="X43">
            <v>0.46635861105323156</v>
          </cell>
          <cell r="Y43">
            <v>0.38045698049545684</v>
          </cell>
          <cell r="Z43">
            <v>0.39067583013393509</v>
          </cell>
          <cell r="AA43">
            <v>0.40423770898857814</v>
          </cell>
          <cell r="AB43">
            <v>0.24104734361042562</v>
          </cell>
          <cell r="AC43">
            <v>0.39550439940425125</v>
          </cell>
          <cell r="AD43">
            <v>0.407881570427924</v>
          </cell>
          <cell r="AE43">
            <v>0.39810079340944898</v>
          </cell>
          <cell r="AF43">
            <v>0.44564355875109696</v>
          </cell>
          <cell r="AG43">
            <v>0.37657752601765254</v>
          </cell>
          <cell r="AH43">
            <v>0.24541936407333226</v>
          </cell>
          <cell r="AI43">
            <v>0.39258164584779826</v>
          </cell>
          <cell r="AJ43">
            <v>0.34977839839718289</v>
          </cell>
          <cell r="AK43">
            <v>0.40268787070627438</v>
          </cell>
          <cell r="AL43">
            <v>0.42400551575287032</v>
          </cell>
          <cell r="AM43">
            <v>0.24655125634011707</v>
          </cell>
          <cell r="AN43">
            <v>0.2528984351866615</v>
          </cell>
          <cell r="AO43">
            <v>0.23041555370670405</v>
          </cell>
          <cell r="AP43">
            <v>0.26198836034822759</v>
          </cell>
          <cell r="AQ43">
            <v>0.27100929054054057</v>
          </cell>
          <cell r="AR43">
            <v>0.25424847764253006</v>
          </cell>
          <cell r="AS43">
            <v>0.28226115978306215</v>
          </cell>
          <cell r="AT43">
            <v>0.28123242690575906</v>
          </cell>
          <cell r="AU43">
            <v>0.28157833015976497</v>
          </cell>
          <cell r="AV43">
            <v>0.27610659637750695</v>
          </cell>
          <cell r="AW43">
            <v>0.28027550779819499</v>
          </cell>
          <cell r="AX43">
            <v>0.27576299566177037</v>
          </cell>
          <cell r="AY43">
            <v>0.27925783560023654</v>
          </cell>
          <cell r="AZ43">
            <v>0.27650059342875333</v>
          </cell>
          <cell r="BA43">
            <v>0.29746090958727411</v>
          </cell>
          <cell r="BB43">
            <v>0.28233504804606474</v>
          </cell>
          <cell r="BC43">
            <v>0.29590643694320518</v>
          </cell>
          <cell r="BD43">
            <v>0.28368938319866754</v>
          </cell>
          <cell r="BE43">
            <v>0.28472123508752462</v>
          </cell>
          <cell r="BF43">
            <v>0.28016611341065256</v>
          </cell>
          <cell r="BG43">
            <v>0.28601734502414727</v>
          </cell>
          <cell r="BH43">
            <v>0.27554140508022723</v>
          </cell>
          <cell r="BI43">
            <v>0.27368938319866754</v>
          </cell>
          <cell r="BJ43">
            <v>0.2722212350875246</v>
          </cell>
          <cell r="BK43">
            <v>0.27266611341065256</v>
          </cell>
          <cell r="BL43">
            <v>0.27351061308213231</v>
          </cell>
          <cell r="BM43">
            <v>0.26852953419426795</v>
          </cell>
          <cell r="BN43">
            <v>0.26352953419426794</v>
          </cell>
          <cell r="BO43">
            <v>0.25852953419426794</v>
          </cell>
          <cell r="BR43" t="str">
            <v>% of Total Revenue</v>
          </cell>
          <cell r="BS43">
            <v>0.4573572773069014</v>
          </cell>
          <cell r="BT43">
            <v>0.40108680273071345</v>
          </cell>
          <cell r="BU43">
            <v>0.52608372572659112</v>
          </cell>
          <cell r="BV43">
            <v>0.48353495461295476</v>
          </cell>
          <cell r="BW43">
            <v>0.46635861105323156</v>
          </cell>
          <cell r="BX43">
            <v>0.39550439940425125</v>
          </cell>
          <cell r="BY43">
            <v>0.24541936407333226</v>
          </cell>
          <cell r="BZ43">
            <v>0.25424847764253006</v>
          </cell>
          <cell r="CA43">
            <v>0.28027550779819499</v>
          </cell>
          <cell r="CB43">
            <v>0.28233504804606474</v>
          </cell>
          <cell r="CC43">
            <v>0.28601734502414727</v>
          </cell>
          <cell r="CD43">
            <v>0.27351061308213231</v>
          </cell>
          <cell r="CE43">
            <v>0.26852953419426795</v>
          </cell>
          <cell r="CF43">
            <v>0.26352953419426794</v>
          </cell>
          <cell r="CG43">
            <v>0.25852953419426794</v>
          </cell>
        </row>
        <row r="44">
          <cell r="A44" t="str">
            <v>BULL</v>
          </cell>
          <cell r="BF44">
            <v>0.29046090958727411</v>
          </cell>
          <cell r="BH44">
            <v>0.27840643694320516</v>
          </cell>
          <cell r="BI44">
            <v>0.26368938319866753</v>
          </cell>
          <cell r="BJ44">
            <v>0.2622212350875246</v>
          </cell>
          <cell r="BK44">
            <v>0.26266611341065255</v>
          </cell>
          <cell r="BM44">
            <v>0.25352953419426794</v>
          </cell>
          <cell r="BN44">
            <v>0.24852953419426793</v>
          </cell>
          <cell r="BO44">
            <v>0.24352953419426793</v>
          </cell>
        </row>
        <row r="45">
          <cell r="A45" t="str">
            <v>BASE</v>
          </cell>
          <cell r="AI45" t="e">
            <v>#REF!</v>
          </cell>
          <cell r="AJ45" t="e">
            <v>#REF!</v>
          </cell>
          <cell r="AK45" t="e">
            <v>#REF!</v>
          </cell>
          <cell r="AL45" t="e">
            <v>#REF!</v>
          </cell>
          <cell r="AM45" t="e">
            <v>#REF!</v>
          </cell>
          <cell r="AS45">
            <v>0.28226115978306215</v>
          </cell>
          <cell r="AT45">
            <v>0.28123242690575906</v>
          </cell>
          <cell r="AU45">
            <v>0.28157833015976497</v>
          </cell>
          <cell r="AV45">
            <v>0.27610659637750695</v>
          </cell>
          <cell r="AW45">
            <v>0.2802946283065233</v>
          </cell>
          <cell r="AX45">
            <v>0.27576299566177037</v>
          </cell>
          <cell r="AY45">
            <v>0.27925783560023654</v>
          </cell>
          <cell r="AZ45">
            <v>0.27650059342875333</v>
          </cell>
          <cell r="BA45">
            <v>0.29746090958727411</v>
          </cell>
          <cell r="BB45">
            <v>0.28224558356950857</v>
          </cell>
          <cell r="BC45">
            <v>0.29590643694320518</v>
          </cell>
          <cell r="BD45">
            <v>0.28368938319866754</v>
          </cell>
          <cell r="BE45">
            <v>0.28472123508752462</v>
          </cell>
          <cell r="BF45">
            <v>0.28016611341065256</v>
          </cell>
          <cell r="BG45">
            <v>0.28612079216001246</v>
          </cell>
          <cell r="BH45">
            <v>0.27554140508022723</v>
          </cell>
          <cell r="BI45">
            <v>0.27368938319866754</v>
          </cell>
          <cell r="BJ45">
            <v>0.2722212350875246</v>
          </cell>
          <cell r="BK45">
            <v>0.27266611341065256</v>
          </cell>
          <cell r="BL45">
            <v>0.27352953419426795</v>
          </cell>
          <cell r="BM45">
            <v>0.26852953419426795</v>
          </cell>
          <cell r="BN45">
            <v>0.26352953419426794</v>
          </cell>
          <cell r="BO45">
            <v>0.25852953419426794</v>
          </cell>
        </row>
        <row r="46">
          <cell r="A46" t="str">
            <v>BEAR</v>
          </cell>
          <cell r="BF46">
            <v>0.31546090958727413</v>
          </cell>
          <cell r="BH46">
            <v>0.30340643694320518</v>
          </cell>
          <cell r="BI46">
            <v>0.28868938319866755</v>
          </cell>
          <cell r="BJ46">
            <v>0.28722123508752462</v>
          </cell>
          <cell r="BK46">
            <v>0.28766611341065257</v>
          </cell>
          <cell r="BM46">
            <v>0.28852953419426797</v>
          </cell>
          <cell r="BN46">
            <v>0.28352953419426796</v>
          </cell>
          <cell r="BO46">
            <v>0.27852953419426796</v>
          </cell>
        </row>
        <row r="47">
          <cell r="A47" t="str">
            <v>y/y growth</v>
          </cell>
          <cell r="I47" t="e">
            <v>#DIV/0!</v>
          </cell>
          <cell r="J47" t="e">
            <v>#DIV/0!</v>
          </cell>
          <cell r="K47" t="e">
            <v>#DIV/0!</v>
          </cell>
          <cell r="L47" t="e">
            <v>#DIV/0!</v>
          </cell>
          <cell r="M47" t="e">
            <v>#DIV/0!</v>
          </cell>
          <cell r="N47" t="e">
            <v>#DIV/0!</v>
          </cell>
          <cell r="O47" t="e">
            <v>#DIV/0!</v>
          </cell>
          <cell r="P47" t="e">
            <v>#DIV/0!</v>
          </cell>
          <cell r="Q47" t="e">
            <v>#DIV/0!</v>
          </cell>
          <cell r="R47" t="e">
            <v>#DIV/0!</v>
          </cell>
          <cell r="S47" t="e">
            <v>#DIV/0!</v>
          </cell>
          <cell r="T47" t="e">
            <v>#DIV/0!</v>
          </cell>
          <cell r="U47" t="e">
            <v>#DIV/0!</v>
          </cell>
          <cell r="V47" t="e">
            <v>#DIV/0!</v>
          </cell>
          <cell r="W47" t="e">
            <v>#DIV/0!</v>
          </cell>
          <cell r="X47" t="e">
            <v>#DIV/0!</v>
          </cell>
          <cell r="Y47" t="e">
            <v>#DIV/0!</v>
          </cell>
          <cell r="Z47" t="e">
            <v>#DIV/0!</v>
          </cell>
          <cell r="AA47" t="e">
            <v>#DIV/0!</v>
          </cell>
          <cell r="AB47" t="e">
            <v>#DIV/0!</v>
          </cell>
          <cell r="AC47" t="e">
            <v>#DIV/0!</v>
          </cell>
          <cell r="AD47" t="e">
            <v>#DIV/0!</v>
          </cell>
          <cell r="AE47" t="e">
            <v>#DIV/0!</v>
          </cell>
          <cell r="AF47" t="e">
            <v>#DIV/0!</v>
          </cell>
          <cell r="AG47" t="e">
            <v>#DIV/0!</v>
          </cell>
          <cell r="AH47" t="e">
            <v>#DIV/0!</v>
          </cell>
          <cell r="AI47" t="e">
            <v>#REF!</v>
          </cell>
          <cell r="AJ47" t="e">
            <v>#REF!</v>
          </cell>
          <cell r="AK47" t="e">
            <v>#REF!</v>
          </cell>
          <cell r="AL47" t="e">
            <v>#REF!</v>
          </cell>
          <cell r="AM47" t="e">
            <v>#REF!</v>
          </cell>
          <cell r="AS47">
            <v>0.21873367558317569</v>
          </cell>
          <cell r="AT47">
            <v>0.35910300266058548</v>
          </cell>
          <cell r="AU47">
            <v>0.18218535640970002</v>
          </cell>
          <cell r="AV47">
            <v>8.0560966108297549E-2</v>
          </cell>
          <cell r="AW47">
            <v>0.20292644696783757</v>
          </cell>
          <cell r="AX47">
            <v>7.1048508675987998E-2</v>
          </cell>
          <cell r="AY47">
            <v>5.6490855193243261E-2</v>
          </cell>
          <cell r="AZ47">
            <v>4.9186113817006216E-2</v>
          </cell>
          <cell r="BA47">
            <v>0.17059629389285447</v>
          </cell>
          <cell r="BB47">
            <v>8.648944700592831E-2</v>
          </cell>
          <cell r="BC47">
            <v>0.13857724418684891</v>
          </cell>
          <cell r="BD47">
            <v>9.1097993541214395E-2</v>
          </cell>
          <cell r="BE47">
            <v>0.10503653269103963</v>
          </cell>
          <cell r="BF47">
            <v>1.0606713889744324E-2</v>
          </cell>
          <cell r="BG47">
            <v>8.4319287806453147E-2</v>
          </cell>
          <cell r="BH47">
            <v>5.9146496660889003E-3</v>
          </cell>
          <cell r="BI47">
            <v>3.7609033783815304E-2</v>
          </cell>
          <cell r="BJ47">
            <v>3.5035638612528119E-2</v>
          </cell>
          <cell r="BK47">
            <v>5.1418273744910259E-2</v>
          </cell>
          <cell r="BL47">
            <v>3.2463294057574421E-2</v>
          </cell>
          <cell r="BM47">
            <v>5.063429694394439E-2</v>
          </cell>
          <cell r="BN47">
            <v>5.0466660990835299E-2</v>
          </cell>
          <cell r="BO47">
            <v>5.2090262382403552E-2</v>
          </cell>
          <cell r="BR47" t="str">
            <v>y/y growth</v>
          </cell>
          <cell r="BS47">
            <v>0</v>
          </cell>
          <cell r="BT47" t="e">
            <v>#DIV/0!</v>
          </cell>
          <cell r="BU47" t="e">
            <v>#DIV/0!</v>
          </cell>
          <cell r="BV47" t="e">
            <v>#DIV/0!</v>
          </cell>
          <cell r="BW47" t="e">
            <v>#DIV/0!</v>
          </cell>
          <cell r="BX47" t="e">
            <v>#DIV/0!</v>
          </cell>
          <cell r="BY47" t="e">
            <v>#DIV/0!</v>
          </cell>
          <cell r="CA47">
            <v>0.20292644696783757</v>
          </cell>
          <cell r="CB47">
            <v>8.648944700592831E-2</v>
          </cell>
          <cell r="CC47">
            <v>8.4319287806453147E-2</v>
          </cell>
          <cell r="CD47">
            <v>3.2463294057574421E-2</v>
          </cell>
          <cell r="CE47">
            <v>5.063429694394439E-2</v>
          </cell>
          <cell r="CF47">
            <v>5.0466660990835299E-2</v>
          </cell>
          <cell r="CG47">
            <v>5.2090262382403552E-2</v>
          </cell>
        </row>
        <row r="50">
          <cell r="A50" t="str">
            <v>Founders Grant/Performance Awards</v>
          </cell>
          <cell r="E50">
            <v>0</v>
          </cell>
          <cell r="F50">
            <v>0</v>
          </cell>
          <cell r="G50">
            <v>0</v>
          </cell>
          <cell r="H50">
            <v>0.81899999999999995</v>
          </cell>
          <cell r="I50">
            <v>0.81899999999999995</v>
          </cell>
          <cell r="J50">
            <v>4.7960000000000003</v>
          </cell>
          <cell r="K50">
            <v>6.8759999999999994</v>
          </cell>
          <cell r="L50">
            <v>5.3460000000000001</v>
          </cell>
          <cell r="M50">
            <v>8.5670000000000002</v>
          </cell>
          <cell r="N50">
            <v>25.585000000000001</v>
          </cell>
          <cell r="O50">
            <v>6.2009999999999996</v>
          </cell>
          <cell r="P50">
            <v>7.3379999999999992</v>
          </cell>
          <cell r="Q50">
            <v>6.859</v>
          </cell>
          <cell r="R50">
            <v>6.173</v>
          </cell>
          <cell r="S50">
            <v>26.570999999999998</v>
          </cell>
          <cell r="T50">
            <v>2.0709999999999997</v>
          </cell>
          <cell r="U50">
            <v>2.04</v>
          </cell>
          <cell r="V50">
            <v>2.14</v>
          </cell>
          <cell r="W50">
            <v>4.0270000000000001</v>
          </cell>
          <cell r="X50">
            <v>10.277999999999999</v>
          </cell>
          <cell r="Y50">
            <v>2.8129999999999997</v>
          </cell>
          <cell r="Z50">
            <v>2.673</v>
          </cell>
          <cell r="AA50">
            <v>1.29</v>
          </cell>
          <cell r="AB50">
            <v>1.1439999999999999</v>
          </cell>
          <cell r="AC50">
            <v>7.92</v>
          </cell>
          <cell r="AD50">
            <v>0.58200000000000007</v>
          </cell>
          <cell r="AE50">
            <v>0.192</v>
          </cell>
          <cell r="AF50">
            <v>0.626</v>
          </cell>
          <cell r="AG50">
            <v>0.38100000000000001</v>
          </cell>
          <cell r="AH50">
            <v>1.7810000000000001</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R50" t="str">
            <v>Founders Grant/Performance Awards</v>
          </cell>
          <cell r="BS50">
            <v>0</v>
          </cell>
          <cell r="BT50">
            <v>0.81899999999999995</v>
          </cell>
          <cell r="BU50">
            <v>25.585000000000001</v>
          </cell>
          <cell r="BV50">
            <v>26.570999999999998</v>
          </cell>
          <cell r="BW50">
            <v>10.277999999999999</v>
          </cell>
          <cell r="BX50">
            <v>7.92</v>
          </cell>
          <cell r="BY50">
            <v>1.7810000000000001</v>
          </cell>
          <cell r="BZ50">
            <v>0</v>
          </cell>
          <cell r="CA50">
            <v>0</v>
          </cell>
          <cell r="CB50">
            <v>0</v>
          </cell>
          <cell r="CC50">
            <v>0</v>
          </cell>
          <cell r="CD50">
            <v>0</v>
          </cell>
          <cell r="CE50">
            <v>0</v>
          </cell>
          <cell r="CF50">
            <v>0</v>
          </cell>
          <cell r="CG50">
            <v>0</v>
          </cell>
          <cell r="CI50" t="str">
            <v>mstag:stockCompensationExcludedFromConsensusNetOfTax</v>
          </cell>
          <cell r="CJ50">
            <v>6</v>
          </cell>
          <cell r="CK50" t="str">
            <v>ISO4217:USD</v>
          </cell>
          <cell r="CL50" t="b">
            <v>0</v>
          </cell>
        </row>
        <row r="51">
          <cell r="A51" t="str">
            <v>% of Total Revenue</v>
          </cell>
          <cell r="E51">
            <v>0</v>
          </cell>
          <cell r="F51">
            <v>0</v>
          </cell>
          <cell r="G51">
            <v>0</v>
          </cell>
          <cell r="H51">
            <v>8.0564244820869966E-3</v>
          </cell>
          <cell r="I51">
            <v>3.6212019383820874E-3</v>
          </cell>
          <cell r="J51">
            <v>7.4107267024120405E-2</v>
          </cell>
          <cell r="K51">
            <v>0.10466549965750817</v>
          </cell>
          <cell r="L51">
            <v>7.8829791940074029E-2</v>
          </cell>
          <cell r="M51">
            <v>0.13072005126874897</v>
          </cell>
          <cell r="N51">
            <v>9.6998855045760279E-2</v>
          </cell>
          <cell r="O51">
            <v>9.6661054994388318E-2</v>
          </cell>
          <cell r="P51">
            <v>0.10756218759619472</v>
          </cell>
          <cell r="Q51">
            <v>9.7119959220661523E-2</v>
          </cell>
          <cell r="R51">
            <v>7.9334275800025708E-2</v>
          </cell>
          <cell r="S51">
            <v>9.4623709522910743E-2</v>
          </cell>
          <cell r="T51">
            <v>2.5614703408697367E-2</v>
          </cell>
          <cell r="U51">
            <v>2.3993789842628965E-2</v>
          </cell>
          <cell r="V51">
            <v>1.0555755599729695E-2</v>
          </cell>
          <cell r="W51">
            <v>1.8877919350453316E-2</v>
          </cell>
          <cell r="X51">
            <v>1.5504577606610939E-2</v>
          </cell>
          <cell r="Y51">
            <v>2.0814218486400093E-2</v>
          </cell>
          <cell r="Z51">
            <v>1.9584713226458779E-2</v>
          </cell>
          <cell r="AA51">
            <v>5.7326708913636648E-3</v>
          </cell>
          <cell r="AB51">
            <v>5.0589473498014442E-3</v>
          </cell>
          <cell r="AC51">
            <v>1.4708012524095513E-2</v>
          </cell>
          <cell r="AD51">
            <v>4.2821825887338879E-3</v>
          </cell>
          <cell r="AE51">
            <v>1.326956569817267E-3</v>
          </cell>
          <cell r="AF51">
            <v>2.6588063403611899E-3</v>
          </cell>
          <cell r="AG51">
            <v>1.5420106847984457E-3</v>
          </cell>
          <cell r="AH51">
            <v>3.1042368213730458E-3</v>
          </cell>
          <cell r="AI51">
            <v>0</v>
          </cell>
          <cell r="AJ51">
            <v>0</v>
          </cell>
          <cell r="AK51">
            <v>0</v>
          </cell>
          <cell r="AL51">
            <v>0</v>
          </cell>
          <cell r="AM51">
            <v>0</v>
          </cell>
          <cell r="AN51">
            <v>0</v>
          </cell>
          <cell r="AO51">
            <v>0</v>
          </cell>
          <cell r="AP51">
            <v>0</v>
          </cell>
          <cell r="AQ51">
            <v>0</v>
          </cell>
          <cell r="AR51" t="e">
            <v>#DIV/0!</v>
          </cell>
          <cell r="AS51">
            <v>0</v>
          </cell>
          <cell r="AT51">
            <v>0</v>
          </cell>
          <cell r="AU51">
            <v>0</v>
          </cell>
          <cell r="AV51">
            <v>0</v>
          </cell>
          <cell r="AW51" t="str">
            <v>NA</v>
          </cell>
          <cell r="AX51">
            <v>0</v>
          </cell>
          <cell r="AY51">
            <v>0</v>
          </cell>
          <cell r="AZ51">
            <v>0</v>
          </cell>
          <cell r="BA51">
            <v>0</v>
          </cell>
          <cell r="BB51" t="str">
            <v>NA</v>
          </cell>
          <cell r="BC51">
            <v>0</v>
          </cell>
          <cell r="BD51">
            <v>0</v>
          </cell>
          <cell r="BE51">
            <v>0</v>
          </cell>
          <cell r="BF51">
            <v>0</v>
          </cell>
          <cell r="BG51" t="str">
            <v>NA</v>
          </cell>
          <cell r="BH51">
            <v>0</v>
          </cell>
          <cell r="BI51">
            <v>0</v>
          </cell>
          <cell r="BJ51">
            <v>0</v>
          </cell>
          <cell r="BK51">
            <v>0</v>
          </cell>
          <cell r="BL51" t="str">
            <v>NA</v>
          </cell>
          <cell r="BM51" t="str">
            <v>NA</v>
          </cell>
          <cell r="BN51" t="str">
            <v>NA</v>
          </cell>
          <cell r="BO51" t="str">
            <v>NA</v>
          </cell>
          <cell r="BR51" t="str">
            <v>% of Total Revenue</v>
          </cell>
          <cell r="BS51">
            <v>0</v>
          </cell>
          <cell r="BT51">
            <v>3.6212019383820874E-3</v>
          </cell>
          <cell r="BU51">
            <v>9.6998855045760279E-2</v>
          </cell>
          <cell r="BV51">
            <v>9.4623709522910743E-2</v>
          </cell>
          <cell r="BW51">
            <v>1.5504577606610939E-2</v>
          </cell>
          <cell r="BX51">
            <v>1.4708012524095513E-2</v>
          </cell>
          <cell r="BY51">
            <v>3.1042368213730458E-3</v>
          </cell>
          <cell r="BZ51" t="e">
            <v>#DIV/0!</v>
          </cell>
          <cell r="CA51" t="str">
            <v>NA</v>
          </cell>
          <cell r="CB51" t="str">
            <v>NA</v>
          </cell>
          <cell r="CC51" t="str">
            <v>NA</v>
          </cell>
          <cell r="CD51" t="str">
            <v>NA</v>
          </cell>
          <cell r="CE51" t="str">
            <v>NA</v>
          </cell>
          <cell r="CF51" t="str">
            <v>NA</v>
          </cell>
          <cell r="CG51" t="str">
            <v>NA</v>
          </cell>
        </row>
        <row r="53">
          <cell r="A53" t="str">
            <v>Total Expenses ex. Founders Grant</v>
          </cell>
          <cell r="C53">
            <v>66.075000000000003</v>
          </cell>
          <cell r="D53">
            <v>197.74700000000001</v>
          </cell>
          <cell r="E53">
            <v>50.666000000000004</v>
          </cell>
          <cell r="F53">
            <v>55.305000000000007</v>
          </cell>
          <cell r="G53">
            <v>52.006</v>
          </cell>
          <cell r="H53">
            <v>52.947000000000003</v>
          </cell>
          <cell r="I53">
            <v>210.92400000000001</v>
          </cell>
          <cell r="J53">
            <v>57.384</v>
          </cell>
          <cell r="K53">
            <v>60.765000000000008</v>
          </cell>
          <cell r="L53">
            <v>59.140999999999991</v>
          </cell>
          <cell r="M53">
            <v>58.826000000000001</v>
          </cell>
          <cell r="N53">
            <v>236.11599999999999</v>
          </cell>
          <cell r="O53">
            <v>57.45</v>
          </cell>
          <cell r="P53">
            <v>55.982999999999997</v>
          </cell>
          <cell r="Q53">
            <v>54.913000000000004</v>
          </cell>
          <cell r="R53">
            <v>59.527999999999992</v>
          </cell>
          <cell r="S53">
            <v>227.874</v>
          </cell>
          <cell r="T53">
            <v>64.680999999999997</v>
          </cell>
          <cell r="U53">
            <v>68.599999999999994</v>
          </cell>
          <cell r="V53">
            <v>130.90700000000001</v>
          </cell>
          <cell r="W53">
            <v>114.404</v>
          </cell>
          <cell r="X53">
            <v>378.59199999999998</v>
          </cell>
          <cell r="Y53">
            <v>118.82299999999999</v>
          </cell>
          <cell r="Z53">
            <v>119.488</v>
          </cell>
          <cell r="AA53">
            <v>121.40199999999999</v>
          </cell>
          <cell r="AB53">
            <v>122.48599999999999</v>
          </cell>
          <cell r="AC53">
            <v>482.19899999999996</v>
          </cell>
          <cell r="AD53">
            <v>127.14500000000001</v>
          </cell>
          <cell r="AE53">
            <v>130.65299999999999</v>
          </cell>
          <cell r="AF53">
            <v>130.697</v>
          </cell>
          <cell r="AG53">
            <v>130.982</v>
          </cell>
          <cell r="AH53">
            <v>519.47700000000009</v>
          </cell>
          <cell r="AI53">
            <v>141.816</v>
          </cell>
          <cell r="AJ53">
            <v>140.971</v>
          </cell>
          <cell r="AK53">
            <v>145.41999999999999</v>
          </cell>
          <cell r="AL53">
            <v>155.44900000000001</v>
          </cell>
          <cell r="AM53">
            <v>583.65600000000006</v>
          </cell>
          <cell r="AN53">
            <v>120.81500000000001</v>
          </cell>
          <cell r="AO53">
            <v>122.316</v>
          </cell>
          <cell r="AP53">
            <v>128.06799999999998</v>
          </cell>
          <cell r="AQ53">
            <v>136.429</v>
          </cell>
          <cell r="AR53">
            <v>507.62799999999999</v>
          </cell>
          <cell r="AS53">
            <v>143.08499999999998</v>
          </cell>
          <cell r="AT53">
            <v>148.33199999999999</v>
          </cell>
          <cell r="AU53">
            <v>149.709</v>
          </cell>
          <cell r="AV53">
            <v>146.80000000000001</v>
          </cell>
          <cell r="AW53">
            <v>587.92599999999993</v>
          </cell>
          <cell r="AX53">
            <v>155.11799999999999</v>
          </cell>
          <cell r="AY53">
            <v>152.309</v>
          </cell>
          <cell r="AZ53">
            <v>139.91000000000003</v>
          </cell>
          <cell r="BA53">
            <v>145.97899999999998</v>
          </cell>
          <cell r="BB53">
            <v>593.31600000000003</v>
          </cell>
          <cell r="BC53">
            <v>145.679</v>
          </cell>
          <cell r="BD53">
            <v>144.56899999999999</v>
          </cell>
          <cell r="BE53">
            <v>145.10900000000001</v>
          </cell>
          <cell r="BF53">
            <v>145.85500000000002</v>
          </cell>
          <cell r="BG53">
            <v>581.21199999999999</v>
          </cell>
          <cell r="BH53">
            <v>150.51600000000002</v>
          </cell>
          <cell r="BI53">
            <v>153.92427850844979</v>
          </cell>
          <cell r="BJ53">
            <v>152.40592499500946</v>
          </cell>
          <cell r="BK53">
            <v>154.25128047842034</v>
          </cell>
          <cell r="BL53">
            <v>611.09748398187958</v>
          </cell>
          <cell r="BM53">
            <v>645.41415733044391</v>
          </cell>
          <cell r="BN53">
            <v>681.59993708754257</v>
          </cell>
          <cell r="BO53">
            <v>721.0538545505799</v>
          </cell>
          <cell r="BR53" t="str">
            <v>Total Expenses ex. Founders Grant</v>
          </cell>
          <cell r="BS53">
            <v>197.74700000000001</v>
          </cell>
          <cell r="BT53">
            <v>210.92400000000001</v>
          </cell>
          <cell r="BU53">
            <v>236.11599999999999</v>
          </cell>
          <cell r="BV53">
            <v>227.874</v>
          </cell>
          <cell r="BW53">
            <v>378.59199999999998</v>
          </cell>
          <cell r="BX53">
            <v>482.19899999999996</v>
          </cell>
          <cell r="BY53">
            <v>519.47700000000009</v>
          </cell>
          <cell r="BZ53">
            <v>507.62799999999999</v>
          </cell>
          <cell r="CA53">
            <v>587.92599999999993</v>
          </cell>
          <cell r="CB53">
            <v>593.31600000000003</v>
          </cell>
          <cell r="CC53">
            <v>581.21199999999999</v>
          </cell>
          <cell r="CD53">
            <v>611.09748398187958</v>
          </cell>
          <cell r="CE53">
            <v>645.41415733044391</v>
          </cell>
          <cell r="CF53">
            <v>681.59993708754257</v>
          </cell>
          <cell r="CG53">
            <v>721.0538545505799</v>
          </cell>
        </row>
        <row r="54">
          <cell r="A54" t="str">
            <v>Expense ex ISS</v>
          </cell>
          <cell r="AH54">
            <v>427.29300000000006</v>
          </cell>
          <cell r="AM54">
            <v>493.77800000000008</v>
          </cell>
          <cell r="AN54">
            <v>120.81500000000001</v>
          </cell>
          <cell r="AO54">
            <v>122.316</v>
          </cell>
          <cell r="AP54">
            <v>128.06799999999998</v>
          </cell>
          <cell r="AQ54">
            <v>136.429</v>
          </cell>
          <cell r="AR54">
            <v>507.62799999999999</v>
          </cell>
          <cell r="AS54">
            <v>143.08499999999998</v>
          </cell>
          <cell r="AT54">
            <v>148.33199999999999</v>
          </cell>
          <cell r="AU54">
            <v>149.709</v>
          </cell>
          <cell r="AV54">
            <v>146.80000000000001</v>
          </cell>
          <cell r="AW54">
            <v>587.92599999999993</v>
          </cell>
          <cell r="AX54">
            <v>155.11799999999999</v>
          </cell>
          <cell r="AY54">
            <v>152.309</v>
          </cell>
          <cell r="AZ54">
            <v>139.91000000000003</v>
          </cell>
          <cell r="BA54">
            <v>145.97899999999998</v>
          </cell>
          <cell r="BB54">
            <v>593.31600000000003</v>
          </cell>
          <cell r="BC54">
            <v>145.679</v>
          </cell>
          <cell r="BD54">
            <v>144.56899999999999</v>
          </cell>
          <cell r="BE54">
            <v>145.10900000000001</v>
          </cell>
          <cell r="BF54">
            <v>145.85500000000002</v>
          </cell>
          <cell r="BG54">
            <v>581.21199999999999</v>
          </cell>
          <cell r="BH54">
            <v>150.51600000000002</v>
          </cell>
          <cell r="BI54">
            <v>153.92427850844979</v>
          </cell>
          <cell r="BJ54">
            <v>152.40592499500946</v>
          </cell>
          <cell r="BK54">
            <v>154.25128047842034</v>
          </cell>
          <cell r="BL54">
            <v>611.09748398187958</v>
          </cell>
          <cell r="BM54">
            <v>645.41415733044391</v>
          </cell>
          <cell r="BN54">
            <v>681.59993708754257</v>
          </cell>
          <cell r="BO54">
            <v>721.0538545505799</v>
          </cell>
          <cell r="BR54" t="str">
            <v>Expense ex ISS</v>
          </cell>
          <cell r="BS54">
            <v>0</v>
          </cell>
          <cell r="BT54">
            <v>0</v>
          </cell>
          <cell r="BU54">
            <v>0</v>
          </cell>
          <cell r="BV54">
            <v>0</v>
          </cell>
          <cell r="BW54">
            <v>0</v>
          </cell>
          <cell r="BY54">
            <v>427.29300000000006</v>
          </cell>
          <cell r="BZ54">
            <v>507.62799999999999</v>
          </cell>
          <cell r="CA54">
            <v>587.92599999999993</v>
          </cell>
          <cell r="CB54">
            <v>593.31600000000003</v>
          </cell>
          <cell r="CC54">
            <v>581.21199999999999</v>
          </cell>
          <cell r="CD54">
            <v>611.09748398187958</v>
          </cell>
          <cell r="CE54">
            <v>645.41415733044391</v>
          </cell>
          <cell r="CF54">
            <v>681.59993708754257</v>
          </cell>
          <cell r="CG54">
            <v>721.0538545505799</v>
          </cell>
        </row>
        <row r="55">
          <cell r="A55" t="str">
            <v>RISK Expenses</v>
          </cell>
          <cell r="BR55" t="str">
            <v>RISK Expenses</v>
          </cell>
        </row>
        <row r="56">
          <cell r="A56" t="str">
            <v>Cost Of Revenues</v>
          </cell>
          <cell r="BR56" t="str">
            <v>Cost Of Revenues</v>
          </cell>
          <cell r="BW56">
            <v>0</v>
          </cell>
          <cell r="BX56">
            <v>0</v>
          </cell>
          <cell r="BY56">
            <v>0</v>
          </cell>
          <cell r="BZ56">
            <v>0</v>
          </cell>
          <cell r="CA56">
            <v>0</v>
          </cell>
          <cell r="CB56">
            <v>0</v>
          </cell>
          <cell r="CC56">
            <v>0</v>
          </cell>
          <cell r="CD56">
            <v>0</v>
          </cell>
          <cell r="CE56">
            <v>0</v>
          </cell>
          <cell r="CF56">
            <v>0</v>
          </cell>
          <cell r="CG56">
            <v>0</v>
          </cell>
          <cell r="CI56" t="str">
            <v>mstag:costOfServicesSold</v>
          </cell>
          <cell r="CJ56">
            <v>6</v>
          </cell>
          <cell r="CK56" t="str">
            <v>ISO4217:USD</v>
          </cell>
          <cell r="CL56" t="b">
            <v>0</v>
          </cell>
        </row>
        <row r="57">
          <cell r="A57" t="str">
            <v>Gross Margin</v>
          </cell>
          <cell r="BR57" t="str">
            <v>Gross Margin</v>
          </cell>
          <cell r="BW57">
            <v>0</v>
          </cell>
          <cell r="BX57">
            <v>0</v>
          </cell>
          <cell r="BY57">
            <v>0</v>
          </cell>
          <cell r="BZ57">
            <v>0</v>
          </cell>
          <cell r="CA57">
            <v>0</v>
          </cell>
          <cell r="CB57">
            <v>0</v>
          </cell>
          <cell r="CC57">
            <v>0</v>
          </cell>
          <cell r="CD57">
            <v>0</v>
          </cell>
          <cell r="CE57">
            <v>0</v>
          </cell>
          <cell r="CF57">
            <v>0</v>
          </cell>
          <cell r="CG57">
            <v>0</v>
          </cell>
        </row>
        <row r="58">
          <cell r="A58" t="str">
            <v>Research and Development</v>
          </cell>
          <cell r="BR58" t="str">
            <v>Research and Development</v>
          </cell>
          <cell r="BW58">
            <v>0</v>
          </cell>
          <cell r="BX58">
            <v>0</v>
          </cell>
          <cell r="BY58">
            <v>0</v>
          </cell>
          <cell r="BZ58">
            <v>0</v>
          </cell>
          <cell r="CA58">
            <v>0</v>
          </cell>
          <cell r="CB58">
            <v>0</v>
          </cell>
          <cell r="CC58">
            <v>0</v>
          </cell>
          <cell r="CD58">
            <v>0</v>
          </cell>
          <cell r="CE58">
            <v>0</v>
          </cell>
          <cell r="CF58">
            <v>0</v>
          </cell>
          <cell r="CG58">
            <v>0</v>
          </cell>
          <cell r="CI58" t="str">
            <v>mstag:generalAndAdministrativeExpenses</v>
          </cell>
          <cell r="CJ58">
            <v>6</v>
          </cell>
          <cell r="CK58" t="str">
            <v>ISO4217:USD</v>
          </cell>
          <cell r="CL58" t="b">
            <v>0</v>
          </cell>
        </row>
        <row r="59">
          <cell r="A59" t="str">
            <v>% of Total Revenue</v>
          </cell>
          <cell r="BR59" t="str">
            <v>% of Total Revenue</v>
          </cell>
          <cell r="BW59">
            <v>0</v>
          </cell>
          <cell r="BX59">
            <v>0</v>
          </cell>
          <cell r="BY59">
            <v>0</v>
          </cell>
          <cell r="BZ59">
            <v>0</v>
          </cell>
          <cell r="CA59">
            <v>0</v>
          </cell>
          <cell r="CB59">
            <v>0</v>
          </cell>
          <cell r="CC59">
            <v>0</v>
          </cell>
          <cell r="CD59">
            <v>0</v>
          </cell>
          <cell r="CE59">
            <v>0</v>
          </cell>
          <cell r="CF59">
            <v>0</v>
          </cell>
          <cell r="CG59">
            <v>0</v>
          </cell>
        </row>
        <row r="60">
          <cell r="A60" t="str">
            <v>Selling and Markeitng</v>
          </cell>
          <cell r="BR60" t="str">
            <v>Selling and Markeitng</v>
          </cell>
          <cell r="BW60">
            <v>0</v>
          </cell>
          <cell r="BX60">
            <v>0</v>
          </cell>
          <cell r="BY60">
            <v>0</v>
          </cell>
          <cell r="BZ60">
            <v>0</v>
          </cell>
          <cell r="CA60">
            <v>0</v>
          </cell>
          <cell r="CB60">
            <v>0</v>
          </cell>
          <cell r="CC60">
            <v>0</v>
          </cell>
          <cell r="CD60">
            <v>0</v>
          </cell>
          <cell r="CE60">
            <v>0</v>
          </cell>
          <cell r="CF60">
            <v>0</v>
          </cell>
          <cell r="CG60">
            <v>0</v>
          </cell>
          <cell r="CI60" t="str">
            <v>mstag:generalAndAdministrativeExpenses</v>
          </cell>
          <cell r="CJ60">
            <v>6</v>
          </cell>
          <cell r="CK60" t="str">
            <v>ISO4217:USD</v>
          </cell>
          <cell r="CL60" t="b">
            <v>0</v>
          </cell>
        </row>
        <row r="61">
          <cell r="A61" t="str">
            <v>% of Total Revenue</v>
          </cell>
          <cell r="BR61" t="str">
            <v>% of Total Revenue</v>
          </cell>
          <cell r="BW61">
            <v>0</v>
          </cell>
          <cell r="BX61">
            <v>0</v>
          </cell>
          <cell r="BY61">
            <v>0</v>
          </cell>
          <cell r="BZ61">
            <v>0</v>
          </cell>
          <cell r="CA61">
            <v>0</v>
          </cell>
          <cell r="CB61">
            <v>0</v>
          </cell>
          <cell r="CC61">
            <v>0</v>
          </cell>
          <cell r="CD61">
            <v>0</v>
          </cell>
          <cell r="CE61">
            <v>0</v>
          </cell>
          <cell r="CF61">
            <v>0</v>
          </cell>
          <cell r="CG61">
            <v>0</v>
          </cell>
        </row>
        <row r="62">
          <cell r="A62" t="str">
            <v>General and Administrative</v>
          </cell>
          <cell r="BR62" t="str">
            <v>General and Administrative</v>
          </cell>
          <cell r="BW62">
            <v>0</v>
          </cell>
          <cell r="BX62">
            <v>0</v>
          </cell>
          <cell r="BY62">
            <v>0</v>
          </cell>
          <cell r="BZ62">
            <v>0</v>
          </cell>
          <cell r="CA62">
            <v>0</v>
          </cell>
          <cell r="CB62">
            <v>0</v>
          </cell>
          <cell r="CC62">
            <v>0</v>
          </cell>
          <cell r="CD62">
            <v>0</v>
          </cell>
          <cell r="CE62">
            <v>0</v>
          </cell>
          <cell r="CF62">
            <v>0</v>
          </cell>
          <cell r="CG62">
            <v>0</v>
          </cell>
          <cell r="CI62" t="str">
            <v>mstag:generalAndAdministrativeExpenses</v>
          </cell>
          <cell r="CJ62">
            <v>6</v>
          </cell>
          <cell r="CK62" t="str">
            <v>ISO4217:USD</v>
          </cell>
          <cell r="CL62" t="b">
            <v>0</v>
          </cell>
        </row>
        <row r="63">
          <cell r="A63" t="str">
            <v>% of Total Revenue</v>
          </cell>
          <cell r="BR63" t="str">
            <v>% of Total Revenue</v>
          </cell>
          <cell r="BW63">
            <v>0</v>
          </cell>
          <cell r="BX63">
            <v>0</v>
          </cell>
          <cell r="BY63">
            <v>0</v>
          </cell>
          <cell r="BZ63">
            <v>0</v>
          </cell>
          <cell r="CA63">
            <v>0</v>
          </cell>
          <cell r="CB63">
            <v>0</v>
          </cell>
          <cell r="CC63">
            <v>0</v>
          </cell>
          <cell r="CD63">
            <v>0</v>
          </cell>
          <cell r="CE63">
            <v>0</v>
          </cell>
          <cell r="CF63">
            <v>0</v>
          </cell>
          <cell r="CG63">
            <v>0</v>
          </cell>
        </row>
        <row r="64">
          <cell r="A64" t="str">
            <v>Stock Based Compensation Expense</v>
          </cell>
          <cell r="BR64" t="str">
            <v>Stock Based Compensation Expense</v>
          </cell>
          <cell r="BW64">
            <v>0</v>
          </cell>
          <cell r="BX64">
            <v>0</v>
          </cell>
          <cell r="BY64">
            <v>0</v>
          </cell>
          <cell r="BZ64">
            <v>0</v>
          </cell>
          <cell r="CA64">
            <v>0</v>
          </cell>
          <cell r="CB64">
            <v>0</v>
          </cell>
          <cell r="CC64">
            <v>0</v>
          </cell>
          <cell r="CD64">
            <v>0</v>
          </cell>
          <cell r="CE64">
            <v>0</v>
          </cell>
          <cell r="CF64">
            <v>0</v>
          </cell>
          <cell r="CG64">
            <v>0</v>
          </cell>
          <cell r="CI64" t="str">
            <v>mstag:generalAndAdministrativeExpenses</v>
          </cell>
          <cell r="CJ64">
            <v>6</v>
          </cell>
          <cell r="CK64" t="str">
            <v>ISO4217:USD</v>
          </cell>
          <cell r="CL64" t="b">
            <v>0</v>
          </cell>
        </row>
        <row r="65">
          <cell r="A65" t="str">
            <v>% of Total Revenue</v>
          </cell>
          <cell r="BR65" t="str">
            <v>% of Total Revenue</v>
          </cell>
          <cell r="BW65">
            <v>0</v>
          </cell>
          <cell r="BX65">
            <v>0</v>
          </cell>
          <cell r="BY65">
            <v>0</v>
          </cell>
          <cell r="BZ65">
            <v>0</v>
          </cell>
          <cell r="CA65">
            <v>0</v>
          </cell>
          <cell r="CB65">
            <v>0</v>
          </cell>
          <cell r="CC65">
            <v>0</v>
          </cell>
          <cell r="CD65">
            <v>0</v>
          </cell>
          <cell r="CE65">
            <v>0</v>
          </cell>
          <cell r="CF65">
            <v>0</v>
          </cell>
          <cell r="CG65">
            <v>0</v>
          </cell>
        </row>
        <row r="66">
          <cell r="A66" t="str">
            <v>Expense increase</v>
          </cell>
          <cell r="AW66">
            <v>0.15818276375613638</v>
          </cell>
          <cell r="AX66">
            <v>8.4096865499528439E-2</v>
          </cell>
          <cell r="AY66">
            <v>2.6811476957096181E-2</v>
          </cell>
          <cell r="AZ66">
            <v>-6.5453646741344684E-2</v>
          </cell>
          <cell r="BA66">
            <v>-5.5926430517713177E-3</v>
          </cell>
          <cell r="BB66">
            <v>9.1678204399874286E-3</v>
          </cell>
          <cell r="BC66">
            <v>-6.085044933534467E-2</v>
          </cell>
          <cell r="BD66">
            <v>-5.0817745504205369E-2</v>
          </cell>
          <cell r="BE66">
            <v>3.7159602601672281E-2</v>
          </cell>
          <cell r="BF66">
            <v>-8.494372478230483E-4</v>
          </cell>
          <cell r="BG66">
            <v>-2.0400595972466684E-2</v>
          </cell>
          <cell r="BH66">
            <v>3.3203138407045696E-2</v>
          </cell>
          <cell r="BI66">
            <v>6.471151151664456E-2</v>
          </cell>
          <cell r="BJ66">
            <v>5.0285819590855541E-2</v>
          </cell>
          <cell r="BK66">
            <v>5.7565942054919716E-2</v>
          </cell>
          <cell r="BL66">
            <v>5.1419248022889441E-2</v>
          </cell>
          <cell r="BM66">
            <v>5.6155808603495894E-2</v>
          </cell>
          <cell r="BN66">
            <v>5.6065983905233763E-2</v>
          </cell>
          <cell r="BO66">
            <v>5.7884273921184448E-2</v>
          </cell>
          <cell r="BR66" t="str">
            <v>Expense increase</v>
          </cell>
          <cell r="BZ66">
            <v>0.18800916467154827</v>
          </cell>
          <cell r="CA66">
            <v>0.15818276375613638</v>
          </cell>
          <cell r="CB66">
            <v>9.1678204399874286E-3</v>
          </cell>
          <cell r="CC66">
            <v>-2.0400595972466684E-2</v>
          </cell>
          <cell r="CD66">
            <v>5.1419248022889441E-2</v>
          </cell>
          <cell r="CE66">
            <v>5.6155808603495894E-2</v>
          </cell>
          <cell r="CF66">
            <v>5.6065983905233763E-2</v>
          </cell>
          <cell r="CG66">
            <v>5.7884273921184448E-2</v>
          </cell>
        </row>
        <row r="67">
          <cell r="A67" t="str">
            <v>Restructuring</v>
          </cell>
          <cell r="V67">
            <v>6.9530000000000003</v>
          </cell>
          <cell r="W67">
            <v>1.9430000000000001</v>
          </cell>
          <cell r="X67">
            <v>8.8960000000000008</v>
          </cell>
          <cell r="Y67">
            <v>4.431</v>
          </cell>
          <cell r="Z67">
            <v>0.04</v>
          </cell>
          <cell r="AA67">
            <v>-1.002</v>
          </cell>
          <cell r="AB67">
            <v>0.125</v>
          </cell>
          <cell r="AC67">
            <v>3.5940000000000003</v>
          </cell>
          <cell r="AD67">
            <v>-2.9000000000000001E-2</v>
          </cell>
          <cell r="AE67">
            <v>-2.1999999999999999E-2</v>
          </cell>
          <cell r="AF67">
            <v>0</v>
          </cell>
          <cell r="AG67">
            <v>0</v>
          </cell>
          <cell r="AH67">
            <v>-5.1000000000000004E-2</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cell r="BM67">
            <v>0</v>
          </cell>
          <cell r="BN67">
            <v>0</v>
          </cell>
          <cell r="BO67">
            <v>0</v>
          </cell>
          <cell r="BR67" t="str">
            <v>Restructuring</v>
          </cell>
          <cell r="BW67">
            <v>8.8960000000000008</v>
          </cell>
          <cell r="BX67">
            <v>3.5940000000000003</v>
          </cell>
          <cell r="BY67">
            <v>-5.1000000000000004E-2</v>
          </cell>
          <cell r="BZ67">
            <v>0</v>
          </cell>
          <cell r="CA67">
            <v>0</v>
          </cell>
          <cell r="CB67">
            <v>0</v>
          </cell>
          <cell r="CC67">
            <v>0</v>
          </cell>
          <cell r="CD67">
            <v>0</v>
          </cell>
          <cell r="CE67">
            <v>0</v>
          </cell>
          <cell r="CF67">
            <v>0</v>
          </cell>
          <cell r="CG67">
            <v>0</v>
          </cell>
          <cell r="CI67" t="str">
            <v>mstag:restructuringCostsOneTime</v>
          </cell>
          <cell r="CJ67">
            <v>6</v>
          </cell>
          <cell r="CK67" t="str">
            <v>ISO4217:USD</v>
          </cell>
          <cell r="CL67" t="b">
            <v>0</v>
          </cell>
        </row>
        <row r="69">
          <cell r="A69" t="str">
            <v>Other one-time items</v>
          </cell>
          <cell r="T69">
            <v>2.25</v>
          </cell>
          <cell r="U69">
            <v>5.2640000000000002</v>
          </cell>
          <cell r="V69">
            <v>13.692</v>
          </cell>
          <cell r="W69">
            <v>0</v>
          </cell>
          <cell r="X69">
            <v>21.206</v>
          </cell>
          <cell r="Y69">
            <v>0</v>
          </cell>
          <cell r="Z69">
            <v>0</v>
          </cell>
          <cell r="AA69">
            <v>0</v>
          </cell>
          <cell r="AB69">
            <v>0</v>
          </cell>
          <cell r="AC69">
            <v>0</v>
          </cell>
          <cell r="AD69">
            <v>0</v>
          </cell>
          <cell r="AE69">
            <v>0</v>
          </cell>
          <cell r="AF69">
            <v>3.327</v>
          </cell>
          <cell r="AG69">
            <v>0.46899999999999997</v>
          </cell>
          <cell r="AH69">
            <v>3.7959999999999998</v>
          </cell>
          <cell r="AI69">
            <v>0</v>
          </cell>
          <cell r="AJ69">
            <v>-0.36499999999999999</v>
          </cell>
          <cell r="AK69">
            <v>0</v>
          </cell>
          <cell r="AL69">
            <v>1.821</v>
          </cell>
          <cell r="AM69">
            <v>1.456</v>
          </cell>
          <cell r="AN69">
            <v>0</v>
          </cell>
          <cell r="AO69">
            <v>-0.36499999999999999</v>
          </cell>
          <cell r="AP69">
            <v>0</v>
          </cell>
          <cell r="AQ69">
            <v>0</v>
          </cell>
          <cell r="AR69">
            <v>-0.36499999999999999</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R69" t="str">
            <v>Other one-time items</v>
          </cell>
          <cell r="BW69">
            <v>21.206</v>
          </cell>
          <cell r="BX69">
            <v>0</v>
          </cell>
          <cell r="BY69">
            <v>3.7959999999999998</v>
          </cell>
          <cell r="BZ69">
            <v>-0.36499999999999999</v>
          </cell>
          <cell r="CA69">
            <v>0</v>
          </cell>
          <cell r="CB69">
            <v>0</v>
          </cell>
          <cell r="CC69">
            <v>0</v>
          </cell>
          <cell r="CD69">
            <v>0</v>
          </cell>
          <cell r="CE69">
            <v>0</v>
          </cell>
          <cell r="CF69">
            <v>0</v>
          </cell>
          <cell r="CG69">
            <v>0</v>
          </cell>
        </row>
        <row r="71">
          <cell r="A71" t="str">
            <v>Adj. EBITDA, segment calculation</v>
          </cell>
          <cell r="AN71">
            <v>98.654000000000011</v>
          </cell>
          <cell r="AO71">
            <v>105.52</v>
          </cell>
          <cell r="AP71">
            <v>100.54</v>
          </cell>
          <cell r="AQ71">
            <v>100.43399999999998</v>
          </cell>
          <cell r="AR71">
            <v>405.14799999999997</v>
          </cell>
          <cell r="AS71">
            <v>96.603000000000009</v>
          </cell>
          <cell r="AT71">
            <v>105.89399999999999</v>
          </cell>
          <cell r="AU71">
            <v>101.952</v>
          </cell>
          <cell r="AV71">
            <v>104.30499999999999</v>
          </cell>
          <cell r="AW71">
            <v>408.75400000000002</v>
          </cell>
          <cell r="AX71">
            <v>107.651</v>
          </cell>
          <cell r="AY71">
            <v>118.27099999999999</v>
          </cell>
          <cell r="AZ71">
            <v>128.86099999999999</v>
          </cell>
          <cell r="BA71">
            <v>126.914</v>
          </cell>
          <cell r="BB71">
            <v>481.69700000000006</v>
          </cell>
          <cell r="BC71">
            <v>133.149</v>
          </cell>
          <cell r="BD71">
            <v>146.02699999999999</v>
          </cell>
          <cell r="BE71">
            <v>143.32400000000001</v>
          </cell>
          <cell r="BF71">
            <v>146.95699999999999</v>
          </cell>
          <cell r="BG71">
            <v>569.45699999999999</v>
          </cell>
          <cell r="BH71">
            <v>150.691</v>
          </cell>
          <cell r="BI71">
            <v>158.60321130360154</v>
          </cell>
          <cell r="BJ71">
            <v>160.0787858475197</v>
          </cell>
          <cell r="BK71">
            <v>162.28056063171528</v>
          </cell>
          <cell r="BL71">
            <v>631.65355778283651</v>
          </cell>
          <cell r="BM71">
            <v>684.03517831608201</v>
          </cell>
          <cell r="BN71">
            <v>741.46325974076694</v>
          </cell>
          <cell r="BO71">
            <v>804.9551462416099</v>
          </cell>
        </row>
        <row r="72">
          <cell r="A72" t="str">
            <v>var</v>
          </cell>
          <cell r="AN72">
            <v>-4.5999999999963848E-2</v>
          </cell>
          <cell r="AO72">
            <v>-0.16899999999998272</v>
          </cell>
          <cell r="AP72">
            <v>-9.3000000000003524E-2</v>
          </cell>
          <cell r="AQ72">
            <v>6.3000000000002387E-2</v>
          </cell>
          <cell r="AR72">
            <v>-0.24500000000000455</v>
          </cell>
          <cell r="AS72">
            <v>-1.2000000000028876E-2</v>
          </cell>
          <cell r="AT72">
            <v>-6.9000000000031037E-2</v>
          </cell>
          <cell r="AU72">
            <v>0.10399999999998499</v>
          </cell>
          <cell r="AV72">
            <v>-4.7999999999987608E-2</v>
          </cell>
          <cell r="AW72">
            <v>-2.5000000000090949E-2</v>
          </cell>
          <cell r="AX72">
            <v>-1.0999999999981469E-2</v>
          </cell>
          <cell r="AY72">
            <v>1.999999999998181E-2</v>
          </cell>
          <cell r="AZ72">
            <v>-5.9999999999149622E-3</v>
          </cell>
          <cell r="BA72">
            <v>0</v>
          </cell>
          <cell r="BB72">
            <v>3.0000000000995897E-3</v>
          </cell>
          <cell r="BC72">
            <v>0</v>
          </cell>
          <cell r="BD72">
            <v>0</v>
          </cell>
          <cell r="BE72">
            <v>0</v>
          </cell>
          <cell r="BF72">
            <v>0</v>
          </cell>
          <cell r="BG72">
            <v>0</v>
          </cell>
          <cell r="BH72">
            <v>0</v>
          </cell>
          <cell r="BI72">
            <v>-1.459763169867756E-2</v>
          </cell>
          <cell r="BJ72">
            <v>0.23782928515410617</v>
          </cell>
          <cell r="BK72">
            <v>0.19568761447473548</v>
          </cell>
          <cell r="BL72">
            <v>0.42691926793008861</v>
          </cell>
          <cell r="BM72">
            <v>9.7188851780174446E-3</v>
          </cell>
          <cell r="BN72">
            <v>3.4513127876721228E-2</v>
          </cell>
          <cell r="BO72">
            <v>-0.10081553672318933</v>
          </cell>
        </row>
        <row r="75">
          <cell r="A75" t="str">
            <v>Adj. EBITDA (ex. non recurring comp)</v>
          </cell>
          <cell r="C75">
            <v>15.510999999999996</v>
          </cell>
          <cell r="D75">
            <v>112.95099999999996</v>
          </cell>
          <cell r="E75">
            <v>36.403000000000013</v>
          </cell>
          <cell r="F75">
            <v>33.446999999999989</v>
          </cell>
          <cell r="G75">
            <v>40.40100000000001</v>
          </cell>
          <cell r="H75">
            <v>48.710999999999999</v>
          </cell>
          <cell r="I75">
            <v>158.96200000000002</v>
          </cell>
          <cell r="J75">
            <v>47.566999999999993</v>
          </cell>
          <cell r="K75">
            <v>47.43</v>
          </cell>
          <cell r="L75">
            <v>51.25800000000001</v>
          </cell>
          <cell r="M75">
            <v>48.589999999999996</v>
          </cell>
          <cell r="N75">
            <v>194.84500000000003</v>
          </cell>
          <cell r="O75">
            <v>48.465000000000003</v>
          </cell>
          <cell r="P75">
            <v>53.392000000000003</v>
          </cell>
          <cell r="Q75">
            <v>53.954999999999991</v>
          </cell>
          <cell r="R75">
            <v>59.262</v>
          </cell>
          <cell r="S75">
            <v>215.07399999999998</v>
          </cell>
          <cell r="T75">
            <v>59.248999999999995</v>
          </cell>
          <cell r="U75">
            <v>61.83400000000001</v>
          </cell>
          <cell r="V75">
            <v>85.518000000000001</v>
          </cell>
          <cell r="W75">
            <v>98.913999999999987</v>
          </cell>
          <cell r="X75">
            <v>307.60300000000007</v>
          </cell>
          <cell r="Y75">
            <v>104.47499999999998</v>
          </cell>
          <cell r="Z75">
            <v>106.995</v>
          </cell>
          <cell r="AA75">
            <v>103.62400000000002</v>
          </cell>
          <cell r="AB75">
            <v>103.64800000000002</v>
          </cell>
          <cell r="AC75">
            <v>418.74200000000008</v>
          </cell>
          <cell r="AD75">
            <v>101.90699999999998</v>
          </cell>
          <cell r="AE75">
            <v>107.91200000000001</v>
          </cell>
          <cell r="AF75">
            <v>108.07400000000001</v>
          </cell>
          <cell r="AG75">
            <v>116.56700000000001</v>
          </cell>
          <cell r="AH75">
            <v>434.46</v>
          </cell>
          <cell r="AI75">
            <v>110.09299999999999</v>
          </cell>
          <cell r="AJ75">
            <v>116.56200000000003</v>
          </cell>
          <cell r="AK75">
            <v>112.81799999999996</v>
          </cell>
          <cell r="AL75">
            <v>113.99399999999994</v>
          </cell>
          <cell r="AM75">
            <v>453.46699999999987</v>
          </cell>
          <cell r="AN75">
            <v>98.699999999999974</v>
          </cell>
          <cell r="AO75">
            <v>105.68899999999998</v>
          </cell>
          <cell r="AP75">
            <v>100.63300000000001</v>
          </cell>
          <cell r="AQ75">
            <v>100.37099999999998</v>
          </cell>
          <cell r="AR75">
            <v>405.39299999999997</v>
          </cell>
          <cell r="AS75">
            <v>96.615000000000038</v>
          </cell>
          <cell r="AT75">
            <v>105.96300000000002</v>
          </cell>
          <cell r="AU75">
            <v>101.84800000000001</v>
          </cell>
          <cell r="AV75">
            <v>104.35299999999998</v>
          </cell>
          <cell r="AW75">
            <v>408.77900000000011</v>
          </cell>
          <cell r="AX75">
            <v>107.66199999999998</v>
          </cell>
          <cell r="AY75">
            <v>118.251</v>
          </cell>
          <cell r="AZ75">
            <v>128.8669999999999</v>
          </cell>
          <cell r="BA75">
            <v>126.91400000000004</v>
          </cell>
          <cell r="BB75">
            <v>481.69399999999996</v>
          </cell>
          <cell r="BC75">
            <v>133.14899999999997</v>
          </cell>
          <cell r="BD75">
            <v>146.02700000000002</v>
          </cell>
          <cell r="BE75">
            <v>143.32400000000004</v>
          </cell>
          <cell r="BF75">
            <v>146.95699999999999</v>
          </cell>
          <cell r="BG75">
            <v>569.45699999999999</v>
          </cell>
          <cell r="BH75">
            <v>150.69099999999997</v>
          </cell>
          <cell r="BI75">
            <v>158.61780893530022</v>
          </cell>
          <cell r="BJ75">
            <v>159.84095656236559</v>
          </cell>
          <cell r="BK75">
            <v>162.08487301724054</v>
          </cell>
          <cell r="BL75">
            <v>631.22663851490643</v>
          </cell>
          <cell r="BM75">
            <v>684.02545943090399</v>
          </cell>
          <cell r="BN75">
            <v>741.42874661289022</v>
          </cell>
          <cell r="BO75">
            <v>805.05596177833309</v>
          </cell>
          <cell r="BP75">
            <v>0.10818168112015636</v>
          </cell>
          <cell r="BR75" t="str">
            <v>Adj. EBITDA (ex. non recurring comp)</v>
          </cell>
          <cell r="BS75">
            <v>112.95099999999996</v>
          </cell>
          <cell r="BT75">
            <v>158.96200000000002</v>
          </cell>
          <cell r="BU75">
            <v>194.84500000000003</v>
          </cell>
          <cell r="BV75">
            <v>215.07399999999998</v>
          </cell>
          <cell r="BW75">
            <v>307.60300000000007</v>
          </cell>
          <cell r="BX75">
            <v>418.74200000000008</v>
          </cell>
          <cell r="BY75">
            <v>434.46</v>
          </cell>
          <cell r="BZ75">
            <v>405.39299999999997</v>
          </cell>
          <cell r="CA75">
            <v>408.77900000000011</v>
          </cell>
          <cell r="CB75">
            <v>481.69399999999996</v>
          </cell>
          <cell r="CC75">
            <v>569.45699999999999</v>
          </cell>
          <cell r="CD75">
            <v>631.22663851490643</v>
          </cell>
          <cell r="CE75">
            <v>684.02545943090399</v>
          </cell>
          <cell r="CF75">
            <v>741.42874661289022</v>
          </cell>
          <cell r="CG75">
            <v>805.05596177833309</v>
          </cell>
        </row>
        <row r="76">
          <cell r="A76" t="str">
            <v>Adj. EBITDA Margin</v>
          </cell>
          <cell r="C76">
            <v>0.19011840266712421</v>
          </cell>
          <cell r="D76">
            <v>0.36353951425499992</v>
          </cell>
          <cell r="E76">
            <v>0.41809369580447697</v>
          </cell>
          <cell r="F76">
            <v>0.37685911303407238</v>
          </cell>
          <cell r="G76">
            <v>0.43720713798738198</v>
          </cell>
          <cell r="H76">
            <v>0.47916543705365044</v>
          </cell>
          <cell r="I76">
            <v>0.42975943939484057</v>
          </cell>
          <cell r="J76">
            <v>0.45323055521147959</v>
          </cell>
          <cell r="K76">
            <v>0.43837515596839038</v>
          </cell>
          <cell r="L76">
            <v>0.46429768385583209</v>
          </cell>
          <cell r="M76">
            <v>0.45235346689506217</v>
          </cell>
          <cell r="N76">
            <v>0.4521174769874769</v>
          </cell>
          <cell r="O76">
            <v>0.45758391162724826</v>
          </cell>
          <cell r="P76">
            <v>0.48815542857142857</v>
          </cell>
          <cell r="Q76">
            <v>0.49560017636036297</v>
          </cell>
          <cell r="R76">
            <v>0.4988803771361226</v>
          </cell>
          <cell r="S76">
            <v>0.48555135140016437</v>
          </cell>
          <cell r="T76">
            <v>0.48692472057856673</v>
          </cell>
          <cell r="U76">
            <v>0.49400015978269562</v>
          </cell>
          <cell r="V76">
            <v>0.42182575111106724</v>
          </cell>
          <cell r="W76">
            <v>0.46369270291302184</v>
          </cell>
          <cell r="X76">
            <v>0.464025548309627</v>
          </cell>
          <cell r="Y76">
            <v>0.4678725290866913</v>
          </cell>
          <cell r="Z76">
            <v>0.47241956349924719</v>
          </cell>
          <cell r="AA76">
            <v>0.46049789802067326</v>
          </cell>
          <cell r="AB76">
            <v>0.45834770534284991</v>
          </cell>
          <cell r="AC76">
            <v>0.46478293251167396</v>
          </cell>
          <cell r="AD76">
            <v>0.44490770654698492</v>
          </cell>
          <cell r="AE76">
            <v>0.45233793724980614</v>
          </cell>
          <cell r="AF76">
            <v>0.45902210292043971</v>
          </cell>
          <cell r="AG76">
            <v>0.47177837137769146</v>
          </cell>
          <cell r="AH76">
            <v>0.45725844900914703</v>
          </cell>
          <cell r="AI76">
            <v>0.43703480225001884</v>
          </cell>
          <cell r="AJ76">
            <v>0.45196938324453861</v>
          </cell>
          <cell r="AK76">
            <v>0.43687606006861879</v>
          </cell>
          <cell r="AL76">
            <v>0.42595152864861618</v>
          </cell>
          <cell r="AM76">
            <v>0.4378501970227881</v>
          </cell>
          <cell r="AN76">
            <v>0.44962758809192988</v>
          </cell>
          <cell r="AO76">
            <v>0.46279721504575905</v>
          </cell>
          <cell r="AP76">
            <v>0.44001993869725103</v>
          </cell>
          <cell r="AQ76">
            <v>0.4238640202702702</v>
          </cell>
          <cell r="AR76">
            <v>0.44383535547950154</v>
          </cell>
          <cell r="AS76">
            <v>0.4030663329161453</v>
          </cell>
          <cell r="AT76">
            <v>0.41669321064118453</v>
          </cell>
          <cell r="AU76">
            <v>0.40487046673318572</v>
          </cell>
          <cell r="AV76">
            <v>0.4154957336762849</v>
          </cell>
          <cell r="AW76">
            <v>0.41013037960078469</v>
          </cell>
          <cell r="AX76">
            <v>0.40970393485044521</v>
          </cell>
          <cell r="AY76">
            <v>0.43706017149615611</v>
          </cell>
          <cell r="AZ76">
            <v>0.47945694758107998</v>
          </cell>
          <cell r="BA76">
            <v>0.46506872657048742</v>
          </cell>
          <cell r="BB76">
            <v>0.44808327364396605</v>
          </cell>
          <cell r="BC76">
            <v>0.47753095098053272</v>
          </cell>
          <cell r="BD76">
            <v>0.50250863742102447</v>
          </cell>
          <cell r="BE76">
            <v>0.49690569386998024</v>
          </cell>
          <cell r="BF76">
            <v>0.5018817534800486</v>
          </cell>
          <cell r="BG76">
            <v>0.49490156407655861</v>
          </cell>
          <cell r="BH76">
            <v>0.50029049789679514</v>
          </cell>
          <cell r="BI76">
            <v>0.50750863742102437</v>
          </cell>
          <cell r="BJ76">
            <v>0.51190569386998019</v>
          </cell>
          <cell r="BK76">
            <v>0.51238175348004866</v>
          </cell>
          <cell r="BL76">
            <v>0.50810141015879651</v>
          </cell>
          <cell r="BM76">
            <v>0.51452164566696201</v>
          </cell>
          <cell r="BN76">
            <v>0.52102164566696196</v>
          </cell>
          <cell r="BO76">
            <v>0.52752164566696191</v>
          </cell>
          <cell r="BP76">
            <v>326.20081590403305</v>
          </cell>
          <cell r="BR76" t="str">
            <v>Adj. EBITDA Margin</v>
          </cell>
          <cell r="BS76">
            <v>0.36353951425499992</v>
          </cell>
          <cell r="BT76">
            <v>0.42975943939484057</v>
          </cell>
          <cell r="BU76">
            <v>0.4521174769874769</v>
          </cell>
          <cell r="BV76">
            <v>0.48555135140016437</v>
          </cell>
          <cell r="BW76">
            <v>0.464025548309627</v>
          </cell>
          <cell r="BX76">
            <v>0.46478293251167396</v>
          </cell>
          <cell r="BY76">
            <v>0.45725844900914703</v>
          </cell>
          <cell r="BZ76">
            <v>0.44383535547950154</v>
          </cell>
          <cell r="CA76">
            <v>0.41013037960078469</v>
          </cell>
          <cell r="CB76">
            <v>0.44808327364396605</v>
          </cell>
          <cell r="CC76">
            <v>0.49490156407655861</v>
          </cell>
          <cell r="CD76">
            <v>0.50810141015879651</v>
          </cell>
          <cell r="CE76">
            <v>0.51452164566696201</v>
          </cell>
          <cell r="CF76">
            <v>0.52102164566696196</v>
          </cell>
          <cell r="CG76">
            <v>0.52752164566696191</v>
          </cell>
        </row>
        <row r="77">
          <cell r="A77" t="str">
            <v>Year-over-Year Growth</v>
          </cell>
          <cell r="I77">
            <v>0.4073536312206183</v>
          </cell>
          <cell r="N77">
            <v>0.22573319409670245</v>
          </cell>
          <cell r="O77">
            <v>1.8878634347341938E-2</v>
          </cell>
          <cell r="P77">
            <v>0.12570103310141278</v>
          </cell>
          <cell r="Q77">
            <v>5.2616176987006602E-2</v>
          </cell>
          <cell r="R77">
            <v>0.21963366947931684</v>
          </cell>
          <cell r="S77">
            <v>0.10382098591187838</v>
          </cell>
          <cell r="T77">
            <v>0.22251109047766415</v>
          </cell>
          <cell r="U77">
            <v>0.15811357506742585</v>
          </cell>
          <cell r="V77">
            <v>0.58498748957464586</v>
          </cell>
          <cell r="W77">
            <v>0.6690965542843641</v>
          </cell>
          <cell r="X77">
            <v>0.43021936635762614</v>
          </cell>
          <cell r="Y77">
            <v>0.76332089993080032</v>
          </cell>
          <cell r="Z77">
            <v>0.73035870233205014</v>
          </cell>
          <cell r="AA77">
            <v>0.21172150892209851</v>
          </cell>
          <cell r="AB77">
            <v>4.7859756960592303E-2</v>
          </cell>
          <cell r="AC77">
            <v>0.36130661924623619</v>
          </cell>
          <cell r="AD77">
            <v>-2.4580043072505386E-2</v>
          </cell>
          <cell r="AE77">
            <v>8.5704939483153275E-3</v>
          </cell>
          <cell r="AF77">
            <v>4.2943719601636676E-2</v>
          </cell>
          <cell r="AG77">
            <v>0.12464302253782011</v>
          </cell>
          <cell r="AH77">
            <v>3.7536239498306534E-2</v>
          </cell>
          <cell r="AI77">
            <v>8.0328142325846175E-2</v>
          </cell>
          <cell r="AJ77">
            <v>8.0157906442286597E-2</v>
          </cell>
          <cell r="AK77">
            <v>4.3895849140403342E-2</v>
          </cell>
          <cell r="AL77">
            <v>-2.2073142484580255E-2</v>
          </cell>
          <cell r="AM77">
            <v>4.3748561432582767E-2</v>
          </cell>
          <cell r="AS77">
            <v>-2.1124620060789634E-2</v>
          </cell>
          <cell r="AT77">
            <v>2.5925119927339146E-3</v>
          </cell>
          <cell r="AU77">
            <v>1.2073574274840349E-2</v>
          </cell>
          <cell r="AV77">
            <v>3.9672813860577305E-2</v>
          </cell>
          <cell r="AW77">
            <v>8.3523889164345277E-3</v>
          </cell>
          <cell r="AX77">
            <v>0.11434042332971006</v>
          </cell>
          <cell r="AY77">
            <v>0.11596500665326559</v>
          </cell>
          <cell r="AZ77">
            <v>0.26528748723587992</v>
          </cell>
          <cell r="BA77">
            <v>0.21619886347302009</v>
          </cell>
          <cell r="BB77">
            <v>0.17837266591483369</v>
          </cell>
          <cell r="BC77">
            <v>0.23673162304248474</v>
          </cell>
          <cell r="BD77">
            <v>0.23489019120345711</v>
          </cell>
          <cell r="BE77">
            <v>0.11218543149138371</v>
          </cell>
          <cell r="BF77">
            <v>0.15792583954488815</v>
          </cell>
          <cell r="BG77">
            <v>0.1821965812320685</v>
          </cell>
          <cell r="BH77">
            <v>0.13174714042163305</v>
          </cell>
          <cell r="BI77">
            <v>8.6222472113377746E-2</v>
          </cell>
          <cell r="BJ77">
            <v>0.11524208480342124</v>
          </cell>
          <cell r="BK77">
            <v>0.10294081273597411</v>
          </cell>
          <cell r="BL77">
            <v>0.10847111988246061</v>
          </cell>
          <cell r="BM77">
            <v>8.3644792051580596E-2</v>
          </cell>
          <cell r="BN77">
            <v>8.3919810864561573E-2</v>
          </cell>
          <cell r="BO77">
            <v>8.581703293285381E-2</v>
          </cell>
          <cell r="BR77" t="str">
            <v>Year-over-Year Growth</v>
          </cell>
          <cell r="BS77">
            <v>0</v>
          </cell>
          <cell r="BT77">
            <v>0.4073536312206183</v>
          </cell>
          <cell r="BU77">
            <v>0.22573319409670245</v>
          </cell>
          <cell r="BV77">
            <v>0.10382098591187838</v>
          </cell>
          <cell r="BW77">
            <v>0.43021936635762614</v>
          </cell>
          <cell r="BX77">
            <v>0.36130661924623619</v>
          </cell>
          <cell r="BY77">
            <v>3.7536239498306534E-2</v>
          </cell>
          <cell r="BZ77">
            <v>0</v>
          </cell>
          <cell r="CA77">
            <v>8.3523889164345277E-3</v>
          </cell>
          <cell r="CB77">
            <v>0.17837266591483369</v>
          </cell>
          <cell r="CC77">
            <v>0.1821965812320685</v>
          </cell>
          <cell r="CD77">
            <v>0.10847111988246061</v>
          </cell>
          <cell r="CE77">
            <v>8.3644792051580596E-2</v>
          </cell>
          <cell r="CF77">
            <v>8.3919810864561573E-2</v>
          </cell>
          <cell r="CG77">
            <v>8.581703293285381E-2</v>
          </cell>
        </row>
        <row r="80">
          <cell r="A80" t="str">
            <v>Depreciation</v>
          </cell>
          <cell r="C80">
            <v>1.0150000000000001</v>
          </cell>
          <cell r="D80">
            <v>3.4990000000000001</v>
          </cell>
          <cell r="E80">
            <v>0.56399999999999995</v>
          </cell>
          <cell r="F80">
            <v>0.52500000000000002</v>
          </cell>
          <cell r="G80">
            <v>0.44100000000000006</v>
          </cell>
          <cell r="H80">
            <v>-0.1</v>
          </cell>
          <cell r="I80">
            <v>1.43</v>
          </cell>
          <cell r="J80">
            <v>0.48399999999999999</v>
          </cell>
          <cell r="K80">
            <v>0.52200000000000002</v>
          </cell>
          <cell r="L80">
            <v>1.268</v>
          </cell>
          <cell r="M80">
            <v>2.6959999999999997</v>
          </cell>
          <cell r="N80">
            <v>4.97</v>
          </cell>
          <cell r="O80">
            <v>3.0510000000000002</v>
          </cell>
          <cell r="P80">
            <v>2.9719999999999995</v>
          </cell>
          <cell r="Q80">
            <v>2.8689999999999998</v>
          </cell>
          <cell r="R80">
            <v>3.0650000000000013</v>
          </cell>
          <cell r="S80">
            <v>11.957000000000001</v>
          </cell>
          <cell r="T80">
            <v>3.3929999999999998</v>
          </cell>
          <cell r="U80">
            <v>3.556</v>
          </cell>
          <cell r="V80">
            <v>4.9339999999999993</v>
          </cell>
          <cell r="W80">
            <v>5.5300000000000011</v>
          </cell>
          <cell r="X80">
            <v>17.413</v>
          </cell>
          <cell r="Y80">
            <v>5.1100000000000003</v>
          </cell>
          <cell r="Z80">
            <v>5.1680000000000001</v>
          </cell>
          <cell r="AA80">
            <v>4.6689999999999996</v>
          </cell>
          <cell r="AB80">
            <v>4.4779999999999998</v>
          </cell>
          <cell r="AC80">
            <v>19.424999999999997</v>
          </cell>
          <cell r="AD80">
            <v>4.4160000000000004</v>
          </cell>
          <cell r="AE80">
            <v>4.6619999999999999</v>
          </cell>
          <cell r="AF80">
            <v>4.633</v>
          </cell>
          <cell r="AG80">
            <v>4.9889999999999999</v>
          </cell>
          <cell r="AH80">
            <v>18.7</v>
          </cell>
          <cell r="AI80">
            <v>5.08</v>
          </cell>
          <cell r="AJ80">
            <v>5.2460000000000004</v>
          </cell>
          <cell r="AK80">
            <v>5.9340000000000002</v>
          </cell>
          <cell r="AL80">
            <v>6.0419999999999998</v>
          </cell>
          <cell r="AM80">
            <v>22.302</v>
          </cell>
          <cell r="AN80">
            <v>4.5970000000000004</v>
          </cell>
          <cell r="AO80">
            <v>4.774</v>
          </cell>
          <cell r="AP80">
            <v>5.4429999999999996</v>
          </cell>
          <cell r="AQ80">
            <v>5.569</v>
          </cell>
          <cell r="AR80">
            <v>20.382999999999999</v>
          </cell>
          <cell r="AS80">
            <v>5.8280000000000003</v>
          </cell>
          <cell r="AT80">
            <v>5.9210000000000003</v>
          </cell>
          <cell r="AU80">
            <v>6.3419999999999996</v>
          </cell>
          <cell r="AV80">
            <v>7.62</v>
          </cell>
          <cell r="AW80">
            <v>25.711000000000002</v>
          </cell>
          <cell r="AX80">
            <v>7.2069999999999999</v>
          </cell>
          <cell r="AY80">
            <v>8.0649999999999995</v>
          </cell>
          <cell r="AZ80">
            <v>8.0489999999999995</v>
          </cell>
          <cell r="BA80">
            <v>7.5679999999999996</v>
          </cell>
          <cell r="BB80">
            <v>30.888999999999996</v>
          </cell>
          <cell r="BC80">
            <v>8.1679999999999993</v>
          </cell>
          <cell r="BD80">
            <v>8.4</v>
          </cell>
          <cell r="BE80">
            <v>8.3119999999999994</v>
          </cell>
          <cell r="BF80">
            <v>9.4469999999999992</v>
          </cell>
          <cell r="BG80">
            <v>34.326999999999998</v>
          </cell>
          <cell r="BH80">
            <v>8.8379999999999992</v>
          </cell>
          <cell r="BI80">
            <v>10.313888885643751</v>
          </cell>
          <cell r="BJ80">
            <v>10.304147091393377</v>
          </cell>
          <cell r="BK80">
            <v>10.439093065356809</v>
          </cell>
          <cell r="BL80">
            <v>39.895129042393933</v>
          </cell>
          <cell r="BM80">
            <v>42.265768218835262</v>
          </cell>
          <cell r="BN80">
            <v>44.788755922552959</v>
          </cell>
          <cell r="BO80">
            <v>47.552825356869199</v>
          </cell>
          <cell r="BR80" t="str">
            <v>Depreciation</v>
          </cell>
          <cell r="BS80">
            <v>3.4990000000000001</v>
          </cell>
          <cell r="BT80">
            <v>1.43</v>
          </cell>
          <cell r="BU80">
            <v>4.97</v>
          </cell>
          <cell r="BV80">
            <v>11.957000000000001</v>
          </cell>
          <cell r="BW80">
            <v>17.413</v>
          </cell>
          <cell r="BX80">
            <v>19.424999999999997</v>
          </cell>
          <cell r="BY80">
            <v>18.7</v>
          </cell>
          <cell r="BZ80">
            <v>20.382999999999999</v>
          </cell>
          <cell r="CA80">
            <v>25.711000000000002</v>
          </cell>
          <cell r="CB80">
            <v>30.888999999999996</v>
          </cell>
          <cell r="CC80">
            <v>34.326999999999998</v>
          </cell>
          <cell r="CD80">
            <v>39.895129042393933</v>
          </cell>
          <cell r="CE80">
            <v>42.265768218835262</v>
          </cell>
          <cell r="CF80">
            <v>44.788755922552959</v>
          </cell>
          <cell r="CG80">
            <v>47.552825356869199</v>
          </cell>
          <cell r="CI80" t="str">
            <v>mstag:depreciationInIncomeStatement</v>
          </cell>
          <cell r="CJ80">
            <v>6</v>
          </cell>
          <cell r="CK80" t="str">
            <v>ISO4217:USD</v>
          </cell>
          <cell r="CL80" t="b">
            <v>0</v>
          </cell>
        </row>
        <row r="81">
          <cell r="A81" t="str">
            <v>% of Total Revenue</v>
          </cell>
          <cell r="D81">
            <v>1.9035132576787912E-2</v>
          </cell>
          <cell r="E81">
            <v>1.0557448242297178E-2</v>
          </cell>
          <cell r="F81">
            <v>9.6994106453341233E-3</v>
          </cell>
          <cell r="G81">
            <v>7.8349856092101069E-3</v>
          </cell>
          <cell r="H81">
            <v>-1.6042866539393258E-3</v>
          </cell>
          <cell r="I81">
            <v>6.3227335432068195E-3</v>
          </cell>
          <cell r="J81">
            <v>7.4787150207827925E-3</v>
          </cell>
          <cell r="K81">
            <v>7.9458101834233956E-3</v>
          </cell>
          <cell r="L81">
            <v>1.8697376763938248E-2</v>
          </cell>
          <cell r="M81">
            <v>4.113706761066268E-2</v>
          </cell>
          <cell r="N81">
            <v>1.8842458846098437E-2</v>
          </cell>
          <cell r="O81">
            <v>4.7558922558922558E-2</v>
          </cell>
          <cell r="P81">
            <v>4.3564298383195789E-2</v>
          </cell>
          <cell r="Q81">
            <v>4.0623584050747612E-2</v>
          </cell>
          <cell r="R81">
            <v>3.9390823801567935E-2</v>
          </cell>
          <cell r="S81">
            <v>4.2580847343549132E-2</v>
          </cell>
          <cell r="T81">
            <v>4.1965566714490671E-2</v>
          </cell>
          <cell r="U81">
            <v>4.1824468960974803E-2</v>
          </cell>
          <cell r="V81">
            <v>2.4337429032273972E-2</v>
          </cell>
          <cell r="W81">
            <v>2.4E-2</v>
          </cell>
          <cell r="X81">
            <v>2.6267874086779171E-2</v>
          </cell>
          <cell r="Y81">
            <v>3.7810400449877178E-2</v>
          </cell>
          <cell r="Z81">
            <v>3.7865244277717536E-2</v>
          </cell>
          <cell r="AA81">
            <v>2.0748713481997635E-2</v>
          </cell>
          <cell r="AB81">
            <v>1.9802418035324187E-2</v>
          </cell>
          <cell r="AC81">
            <v>2.1560790329222441E-2</v>
          </cell>
          <cell r="AD81">
            <v>1.9279464924995198E-2</v>
          </cell>
          <cell r="AE81">
            <v>1.9541843941902625E-2</v>
          </cell>
          <cell r="AF81">
            <v>1.9677715295356855E-2</v>
          </cell>
          <cell r="AG81">
            <v>2.0191840699368625E-2</v>
          </cell>
          <cell r="AH81">
            <v>1.9681289408624611E-2</v>
          </cell>
          <cell r="AI81">
            <v>2.0166012329849273E-2</v>
          </cell>
          <cell r="AJ81">
            <v>2.0341375272394512E-2</v>
          </cell>
          <cell r="AK81">
            <v>2.2978802500019369E-2</v>
          </cell>
          <cell r="AL81">
            <v>2.2576619261495696E-2</v>
          </cell>
          <cell r="AM81">
            <v>2.1533948653379899E-2</v>
          </cell>
          <cell r="AN81">
            <v>2.0941621301505595E-2</v>
          </cell>
          <cell r="AO81">
            <v>2.090467224241363E-2</v>
          </cell>
          <cell r="AP81">
            <v>2.3799633582712799E-2</v>
          </cell>
          <cell r="AQ81">
            <v>2.3517736486486487E-2</v>
          </cell>
          <cell r="AR81">
            <v>2.2315866457335673E-2</v>
          </cell>
          <cell r="AS81">
            <v>2.4313725490196079E-2</v>
          </cell>
          <cell r="AT81">
            <v>2.3283981202933599E-2</v>
          </cell>
          <cell r="AU81">
            <v>2.5210985979320786E-2</v>
          </cell>
          <cell r="AV81">
            <v>3.0340071589827718E-2</v>
          </cell>
          <cell r="AW81">
            <v>2.5795997812793153E-2</v>
          </cell>
          <cell r="AX81">
            <v>2.7425983712611311E-2</v>
          </cell>
          <cell r="AY81">
            <v>2.9808545239503249E-2</v>
          </cell>
          <cell r="AZ81">
            <v>2.9946758837251706E-2</v>
          </cell>
          <cell r="BA81">
            <v>2.7732481228906564E-2</v>
          </cell>
          <cell r="BB81">
            <v>2.8733686198267921E-2</v>
          </cell>
          <cell r="BC81">
            <v>2.9294045074382772E-2</v>
          </cell>
          <cell r="BD81">
            <v>2.8906110201103938E-2</v>
          </cell>
          <cell r="BE81">
            <v>2.8817784372800609E-2</v>
          </cell>
          <cell r="BF81">
            <v>3.2263022007294778E-2</v>
          </cell>
          <cell r="BG81">
            <v>2.9832781035365314E-2</v>
          </cell>
          <cell r="BH81">
            <v>2.9341947564299631E-2</v>
          </cell>
          <cell r="BI81">
            <v>3.3000000000000002E-2</v>
          </cell>
          <cell r="BJ81">
            <v>3.3000000000000002E-2</v>
          </cell>
          <cell r="BK81">
            <v>3.3000000000000002E-2</v>
          </cell>
          <cell r="BL81">
            <v>3.2113301448428687E-2</v>
          </cell>
          <cell r="BM81">
            <v>3.1792168433944397E-2</v>
          </cell>
          <cell r="BN81">
            <v>3.1474246749604952E-2</v>
          </cell>
          <cell r="BO81">
            <v>3.1159504282108903E-2</v>
          </cell>
          <cell r="BR81" t="str">
            <v>% of Total Revenue</v>
          </cell>
          <cell r="BS81">
            <v>1.9035132576787912E-2</v>
          </cell>
          <cell r="BT81">
            <v>6.3227335432068195E-3</v>
          </cell>
          <cell r="BU81">
            <v>1.8842458846098437E-2</v>
          </cell>
          <cell r="BV81">
            <v>4.2580847343549132E-2</v>
          </cell>
          <cell r="BW81">
            <v>2.6267874086779171E-2</v>
          </cell>
          <cell r="BX81">
            <v>2.1560790329222441E-2</v>
          </cell>
          <cell r="BY81">
            <v>1.9681289408624611E-2</v>
          </cell>
          <cell r="BZ81">
            <v>2.2315866457335673E-2</v>
          </cell>
          <cell r="CA81">
            <v>2.5795997812793153E-2</v>
          </cell>
          <cell r="CB81">
            <v>2.8733686198267921E-2</v>
          </cell>
          <cell r="CC81">
            <v>2.9832781035365314E-2</v>
          </cell>
          <cell r="CD81">
            <v>3.2113301448428687E-2</v>
          </cell>
          <cell r="CE81">
            <v>3.1792168433944397E-2</v>
          </cell>
          <cell r="CF81">
            <v>3.1474246749604952E-2</v>
          </cell>
          <cell r="CG81">
            <v>3.1159504282108903E-2</v>
          </cell>
        </row>
        <row r="82">
          <cell r="A82" t="str">
            <v>Amort. of Intangible Assets</v>
          </cell>
          <cell r="C82">
            <v>6.5389999999999979</v>
          </cell>
          <cell r="D82">
            <v>26.155999999999999</v>
          </cell>
          <cell r="E82">
            <v>6.266</v>
          </cell>
          <cell r="F82">
            <v>6.2649999999999997</v>
          </cell>
          <cell r="G82">
            <v>6.6970000000000001</v>
          </cell>
          <cell r="H82">
            <v>7.125</v>
          </cell>
          <cell r="I82">
            <v>26.352999999999998</v>
          </cell>
          <cell r="J82">
            <v>7.125</v>
          </cell>
          <cell r="K82">
            <v>7.125</v>
          </cell>
          <cell r="L82">
            <v>7.125</v>
          </cell>
          <cell r="M82">
            <v>7.125</v>
          </cell>
          <cell r="N82">
            <v>28.5</v>
          </cell>
          <cell r="O82">
            <v>6.4290000000000003</v>
          </cell>
          <cell r="P82">
            <v>6.4279999999999999</v>
          </cell>
          <cell r="Q82">
            <v>6.4290000000000003</v>
          </cell>
          <cell r="R82">
            <v>6.2679999999999998</v>
          </cell>
          <cell r="S82">
            <v>25.554000000000002</v>
          </cell>
          <cell r="T82">
            <v>4.2779999999999996</v>
          </cell>
          <cell r="U82">
            <v>4.2770000000000001</v>
          </cell>
          <cell r="V82">
            <v>16.350000000000001</v>
          </cell>
          <cell r="W82">
            <v>16.693999999999999</v>
          </cell>
          <cell r="X82">
            <v>41.599000000000004</v>
          </cell>
          <cell r="Y82">
            <v>16.692</v>
          </cell>
          <cell r="Z82">
            <v>16.422999999999998</v>
          </cell>
          <cell r="AA82">
            <v>16.422000000000001</v>
          </cell>
          <cell r="AB82">
            <v>16.268000000000001</v>
          </cell>
          <cell r="AC82">
            <v>65.804999999999993</v>
          </cell>
          <cell r="AD82">
            <v>15.959</v>
          </cell>
          <cell r="AE82">
            <v>15.959</v>
          </cell>
          <cell r="AF82">
            <v>15.959</v>
          </cell>
          <cell r="AG82">
            <v>15.420999999999999</v>
          </cell>
          <cell r="AH82">
            <v>63.297999999999995</v>
          </cell>
          <cell r="AI82">
            <v>14.486000000000001</v>
          </cell>
          <cell r="AJ82">
            <v>14.509</v>
          </cell>
          <cell r="AK82">
            <v>14.448</v>
          </cell>
          <cell r="AL82">
            <v>14.76</v>
          </cell>
          <cell r="AM82">
            <v>58.202999999999996</v>
          </cell>
          <cell r="AN82">
            <v>11.166</v>
          </cell>
          <cell r="AO82">
            <v>11.222</v>
          </cell>
          <cell r="AP82">
            <v>11.193</v>
          </cell>
          <cell r="AQ82">
            <v>11.218</v>
          </cell>
          <cell r="AR82">
            <v>44.798999999999992</v>
          </cell>
          <cell r="AS82">
            <v>11.27</v>
          </cell>
          <cell r="AT82">
            <v>11.442</v>
          </cell>
          <cell r="AU82">
            <v>11.574</v>
          </cell>
          <cell r="AV82">
            <v>11.590999999999999</v>
          </cell>
          <cell r="AW82">
            <v>45.877000000000002</v>
          </cell>
          <cell r="AX82">
            <v>11.702</v>
          </cell>
          <cell r="AY82">
            <v>11.695</v>
          </cell>
          <cell r="AZ82">
            <v>11.71</v>
          </cell>
          <cell r="BA82">
            <v>11.803000000000001</v>
          </cell>
          <cell r="BB82">
            <v>46.91</v>
          </cell>
          <cell r="BC82">
            <v>11.84</v>
          </cell>
          <cell r="BD82">
            <v>11.943</v>
          </cell>
          <cell r="BE82">
            <v>11.752000000000001</v>
          </cell>
          <cell r="BF82">
            <v>11.497999999999999</v>
          </cell>
          <cell r="BG82">
            <v>47.033000000000001</v>
          </cell>
          <cell r="BH82">
            <v>11.250999999999999</v>
          </cell>
          <cell r="BI82">
            <v>10.939333333333332</v>
          </cell>
          <cell r="BJ82">
            <v>10.939333333333332</v>
          </cell>
          <cell r="BK82">
            <v>10.939333333333332</v>
          </cell>
          <cell r="BL82">
            <v>44.068999999999996</v>
          </cell>
          <cell r="BM82">
            <v>42.073999999999998</v>
          </cell>
          <cell r="BN82">
            <v>40.073999999999998</v>
          </cell>
          <cell r="BO82">
            <v>37.889000000000003</v>
          </cell>
          <cell r="BR82" t="str">
            <v>Amort. of Intangible Assets</v>
          </cell>
          <cell r="BS82">
            <v>26.155999999999999</v>
          </cell>
          <cell r="BT82">
            <v>26.352999999999998</v>
          </cell>
          <cell r="BU82">
            <v>28.5</v>
          </cell>
          <cell r="BV82">
            <v>25.554000000000002</v>
          </cell>
          <cell r="BW82">
            <v>41.599000000000004</v>
          </cell>
          <cell r="BX82">
            <v>65.804999999999993</v>
          </cell>
          <cell r="BY82">
            <v>63.297999999999995</v>
          </cell>
          <cell r="BZ82">
            <v>44.798999999999992</v>
          </cell>
          <cell r="CA82">
            <v>45.877000000000002</v>
          </cell>
          <cell r="CB82">
            <v>46.91</v>
          </cell>
          <cell r="CC82">
            <v>47.033000000000001</v>
          </cell>
          <cell r="CD82">
            <v>44.068999999999996</v>
          </cell>
          <cell r="CE82">
            <v>42.073999999999998</v>
          </cell>
          <cell r="CF82">
            <v>40.073999999999998</v>
          </cell>
          <cell r="CG82">
            <v>37.889000000000003</v>
          </cell>
          <cell r="CI82" t="str">
            <v>mstag:amortizationOfOtherIntangiblesInIncomeStatement</v>
          </cell>
          <cell r="CJ82">
            <v>6</v>
          </cell>
          <cell r="CK82" t="str">
            <v>ISO4217:USD</v>
          </cell>
          <cell r="CL82" t="b">
            <v>0</v>
          </cell>
        </row>
        <row r="83">
          <cell r="A83" t="str">
            <v>Internally Developed Software Amortization (Added Back)</v>
          </cell>
          <cell r="BH83">
            <v>10.53</v>
          </cell>
          <cell r="BI83">
            <v>1.5</v>
          </cell>
          <cell r="BJ83">
            <v>1.5</v>
          </cell>
          <cell r="BK83">
            <v>1.5</v>
          </cell>
          <cell r="BL83">
            <v>15.03</v>
          </cell>
          <cell r="BM83">
            <v>7</v>
          </cell>
          <cell r="BN83">
            <v>8</v>
          </cell>
          <cell r="BO83">
            <v>10</v>
          </cell>
          <cell r="CD83">
            <v>15.03</v>
          </cell>
          <cell r="CE83">
            <v>7</v>
          </cell>
          <cell r="CF83">
            <v>8</v>
          </cell>
          <cell r="CG83">
            <v>10</v>
          </cell>
        </row>
        <row r="84">
          <cell r="A84" t="str">
            <v>Amoritzation Added Back to EBITDA</v>
          </cell>
          <cell r="BH84">
            <v>9.44</v>
          </cell>
          <cell r="BI84">
            <v>9.439333333333332</v>
          </cell>
          <cell r="BJ84">
            <v>9.439333333333332</v>
          </cell>
          <cell r="BK84">
            <v>9.439333333333332</v>
          </cell>
          <cell r="BL84">
            <v>29.038999999999994</v>
          </cell>
          <cell r="BM84">
            <v>35.073999999999998</v>
          </cell>
          <cell r="BN84">
            <v>32.073999999999998</v>
          </cell>
          <cell r="BO84">
            <v>27.889000000000003</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I84" t="str">
            <v>mstag:depreciationInIncomeStatement</v>
          </cell>
          <cell r="CJ84">
            <v>6</v>
          </cell>
          <cell r="CK84" t="str">
            <v>ISO4217:USD</v>
          </cell>
          <cell r="CL84" t="b">
            <v>0</v>
          </cell>
        </row>
        <row r="85">
          <cell r="BS85">
            <v>0</v>
          </cell>
          <cell r="BT85">
            <v>0</v>
          </cell>
          <cell r="BU85">
            <v>0</v>
          </cell>
          <cell r="BV85">
            <v>0</v>
          </cell>
          <cell r="BW85">
            <v>0</v>
          </cell>
          <cell r="BX85">
            <v>0</v>
          </cell>
          <cell r="BY85">
            <v>0</v>
          </cell>
          <cell r="BZ85">
            <v>0</v>
          </cell>
          <cell r="CA85">
            <v>0</v>
          </cell>
          <cell r="CB85">
            <v>0</v>
          </cell>
          <cell r="CC85">
            <v>0</v>
          </cell>
          <cell r="CD85">
            <v>0</v>
          </cell>
          <cell r="CE85">
            <v>0</v>
          </cell>
          <cell r="CF85">
            <v>0</v>
          </cell>
          <cell r="CG85">
            <v>0</v>
          </cell>
        </row>
        <row r="86">
          <cell r="BS86">
            <v>0</v>
          </cell>
          <cell r="BT86">
            <v>0</v>
          </cell>
          <cell r="BU86">
            <v>0</v>
          </cell>
          <cell r="BV86">
            <v>0</v>
          </cell>
          <cell r="BW86">
            <v>0</v>
          </cell>
          <cell r="BX86">
            <v>0</v>
          </cell>
          <cell r="BY86">
            <v>0</v>
          </cell>
          <cell r="BZ86">
            <v>0</v>
          </cell>
          <cell r="CA86">
            <v>0</v>
          </cell>
          <cell r="CB86">
            <v>0</v>
          </cell>
          <cell r="CC86">
            <v>0</v>
          </cell>
          <cell r="CD86">
            <v>0</v>
          </cell>
          <cell r="CE86">
            <v>0</v>
          </cell>
          <cell r="CF86">
            <v>0</v>
          </cell>
          <cell r="CG86">
            <v>0</v>
          </cell>
          <cell r="CI86" t="str">
            <v>mstag:amortizationOfOtherIntangiblesInIncomeStatement</v>
          </cell>
          <cell r="CJ86">
            <v>6</v>
          </cell>
          <cell r="CK86" t="str">
            <v>ISO4217:USD</v>
          </cell>
          <cell r="CL86" t="b">
            <v>0</v>
          </cell>
        </row>
        <row r="87">
          <cell r="CI87" t="str">
            <v>mstag:amortizationOfOtherIntangiblesInIncomeStatement</v>
          </cell>
          <cell r="CJ87">
            <v>6</v>
          </cell>
          <cell r="CK87" t="str">
            <v>ISO4217:USD</v>
          </cell>
          <cell r="CL87" t="b">
            <v>0</v>
          </cell>
        </row>
        <row r="88">
          <cell r="A88" t="str">
            <v>Total Depreciation &amp; Amortization</v>
          </cell>
          <cell r="C88">
            <v>7.5539999999999985</v>
          </cell>
          <cell r="D88">
            <v>29.654999999999998</v>
          </cell>
          <cell r="E88">
            <v>6.83</v>
          </cell>
          <cell r="F88">
            <v>6.79</v>
          </cell>
          <cell r="G88">
            <v>7.1379999999999999</v>
          </cell>
          <cell r="H88">
            <v>7.0250000000000004</v>
          </cell>
          <cell r="I88">
            <v>27.782999999999998</v>
          </cell>
          <cell r="J88">
            <v>7.609</v>
          </cell>
          <cell r="K88">
            <v>7.6470000000000002</v>
          </cell>
          <cell r="L88">
            <v>8.3930000000000007</v>
          </cell>
          <cell r="M88">
            <v>9.8209999999999997</v>
          </cell>
          <cell r="N88">
            <v>33.47</v>
          </cell>
          <cell r="O88">
            <v>9.48</v>
          </cell>
          <cell r="P88">
            <v>9.3999999999999986</v>
          </cell>
          <cell r="Q88">
            <v>9.298</v>
          </cell>
          <cell r="R88">
            <v>9.333000000000002</v>
          </cell>
          <cell r="S88">
            <v>37.511000000000003</v>
          </cell>
          <cell r="T88">
            <v>7.6709999999999994</v>
          </cell>
          <cell r="U88">
            <v>7.8330000000000002</v>
          </cell>
          <cell r="V88">
            <v>21.283999999999999</v>
          </cell>
          <cell r="W88">
            <v>22.224</v>
          </cell>
          <cell r="X88">
            <v>59.012</v>
          </cell>
          <cell r="Y88">
            <v>21.802</v>
          </cell>
          <cell r="Z88">
            <v>21.590999999999998</v>
          </cell>
          <cell r="AA88">
            <v>21.091000000000001</v>
          </cell>
          <cell r="AB88">
            <v>20.746000000000002</v>
          </cell>
          <cell r="AC88">
            <v>85.22999999999999</v>
          </cell>
          <cell r="AD88">
            <v>20.375</v>
          </cell>
          <cell r="AE88">
            <v>20.620999999999999</v>
          </cell>
          <cell r="AF88">
            <v>20.591999999999999</v>
          </cell>
          <cell r="AG88">
            <v>20.41</v>
          </cell>
          <cell r="AH88">
            <v>81.99799999999999</v>
          </cell>
          <cell r="AI88">
            <v>19.566000000000003</v>
          </cell>
          <cell r="AJ88">
            <v>19.755000000000003</v>
          </cell>
          <cell r="AK88">
            <v>20.382000000000001</v>
          </cell>
          <cell r="AL88">
            <v>20.802</v>
          </cell>
          <cell r="AM88">
            <v>80.504999999999995</v>
          </cell>
          <cell r="AN88">
            <v>15.763000000000002</v>
          </cell>
          <cell r="AO88">
            <v>15.995999999999999</v>
          </cell>
          <cell r="AP88">
            <v>16.635999999999999</v>
          </cell>
          <cell r="AQ88">
            <v>16.786999999999999</v>
          </cell>
          <cell r="AR88">
            <v>65.181999999999988</v>
          </cell>
          <cell r="AS88">
            <v>17.097999999999999</v>
          </cell>
          <cell r="AT88">
            <v>17.363</v>
          </cell>
          <cell r="AU88">
            <v>17.916</v>
          </cell>
          <cell r="AV88">
            <v>19.210999999999999</v>
          </cell>
          <cell r="AW88">
            <v>71.588000000000008</v>
          </cell>
          <cell r="AX88">
            <v>18.908999999999999</v>
          </cell>
          <cell r="AY88">
            <v>19.759999999999998</v>
          </cell>
          <cell r="AZ88">
            <v>19.759</v>
          </cell>
          <cell r="BA88">
            <v>19.371000000000002</v>
          </cell>
          <cell r="BB88">
            <v>77.798999999999992</v>
          </cell>
          <cell r="BC88">
            <v>20.007999999999999</v>
          </cell>
          <cell r="BD88">
            <v>20.343</v>
          </cell>
          <cell r="BE88">
            <v>20.064</v>
          </cell>
          <cell r="BF88">
            <v>20.945</v>
          </cell>
          <cell r="BG88">
            <v>81.36</v>
          </cell>
          <cell r="BH88">
            <v>20.088999999999999</v>
          </cell>
          <cell r="BI88">
            <v>21.253222218977083</v>
          </cell>
          <cell r="BJ88">
            <v>21.243480424726709</v>
          </cell>
          <cell r="BK88">
            <v>21.378426398690141</v>
          </cell>
          <cell r="BL88">
            <v>83.964129042393921</v>
          </cell>
          <cell r="BM88">
            <v>84.33976821883526</v>
          </cell>
          <cell r="BN88">
            <v>84.862755922552964</v>
          </cell>
          <cell r="BO88">
            <v>85.441825356869202</v>
          </cell>
          <cell r="BR88" t="str">
            <v>Total Depreciation &amp; Amortization</v>
          </cell>
          <cell r="BS88">
            <v>29.654999999999998</v>
          </cell>
          <cell r="BT88">
            <v>27.782999999999998</v>
          </cell>
          <cell r="BU88">
            <v>33.47</v>
          </cell>
          <cell r="BV88">
            <v>37.511000000000003</v>
          </cell>
          <cell r="BW88">
            <v>59.012</v>
          </cell>
          <cell r="BX88">
            <v>85.22999999999999</v>
          </cell>
          <cell r="BY88">
            <v>81.99799999999999</v>
          </cell>
          <cell r="BZ88">
            <v>65.181999999999988</v>
          </cell>
          <cell r="CA88">
            <v>71.588000000000008</v>
          </cell>
          <cell r="CB88">
            <v>77.798999999999992</v>
          </cell>
          <cell r="CC88">
            <v>81.36</v>
          </cell>
          <cell r="CD88">
            <v>83.964129042393921</v>
          </cell>
          <cell r="CE88">
            <v>84.33976821883526</v>
          </cell>
          <cell r="CF88">
            <v>84.862755922552964</v>
          </cell>
          <cell r="CG88">
            <v>85.441825356869202</v>
          </cell>
        </row>
        <row r="89">
          <cell r="A89" t="str">
            <v>% of Total Revenue</v>
          </cell>
          <cell r="C89">
            <v>9.2589414850587096E-2</v>
          </cell>
          <cell r="D89">
            <v>9.5446382017264353E-2</v>
          </cell>
          <cell r="E89">
            <v>7.8443533289689768E-2</v>
          </cell>
          <cell r="F89">
            <v>7.6505318190012619E-2</v>
          </cell>
          <cell r="G89">
            <v>7.7245230339692869E-2</v>
          </cell>
          <cell r="H89">
            <v>6.9104251509964784E-2</v>
          </cell>
          <cell r="I89">
            <v>7.5112331907668833E-2</v>
          </cell>
          <cell r="J89">
            <v>7.2500500233442275E-2</v>
          </cell>
          <cell r="K89">
            <v>7.0677942603632332E-2</v>
          </cell>
          <cell r="L89">
            <v>7.6024239349994124E-2</v>
          </cell>
          <cell r="M89">
            <v>9.1429582185149322E-2</v>
          </cell>
          <cell r="N89">
            <v>7.766364009736379E-2</v>
          </cell>
          <cell r="O89">
            <v>8.9505735731482794E-2</v>
          </cell>
          <cell r="P89">
            <v>8.5942857142857126E-2</v>
          </cell>
          <cell r="Q89">
            <v>8.5406179961053763E-2</v>
          </cell>
          <cell r="R89">
            <v>7.8567219462917781E-2</v>
          </cell>
          <cell r="S89">
            <v>8.4684884004442976E-2</v>
          </cell>
          <cell r="T89">
            <v>6.3042406311637086E-2</v>
          </cell>
          <cell r="U89">
            <v>6.2578892705919945E-2</v>
          </cell>
          <cell r="V89">
            <v>0.10498537485263869</v>
          </cell>
          <cell r="W89">
            <v>0.10418248811633338</v>
          </cell>
          <cell r="X89">
            <v>8.9020834181876327E-2</v>
          </cell>
          <cell r="Y89">
            <v>9.7636342466121517E-2</v>
          </cell>
          <cell r="Z89">
            <v>9.5331658446770828E-2</v>
          </cell>
          <cell r="AA89">
            <v>9.3726947108334152E-2</v>
          </cell>
          <cell r="AB89">
            <v>9.1742064439668522E-2</v>
          </cell>
          <cell r="AC89">
            <v>9.4601089305515002E-2</v>
          </cell>
          <cell r="AD89">
            <v>8.8953600055882515E-2</v>
          </cell>
          <cell r="AE89">
            <v>8.6437658499779926E-2</v>
          </cell>
          <cell r="AF89">
            <v>8.7460287796673503E-2</v>
          </cell>
          <cell r="AG89">
            <v>8.2604824348389186E-2</v>
          </cell>
          <cell r="AH89">
            <v>8.6300875343764752E-2</v>
          </cell>
          <cell r="AI89">
            <v>7.7670904969651747E-2</v>
          </cell>
          <cell r="AJ89">
            <v>7.6600051183025847E-2</v>
          </cell>
          <cell r="AK89">
            <v>7.8927191195718699E-2</v>
          </cell>
          <cell r="AL89">
            <v>7.7729035729499074E-2</v>
          </cell>
          <cell r="AM89">
            <v>7.773251440858886E-2</v>
          </cell>
          <cell r="AN89">
            <v>7.1808304671662535E-2</v>
          </cell>
          <cell r="AO89">
            <v>7.0044226474580723E-2</v>
          </cell>
          <cell r="AP89">
            <v>7.2741264795519039E-2</v>
          </cell>
          <cell r="AQ89">
            <v>7.0891047297297297E-2</v>
          </cell>
          <cell r="AR89">
            <v>7.1363038189768607E-2</v>
          </cell>
          <cell r="AS89">
            <v>7.1330830204422185E-2</v>
          </cell>
          <cell r="AT89">
            <v>6.8278967341080229E-2</v>
          </cell>
          <cell r="AU89">
            <v>7.1220439105252484E-2</v>
          </cell>
          <cell r="AV89">
            <v>7.649122248191341E-2</v>
          </cell>
          <cell r="AW89">
            <v>7.1824662262153796E-2</v>
          </cell>
          <cell r="AX89">
            <v>7.1957531014536877E-2</v>
          </cell>
          <cell r="AY89">
            <v>7.3033707865168537E-2</v>
          </cell>
          <cell r="AZ89">
            <v>7.351447482485482E-2</v>
          </cell>
          <cell r="BA89">
            <v>7.0983865471082069E-2</v>
          </cell>
          <cell r="BB89">
            <v>7.237048957684114E-2</v>
          </cell>
          <cell r="BC89">
            <v>7.1757499246847517E-2</v>
          </cell>
          <cell r="BD89">
            <v>7.0004404740602072E-2</v>
          </cell>
          <cell r="BE89">
            <v>6.9562082008646706E-2</v>
          </cell>
          <cell r="BF89">
            <v>7.1530538365913957E-2</v>
          </cell>
          <cell r="BG89">
            <v>7.0708045125916108E-2</v>
          </cell>
          <cell r="BH89">
            <v>6.6694997128220787E-2</v>
          </cell>
          <cell r="BI89">
            <v>6.8001152717718852E-2</v>
          </cell>
          <cell r="BJ89">
            <v>6.8034243668893907E-2</v>
          </cell>
          <cell r="BK89">
            <v>6.7581356612099616E-2</v>
          </cell>
          <cell r="BL89">
            <v>6.7586330750501175E-2</v>
          </cell>
          <cell r="BM89">
            <v>6.344008945987005E-2</v>
          </cell>
          <cell r="BN89">
            <v>5.9635309459733804E-2</v>
          </cell>
          <cell r="BO89">
            <v>5.5986682244401773E-2</v>
          </cell>
          <cell r="BR89" t="str">
            <v>% of Total Revenue</v>
          </cell>
          <cell r="BS89">
            <v>9.5446382017264353E-2</v>
          </cell>
          <cell r="BT89">
            <v>7.5112331907668833E-2</v>
          </cell>
          <cell r="BU89">
            <v>7.766364009736379E-2</v>
          </cell>
          <cell r="BV89">
            <v>8.4684884004442976E-2</v>
          </cell>
          <cell r="BW89">
            <v>8.9020834181876327E-2</v>
          </cell>
          <cell r="BX89">
            <v>9.4601089305515002E-2</v>
          </cell>
          <cell r="BY89">
            <v>8.6300875343764752E-2</v>
          </cell>
          <cell r="BZ89">
            <v>7.1363038189768607E-2</v>
          </cell>
          <cell r="CA89">
            <v>7.1824662262153796E-2</v>
          </cell>
          <cell r="CB89">
            <v>7.237048957684114E-2</v>
          </cell>
          <cell r="CC89">
            <v>7.0708045125916108E-2</v>
          </cell>
          <cell r="CD89">
            <v>6.7586330750501175E-2</v>
          </cell>
          <cell r="CE89">
            <v>6.344008945987005E-2</v>
          </cell>
          <cell r="CF89">
            <v>5.9635309459733804E-2</v>
          </cell>
          <cell r="CG89">
            <v>5.5986682244401773E-2</v>
          </cell>
        </row>
        <row r="91">
          <cell r="A91" t="str">
            <v>Founders Grant/Performance Awards</v>
          </cell>
          <cell r="C91">
            <v>0</v>
          </cell>
          <cell r="D91">
            <v>0</v>
          </cell>
          <cell r="E91">
            <v>0</v>
          </cell>
          <cell r="F91">
            <v>0</v>
          </cell>
          <cell r="G91">
            <v>0</v>
          </cell>
          <cell r="H91">
            <v>0.81899999999999995</v>
          </cell>
          <cell r="I91">
            <v>0.81899999999999995</v>
          </cell>
          <cell r="J91">
            <v>4.7960000000000003</v>
          </cell>
          <cell r="K91">
            <v>6.8759999999999994</v>
          </cell>
          <cell r="L91">
            <v>5.3460000000000001</v>
          </cell>
          <cell r="M91">
            <v>8.5670000000000002</v>
          </cell>
          <cell r="N91">
            <v>25.585000000000001</v>
          </cell>
          <cell r="O91">
            <v>6.2009999999999996</v>
          </cell>
          <cell r="P91">
            <v>7.3379999999999992</v>
          </cell>
          <cell r="Q91">
            <v>6.859</v>
          </cell>
          <cell r="R91">
            <v>6.173</v>
          </cell>
          <cell r="S91">
            <v>26.570999999999998</v>
          </cell>
          <cell r="T91">
            <v>2.0709999999999997</v>
          </cell>
          <cell r="U91">
            <v>2.04</v>
          </cell>
          <cell r="V91">
            <v>2.14</v>
          </cell>
          <cell r="W91">
            <v>4.0270000000000001</v>
          </cell>
          <cell r="X91">
            <v>10.277999999999999</v>
          </cell>
          <cell r="Y91">
            <v>2.8129999999999997</v>
          </cell>
          <cell r="Z91">
            <v>2.673</v>
          </cell>
          <cell r="AA91">
            <v>1.29</v>
          </cell>
          <cell r="AB91">
            <v>1.1439999999999999</v>
          </cell>
          <cell r="AC91">
            <v>7.92</v>
          </cell>
          <cell r="AD91">
            <v>0.58200000000000007</v>
          </cell>
          <cell r="AE91">
            <v>0.192</v>
          </cell>
          <cell r="AF91">
            <v>0.626</v>
          </cell>
          <cell r="AG91">
            <v>0.38100000000000001</v>
          </cell>
          <cell r="AH91">
            <v>1.7810000000000001</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cell r="BM91">
            <v>0</v>
          </cell>
          <cell r="BN91">
            <v>0</v>
          </cell>
          <cell r="BO91">
            <v>0</v>
          </cell>
          <cell r="BR91" t="str">
            <v>Founders Grant/Performance Awards</v>
          </cell>
          <cell r="BS91">
            <v>0</v>
          </cell>
          <cell r="BT91">
            <v>0.81899999999999995</v>
          </cell>
          <cell r="BU91">
            <v>25.585000000000001</v>
          </cell>
          <cell r="BV91">
            <v>26.570999999999998</v>
          </cell>
          <cell r="BW91">
            <v>10.277999999999999</v>
          </cell>
          <cell r="BX91">
            <v>7.92</v>
          </cell>
          <cell r="BY91">
            <v>1.7810000000000001</v>
          </cell>
          <cell r="BZ91">
            <v>0</v>
          </cell>
          <cell r="CA91">
            <v>0</v>
          </cell>
          <cell r="CB91">
            <v>0</v>
          </cell>
          <cell r="CC91">
            <v>0</v>
          </cell>
          <cell r="CD91">
            <v>0</v>
          </cell>
          <cell r="CE91">
            <v>0</v>
          </cell>
          <cell r="CF91">
            <v>0</v>
          </cell>
          <cell r="CG91">
            <v>0</v>
          </cell>
        </row>
        <row r="93">
          <cell r="A93" t="str">
            <v>Income from Operations</v>
          </cell>
          <cell r="C93">
            <v>7.9569999999999972</v>
          </cell>
          <cell r="D93">
            <v>83.295999999999964</v>
          </cell>
          <cell r="E93">
            <v>29.573000000000015</v>
          </cell>
          <cell r="F93">
            <v>26.656999999999989</v>
          </cell>
          <cell r="G93">
            <v>33.263000000000012</v>
          </cell>
          <cell r="H93">
            <v>40.866999999999997</v>
          </cell>
          <cell r="I93">
            <v>130.36000000000001</v>
          </cell>
          <cell r="J93">
            <v>35.161999999999992</v>
          </cell>
          <cell r="K93">
            <v>32.907000000000004</v>
          </cell>
          <cell r="L93">
            <v>37.519000000000005</v>
          </cell>
          <cell r="M93">
            <v>30.201999999999998</v>
          </cell>
          <cell r="N93">
            <v>135.79000000000002</v>
          </cell>
          <cell r="O93">
            <v>32.783999999999999</v>
          </cell>
          <cell r="P93">
            <v>36.654000000000003</v>
          </cell>
          <cell r="Q93">
            <v>37.797999999999988</v>
          </cell>
          <cell r="R93">
            <v>43.756</v>
          </cell>
          <cell r="S93">
            <v>150.99199999999999</v>
          </cell>
          <cell r="T93">
            <v>47.256999999999998</v>
          </cell>
          <cell r="U93">
            <v>46.69700000000001</v>
          </cell>
          <cell r="V93">
            <v>41.449000000000005</v>
          </cell>
          <cell r="W93">
            <v>70.719999999999985</v>
          </cell>
          <cell r="X93">
            <v>206.1230000000001</v>
          </cell>
          <cell r="Y93">
            <v>75.428999999999974</v>
          </cell>
          <cell r="Z93">
            <v>82.691000000000003</v>
          </cell>
          <cell r="AA93">
            <v>82.245000000000005</v>
          </cell>
          <cell r="AB93">
            <v>81.63300000000001</v>
          </cell>
          <cell r="AC93">
            <v>321.9980000000001</v>
          </cell>
          <cell r="AD93">
            <v>80.978999999999985</v>
          </cell>
          <cell r="AE93">
            <v>87.121000000000024</v>
          </cell>
          <cell r="AF93">
            <v>83.529000000000011</v>
          </cell>
          <cell r="AG93">
            <v>95.307000000000016</v>
          </cell>
          <cell r="AH93">
            <v>346.93599999999998</v>
          </cell>
          <cell r="AI93">
            <v>90.526999999999987</v>
          </cell>
          <cell r="AJ93">
            <v>97.172000000000011</v>
          </cell>
          <cell r="AK93">
            <v>92.43599999999995</v>
          </cell>
          <cell r="AL93">
            <v>91.370999999999952</v>
          </cell>
          <cell r="AM93">
            <v>371.50599999999986</v>
          </cell>
          <cell r="AN93">
            <v>82.936999999999969</v>
          </cell>
          <cell r="AO93">
            <v>90.057999999999979</v>
          </cell>
          <cell r="AP93">
            <v>83.997000000000014</v>
          </cell>
          <cell r="AQ93">
            <v>83.583999999999975</v>
          </cell>
          <cell r="AR93">
            <v>340.57599999999996</v>
          </cell>
          <cell r="AS93">
            <v>79.517000000000039</v>
          </cell>
          <cell r="AT93">
            <v>88.600000000000023</v>
          </cell>
          <cell r="AU93">
            <v>83.932000000000016</v>
          </cell>
          <cell r="AV93">
            <v>85.141999999999982</v>
          </cell>
          <cell r="AW93">
            <v>337.19100000000009</v>
          </cell>
          <cell r="AX93">
            <v>88.752999999999986</v>
          </cell>
          <cell r="AY93">
            <v>98.491000000000014</v>
          </cell>
          <cell r="AZ93">
            <v>109.1079999999999</v>
          </cell>
          <cell r="BA93">
            <v>107.54300000000003</v>
          </cell>
          <cell r="BB93">
            <v>403.89499999999998</v>
          </cell>
          <cell r="BC93">
            <v>113.14099999999998</v>
          </cell>
          <cell r="BD93">
            <v>125.68400000000001</v>
          </cell>
          <cell r="BE93">
            <v>123.26000000000005</v>
          </cell>
          <cell r="BF93">
            <v>126.012</v>
          </cell>
          <cell r="BG93">
            <v>488.09699999999998</v>
          </cell>
          <cell r="BH93">
            <v>130.60199999999998</v>
          </cell>
          <cell r="BI93">
            <v>137.36458671632315</v>
          </cell>
          <cell r="BJ93">
            <v>138.59747613763889</v>
          </cell>
          <cell r="BK93">
            <v>140.70644661855039</v>
          </cell>
          <cell r="BL93">
            <v>547.26250947251253</v>
          </cell>
          <cell r="BM93">
            <v>599.68569121206872</v>
          </cell>
          <cell r="BN93">
            <v>656.56599069033723</v>
          </cell>
          <cell r="BO93">
            <v>719.61413642146385</v>
          </cell>
          <cell r="BR93" t="str">
            <v>Income from Operations</v>
          </cell>
          <cell r="BS93">
            <v>83.295999999999964</v>
          </cell>
          <cell r="BT93">
            <v>130.36000000000001</v>
          </cell>
          <cell r="BU93">
            <v>135.79000000000002</v>
          </cell>
          <cell r="BV93">
            <v>150.99199999999999</v>
          </cell>
          <cell r="BW93">
            <v>206.1230000000001</v>
          </cell>
          <cell r="BX93">
            <v>321.9980000000001</v>
          </cell>
          <cell r="BY93">
            <v>346.93599999999998</v>
          </cell>
          <cell r="BZ93">
            <v>340.57599999999996</v>
          </cell>
          <cell r="CA93">
            <v>337.19100000000009</v>
          </cell>
          <cell r="CB93">
            <v>403.89499999999998</v>
          </cell>
          <cell r="CC93">
            <v>488.09699999999998</v>
          </cell>
          <cell r="CD93">
            <v>547.26250947251253</v>
          </cell>
          <cell r="CE93">
            <v>599.68569121206872</v>
          </cell>
          <cell r="CF93">
            <v>656.56599069033723</v>
          </cell>
          <cell r="CG93">
            <v>719.61413642146385</v>
          </cell>
        </row>
        <row r="94">
          <cell r="A94" t="str">
            <v>Operating Margin</v>
          </cell>
          <cell r="C94">
            <v>9.7528987816537113E-2</v>
          </cell>
          <cell r="D94">
            <v>0.26809313223773557</v>
          </cell>
          <cell r="E94">
            <v>0.33965016251478725</v>
          </cell>
          <cell r="F94">
            <v>0.30035379484405977</v>
          </cell>
          <cell r="G94">
            <v>0.35996190764768909</v>
          </cell>
          <cell r="H94">
            <v>0.40200476106159866</v>
          </cell>
          <cell r="I94">
            <v>0.35243291176200237</v>
          </cell>
          <cell r="J94">
            <v>0.33503253899438779</v>
          </cell>
          <cell r="K94">
            <v>0.30414529322057399</v>
          </cell>
          <cell r="L94">
            <v>0.33984909283598586</v>
          </cell>
          <cell r="M94">
            <v>0.28116854099947863</v>
          </cell>
          <cell r="N94">
            <v>0.31508651594923909</v>
          </cell>
          <cell r="O94">
            <v>0.3095312278714063</v>
          </cell>
          <cell r="P94">
            <v>0.33512228571428576</v>
          </cell>
          <cell r="Q94">
            <v>0.34719109380166796</v>
          </cell>
          <cell r="R94">
            <v>0.36834750399865313</v>
          </cell>
          <cell r="S94">
            <v>0.34087974209162247</v>
          </cell>
          <cell r="T94">
            <v>0.38837113740959894</v>
          </cell>
          <cell r="U94">
            <v>0.37306862666773194</v>
          </cell>
          <cell r="V94">
            <v>0.2044511746977552</v>
          </cell>
          <cell r="W94">
            <v>0.33152382827515725</v>
          </cell>
          <cell r="X94">
            <v>0.31094084938776695</v>
          </cell>
          <cell r="Y94">
            <v>0.3377952332757122</v>
          </cell>
          <cell r="Z94">
            <v>0.36510908103477968</v>
          </cell>
          <cell r="AA94">
            <v>0.36549109880636016</v>
          </cell>
          <cell r="AB94">
            <v>0.36099392395659213</v>
          </cell>
          <cell r="AC94">
            <v>0.35740187204267548</v>
          </cell>
          <cell r="AD94">
            <v>0.35353980755461639</v>
          </cell>
          <cell r="AE94">
            <v>0.36518768469809076</v>
          </cell>
          <cell r="AF94">
            <v>0.35477226007033524</v>
          </cell>
          <cell r="AG94">
            <v>0.38573336571151051</v>
          </cell>
          <cell r="AH94">
            <v>0.36514159477382824</v>
          </cell>
          <cell r="AI94">
            <v>0.35936389728036705</v>
          </cell>
          <cell r="AJ94">
            <v>0.37678462027623327</v>
          </cell>
          <cell r="AK94">
            <v>0.35794886887290006</v>
          </cell>
          <cell r="AL94">
            <v>0.34141811958658097</v>
          </cell>
          <cell r="AM94">
            <v>0.35871182532609408</v>
          </cell>
          <cell r="AN94">
            <v>0.37781928342026727</v>
          </cell>
          <cell r="AO94">
            <v>0.39435127205850151</v>
          </cell>
          <cell r="AP94">
            <v>0.36727867390173202</v>
          </cell>
          <cell r="AQ94">
            <v>0.35297297297297286</v>
          </cell>
          <cell r="AR94">
            <v>0.37287192928290996</v>
          </cell>
          <cell r="AS94">
            <v>0.33173550271172314</v>
          </cell>
          <cell r="AT94">
            <v>0.34841424330010429</v>
          </cell>
          <cell r="AU94">
            <v>0.33365002762793328</v>
          </cell>
          <cell r="AV94">
            <v>0.33900451119437147</v>
          </cell>
          <cell r="AW94">
            <v>0.33830571733863085</v>
          </cell>
          <cell r="AX94">
            <v>0.33774640383590837</v>
          </cell>
          <cell r="AY94">
            <v>0.36402646363098762</v>
          </cell>
          <cell r="AZ94">
            <v>0.40594247275622519</v>
          </cell>
          <cell r="BA94">
            <v>0.39408486109940533</v>
          </cell>
          <cell r="BB94">
            <v>0.37571278406712494</v>
          </cell>
          <cell r="BC94">
            <v>0.40577345173368523</v>
          </cell>
          <cell r="BD94">
            <v>0.43250423268042232</v>
          </cell>
          <cell r="BE94">
            <v>0.42734361186133357</v>
          </cell>
          <cell r="BF94">
            <v>0.43035121511413466</v>
          </cell>
          <cell r="BG94">
            <v>0.4241935189506425</v>
          </cell>
          <cell r="BH94">
            <v>0.43359550076857434</v>
          </cell>
          <cell r="BI94">
            <v>0.43950748470330558</v>
          </cell>
          <cell r="BJ94">
            <v>0.44387145020108631</v>
          </cell>
          <cell r="BK94">
            <v>0.44480039686794898</v>
          </cell>
          <cell r="BL94">
            <v>0.44051507940829537</v>
          </cell>
          <cell r="BM94">
            <v>0.45108155620709195</v>
          </cell>
          <cell r="BN94">
            <v>0.46138633620722819</v>
          </cell>
          <cell r="BO94">
            <v>0.47153496342256007</v>
          </cell>
          <cell r="BR94" t="str">
            <v>Operating Margin</v>
          </cell>
          <cell r="BS94">
            <v>0.26809313223773557</v>
          </cell>
          <cell r="BT94">
            <v>0.35243291176200237</v>
          </cell>
          <cell r="BU94">
            <v>0.31508651594923909</v>
          </cell>
          <cell r="BV94">
            <v>0.34087974209162247</v>
          </cell>
          <cell r="BW94">
            <v>0.31094084938776695</v>
          </cell>
          <cell r="BX94">
            <v>0.35740187204267548</v>
          </cell>
          <cell r="BY94">
            <v>0.36514159477382824</v>
          </cell>
          <cell r="BZ94">
            <v>0.37287192928290996</v>
          </cell>
          <cell r="CA94">
            <v>0.33830571733863085</v>
          </cell>
          <cell r="CB94">
            <v>0.37571278406712494</v>
          </cell>
          <cell r="CC94">
            <v>0.4241935189506425</v>
          </cell>
          <cell r="CD94">
            <v>0.44051507940829537</v>
          </cell>
          <cell r="CE94">
            <v>0.45108155620709195</v>
          </cell>
          <cell r="CF94">
            <v>0.46138633620722819</v>
          </cell>
          <cell r="CG94">
            <v>0.47153496342256007</v>
          </cell>
        </row>
        <row r="96">
          <cell r="A96" t="str">
            <v xml:space="preserve">Interest Income </v>
          </cell>
          <cell r="C96">
            <v>5.0699999999999985</v>
          </cell>
          <cell r="D96">
            <v>15.481999999999999</v>
          </cell>
          <cell r="E96">
            <v>5.0620000000000003</v>
          </cell>
          <cell r="F96">
            <v>5.524</v>
          </cell>
          <cell r="G96">
            <v>1.125</v>
          </cell>
          <cell r="H96">
            <v>1.4319999999999999</v>
          </cell>
          <cell r="I96">
            <v>13.143000000000001</v>
          </cell>
          <cell r="J96">
            <v>2.3719999999999999</v>
          </cell>
          <cell r="K96">
            <v>3.508</v>
          </cell>
          <cell r="L96">
            <v>1.843</v>
          </cell>
          <cell r="M96">
            <v>0.41899999999999998</v>
          </cell>
          <cell r="N96">
            <v>8.1419999999999995</v>
          </cell>
          <cell r="O96">
            <v>0.121</v>
          </cell>
          <cell r="P96">
            <v>0.22</v>
          </cell>
          <cell r="Q96">
            <v>0.373</v>
          </cell>
          <cell r="R96">
            <v>0.33899999999999997</v>
          </cell>
          <cell r="S96">
            <v>1.0529999999999999</v>
          </cell>
          <cell r="T96">
            <v>0.40799999999999997</v>
          </cell>
          <cell r="U96">
            <v>0.34300000000000003</v>
          </cell>
          <cell r="V96">
            <v>0.114</v>
          </cell>
          <cell r="W96">
            <v>0.128</v>
          </cell>
          <cell r="X96">
            <v>0.99299999999999999</v>
          </cell>
          <cell r="Y96">
            <v>0.14299999999999999</v>
          </cell>
          <cell r="Z96">
            <v>0.186</v>
          </cell>
          <cell r="AA96">
            <v>0.184</v>
          </cell>
          <cell r="AB96">
            <v>0.33500000000000002</v>
          </cell>
          <cell r="AC96">
            <v>0.84799999999999986</v>
          </cell>
          <cell r="AD96">
            <v>0.223</v>
          </cell>
          <cell r="AE96">
            <v>0.23699999999999999</v>
          </cell>
          <cell r="AF96">
            <v>0.252</v>
          </cell>
          <cell r="AG96">
            <v>0.24199999999999999</v>
          </cell>
          <cell r="AH96">
            <v>0.95399999999999996</v>
          </cell>
          <cell r="AI96">
            <v>0.26800000000000002</v>
          </cell>
          <cell r="AJ96">
            <v>0.23699999999999999</v>
          </cell>
          <cell r="AK96">
            <v>0.26500000000000001</v>
          </cell>
          <cell r="AL96">
            <v>0.26100000000000001</v>
          </cell>
          <cell r="AM96">
            <v>1.0310000000000001</v>
          </cell>
          <cell r="AN96">
            <v>0.23699999999999999</v>
          </cell>
          <cell r="AO96">
            <v>0.186</v>
          </cell>
          <cell r="AP96">
            <v>0.22700000000000001</v>
          </cell>
          <cell r="AQ96">
            <v>0.23899999999999999</v>
          </cell>
          <cell r="AR96">
            <v>0.88900000000000001</v>
          </cell>
          <cell r="AS96">
            <v>0.156</v>
          </cell>
          <cell r="AT96">
            <v>0.192</v>
          </cell>
          <cell r="AU96">
            <v>0.27700000000000002</v>
          </cell>
          <cell r="AV96">
            <v>0.22600000000000001</v>
          </cell>
          <cell r="AW96">
            <v>0.85099999999999998</v>
          </cell>
          <cell r="AX96">
            <v>0.20399999999999999</v>
          </cell>
          <cell r="AY96">
            <v>0.185</v>
          </cell>
          <cell r="AZ96">
            <v>0.28499999999999998</v>
          </cell>
          <cell r="BA96">
            <v>0.49199999999999999</v>
          </cell>
          <cell r="BB96">
            <v>1.1659999999999999</v>
          </cell>
          <cell r="BC96">
            <v>0.621</v>
          </cell>
          <cell r="BD96">
            <v>0.58499999999999996</v>
          </cell>
          <cell r="BE96">
            <v>0.79900000000000004</v>
          </cell>
          <cell r="BF96">
            <v>0.90100000000000002</v>
          </cell>
          <cell r="BG96">
            <v>3.2853745322053736</v>
          </cell>
          <cell r="BH96">
            <v>0.93200000000000005</v>
          </cell>
          <cell r="BI96">
            <v>1.0086127277213295</v>
          </cell>
          <cell r="BJ96">
            <v>1.0567600813409801</v>
          </cell>
          <cell r="BK96">
            <v>1.0873888513571885</v>
          </cell>
          <cell r="BL96">
            <v>4.1705718087710739</v>
          </cell>
          <cell r="BM96">
            <v>6.4490197299262633</v>
          </cell>
          <cell r="BN96">
            <v>8.4918704995298793</v>
          </cell>
          <cell r="BO96">
            <v>8.7266886073823091</v>
          </cell>
          <cell r="BR96" t="str">
            <v xml:space="preserve">Interest Income </v>
          </cell>
          <cell r="BS96">
            <v>15.481999999999999</v>
          </cell>
          <cell r="BT96">
            <v>13.143000000000001</v>
          </cell>
          <cell r="BU96">
            <v>8.1419999999999995</v>
          </cell>
          <cell r="BV96">
            <v>1.0529999999999999</v>
          </cell>
          <cell r="BW96">
            <v>0.99299999999999999</v>
          </cell>
          <cell r="BX96">
            <v>0.84799999999999986</v>
          </cell>
          <cell r="BY96">
            <v>0.95399999999999996</v>
          </cell>
          <cell r="BZ96">
            <v>0.88900000000000001</v>
          </cell>
          <cell r="CA96">
            <v>0.85099999999999998</v>
          </cell>
          <cell r="CB96">
            <v>1.1659999999999999</v>
          </cell>
          <cell r="CC96">
            <v>3.2853745322053736</v>
          </cell>
          <cell r="CD96">
            <v>4.1705718087710739</v>
          </cell>
          <cell r="CE96">
            <v>6.4490197299262633</v>
          </cell>
          <cell r="CF96">
            <v>8.4918704995298793</v>
          </cell>
          <cell r="CG96">
            <v>8.7266886073823091</v>
          </cell>
          <cell r="CI96" t="str">
            <v>mstag:interestIncome</v>
          </cell>
          <cell r="CJ96">
            <v>6</v>
          </cell>
          <cell r="CK96" t="str">
            <v>ISO4217:USD</v>
          </cell>
          <cell r="CL96" t="b">
            <v>0</v>
          </cell>
        </row>
        <row r="97">
          <cell r="A97" t="str">
            <v xml:space="preserve">Interest Expense </v>
          </cell>
          <cell r="C97">
            <v>-6.8000000000000005E-2</v>
          </cell>
          <cell r="D97">
            <v>-0.35199999999999998</v>
          </cell>
          <cell r="E97">
            <v>-9.5000000000000001E-2</v>
          </cell>
          <cell r="F97">
            <v>-0.502</v>
          </cell>
          <cell r="G97">
            <v>-1.2589999999999999</v>
          </cell>
          <cell r="H97">
            <v>-7.73</v>
          </cell>
          <cell r="I97">
            <v>-9.5860000000000003</v>
          </cell>
          <cell r="J97">
            <v>-8.4629999999999992</v>
          </cell>
          <cell r="K97">
            <v>-6.6680000000000001</v>
          </cell>
          <cell r="L97">
            <v>-5.9909999999999997</v>
          </cell>
          <cell r="M97">
            <v>-5.81</v>
          </cell>
          <cell r="N97">
            <v>-26.931999999999999</v>
          </cell>
          <cell r="O97">
            <v>-5.6379999999999999</v>
          </cell>
          <cell r="P97">
            <v>-4.9039999999999999</v>
          </cell>
          <cell r="Q97">
            <v>-4.6280000000000001</v>
          </cell>
          <cell r="R97">
            <v>-4.5129999999999999</v>
          </cell>
          <cell r="S97">
            <v>-19.683</v>
          </cell>
          <cell r="T97">
            <v>-4.4359999999999999</v>
          </cell>
          <cell r="U97">
            <v>-8.9909999999999997</v>
          </cell>
          <cell r="V97">
            <v>-20.414999999999999</v>
          </cell>
          <cell r="W97">
            <v>-17.495000000000001</v>
          </cell>
          <cell r="X97">
            <v>-51.337000000000003</v>
          </cell>
          <cell r="Y97">
            <v>-16.587</v>
          </cell>
          <cell r="Z97">
            <v>-12.852</v>
          </cell>
          <cell r="AA97">
            <v>-13.113</v>
          </cell>
          <cell r="AB97">
            <v>-13.266999999999999</v>
          </cell>
          <cell r="AC97">
            <v>-55.819000000000003</v>
          </cell>
          <cell r="AD97">
            <v>-12.355</v>
          </cell>
          <cell r="AE97">
            <v>-29.581</v>
          </cell>
          <cell r="AF97">
            <v>-7.3140000000000001</v>
          </cell>
          <cell r="AG97">
            <v>-7.1779999999999999</v>
          </cell>
          <cell r="AH97">
            <v>-56.427999999999997</v>
          </cell>
          <cell r="AI97">
            <v>-7.02</v>
          </cell>
          <cell r="AJ97">
            <v>-6.5039999999999996</v>
          </cell>
          <cell r="AK97">
            <v>-5.827</v>
          </cell>
          <cell r="AL97">
            <v>-6.9139999999999997</v>
          </cell>
          <cell r="AM97">
            <v>-26.265000000000001</v>
          </cell>
          <cell r="AN97">
            <v>-7.016</v>
          </cell>
          <cell r="AO97">
            <v>-6.4989999999999997</v>
          </cell>
          <cell r="AP97">
            <v>-5.8280000000000003</v>
          </cell>
          <cell r="AQ97">
            <v>-6.9139999999999997</v>
          </cell>
          <cell r="AR97">
            <v>-26.256999999999998</v>
          </cell>
          <cell r="AS97">
            <v>-5.0590000000000002</v>
          </cell>
          <cell r="AT97">
            <v>-5.3659999999999997</v>
          </cell>
          <cell r="AU97">
            <v>-5.6040000000000001</v>
          </cell>
          <cell r="AV97">
            <v>-15.791</v>
          </cell>
          <cell r="AW97">
            <v>-31.82</v>
          </cell>
          <cell r="AX97">
            <v>-11.108000000000001</v>
          </cell>
          <cell r="AY97">
            <v>-11.116</v>
          </cell>
          <cell r="AZ97">
            <v>-17.266999999999999</v>
          </cell>
          <cell r="BA97">
            <v>-22.896000000000001</v>
          </cell>
          <cell r="BB97">
            <v>-62.387</v>
          </cell>
          <cell r="BC97">
            <v>-22.904</v>
          </cell>
          <cell r="BD97">
            <v>-22.917999999999999</v>
          </cell>
          <cell r="BE97">
            <v>-26.79</v>
          </cell>
          <cell r="BF97">
            <v>-29.039000000000001</v>
          </cell>
          <cell r="BG97">
            <v>-101.651</v>
          </cell>
          <cell r="BH97">
            <v>-29.024000000000001</v>
          </cell>
          <cell r="BI97">
            <v>-29.029055100003013</v>
          </cell>
          <cell r="BJ97">
            <v>-29.029055100003013</v>
          </cell>
          <cell r="BK97">
            <v>-29.029055100003013</v>
          </cell>
          <cell r="BL97">
            <v>-116.11116530000905</v>
          </cell>
          <cell r="BM97">
            <v>-122.47951599999999</v>
          </cell>
          <cell r="BN97">
            <v>-124.55543999999999</v>
          </cell>
          <cell r="BO97">
            <v>-124.55543999999999</v>
          </cell>
          <cell r="BR97" t="str">
            <v xml:space="preserve">Interest Expense </v>
          </cell>
          <cell r="BS97">
            <v>-0.35199999999999998</v>
          </cell>
          <cell r="BT97">
            <v>-9.5860000000000003</v>
          </cell>
          <cell r="BU97">
            <v>-26.931999999999999</v>
          </cell>
          <cell r="BV97">
            <v>-19.683</v>
          </cell>
          <cell r="BW97">
            <v>-51.337000000000003</v>
          </cell>
          <cell r="BX97">
            <v>-55.819000000000003</v>
          </cell>
          <cell r="BY97">
            <v>-56.427999999999997</v>
          </cell>
          <cell r="BZ97">
            <v>-26.256999999999998</v>
          </cell>
          <cell r="CA97">
            <v>-31.82</v>
          </cell>
          <cell r="CB97">
            <v>-62.387</v>
          </cell>
          <cell r="CC97">
            <v>-101.651</v>
          </cell>
          <cell r="CD97">
            <v>-116.11116530000905</v>
          </cell>
          <cell r="CE97">
            <v>-122.47951599999999</v>
          </cell>
          <cell r="CF97">
            <v>-124.55543999999999</v>
          </cell>
          <cell r="CG97">
            <v>-124.55543999999999</v>
          </cell>
          <cell r="CI97" t="str">
            <v>mstag:interestExpense</v>
          </cell>
          <cell r="CJ97">
            <v>6</v>
          </cell>
          <cell r="CK97" t="str">
            <v>ISO4217:USD</v>
          </cell>
          <cell r="CL97" t="b">
            <v>1</v>
          </cell>
        </row>
        <row r="98">
          <cell r="A98" t="str">
            <v xml:space="preserve">Other, Net </v>
          </cell>
          <cell r="C98">
            <v>0.85699999999999998</v>
          </cell>
          <cell r="D98">
            <v>1.0429999999999999</v>
          </cell>
          <cell r="E98">
            <v>2.7E-2</v>
          </cell>
          <cell r="F98">
            <v>2.5999999999999999E-2</v>
          </cell>
          <cell r="G98">
            <v>-0.21</v>
          </cell>
          <cell r="H98">
            <v>-0.46800000000000003</v>
          </cell>
          <cell r="I98">
            <v>-0.625</v>
          </cell>
          <cell r="J98">
            <v>-0.33600000000000002</v>
          </cell>
          <cell r="K98">
            <v>0.63800000000000001</v>
          </cell>
          <cell r="L98">
            <v>-3.2240000000000002</v>
          </cell>
          <cell r="M98">
            <v>-4.4349999999999996</v>
          </cell>
          <cell r="N98">
            <v>-7.3569999999999993</v>
          </cell>
          <cell r="O98">
            <v>-0.88200000000000001</v>
          </cell>
          <cell r="P98">
            <v>2E-3</v>
          </cell>
          <cell r="Q98">
            <v>0.16800000000000001</v>
          </cell>
          <cell r="R98">
            <v>7.0999999999999952E-2</v>
          </cell>
          <cell r="S98">
            <v>-0.64100000000000001</v>
          </cell>
          <cell r="T98">
            <v>0.60799999999999998</v>
          </cell>
          <cell r="U98">
            <v>-9.8000000000000004E-2</v>
          </cell>
          <cell r="V98">
            <v>-0.52400000000000002</v>
          </cell>
          <cell r="W98">
            <v>-2.274</v>
          </cell>
          <cell r="X98">
            <v>-2.2880000000000003</v>
          </cell>
          <cell r="Y98">
            <v>-5.641</v>
          </cell>
          <cell r="Z98">
            <v>-0.38300000000000001</v>
          </cell>
          <cell r="AA98">
            <v>0.98299999999999998</v>
          </cell>
          <cell r="AB98">
            <v>1.427</v>
          </cell>
          <cell r="AC98">
            <v>-3.6140000000000003</v>
          </cell>
          <cell r="AD98">
            <v>-0.60799999999999998</v>
          </cell>
          <cell r="AE98">
            <v>-0.51600000000000001</v>
          </cell>
          <cell r="AF98">
            <v>-0.873</v>
          </cell>
          <cell r="AG98">
            <v>-5.6000000000000001E-2</v>
          </cell>
          <cell r="AH98">
            <v>-2.0529999999999999</v>
          </cell>
          <cell r="AI98">
            <v>-0.224</v>
          </cell>
          <cell r="AJ98">
            <v>0.35399999999999998</v>
          </cell>
          <cell r="AK98">
            <v>-0.627</v>
          </cell>
          <cell r="AL98">
            <v>-0.154</v>
          </cell>
          <cell r="AM98">
            <v>-0.65100000000000002</v>
          </cell>
          <cell r="AN98">
            <v>-1.9219999999999999</v>
          </cell>
          <cell r="AO98">
            <v>0.32800000000000001</v>
          </cell>
          <cell r="AP98">
            <v>-0.56299999999999994</v>
          </cell>
          <cell r="AQ98">
            <v>0.02</v>
          </cell>
          <cell r="AR98">
            <v>-2.137</v>
          </cell>
          <cell r="AS98">
            <v>-1.071</v>
          </cell>
          <cell r="AT98">
            <v>0.72599999999999998</v>
          </cell>
          <cell r="AU98">
            <v>1.2869999999999999</v>
          </cell>
          <cell r="AV98">
            <v>1.1990000000000001</v>
          </cell>
          <cell r="AW98">
            <v>2.141</v>
          </cell>
          <cell r="AX98">
            <v>-0.17799999999999999</v>
          </cell>
          <cell r="AY98">
            <v>-0.16400000000000001</v>
          </cell>
          <cell r="AZ98">
            <v>6.9219999999999997</v>
          </cell>
          <cell r="BA98">
            <v>0.29699999999999999</v>
          </cell>
          <cell r="BB98">
            <v>6.8769999999999998</v>
          </cell>
          <cell r="BC98">
            <v>-8.1000000000000003E-2</v>
          </cell>
          <cell r="BD98">
            <v>-2.8140000000000001</v>
          </cell>
          <cell r="BE98">
            <v>0.253</v>
          </cell>
          <cell r="BF98">
            <v>-0.77900000000000003</v>
          </cell>
          <cell r="BG98">
            <v>-3.4209999999999998</v>
          </cell>
          <cell r="BH98">
            <v>-0.88500000000000001</v>
          </cell>
          <cell r="BI98">
            <v>0</v>
          </cell>
          <cell r="BJ98">
            <v>0</v>
          </cell>
          <cell r="BK98">
            <v>0</v>
          </cell>
          <cell r="BL98">
            <v>-0.88500000000000001</v>
          </cell>
          <cell r="BM98">
            <v>-0.88500000000000001</v>
          </cell>
          <cell r="BN98">
            <v>-0.88500000000000001</v>
          </cell>
          <cell r="BO98">
            <v>-0.88500000000000001</v>
          </cell>
          <cell r="BR98" t="str">
            <v xml:space="preserve">Other, Net </v>
          </cell>
          <cell r="BS98">
            <v>1.0429999999999999</v>
          </cell>
          <cell r="BT98">
            <v>-0.625</v>
          </cell>
          <cell r="BU98">
            <v>-7.3569999999999993</v>
          </cell>
          <cell r="BV98">
            <v>-0.64100000000000001</v>
          </cell>
          <cell r="BW98">
            <v>-2.2880000000000003</v>
          </cell>
          <cell r="BX98">
            <v>-3.6140000000000003</v>
          </cell>
          <cell r="BY98">
            <v>-2.0529999999999999</v>
          </cell>
          <cell r="BZ98">
            <v>-2.137</v>
          </cell>
          <cell r="CA98">
            <v>2.141</v>
          </cell>
          <cell r="CB98">
            <v>6.8769999999999998</v>
          </cell>
          <cell r="CC98">
            <v>-3.4209999999999998</v>
          </cell>
          <cell r="CD98">
            <v>-0.88500000000000001</v>
          </cell>
          <cell r="CE98">
            <v>-0.88500000000000001</v>
          </cell>
          <cell r="CF98">
            <v>-0.88500000000000001</v>
          </cell>
          <cell r="CG98">
            <v>-0.88500000000000001</v>
          </cell>
          <cell r="CI98" t="str">
            <v>mstag:otherNonOperatingIncomeExpense</v>
          </cell>
          <cell r="CJ98">
            <v>6</v>
          </cell>
          <cell r="CK98" t="str">
            <v>ISO4217:USD</v>
          </cell>
          <cell r="CL98" t="b">
            <v>0</v>
          </cell>
        </row>
        <row r="100">
          <cell r="A100" t="str">
            <v>Pretax Income</v>
          </cell>
          <cell r="C100">
            <v>13.815999999999995</v>
          </cell>
          <cell r="D100">
            <v>99.468999999999966</v>
          </cell>
          <cell r="E100">
            <v>34.567000000000014</v>
          </cell>
          <cell r="F100">
            <v>31.704999999999991</v>
          </cell>
          <cell r="G100">
            <v>32.919000000000011</v>
          </cell>
          <cell r="H100">
            <v>34.100999999999999</v>
          </cell>
          <cell r="I100">
            <v>133.292</v>
          </cell>
          <cell r="J100">
            <v>28.734999999999992</v>
          </cell>
          <cell r="K100">
            <v>30.385000000000005</v>
          </cell>
          <cell r="L100">
            <v>30.147000000000006</v>
          </cell>
          <cell r="M100">
            <v>20.375999999999998</v>
          </cell>
          <cell r="N100">
            <v>109.64300000000003</v>
          </cell>
          <cell r="O100">
            <v>26.384999999999998</v>
          </cell>
          <cell r="P100">
            <v>31.972000000000001</v>
          </cell>
          <cell r="Q100">
            <v>33.710999999999984</v>
          </cell>
          <cell r="R100">
            <v>39.652999999999999</v>
          </cell>
          <cell r="S100">
            <v>131.721</v>
          </cell>
          <cell r="T100">
            <v>43.836999999999996</v>
          </cell>
          <cell r="U100">
            <v>37.951000000000008</v>
          </cell>
          <cell r="V100">
            <v>20.624000000000006</v>
          </cell>
          <cell r="W100">
            <v>51.078999999999979</v>
          </cell>
          <cell r="X100">
            <v>153.4910000000001</v>
          </cell>
          <cell r="Y100">
            <v>53.343999999999973</v>
          </cell>
          <cell r="Z100">
            <v>69.64200000000001</v>
          </cell>
          <cell r="AA100">
            <v>70.299000000000007</v>
          </cell>
          <cell r="AB100">
            <v>70.128000000000014</v>
          </cell>
          <cell r="AC100">
            <v>263.41300000000012</v>
          </cell>
          <cell r="AD100">
            <v>68.238999999999976</v>
          </cell>
          <cell r="AE100">
            <v>57.261000000000017</v>
          </cell>
          <cell r="AF100">
            <v>75.594000000000008</v>
          </cell>
          <cell r="AG100">
            <v>88.315000000000026</v>
          </cell>
          <cell r="AH100">
            <v>289.40899999999999</v>
          </cell>
          <cell r="AI100">
            <v>83.550999999999988</v>
          </cell>
          <cell r="AJ100">
            <v>91.259</v>
          </cell>
          <cell r="AK100">
            <v>86.246999999999957</v>
          </cell>
          <cell r="AL100">
            <v>84.56399999999995</v>
          </cell>
          <cell r="AM100">
            <v>345.62099999999987</v>
          </cell>
          <cell r="AN100">
            <v>74.235999999999962</v>
          </cell>
          <cell r="AO100">
            <v>84.072999999999993</v>
          </cell>
          <cell r="AP100">
            <v>77.833000000000013</v>
          </cell>
          <cell r="AQ100">
            <v>76.928999999999974</v>
          </cell>
          <cell r="AR100">
            <v>313.07099999999997</v>
          </cell>
          <cell r="AS100">
            <v>73.543000000000049</v>
          </cell>
          <cell r="AT100">
            <v>84.152000000000015</v>
          </cell>
          <cell r="AU100">
            <v>79.892000000000024</v>
          </cell>
          <cell r="AV100">
            <v>70.775999999999982</v>
          </cell>
          <cell r="AW100">
            <v>308.36300000000006</v>
          </cell>
          <cell r="AX100">
            <v>77.670999999999978</v>
          </cell>
          <cell r="AY100">
            <v>87.396000000000015</v>
          </cell>
          <cell r="AZ100">
            <v>99.047999999999902</v>
          </cell>
          <cell r="BA100">
            <v>85.436000000000035</v>
          </cell>
          <cell r="BB100">
            <v>349.55099999999999</v>
          </cell>
          <cell r="BC100">
            <v>90.776999999999973</v>
          </cell>
          <cell r="BD100">
            <v>100.53700000000001</v>
          </cell>
          <cell r="BE100">
            <v>97.522000000000062</v>
          </cell>
          <cell r="BF100">
            <v>97.094999999999999</v>
          </cell>
          <cell r="BG100">
            <v>386.31037453220534</v>
          </cell>
          <cell r="BH100">
            <v>101.62499999999996</v>
          </cell>
          <cell r="BI100">
            <v>109.34414434404147</v>
          </cell>
          <cell r="BJ100">
            <v>110.62518111897685</v>
          </cell>
          <cell r="BK100">
            <v>112.76478036990457</v>
          </cell>
          <cell r="BL100">
            <v>434.43691598127452</v>
          </cell>
          <cell r="BM100">
            <v>482.77019494199499</v>
          </cell>
          <cell r="BN100">
            <v>539.61742118986717</v>
          </cell>
          <cell r="BO100">
            <v>602.90038502884613</v>
          </cell>
          <cell r="BR100" t="str">
            <v>Pretax Income</v>
          </cell>
          <cell r="BS100">
            <v>99.468999999999966</v>
          </cell>
          <cell r="BT100">
            <v>133.292</v>
          </cell>
          <cell r="BU100">
            <v>109.64300000000003</v>
          </cell>
          <cell r="BV100">
            <v>131.721</v>
          </cell>
          <cell r="BW100">
            <v>153.4910000000001</v>
          </cell>
          <cell r="BX100">
            <v>263.41300000000012</v>
          </cell>
          <cell r="BY100">
            <v>289.40899999999999</v>
          </cell>
          <cell r="BZ100">
            <v>313.07099999999997</v>
          </cell>
          <cell r="CA100">
            <v>308.36300000000006</v>
          </cell>
          <cell r="CB100">
            <v>349.55099999999999</v>
          </cell>
          <cell r="CC100">
            <v>386.31037453220534</v>
          </cell>
          <cell r="CD100">
            <v>434.43691598127452</v>
          </cell>
          <cell r="CE100">
            <v>482.77019494199499</v>
          </cell>
          <cell r="CF100">
            <v>539.61742118986717</v>
          </cell>
          <cell r="CG100">
            <v>602.90038502884613</v>
          </cell>
        </row>
        <row r="101">
          <cell r="A101" t="str">
            <v>Tax rate</v>
          </cell>
          <cell r="T101">
            <v>0.37226543787211719</v>
          </cell>
          <cell r="U101">
            <v>0.36584016231456346</v>
          </cell>
          <cell r="V101">
            <v>0.49966058960434429</v>
          </cell>
          <cell r="W101">
            <v>0.40746686505217422</v>
          </cell>
          <cell r="X101">
            <v>0.39950876598627905</v>
          </cell>
          <cell r="Y101">
            <v>0.37160692861427735</v>
          </cell>
          <cell r="Z101">
            <v>0.34436116136813988</v>
          </cell>
          <cell r="AA101">
            <v>0.29178224441314954</v>
          </cell>
          <cell r="AB101">
            <v>0.36564567647729856</v>
          </cell>
          <cell r="AC101">
            <v>0.34151313716483228</v>
          </cell>
          <cell r="AD101">
            <v>0.35570568150178061</v>
          </cell>
          <cell r="AE101">
            <v>0.3443006583887811</v>
          </cell>
          <cell r="AF101">
            <v>0.36140434426012641</v>
          </cell>
          <cell r="AG101">
            <v>0.38343429768442494</v>
          </cell>
          <cell r="AH101">
            <v>0.36339920320377045</v>
          </cell>
          <cell r="AI101">
            <v>0.29459850869528798</v>
          </cell>
          <cell r="AJ101">
            <v>0.33099201174678661</v>
          </cell>
          <cell r="AK101">
            <v>0.35870233167530485</v>
          </cell>
          <cell r="AL101">
            <v>0.375</v>
          </cell>
          <cell r="AM101">
            <v>0.35606632698823293</v>
          </cell>
          <cell r="AN101">
            <v>0.28600678915889877</v>
          </cell>
          <cell r="AO101">
            <v>0.3302249235783189</v>
          </cell>
          <cell r="AP101">
            <v>0.35722636927781265</v>
          </cell>
          <cell r="AQ101">
            <v>0.375</v>
          </cell>
          <cell r="AR101">
            <v>0.36068176228395482</v>
          </cell>
          <cell r="AS101">
            <v>0.35876969935955816</v>
          </cell>
          <cell r="AT101">
            <v>0.32417530183477511</v>
          </cell>
          <cell r="AU101">
            <v>0.35387773494217178</v>
          </cell>
          <cell r="AV101">
            <v>0.38797049847405912</v>
          </cell>
          <cell r="AW101">
            <v>0.35476370381660571</v>
          </cell>
          <cell r="AX101">
            <v>0.36095840146257946</v>
          </cell>
          <cell r="AY101">
            <v>0.35927273559430634</v>
          </cell>
          <cell r="AZ101">
            <v>0.34976980857765966</v>
          </cell>
          <cell r="BA101">
            <v>0.29773163537618791</v>
          </cell>
          <cell r="BB101">
            <v>0.34191291113456979</v>
          </cell>
          <cell r="BC101">
            <v>0.33499675027815429</v>
          </cell>
          <cell r="BD101">
            <v>0.33407601181654517</v>
          </cell>
          <cell r="BE101">
            <v>0.33060232562908859</v>
          </cell>
          <cell r="BF101">
            <v>0.29708017920593233</v>
          </cell>
          <cell r="BG101">
            <v>0.32378887093432762</v>
          </cell>
          <cell r="BH101">
            <v>0.28215498154981561</v>
          </cell>
          <cell r="BI101">
            <v>0.32</v>
          </cell>
          <cell r="BJ101">
            <v>0.32</v>
          </cell>
          <cell r="BK101">
            <v>0.32</v>
          </cell>
          <cell r="BL101">
            <v>0.31108984732862949</v>
          </cell>
          <cell r="BM101">
            <v>0.30108984732862948</v>
          </cell>
          <cell r="BN101">
            <v>0.30108984732862948</v>
          </cell>
          <cell r="BO101">
            <v>0.30108984732862948</v>
          </cell>
          <cell r="BR101" t="str">
            <v>Tax rate</v>
          </cell>
          <cell r="BW101">
            <v>0.39950876598627905</v>
          </cell>
          <cell r="BX101">
            <v>0.34151313716483228</v>
          </cell>
          <cell r="BY101">
            <v>0.36339920320377045</v>
          </cell>
          <cell r="BZ101">
            <v>0.36068176228395482</v>
          </cell>
          <cell r="CA101">
            <v>0.35476370381660571</v>
          </cell>
          <cell r="CB101">
            <v>0.34191291113456979</v>
          </cell>
          <cell r="CC101">
            <v>0.32378887093432762</v>
          </cell>
          <cell r="CD101">
            <v>0.31108984732862949</v>
          </cell>
          <cell r="CE101">
            <v>0.30108984732862948</v>
          </cell>
          <cell r="CF101">
            <v>0.30108984732862948</v>
          </cell>
          <cell r="CG101">
            <v>0.30108984732862948</v>
          </cell>
        </row>
        <row r="102">
          <cell r="A102" t="str">
            <v>Income Tax Benefit (Expense)- Reported</v>
          </cell>
          <cell r="C102">
            <v>-5.328000000000003</v>
          </cell>
          <cell r="D102">
            <v>-36.097000000000001</v>
          </cell>
          <cell r="E102">
            <v>-12.925000000000001</v>
          </cell>
          <cell r="F102">
            <v>-11.853999999999999</v>
          </cell>
          <cell r="G102">
            <v>-11.54</v>
          </cell>
          <cell r="H102">
            <v>-15.862</v>
          </cell>
          <cell r="I102">
            <v>-52.181000000000004</v>
          </cell>
          <cell r="J102">
            <v>-10.801</v>
          </cell>
          <cell r="K102">
            <v>-11.754</v>
          </cell>
          <cell r="L102">
            <v>-11.269</v>
          </cell>
          <cell r="M102">
            <v>-7.5510000000000002</v>
          </cell>
          <cell r="N102">
            <v>-41.375</v>
          </cell>
          <cell r="O102">
            <v>-9.6609999999999996</v>
          </cell>
          <cell r="P102">
            <v>-12.353999999999999</v>
          </cell>
          <cell r="Q102">
            <v>-12.787000000000001</v>
          </cell>
          <cell r="R102">
            <v>-15.118</v>
          </cell>
          <cell r="S102">
            <v>-49.92</v>
          </cell>
          <cell r="T102">
            <v>-16.318999999999999</v>
          </cell>
          <cell r="U102">
            <v>-13.884</v>
          </cell>
          <cell r="V102">
            <v>-10.305</v>
          </cell>
          <cell r="W102">
            <v>-20.812999999999999</v>
          </cell>
          <cell r="X102">
            <v>-61.320999999999998</v>
          </cell>
          <cell r="Y102">
            <v>-19.823</v>
          </cell>
          <cell r="Z102">
            <v>-23.981999999999999</v>
          </cell>
          <cell r="AA102">
            <v>-20.512</v>
          </cell>
          <cell r="AB102">
            <v>-25.641999999999999</v>
          </cell>
          <cell r="AC102">
            <v>-89.959000000000003</v>
          </cell>
          <cell r="AD102">
            <v>-24.273</v>
          </cell>
          <cell r="AE102">
            <v>-19.715</v>
          </cell>
          <cell r="AF102">
            <v>-27.32</v>
          </cell>
          <cell r="AG102">
            <v>-33.863</v>
          </cell>
          <cell r="AH102">
            <v>-105.17099999999999</v>
          </cell>
          <cell r="AI102">
            <v>-24.614000000000001</v>
          </cell>
          <cell r="AJ102">
            <v>-30.206</v>
          </cell>
          <cell r="AK102">
            <v>-30.937000000000001</v>
          </cell>
          <cell r="AL102">
            <v>-37.307000000000002</v>
          </cell>
          <cell r="AM102">
            <v>-123.06400000000001</v>
          </cell>
          <cell r="AN102">
            <v>-21.231999999999999</v>
          </cell>
          <cell r="AO102">
            <v>-27.763000000000002</v>
          </cell>
          <cell r="AP102">
            <v>-27.803999999999998</v>
          </cell>
          <cell r="AQ102">
            <v>-36.119999999999997</v>
          </cell>
          <cell r="AR102">
            <v>-112.91900000000001</v>
          </cell>
          <cell r="AS102">
            <v>-26.385000000000002</v>
          </cell>
          <cell r="AT102">
            <v>-27.28</v>
          </cell>
          <cell r="AU102">
            <v>-28.271999999999998</v>
          </cell>
          <cell r="AV102">
            <v>-27.459</v>
          </cell>
          <cell r="AW102">
            <v>-109.39600000000002</v>
          </cell>
          <cell r="AX102">
            <v>-28.036000000000001</v>
          </cell>
          <cell r="AY102">
            <v>-31.399000000000001</v>
          </cell>
          <cell r="AZ102">
            <v>-34.643999999999998</v>
          </cell>
          <cell r="BA102">
            <v>-25.437000000000001</v>
          </cell>
          <cell r="BB102">
            <v>-119.51600000000001</v>
          </cell>
          <cell r="BC102">
            <v>-30.41</v>
          </cell>
          <cell r="BD102">
            <v>-33.587000000000003</v>
          </cell>
          <cell r="BE102">
            <v>-32.241</v>
          </cell>
          <cell r="BF102">
            <v>-28.844999999999999</v>
          </cell>
          <cell r="BG102">
            <v>-125.083</v>
          </cell>
          <cell r="BH102">
            <v>-28.673999999999999</v>
          </cell>
          <cell r="BI102">
            <v>-34.990126190093271</v>
          </cell>
          <cell r="BJ102">
            <v>-35.400057958072594</v>
          </cell>
          <cell r="BK102">
            <v>-36.084729718369466</v>
          </cell>
          <cell r="BL102">
            <v>-135.14891386653534</v>
          </cell>
          <cell r="BM102">
            <v>-145.35720428989796</v>
          </cell>
          <cell r="BN102">
            <v>-162.47332696192586</v>
          </cell>
          <cell r="BO102">
            <v>-181.52718488270722</v>
          </cell>
          <cell r="BR102" t="str">
            <v>Income Tax Benefit (Expense)- Reported</v>
          </cell>
          <cell r="BS102">
            <v>-36.097000000000001</v>
          </cell>
          <cell r="BT102">
            <v>-52.181000000000004</v>
          </cell>
          <cell r="BU102">
            <v>-41.375</v>
          </cell>
          <cell r="BV102">
            <v>-49.92</v>
          </cell>
          <cell r="BW102">
            <v>-61.320999999999998</v>
          </cell>
          <cell r="BX102">
            <v>-89.959000000000003</v>
          </cell>
          <cell r="BY102">
            <v>-105.17099999999999</v>
          </cell>
          <cell r="BZ102">
            <v>-112.91900000000001</v>
          </cell>
          <cell r="CA102">
            <v>-109.39600000000002</v>
          </cell>
          <cell r="CB102">
            <v>-119.51600000000001</v>
          </cell>
          <cell r="CC102">
            <v>-125.083</v>
          </cell>
          <cell r="CD102">
            <v>-135.14891386653534</v>
          </cell>
          <cell r="CE102">
            <v>-145.35720428989796</v>
          </cell>
          <cell r="CF102">
            <v>-162.47332696192586</v>
          </cell>
          <cell r="CG102">
            <v>-181.52718488270722</v>
          </cell>
        </row>
        <row r="103">
          <cell r="AO103">
            <v>-0.222</v>
          </cell>
        </row>
        <row r="104">
          <cell r="A104" t="str">
            <v>Income Tax Benefit (Expense)</v>
          </cell>
          <cell r="C104">
            <v>-5.328000000000003</v>
          </cell>
          <cell r="D104">
            <v>-36.097000000000001</v>
          </cell>
          <cell r="E104">
            <v>-12.925000000000001</v>
          </cell>
          <cell r="F104">
            <v>-11.853999999999999</v>
          </cell>
          <cell r="G104">
            <v>-11.54</v>
          </cell>
          <cell r="H104">
            <v>-15.862</v>
          </cell>
          <cell r="I104">
            <v>-52.181000000000004</v>
          </cell>
          <cell r="J104">
            <v>-10.801</v>
          </cell>
          <cell r="K104">
            <v>-11.754</v>
          </cell>
          <cell r="L104">
            <v>-11.269</v>
          </cell>
          <cell r="M104">
            <v>-7.5510000000000002</v>
          </cell>
          <cell r="N104">
            <v>-41.375</v>
          </cell>
          <cell r="O104">
            <v>-9.6609999999999996</v>
          </cell>
          <cell r="P104">
            <v>-12.353999999999999</v>
          </cell>
          <cell r="Q104">
            <v>-12.787000000000001</v>
          </cell>
          <cell r="R104">
            <v>-15.118</v>
          </cell>
          <cell r="S104">
            <v>-49.92</v>
          </cell>
          <cell r="T104">
            <v>-16.318999999999999</v>
          </cell>
          <cell r="U104">
            <v>-13.884</v>
          </cell>
          <cell r="V104">
            <v>-10.305</v>
          </cell>
          <cell r="W104">
            <v>-20.812999999999999</v>
          </cell>
          <cell r="X104">
            <v>-61.320999999999998</v>
          </cell>
          <cell r="Y104">
            <v>-19.823</v>
          </cell>
          <cell r="Z104">
            <v>-23.981999999999999</v>
          </cell>
          <cell r="AA104">
            <v>-20.512</v>
          </cell>
          <cell r="AB104">
            <v>-25.641999999999999</v>
          </cell>
          <cell r="AC104">
            <v>-89.959000000000003</v>
          </cell>
          <cell r="AD104">
            <v>-24.273</v>
          </cell>
          <cell r="AE104">
            <v>-19.715</v>
          </cell>
          <cell r="AF104">
            <v>-27.32</v>
          </cell>
          <cell r="AG104">
            <v>-33.863</v>
          </cell>
          <cell r="AH104">
            <v>-105.17099999999999</v>
          </cell>
          <cell r="AI104">
            <v>-24.614000000000001</v>
          </cell>
          <cell r="AJ104">
            <v>-30.206</v>
          </cell>
          <cell r="AK104">
            <v>-30.937000000000001</v>
          </cell>
          <cell r="AL104">
            <v>-37.307000000000002</v>
          </cell>
          <cell r="AM104">
            <v>-123.06400000000001</v>
          </cell>
          <cell r="AN104">
            <v>-21.231999999999999</v>
          </cell>
          <cell r="AO104">
            <v>-27.985000000000003</v>
          </cell>
          <cell r="AP104">
            <v>-27.803999999999998</v>
          </cell>
          <cell r="AQ104">
            <v>-36.119999999999997</v>
          </cell>
          <cell r="AR104">
            <v>-112.91900000000001</v>
          </cell>
          <cell r="AS104">
            <v>-26.385000000000002</v>
          </cell>
          <cell r="AT104">
            <v>-27.28</v>
          </cell>
          <cell r="AU104">
            <v>-28.271999999999998</v>
          </cell>
          <cell r="AV104">
            <v>-27.459</v>
          </cell>
          <cell r="AW104">
            <v>-109.39600000000002</v>
          </cell>
          <cell r="AX104">
            <v>-28.036000000000001</v>
          </cell>
          <cell r="AY104">
            <v>-31.399000000000001</v>
          </cell>
          <cell r="AZ104">
            <v>-34.643999999999998</v>
          </cell>
          <cell r="BA104">
            <v>-25.437000000000001</v>
          </cell>
          <cell r="BB104">
            <v>-119.51600000000001</v>
          </cell>
          <cell r="BC104">
            <v>-30.41</v>
          </cell>
          <cell r="BD104">
            <v>-33.587000000000003</v>
          </cell>
          <cell r="BE104">
            <v>-32.241</v>
          </cell>
          <cell r="BF104">
            <v>-28.844999999999999</v>
          </cell>
          <cell r="BG104">
            <v>-125.083</v>
          </cell>
          <cell r="BH104">
            <v>-28.673999999999999</v>
          </cell>
          <cell r="BI104">
            <v>-34.990126190093271</v>
          </cell>
          <cell r="BJ104">
            <v>-35.400057958072594</v>
          </cell>
          <cell r="BK104">
            <v>-36.084729718369466</v>
          </cell>
          <cell r="BL104">
            <v>-135.14891386653534</v>
          </cell>
          <cell r="BM104">
            <v>-145.35720428989796</v>
          </cell>
          <cell r="BN104">
            <v>-162.47332696192586</v>
          </cell>
          <cell r="BO104">
            <v>-181.52718488270722</v>
          </cell>
          <cell r="BR104" t="str">
            <v>Income Tax Benefit (Expense)</v>
          </cell>
          <cell r="BS104">
            <v>-36.097000000000001</v>
          </cell>
          <cell r="BT104">
            <v>-52.181000000000004</v>
          </cell>
          <cell r="BU104">
            <v>-41.375</v>
          </cell>
          <cell r="BV104">
            <v>-49.92</v>
          </cell>
          <cell r="BW104">
            <v>-61.320999999999998</v>
          </cell>
          <cell r="BX104">
            <v>-89.959000000000003</v>
          </cell>
          <cell r="BY104">
            <v>-105.17099999999999</v>
          </cell>
          <cell r="BZ104">
            <v>-112.91900000000001</v>
          </cell>
          <cell r="CA104">
            <v>-109.39600000000002</v>
          </cell>
          <cell r="CB104">
            <v>-119.51600000000001</v>
          </cell>
          <cell r="CC104">
            <v>-125.083</v>
          </cell>
          <cell r="CD104">
            <v>-135.14891386653534</v>
          </cell>
          <cell r="CE104">
            <v>-145.35720428989796</v>
          </cell>
          <cell r="CF104">
            <v>-162.47332696192586</v>
          </cell>
          <cell r="CG104">
            <v>-181.52718488270722</v>
          </cell>
          <cell r="CI104" t="str">
            <v>mstag:taxExpenseIncome</v>
          </cell>
          <cell r="CJ104">
            <v>6</v>
          </cell>
          <cell r="CK104" t="str">
            <v>ISO4217:USD</v>
          </cell>
          <cell r="CL104" t="b">
            <v>1</v>
          </cell>
        </row>
        <row r="105">
          <cell r="CI105" t="str">
            <v>mstag:taxExpenseIncome</v>
          </cell>
          <cell r="CJ105">
            <v>6</v>
          </cell>
          <cell r="CK105" t="str">
            <v>ISO4217:USD</v>
          </cell>
          <cell r="CL105" t="b">
            <v>1</v>
          </cell>
        </row>
        <row r="107">
          <cell r="A107" t="str">
            <v>Net Income from Operations</v>
          </cell>
          <cell r="C107">
            <v>8.4879999999999924</v>
          </cell>
          <cell r="D107">
            <v>63.371999999999964</v>
          </cell>
          <cell r="E107">
            <v>21.642000000000014</v>
          </cell>
          <cell r="F107">
            <v>19.850999999999992</v>
          </cell>
          <cell r="G107">
            <v>21.379000000000012</v>
          </cell>
          <cell r="H107">
            <v>18.238999999999997</v>
          </cell>
          <cell r="I107">
            <v>81.11099999999999</v>
          </cell>
          <cell r="J107">
            <v>17.93399999999999</v>
          </cell>
          <cell r="K107">
            <v>18.631000000000007</v>
          </cell>
          <cell r="L107">
            <v>18.878000000000007</v>
          </cell>
          <cell r="M107">
            <v>12.824999999999998</v>
          </cell>
          <cell r="N107">
            <v>68.268000000000029</v>
          </cell>
          <cell r="O107">
            <v>16.723999999999997</v>
          </cell>
          <cell r="P107">
            <v>19.618000000000002</v>
          </cell>
          <cell r="Q107">
            <v>20.923999999999985</v>
          </cell>
          <cell r="R107">
            <v>24.534999999999997</v>
          </cell>
          <cell r="S107">
            <v>81.801000000000002</v>
          </cell>
          <cell r="T107">
            <v>27.517999999999997</v>
          </cell>
          <cell r="U107">
            <v>24.067000000000007</v>
          </cell>
          <cell r="V107">
            <v>10.319000000000006</v>
          </cell>
          <cell r="W107">
            <v>30.26599999999998</v>
          </cell>
          <cell r="X107">
            <v>92.170000000000101</v>
          </cell>
          <cell r="Y107">
            <v>33.520999999999972</v>
          </cell>
          <cell r="Z107">
            <v>45.660000000000011</v>
          </cell>
          <cell r="AA107">
            <v>49.787000000000006</v>
          </cell>
          <cell r="AB107">
            <v>44.486000000000018</v>
          </cell>
          <cell r="AC107">
            <v>173.45400000000012</v>
          </cell>
          <cell r="AD107">
            <v>43.96599999999998</v>
          </cell>
          <cell r="AE107">
            <v>37.546000000000021</v>
          </cell>
          <cell r="AF107">
            <v>48.274000000000008</v>
          </cell>
          <cell r="AG107">
            <v>54.452000000000027</v>
          </cell>
          <cell r="AH107">
            <v>184.238</v>
          </cell>
          <cell r="AI107">
            <v>58.936999999999983</v>
          </cell>
          <cell r="AJ107">
            <v>61.052999999999997</v>
          </cell>
          <cell r="AK107">
            <v>55.30999999999996</v>
          </cell>
          <cell r="AL107">
            <v>47.256999999999948</v>
          </cell>
          <cell r="AM107">
            <v>222.55699999999985</v>
          </cell>
          <cell r="AN107">
            <v>53.003999999999962</v>
          </cell>
          <cell r="AO107">
            <v>56.087999999999994</v>
          </cell>
          <cell r="AP107">
            <v>50.029000000000011</v>
          </cell>
          <cell r="AQ107">
            <v>40.808999999999976</v>
          </cell>
          <cell r="AR107">
            <v>199.92999999999995</v>
          </cell>
          <cell r="AS107">
            <v>47.158000000000044</v>
          </cell>
          <cell r="AT107">
            <v>56.872000000000014</v>
          </cell>
          <cell r="AU107">
            <v>51.620000000000026</v>
          </cell>
          <cell r="AV107">
            <v>43.316999999999979</v>
          </cell>
          <cell r="AW107">
            <v>198.96700000000004</v>
          </cell>
          <cell r="AX107">
            <v>49.634999999999977</v>
          </cell>
          <cell r="AY107">
            <v>55.997000000000014</v>
          </cell>
          <cell r="AZ107">
            <v>64.403999999999911</v>
          </cell>
          <cell r="BA107">
            <v>59.999000000000038</v>
          </cell>
          <cell r="BB107">
            <v>230.03499999999997</v>
          </cell>
          <cell r="BC107">
            <v>60.366999999999976</v>
          </cell>
          <cell r="BD107">
            <v>66.95</v>
          </cell>
          <cell r="BE107">
            <v>65.281000000000063</v>
          </cell>
          <cell r="BF107">
            <v>68.25</v>
          </cell>
          <cell r="BG107">
            <v>261.22737453220532</v>
          </cell>
          <cell r="BH107">
            <v>72.950999999999965</v>
          </cell>
          <cell r="BI107">
            <v>74.354018153948203</v>
          </cell>
          <cell r="BJ107">
            <v>75.225123160904261</v>
          </cell>
          <cell r="BK107">
            <v>76.680050651535112</v>
          </cell>
          <cell r="BL107">
            <v>299.28800211473919</v>
          </cell>
          <cell r="BM107">
            <v>337.41299065209705</v>
          </cell>
          <cell r="BN107">
            <v>377.14409422794131</v>
          </cell>
          <cell r="BO107">
            <v>421.37320014613891</v>
          </cell>
          <cell r="BR107" t="str">
            <v>Net Income from Operations</v>
          </cell>
          <cell r="BS107">
            <v>63.371999999999964</v>
          </cell>
          <cell r="BT107">
            <v>81.11099999999999</v>
          </cell>
          <cell r="BU107">
            <v>68.268000000000029</v>
          </cell>
          <cell r="BV107">
            <v>81.801000000000002</v>
          </cell>
          <cell r="BW107">
            <v>92.170000000000101</v>
          </cell>
          <cell r="BX107">
            <v>173.45400000000012</v>
          </cell>
          <cell r="BY107">
            <v>184.238</v>
          </cell>
          <cell r="BZ107">
            <v>199.92999999999995</v>
          </cell>
          <cell r="CA107">
            <v>198.96700000000004</v>
          </cell>
          <cell r="CB107">
            <v>230.03499999999997</v>
          </cell>
          <cell r="CC107">
            <v>261.22737453220532</v>
          </cell>
          <cell r="CD107">
            <v>299.28800211473919</v>
          </cell>
          <cell r="CE107">
            <v>337.41299065209705</v>
          </cell>
          <cell r="CF107">
            <v>377.14409422794131</v>
          </cell>
          <cell r="CG107">
            <v>421.37320014613891</v>
          </cell>
        </row>
        <row r="109">
          <cell r="A109" t="str">
            <v xml:space="preserve">Income from discontinued operations, net </v>
          </cell>
          <cell r="C109">
            <v>7.1880000000000006</v>
          </cell>
          <cell r="D109">
            <v>8.0730000000000004</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5.9330000000000211</v>
          </cell>
          <cell r="AO109">
            <v>4.9650000000000034</v>
          </cell>
          <cell r="AP109">
            <v>5.2809999999999491</v>
          </cell>
          <cell r="AQ109">
            <v>6.447999999999972</v>
          </cell>
          <cell r="AR109">
            <v>22.626999999999946</v>
          </cell>
          <cell r="AS109">
            <v>33.253</v>
          </cell>
          <cell r="AT109">
            <v>50.856999999999999</v>
          </cell>
          <cell r="AU109">
            <v>-0.01</v>
          </cell>
          <cell r="AV109">
            <v>1.071</v>
          </cell>
          <cell r="AW109">
            <v>85.170999999999992</v>
          </cell>
          <cell r="AX109">
            <v>-5.7969999999999997</v>
          </cell>
          <cell r="AY109">
            <v>0</v>
          </cell>
          <cell r="AZ109">
            <v>0</v>
          </cell>
          <cell r="BA109">
            <v>-0.59299999999999997</v>
          </cell>
          <cell r="BB109">
            <v>-6.39</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R109" t="str">
            <v xml:space="preserve">Income from discontinued operations, net </v>
          </cell>
          <cell r="BS109">
            <v>8.0730000000000004</v>
          </cell>
          <cell r="BT109">
            <v>0</v>
          </cell>
          <cell r="BU109">
            <v>0</v>
          </cell>
          <cell r="BV109">
            <v>0</v>
          </cell>
          <cell r="BW109">
            <v>0</v>
          </cell>
          <cell r="BX109">
            <v>0</v>
          </cell>
          <cell r="BY109">
            <v>0</v>
          </cell>
          <cell r="BZ109">
            <v>22.626999999999946</v>
          </cell>
          <cell r="CA109">
            <v>85.170999999999992</v>
          </cell>
          <cell r="CB109">
            <v>-6.39</v>
          </cell>
          <cell r="CC109">
            <v>0</v>
          </cell>
          <cell r="CD109">
            <v>0</v>
          </cell>
          <cell r="CE109">
            <v>0</v>
          </cell>
          <cell r="CF109">
            <v>0</v>
          </cell>
          <cell r="CG109">
            <v>0</v>
          </cell>
          <cell r="CI109" t="str">
            <v>mstag:incomeLossFromDiscontinuedOperationsNetOfTax</v>
          </cell>
          <cell r="CJ109">
            <v>6</v>
          </cell>
          <cell r="CK109" t="str">
            <v>ISO4217:USD</v>
          </cell>
          <cell r="CL109" t="b">
            <v>0</v>
          </cell>
        </row>
        <row r="111">
          <cell r="A111" t="str">
            <v>Net Income - GAAP</v>
          </cell>
          <cell r="C111">
            <v>15.675999999999993</v>
          </cell>
          <cell r="D111">
            <v>71.444999999999965</v>
          </cell>
          <cell r="E111">
            <v>21.642000000000014</v>
          </cell>
          <cell r="F111">
            <v>19.850999999999992</v>
          </cell>
          <cell r="G111">
            <v>21.379000000000012</v>
          </cell>
          <cell r="H111">
            <v>18.238999999999997</v>
          </cell>
          <cell r="I111">
            <v>81.11099999999999</v>
          </cell>
          <cell r="J111">
            <v>17.93399999999999</v>
          </cell>
          <cell r="K111">
            <v>18.631000000000007</v>
          </cell>
          <cell r="L111">
            <v>18.878000000000007</v>
          </cell>
          <cell r="M111">
            <v>12.824999999999998</v>
          </cell>
          <cell r="N111">
            <v>68.268000000000029</v>
          </cell>
          <cell r="O111">
            <v>16.723999999999997</v>
          </cell>
          <cell r="P111">
            <v>19.618000000000002</v>
          </cell>
          <cell r="Q111">
            <v>20.923999999999985</v>
          </cell>
          <cell r="R111">
            <v>24.534999999999997</v>
          </cell>
          <cell r="S111">
            <v>81.801000000000002</v>
          </cell>
          <cell r="T111">
            <v>27.517999999999997</v>
          </cell>
          <cell r="U111">
            <v>24.067000000000007</v>
          </cell>
          <cell r="V111">
            <v>10.319000000000006</v>
          </cell>
          <cell r="W111">
            <v>30.26599999999998</v>
          </cell>
          <cell r="X111">
            <v>92.170000000000101</v>
          </cell>
          <cell r="Y111">
            <v>33.520999999999972</v>
          </cell>
          <cell r="Z111">
            <v>45.660000000000011</v>
          </cell>
          <cell r="AA111">
            <v>49.787000000000006</v>
          </cell>
          <cell r="AB111">
            <v>44.486000000000018</v>
          </cell>
          <cell r="AC111">
            <v>173.45400000000012</v>
          </cell>
          <cell r="AD111">
            <v>43.96599999999998</v>
          </cell>
          <cell r="AE111">
            <v>37.546000000000021</v>
          </cell>
          <cell r="AF111">
            <v>48.274000000000008</v>
          </cell>
          <cell r="AG111">
            <v>54.452000000000027</v>
          </cell>
          <cell r="AH111">
            <v>184.238</v>
          </cell>
          <cell r="AI111">
            <v>58.936999999999983</v>
          </cell>
          <cell r="AJ111">
            <v>61.052999999999997</v>
          </cell>
          <cell r="AK111">
            <v>55.30999999999996</v>
          </cell>
          <cell r="AL111">
            <v>47.256999999999948</v>
          </cell>
          <cell r="AM111">
            <v>222.55699999999985</v>
          </cell>
          <cell r="AN111">
            <v>58.936999999999983</v>
          </cell>
          <cell r="AO111">
            <v>61.052999999999997</v>
          </cell>
          <cell r="AP111">
            <v>55.30999999999996</v>
          </cell>
          <cell r="AQ111">
            <v>47.256999999999948</v>
          </cell>
          <cell r="AR111">
            <v>222.5569999999999</v>
          </cell>
          <cell r="AS111">
            <v>80.411000000000044</v>
          </cell>
          <cell r="AT111">
            <v>107.72900000000001</v>
          </cell>
          <cell r="AU111">
            <v>51.610000000000028</v>
          </cell>
          <cell r="AV111">
            <v>44.387999999999977</v>
          </cell>
          <cell r="AW111">
            <v>284.13800000000003</v>
          </cell>
          <cell r="AX111">
            <v>43.83799999999998</v>
          </cell>
          <cell r="AY111">
            <v>55.997000000000014</v>
          </cell>
          <cell r="AZ111">
            <v>64.403999999999911</v>
          </cell>
          <cell r="BA111">
            <v>59.406000000000034</v>
          </cell>
          <cell r="BB111">
            <v>223.64499999999998</v>
          </cell>
          <cell r="BC111">
            <v>60.366999999999976</v>
          </cell>
          <cell r="BD111">
            <v>66.95</v>
          </cell>
          <cell r="BE111">
            <v>65.281000000000063</v>
          </cell>
          <cell r="BF111">
            <v>68.25</v>
          </cell>
          <cell r="BG111">
            <v>261.22737453220532</v>
          </cell>
          <cell r="BH111">
            <v>72.950999999999965</v>
          </cell>
          <cell r="BI111">
            <v>74.354018153948203</v>
          </cell>
          <cell r="BJ111">
            <v>75.225123160904261</v>
          </cell>
          <cell r="BK111">
            <v>76.680050651535112</v>
          </cell>
          <cell r="BL111">
            <v>299.28800211473919</v>
          </cell>
          <cell r="BM111">
            <v>337.41299065209705</v>
          </cell>
          <cell r="BN111">
            <v>377.14409422794131</v>
          </cell>
          <cell r="BO111">
            <v>421.37320014613891</v>
          </cell>
          <cell r="BR111" t="str">
            <v>Net Income - GAAP</v>
          </cell>
          <cell r="BS111">
            <v>71.444999999999965</v>
          </cell>
          <cell r="BT111">
            <v>81.11099999999999</v>
          </cell>
          <cell r="BU111">
            <v>68.268000000000029</v>
          </cell>
          <cell r="BV111">
            <v>81.801000000000002</v>
          </cell>
          <cell r="BW111">
            <v>92.170000000000101</v>
          </cell>
          <cell r="BX111">
            <v>173.45400000000012</v>
          </cell>
          <cell r="BY111">
            <v>184.238</v>
          </cell>
          <cell r="BZ111">
            <v>222.5569999999999</v>
          </cell>
          <cell r="CA111">
            <v>284.13800000000003</v>
          </cell>
          <cell r="CB111">
            <v>223.64499999999998</v>
          </cell>
          <cell r="CC111">
            <v>261.22737453220532</v>
          </cell>
          <cell r="CD111">
            <v>299.28800211473919</v>
          </cell>
          <cell r="CE111">
            <v>337.41299065209705</v>
          </cell>
          <cell r="CF111">
            <v>377.14409422794131</v>
          </cell>
          <cell r="CG111">
            <v>421.37320014613891</v>
          </cell>
          <cell r="CI111" t="str">
            <v>mstag:netIncomeAsReported</v>
          </cell>
          <cell r="CJ111">
            <v>6</v>
          </cell>
          <cell r="CK111" t="str">
            <v>ISO4217:USD</v>
          </cell>
          <cell r="CL111" t="b">
            <v>0</v>
          </cell>
        </row>
        <row r="112">
          <cell r="A112" t="str">
            <v>Adjusted Net Income</v>
          </cell>
          <cell r="D112">
            <v>88.10906651318497</v>
          </cell>
          <cell r="E112">
            <v>25.565070327190689</v>
          </cell>
          <cell r="F112">
            <v>23.773615202649417</v>
          </cell>
          <cell r="G112">
            <v>25.728316899055269</v>
          </cell>
          <cell r="H112">
            <v>22.487867071346876</v>
          </cell>
          <cell r="I112">
            <v>97.645736458302054</v>
          </cell>
          <cell r="J112">
            <v>25.374097929354434</v>
          </cell>
          <cell r="K112">
            <v>27.215914628928758</v>
          </cell>
          <cell r="L112">
            <v>26.687318937207692</v>
          </cell>
          <cell r="M112">
            <v>22.701810954063603</v>
          </cell>
          <cell r="N112">
            <v>101.94342642941186</v>
          </cell>
          <cell r="O112">
            <v>24.729462194428649</v>
          </cell>
          <cell r="P112">
            <v>28.064809333166522</v>
          </cell>
          <cell r="Q112">
            <v>29.171696953516637</v>
          </cell>
          <cell r="R112">
            <v>32.232776586891276</v>
          </cell>
          <cell r="S112">
            <v>114.1715189377548</v>
          </cell>
          <cell r="T112">
            <v>33.793265999999996</v>
          </cell>
          <cell r="U112">
            <v>37.317498000000008</v>
          </cell>
          <cell r="V112">
            <v>39.144066800000004</v>
          </cell>
          <cell r="W112">
            <v>44.317679999999982</v>
          </cell>
          <cell r="X112">
            <v>154.32983775000011</v>
          </cell>
          <cell r="Y112">
            <v>52.58604919999997</v>
          </cell>
          <cell r="Z112">
            <v>58.206000000000017</v>
          </cell>
          <cell r="AA112">
            <v>60.912000000000013</v>
          </cell>
          <cell r="AB112">
            <v>55.560000000000016</v>
          </cell>
          <cell r="AC112">
            <v>227.26404919999999</v>
          </cell>
          <cell r="AD112">
            <v>54.623272322279028</v>
          </cell>
          <cell r="AE112">
            <v>61.539000000000023</v>
          </cell>
          <cell r="AF112">
            <v>60.906000000000006</v>
          </cell>
          <cell r="AG112">
            <v>64.16700000000003</v>
          </cell>
          <cell r="AH112">
            <v>241.23527232227909</v>
          </cell>
          <cell r="AI112">
            <v>69.154999999999987</v>
          </cell>
          <cell r="AJ112">
            <v>70.48599999999999</v>
          </cell>
          <cell r="AK112">
            <v>64.585999999999956</v>
          </cell>
          <cell r="AL112">
            <v>57.651999999999944</v>
          </cell>
          <cell r="AM112">
            <v>261.87899999999985</v>
          </cell>
          <cell r="AN112">
            <v>60.973999999999961</v>
          </cell>
          <cell r="AO112">
            <v>62.233999999999995</v>
          </cell>
          <cell r="AP112">
            <v>56.050000000000011</v>
          </cell>
          <cell r="AQ112">
            <v>47.699999999999974</v>
          </cell>
          <cell r="AR112">
            <v>226.95799999999997</v>
          </cell>
          <cell r="AS112">
            <v>54.384000000000043</v>
          </cell>
          <cell r="AT112">
            <v>64.604786196406522</v>
          </cell>
          <cell r="AU112">
            <v>59.098219095779328</v>
          </cell>
          <cell r="AV112">
            <v>55.578999999999979</v>
          </cell>
          <cell r="AW112">
            <v>233.66600529218587</v>
          </cell>
          <cell r="AX112">
            <v>57.112999999999978</v>
          </cell>
          <cell r="AY112">
            <v>63.490305357224599</v>
          </cell>
          <cell r="AZ112">
            <v>65.731999999999928</v>
          </cell>
          <cell r="BA112">
            <v>68.287873507654894</v>
          </cell>
          <cell r="BB112">
            <v>254.62317886487941</v>
          </cell>
          <cell r="BC112">
            <v>68.240638476706636</v>
          </cell>
          <cell r="BD112">
            <v>74.891999999999996</v>
          </cell>
          <cell r="BE112">
            <v>73.147761469207012</v>
          </cell>
          <cell r="BF112">
            <v>76.332172099490194</v>
          </cell>
          <cell r="BG112">
            <v>292.61257204540385</v>
          </cell>
          <cell r="BH112">
            <v>80.509908044280408</v>
          </cell>
          <cell r="BI112">
            <v>80.772764820614867</v>
          </cell>
          <cell r="BJ112">
            <v>81.643869827570924</v>
          </cell>
          <cell r="BK112">
            <v>83.098797318201775</v>
          </cell>
          <cell r="BL112">
            <v>326.025340010668</v>
          </cell>
          <cell r="BM112">
            <v>361.92656534689269</v>
          </cell>
          <cell r="BN112">
            <v>399.56093846472282</v>
          </cell>
          <cell r="BO112">
            <v>440.86510539399075</v>
          </cell>
          <cell r="BP112">
            <v>0.1160446192643052</v>
          </cell>
          <cell r="BR112" t="str">
            <v>Adjusted Net Income</v>
          </cell>
          <cell r="BS112">
            <v>88.10906651318497</v>
          </cell>
          <cell r="BT112">
            <v>97.645736458302054</v>
          </cell>
          <cell r="BU112">
            <v>101.94342642941186</v>
          </cell>
          <cell r="BV112">
            <v>114.1715189377548</v>
          </cell>
          <cell r="BW112">
            <v>154.32983775000011</v>
          </cell>
          <cell r="BX112">
            <v>227.26404919999999</v>
          </cell>
          <cell r="BY112">
            <v>241.23527232227909</v>
          </cell>
          <cell r="BZ112">
            <v>226.95799999999997</v>
          </cell>
          <cell r="CA112">
            <v>233.66600529218587</v>
          </cell>
          <cell r="CB112">
            <v>254.62317886487941</v>
          </cell>
          <cell r="CC112">
            <v>292.61257204540385</v>
          </cell>
          <cell r="CD112">
            <v>326.025340010668</v>
          </cell>
          <cell r="CE112">
            <v>361.92656534689269</v>
          </cell>
          <cell r="CF112">
            <v>399.56093846472282</v>
          </cell>
          <cell r="CG112">
            <v>440.86510539399075</v>
          </cell>
          <cell r="CI112" t="str">
            <v>mstag:netIncomeAdjustedForConsensus</v>
          </cell>
          <cell r="CJ112">
            <v>6</v>
          </cell>
          <cell r="CK112" t="str">
            <v>ISO4217:USD</v>
          </cell>
          <cell r="CL112" t="b">
            <v>0</v>
          </cell>
        </row>
        <row r="114">
          <cell r="A114" t="str">
            <v>Allocations to unvested restricted stock units</v>
          </cell>
          <cell r="O114">
            <v>-0.4850000000000001</v>
          </cell>
          <cell r="P114">
            <v>-0.56899999999999995</v>
          </cell>
          <cell r="Q114">
            <v>0</v>
          </cell>
          <cell r="R114">
            <v>0</v>
          </cell>
          <cell r="S114">
            <v>-1.054</v>
          </cell>
          <cell r="T114">
            <v>-0.45300000000000001</v>
          </cell>
          <cell r="U114">
            <v>-0.33700000000000002</v>
          </cell>
          <cell r="V114">
            <v>-0.11799999999999999</v>
          </cell>
          <cell r="W114">
            <v>0</v>
          </cell>
          <cell r="X114">
            <v>-0.90800000000000003</v>
          </cell>
          <cell r="Y114">
            <v>-0.31900000000000001</v>
          </cell>
          <cell r="Z114">
            <v>-0.433</v>
          </cell>
          <cell r="AA114">
            <v>-0.48299999999999998</v>
          </cell>
          <cell r="AB114">
            <v>0</v>
          </cell>
          <cell r="AC114">
            <v>-1.2349999999999999</v>
          </cell>
          <cell r="AD114">
            <v>0</v>
          </cell>
          <cell r="AE114">
            <v>0</v>
          </cell>
          <cell r="AF114">
            <v>0</v>
          </cell>
          <cell r="AG114">
            <v>0</v>
          </cell>
          <cell r="AH114">
            <v>0</v>
          </cell>
          <cell r="AI114">
            <v>0</v>
          </cell>
          <cell r="AJ114">
            <v>0</v>
          </cell>
          <cell r="AK114">
            <v>-0.1</v>
          </cell>
          <cell r="AL114">
            <v>0</v>
          </cell>
          <cell r="AM114">
            <v>-0.1</v>
          </cell>
          <cell r="AN114">
            <v>-0.1</v>
          </cell>
          <cell r="AO114">
            <v>0</v>
          </cell>
          <cell r="AP114">
            <v>-0.1</v>
          </cell>
          <cell r="AQ114">
            <v>0</v>
          </cell>
          <cell r="AR114">
            <v>-0.2</v>
          </cell>
          <cell r="AS114">
            <v>0</v>
          </cell>
          <cell r="AT114">
            <v>0</v>
          </cell>
          <cell r="AU114">
            <v>-4.4999999999999998E-2</v>
          </cell>
          <cell r="AV114">
            <v>-4.4999999999999998E-2</v>
          </cell>
          <cell r="AW114">
            <v>-0.09</v>
          </cell>
          <cell r="AX114">
            <v>-4.4999999999999998E-2</v>
          </cell>
          <cell r="AY114">
            <v>-4.4999999999999998E-2</v>
          </cell>
          <cell r="AZ114">
            <v>-4.4999999999999998E-2</v>
          </cell>
          <cell r="BA114">
            <v>-4.4999999999999998E-2</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R114" t="str">
            <v>Allocations to unvested restricted stock units</v>
          </cell>
          <cell r="BV114">
            <v>-1.054</v>
          </cell>
          <cell r="BW114">
            <v>-0.90800000000000003</v>
          </cell>
          <cell r="BX114">
            <v>-1.2349999999999999</v>
          </cell>
          <cell r="BY114">
            <v>0</v>
          </cell>
          <cell r="BZ114">
            <v>-0.2</v>
          </cell>
          <cell r="CA114">
            <v>-0.09</v>
          </cell>
          <cell r="CB114">
            <v>0</v>
          </cell>
          <cell r="CC114">
            <v>0</v>
          </cell>
          <cell r="CD114">
            <v>0</v>
          </cell>
          <cell r="CE114">
            <v>0</v>
          </cell>
          <cell r="CF114">
            <v>0</v>
          </cell>
          <cell r="CG114">
            <v>0</v>
          </cell>
        </row>
        <row r="116">
          <cell r="A116" t="str">
            <v>Basic Shares Outstanding</v>
          </cell>
          <cell r="C116" t="str">
            <v>ND</v>
          </cell>
          <cell r="D116" t="str">
            <v>ND</v>
          </cell>
          <cell r="E116" t="str">
            <v>ND</v>
          </cell>
          <cell r="F116" t="str">
            <v>ND</v>
          </cell>
          <cell r="G116" t="str">
            <v>ND</v>
          </cell>
          <cell r="H116">
            <v>100.01138800000001</v>
          </cell>
          <cell r="I116">
            <v>100.01138800000001</v>
          </cell>
          <cell r="J116">
            <v>100.01209</v>
          </cell>
          <cell r="K116">
            <v>100.051693</v>
          </cell>
          <cell r="L116">
            <v>100.05346399999999</v>
          </cell>
          <cell r="M116">
            <v>100.06303699999999</v>
          </cell>
          <cell r="N116">
            <v>100.06303699999999</v>
          </cell>
          <cell r="O116">
            <v>100.07338799999999</v>
          </cell>
          <cell r="P116">
            <v>100.136377</v>
          </cell>
          <cell r="Q116">
            <v>100.146</v>
          </cell>
          <cell r="R116">
            <v>104.78140399999999</v>
          </cell>
          <cell r="S116">
            <v>104.78140399999999</v>
          </cell>
          <cell r="T116">
            <v>104.99746500000001</v>
          </cell>
          <cell r="U116">
            <v>105.01949399999999</v>
          </cell>
          <cell r="V116">
            <v>118.559766</v>
          </cell>
          <cell r="W116">
            <v>119.522043</v>
          </cell>
          <cell r="X116">
            <v>119.522043</v>
          </cell>
          <cell r="Y116">
            <v>121.041957</v>
          </cell>
          <cell r="Z116">
            <v>120.464893</v>
          </cell>
          <cell r="AA116">
            <v>121.197107</v>
          </cell>
          <cell r="AB116">
            <v>121.094893</v>
          </cell>
          <cell r="AC116">
            <v>121.094893</v>
          </cell>
          <cell r="AD116">
            <v>122.41310700000001</v>
          </cell>
          <cell r="AE116">
            <v>121.64689299999999</v>
          </cell>
          <cell r="AF116">
            <v>122.875107</v>
          </cell>
          <cell r="AG116">
            <v>120.22956600000001</v>
          </cell>
          <cell r="AH116">
            <v>120.22956600000001</v>
          </cell>
          <cell r="AI116">
            <v>120.720799</v>
          </cell>
          <cell r="AJ116">
            <v>120.967174</v>
          </cell>
          <cell r="AK116">
            <v>118.403925</v>
          </cell>
          <cell r="AL116">
            <v>116.608423</v>
          </cell>
          <cell r="AM116">
            <v>116.608423</v>
          </cell>
          <cell r="AN116">
            <v>120.720799</v>
          </cell>
          <cell r="AO116">
            <v>120.967174</v>
          </cell>
          <cell r="AP116">
            <v>118.403925</v>
          </cell>
          <cell r="AQ116">
            <v>116.608423</v>
          </cell>
          <cell r="AR116">
            <v>116.608423</v>
          </cell>
          <cell r="AS116">
            <v>116.704758</v>
          </cell>
          <cell r="AT116">
            <v>116.536867</v>
          </cell>
          <cell r="AU116">
            <v>112.030366</v>
          </cell>
          <cell r="AV116">
            <v>112.56763400000001</v>
          </cell>
          <cell r="AW116">
            <v>112.56763400000001</v>
          </cell>
          <cell r="AX116">
            <v>112.47236599999998</v>
          </cell>
          <cell r="AY116">
            <v>111.81363400000002</v>
          </cell>
          <cell r="AZ116">
            <v>105.73236599999997</v>
          </cell>
          <cell r="BA116">
            <v>99.941634000000036</v>
          </cell>
          <cell r="BB116">
            <v>99.941634000000036</v>
          </cell>
          <cell r="BC116">
            <v>98.908365999999958</v>
          </cell>
          <cell r="BD116">
            <v>93.915634000000054</v>
          </cell>
          <cell r="BE116">
            <v>95.730365999999933</v>
          </cell>
          <cell r="BF116">
            <v>90.923634000000064</v>
          </cell>
          <cell r="BG116">
            <v>90.923634000000064</v>
          </cell>
          <cell r="BH116">
            <v>89.89742760016469</v>
          </cell>
          <cell r="BI116">
            <v>88.894909787509363</v>
          </cell>
          <cell r="BJ116">
            <v>87.911966104004051</v>
          </cell>
          <cell r="BK116">
            <v>86.948214365385155</v>
          </cell>
          <cell r="BL116">
            <v>86.948214365385155</v>
          </cell>
          <cell r="BM116">
            <v>84.275885232123173</v>
          </cell>
          <cell r="BN116">
            <v>81.800716046554953</v>
          </cell>
          <cell r="BO116">
            <v>79.508160679429139</v>
          </cell>
          <cell r="BR116" t="str">
            <v>Basic Shares Outstanding</v>
          </cell>
          <cell r="BS116" t="str">
            <v>ND</v>
          </cell>
          <cell r="BT116">
            <v>100.01138800000001</v>
          </cell>
          <cell r="BU116">
            <v>100.06303699999999</v>
          </cell>
          <cell r="BV116">
            <v>104.78140399999999</v>
          </cell>
          <cell r="BW116">
            <v>119.522043</v>
          </cell>
          <cell r="BX116">
            <v>121.094893</v>
          </cell>
          <cell r="BY116">
            <v>120.22956600000001</v>
          </cell>
          <cell r="BZ116">
            <v>116.608423</v>
          </cell>
          <cell r="CA116">
            <v>112.56763400000001</v>
          </cell>
          <cell r="CB116">
            <v>99.941634000000036</v>
          </cell>
          <cell r="CC116">
            <v>90.923634000000064</v>
          </cell>
          <cell r="CD116">
            <v>86.948214365385155</v>
          </cell>
          <cell r="CE116">
            <v>84.275885232123173</v>
          </cell>
          <cell r="CF116">
            <v>81.800716046554953</v>
          </cell>
          <cell r="CG116">
            <v>79.508160679429139</v>
          </cell>
          <cell r="CI116" t="str">
            <v>mstag:periodEndBasicSharesOutstanding</v>
          </cell>
          <cell r="CJ116">
            <v>6</v>
          </cell>
          <cell r="CK116" t="str">
            <v>ms_eqr_gcim_Decimal:ms_eqr_gcim_decimal</v>
          </cell>
          <cell r="CL116" t="b">
            <v>0</v>
          </cell>
        </row>
        <row r="117">
          <cell r="A117" t="str">
            <v>Average Basic Shares Outstanding</v>
          </cell>
          <cell r="C117">
            <v>83.9</v>
          </cell>
          <cell r="D117">
            <v>83.9</v>
          </cell>
          <cell r="E117">
            <v>83.9</v>
          </cell>
          <cell r="F117">
            <v>83.9</v>
          </cell>
          <cell r="G117">
            <v>83.9</v>
          </cell>
          <cell r="H117">
            <v>86.733000000000004</v>
          </cell>
          <cell r="I117">
            <v>84.608000000000004</v>
          </cell>
          <cell r="J117">
            <v>100.011</v>
          </cell>
          <cell r="K117">
            <v>100.026</v>
          </cell>
          <cell r="L117">
            <v>100.05200000000001</v>
          </cell>
          <cell r="M117">
            <v>100.06</v>
          </cell>
          <cell r="N117">
            <v>100.03700000000001</v>
          </cell>
          <cell r="O117">
            <v>100.286</v>
          </cell>
          <cell r="P117">
            <v>100.35899999999999</v>
          </cell>
          <cell r="Q117">
            <v>100.402</v>
          </cell>
          <cell r="R117">
            <v>101.383</v>
          </cell>
          <cell r="S117">
            <v>100.607</v>
          </cell>
          <cell r="T117">
            <v>105.235</v>
          </cell>
          <cell r="U117">
            <v>105.345</v>
          </cell>
          <cell r="V117">
            <v>118.339</v>
          </cell>
          <cell r="W117">
            <v>119.309</v>
          </cell>
          <cell r="X117">
            <v>112.074</v>
          </cell>
          <cell r="Y117">
            <v>120.282</v>
          </cell>
          <cell r="Z117">
            <v>120.592</v>
          </cell>
          <cell r="AA117">
            <v>120.831</v>
          </cell>
          <cell r="AB117">
            <v>121.146</v>
          </cell>
          <cell r="AC117">
            <v>120.717</v>
          </cell>
          <cell r="AD117">
            <v>121.754</v>
          </cell>
          <cell r="AE117">
            <v>122.03</v>
          </cell>
          <cell r="AF117">
            <v>122.261</v>
          </cell>
          <cell r="AG117">
            <v>122.08199999999999</v>
          </cell>
          <cell r="AH117">
            <v>121.79116825</v>
          </cell>
          <cell r="AI117">
            <v>120.746</v>
          </cell>
          <cell r="AJ117">
            <v>121.149</v>
          </cell>
          <cell r="AK117">
            <v>119.607</v>
          </cell>
          <cell r="AL117">
            <v>118.828</v>
          </cell>
          <cell r="AM117">
            <v>119.17508025000001</v>
          </cell>
          <cell r="AN117">
            <v>120.746</v>
          </cell>
          <cell r="AO117">
            <v>121.149</v>
          </cell>
          <cell r="AP117">
            <v>119.607</v>
          </cell>
          <cell r="AQ117">
            <v>118.828</v>
          </cell>
          <cell r="AR117">
            <v>119.17508025000001</v>
          </cell>
          <cell r="AS117">
            <v>117.58199999999999</v>
          </cell>
          <cell r="AT117">
            <v>116.702</v>
          </cell>
          <cell r="AU117">
            <v>116.251</v>
          </cell>
          <cell r="AV117">
            <v>112.29900000000001</v>
          </cell>
          <cell r="AW117">
            <v>114.45990625</v>
          </cell>
          <cell r="AX117">
            <v>112.52</v>
          </cell>
          <cell r="AY117">
            <v>112.143</v>
          </cell>
          <cell r="AZ117">
            <v>108.773</v>
          </cell>
          <cell r="BA117">
            <v>102.837</v>
          </cell>
          <cell r="BB117">
            <v>107.49</v>
          </cell>
          <cell r="BC117">
            <v>99.424999999999997</v>
          </cell>
          <cell r="BD117">
            <v>96.412000000000006</v>
          </cell>
          <cell r="BE117">
            <v>94.822999999999993</v>
          </cell>
          <cell r="BF117">
            <v>93.326999999999998</v>
          </cell>
          <cell r="BG117">
            <v>94.869500000000002</v>
          </cell>
          <cell r="BH117">
            <v>90.707999999999998</v>
          </cell>
          <cell r="BI117">
            <v>89.396168693837026</v>
          </cell>
          <cell r="BJ117">
            <v>88.403437945756707</v>
          </cell>
          <cell r="BK117">
            <v>87.430090234694603</v>
          </cell>
          <cell r="BL117">
            <v>88.413129464265808</v>
          </cell>
          <cell r="BM117">
            <v>85.612049798754157</v>
          </cell>
          <cell r="BN117">
            <v>83.03830063933907</v>
          </cell>
          <cell r="BO117">
            <v>80.654438362992039</v>
          </cell>
          <cell r="BR117" t="str">
            <v>Average Basic Shares Outstanding</v>
          </cell>
          <cell r="BS117">
            <v>83.9</v>
          </cell>
          <cell r="BT117">
            <v>84.608000000000004</v>
          </cell>
          <cell r="BU117">
            <v>100.03700000000001</v>
          </cell>
          <cell r="BV117">
            <v>100.607</v>
          </cell>
          <cell r="BW117">
            <v>112.074</v>
          </cell>
          <cell r="BX117">
            <v>120.717</v>
          </cell>
          <cell r="BY117">
            <v>121.79116825</v>
          </cell>
          <cell r="BZ117">
            <v>119.17508025000001</v>
          </cell>
          <cell r="CA117">
            <v>114.45990625</v>
          </cell>
          <cell r="CB117">
            <v>107.49</v>
          </cell>
          <cell r="CC117">
            <v>94.869500000000002</v>
          </cell>
          <cell r="CD117">
            <v>88.413129464265808</v>
          </cell>
          <cell r="CE117">
            <v>85.612049798754157</v>
          </cell>
          <cell r="CF117">
            <v>83.03830063933907</v>
          </cell>
          <cell r="CG117">
            <v>80.654438362992039</v>
          </cell>
          <cell r="CI117" t="str">
            <v>mstag:averageBasicSharesOutstanding</v>
          </cell>
          <cell r="CJ117">
            <v>6</v>
          </cell>
          <cell r="CK117" t="str">
            <v>ms_eqr_gcim_Decimal:ms_eqr_gcim_decimal</v>
          </cell>
          <cell r="CL117" t="b">
            <v>0</v>
          </cell>
        </row>
        <row r="118">
          <cell r="A118" t="str">
            <v>Diluted Shares Outstanding</v>
          </cell>
          <cell r="C118">
            <v>83.9</v>
          </cell>
          <cell r="D118">
            <v>83.9</v>
          </cell>
          <cell r="E118">
            <v>83.9</v>
          </cell>
          <cell r="F118">
            <v>83.9</v>
          </cell>
          <cell r="G118">
            <v>83.9</v>
          </cell>
          <cell r="H118">
            <v>86.802999999999997</v>
          </cell>
          <cell r="I118">
            <v>84.623999999999995</v>
          </cell>
          <cell r="J118">
            <v>100.72799999999999</v>
          </cell>
          <cell r="K118">
            <v>101.282</v>
          </cell>
          <cell r="L118">
            <v>101.69799999999999</v>
          </cell>
          <cell r="M118">
            <v>101.06699999999999</v>
          </cell>
          <cell r="N118">
            <v>101.194</v>
          </cell>
          <cell r="O118">
            <v>101.471</v>
          </cell>
          <cell r="P118">
            <v>100.371</v>
          </cell>
          <cell r="Q118">
            <v>100.833</v>
          </cell>
          <cell r="R118">
            <v>103.792</v>
          </cell>
          <cell r="S118">
            <v>102.47499999999999</v>
          </cell>
          <cell r="T118">
            <v>105.84399999999999</v>
          </cell>
          <cell r="U118">
            <v>106.003</v>
          </cell>
          <cell r="V118">
            <v>120.34099999999999</v>
          </cell>
          <cell r="W118">
            <v>121.172</v>
          </cell>
          <cell r="X118">
            <v>113.357</v>
          </cell>
          <cell r="Y118">
            <v>122.01300000000001</v>
          </cell>
          <cell r="Z118">
            <v>122.235</v>
          </cell>
          <cell r="AA118">
            <v>122.303</v>
          </cell>
          <cell r="AB118">
            <v>122.536</v>
          </cell>
          <cell r="AC118">
            <v>122.276</v>
          </cell>
          <cell r="AD118">
            <v>123.113</v>
          </cell>
          <cell r="AE118">
            <v>123.295</v>
          </cell>
          <cell r="AF118">
            <v>123.45</v>
          </cell>
          <cell r="AG118">
            <v>122.995</v>
          </cell>
          <cell r="AH118">
            <v>122.995</v>
          </cell>
          <cell r="AI118">
            <v>121.702</v>
          </cell>
          <cell r="AJ118">
            <v>122.069</v>
          </cell>
          <cell r="AK118">
            <v>120.578</v>
          </cell>
          <cell r="AL118">
            <v>119.877</v>
          </cell>
          <cell r="AM118">
            <v>119.877</v>
          </cell>
          <cell r="AN118">
            <v>121.702</v>
          </cell>
          <cell r="AO118">
            <v>122.069</v>
          </cell>
          <cell r="AP118">
            <v>120.578</v>
          </cell>
          <cell r="AQ118">
            <v>119.877</v>
          </cell>
          <cell r="AR118">
            <v>119.877</v>
          </cell>
          <cell r="AS118">
            <v>118.59699999999999</v>
          </cell>
          <cell r="AT118">
            <v>117.664</v>
          </cell>
          <cell r="AU118">
            <v>117.163</v>
          </cell>
          <cell r="AV118">
            <v>113.289</v>
          </cell>
          <cell r="AW118">
            <v>113.289</v>
          </cell>
          <cell r="AX118">
            <v>113.52200000000001</v>
          </cell>
          <cell r="AY118">
            <v>112.931</v>
          </cell>
          <cell r="AZ118">
            <v>109.44</v>
          </cell>
          <cell r="BA118">
            <v>103.59</v>
          </cell>
          <cell r="BB118">
            <v>103.59</v>
          </cell>
          <cell r="BC118">
            <v>99.998000000000005</v>
          </cell>
          <cell r="BD118">
            <v>96.888000000000005</v>
          </cell>
          <cell r="BE118">
            <v>95.472999999999999</v>
          </cell>
          <cell r="BF118">
            <v>93.844999999999999</v>
          </cell>
          <cell r="BG118">
            <v>93.844999999999999</v>
          </cell>
          <cell r="BH118">
            <v>91.623999999999995</v>
          </cell>
          <cell r="BI118">
            <v>90.602227803410869</v>
          </cell>
          <cell r="BJ118">
            <v>89.600405677219953</v>
          </cell>
          <cell r="BK118">
            <v>88.618144096922464</v>
          </cell>
          <cell r="BL118">
            <v>88.618144096922464</v>
          </cell>
          <cell r="BM118">
            <v>85.894490138824708</v>
          </cell>
          <cell r="BN118">
            <v>83.371782787651426</v>
          </cell>
          <cell r="BO118">
            <v>81.035196540803682</v>
          </cell>
          <cell r="BR118" t="str">
            <v>Diluted Shares Outstanding</v>
          </cell>
          <cell r="BS118">
            <v>83.9</v>
          </cell>
          <cell r="BT118">
            <v>84.623999999999995</v>
          </cell>
          <cell r="BU118">
            <v>101.194</v>
          </cell>
          <cell r="BV118">
            <v>102.47499999999999</v>
          </cell>
          <cell r="BW118">
            <v>113.357</v>
          </cell>
          <cell r="BX118">
            <v>122.276</v>
          </cell>
          <cell r="BY118">
            <v>122.995</v>
          </cell>
          <cell r="BZ118">
            <v>119.877</v>
          </cell>
          <cell r="CA118">
            <v>113.289</v>
          </cell>
          <cell r="CB118">
            <v>103.59</v>
          </cell>
          <cell r="CC118">
            <v>93.844999999999999</v>
          </cell>
          <cell r="CD118">
            <v>88.618144096922464</v>
          </cell>
          <cell r="CE118">
            <v>85.894490138824708</v>
          </cell>
          <cell r="CF118">
            <v>83.371782787651426</v>
          </cell>
          <cell r="CG118">
            <v>81.035196540803682</v>
          </cell>
        </row>
        <row r="119">
          <cell r="A119" t="str">
            <v>Common Dividends Per Share</v>
          </cell>
          <cell r="C119">
            <v>0</v>
          </cell>
          <cell r="D119">
            <v>5</v>
          </cell>
          <cell r="E119">
            <v>0</v>
          </cell>
          <cell r="F119">
            <v>0</v>
          </cell>
          <cell r="G119">
            <v>9.73</v>
          </cell>
          <cell r="H119">
            <v>0</v>
          </cell>
          <cell r="I119">
            <v>9.7288920737706377</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0.18116219800799935</v>
          </cell>
          <cell r="AW119">
            <v>0.18116219800799935</v>
          </cell>
          <cell r="AX119">
            <v>0.18143123262828847</v>
          </cell>
          <cell r="AY119">
            <v>0.18277735253645366</v>
          </cell>
          <cell r="AZ119">
            <v>0.22</v>
          </cell>
          <cell r="BA119">
            <v>0.22</v>
          </cell>
          <cell r="BB119">
            <v>0.87794241987278254</v>
          </cell>
          <cell r="BC119">
            <v>0.22</v>
          </cell>
          <cell r="BD119">
            <v>0.22</v>
          </cell>
          <cell r="BE119">
            <v>0.26</v>
          </cell>
          <cell r="BF119">
            <v>0.26</v>
          </cell>
          <cell r="BG119">
            <v>1.0579317584248771</v>
          </cell>
          <cell r="BH119">
            <v>0.26</v>
          </cell>
          <cell r="BI119">
            <v>0.26</v>
          </cell>
          <cell r="BJ119">
            <v>0.28600000000000003</v>
          </cell>
          <cell r="BK119">
            <v>0.28600000000000003</v>
          </cell>
          <cell r="BL119">
            <v>1.1341427639284094</v>
          </cell>
          <cell r="BM119">
            <v>1.2443565485051478</v>
          </cell>
          <cell r="BN119">
            <v>1.416328007546829</v>
          </cell>
          <cell r="BO119">
            <v>1.6089284306351352</v>
          </cell>
          <cell r="BR119" t="str">
            <v>Common Dividends Per Share</v>
          </cell>
          <cell r="BS119">
            <v>5</v>
          </cell>
          <cell r="BT119">
            <v>9.7288920737706377</v>
          </cell>
          <cell r="BU119">
            <v>0</v>
          </cell>
          <cell r="BV119">
            <v>0</v>
          </cell>
          <cell r="BW119">
            <v>0</v>
          </cell>
          <cell r="BX119">
            <v>0</v>
          </cell>
          <cell r="BY119">
            <v>0</v>
          </cell>
          <cell r="BZ119">
            <v>0</v>
          </cell>
          <cell r="CA119">
            <v>0.18116219800799935</v>
          </cell>
          <cell r="CB119">
            <v>0.87794241987278254</v>
          </cell>
          <cell r="CC119">
            <v>1.0579317584248771</v>
          </cell>
          <cell r="CD119">
            <v>1.1341427639284094</v>
          </cell>
          <cell r="CE119">
            <v>1.2443565485051478</v>
          </cell>
          <cell r="CF119">
            <v>1.416328007546829</v>
          </cell>
          <cell r="CG119">
            <v>1.6089284306351352</v>
          </cell>
          <cell r="CI119" t="str">
            <v>mstag:dividendsPerShare</v>
          </cell>
          <cell r="CJ119">
            <v>0</v>
          </cell>
          <cell r="CK119" t="str">
            <v>ISO4217:USD</v>
          </cell>
          <cell r="CL119" t="b">
            <v>0</v>
          </cell>
        </row>
        <row r="120">
          <cell r="A120" t="str">
            <v>Avg. Diluted Shares Outstanding</v>
          </cell>
          <cell r="C120">
            <v>83.9</v>
          </cell>
          <cell r="D120">
            <v>83.9</v>
          </cell>
          <cell r="E120">
            <v>83.9</v>
          </cell>
          <cell r="F120">
            <v>83.9</v>
          </cell>
          <cell r="G120">
            <v>83.9</v>
          </cell>
          <cell r="H120">
            <v>86.802999999999997</v>
          </cell>
          <cell r="I120">
            <v>84.623999999999995</v>
          </cell>
          <cell r="J120">
            <v>100.72799999999999</v>
          </cell>
          <cell r="K120">
            <v>101.282</v>
          </cell>
          <cell r="L120">
            <v>101.69799999999999</v>
          </cell>
          <cell r="M120">
            <v>101.06699999999999</v>
          </cell>
          <cell r="N120">
            <v>101.194</v>
          </cell>
          <cell r="O120">
            <v>101.471</v>
          </cell>
          <cell r="P120">
            <v>100.371</v>
          </cell>
          <cell r="Q120">
            <v>100.833</v>
          </cell>
          <cell r="R120">
            <v>103.792</v>
          </cell>
          <cell r="S120">
            <v>101.61675</v>
          </cell>
          <cell r="T120">
            <v>105.84399999999999</v>
          </cell>
          <cell r="U120">
            <v>106.003</v>
          </cell>
          <cell r="V120">
            <v>120.34099999999999</v>
          </cell>
          <cell r="W120">
            <v>121.172</v>
          </cell>
          <cell r="X120">
            <v>113.357</v>
          </cell>
          <cell r="Y120">
            <v>122.01300000000001</v>
          </cell>
          <cell r="Z120">
            <v>122.235</v>
          </cell>
          <cell r="AA120">
            <v>122.303</v>
          </cell>
          <cell r="AB120">
            <v>122.536</v>
          </cell>
          <cell r="AC120">
            <v>122.27175</v>
          </cell>
          <cell r="AD120">
            <v>123.113</v>
          </cell>
          <cell r="AE120">
            <v>123.295</v>
          </cell>
          <cell r="AF120">
            <v>123.45</v>
          </cell>
          <cell r="AG120">
            <v>122.995</v>
          </cell>
          <cell r="AH120">
            <v>123.20399999999999</v>
          </cell>
          <cell r="AI120">
            <v>121.702</v>
          </cell>
          <cell r="AJ120">
            <v>122.069</v>
          </cell>
          <cell r="AK120">
            <v>120.578</v>
          </cell>
          <cell r="AL120">
            <v>119.877</v>
          </cell>
          <cell r="AM120">
            <v>121.05650000000001</v>
          </cell>
          <cell r="AN120">
            <v>121.702</v>
          </cell>
          <cell r="AO120">
            <v>122.069</v>
          </cell>
          <cell r="AP120">
            <v>120.578</v>
          </cell>
          <cell r="AQ120">
            <v>119.877</v>
          </cell>
          <cell r="AR120">
            <v>121.05650000000001</v>
          </cell>
          <cell r="AS120">
            <v>118.59699999999999</v>
          </cell>
          <cell r="AT120">
            <v>117.664</v>
          </cell>
          <cell r="AU120">
            <v>117.163</v>
          </cell>
          <cell r="AV120">
            <v>113.289</v>
          </cell>
          <cell r="AW120">
            <v>116.706</v>
          </cell>
          <cell r="AX120">
            <v>113.52200000000001</v>
          </cell>
          <cell r="AY120">
            <v>112.931</v>
          </cell>
          <cell r="AZ120">
            <v>109.44</v>
          </cell>
          <cell r="BA120">
            <v>103.59</v>
          </cell>
          <cell r="BB120">
            <v>109.87075000000002</v>
          </cell>
          <cell r="BC120">
            <v>99.998000000000005</v>
          </cell>
          <cell r="BD120">
            <v>96.888000000000005</v>
          </cell>
          <cell r="BE120">
            <v>95.472999999999999</v>
          </cell>
          <cell r="BF120">
            <v>93.844999999999999</v>
          </cell>
          <cell r="BG120">
            <v>96.551000000000016</v>
          </cell>
          <cell r="BH120">
            <v>91.623999999999995</v>
          </cell>
          <cell r="BI120">
            <v>90.602227803410869</v>
          </cell>
          <cell r="BJ120">
            <v>89.600405677219953</v>
          </cell>
          <cell r="BK120">
            <v>88.618144096922464</v>
          </cell>
          <cell r="BL120">
            <v>90.11119439438832</v>
          </cell>
          <cell r="BM120">
            <v>87.256317117873579</v>
          </cell>
          <cell r="BN120">
            <v>84.63313646323806</v>
          </cell>
          <cell r="BO120">
            <v>82.203489664227561</v>
          </cell>
          <cell r="BR120" t="str">
            <v>Avg. Diluted Shares Outstanding</v>
          </cell>
          <cell r="BS120">
            <v>83.9</v>
          </cell>
          <cell r="BT120">
            <v>84.623999999999995</v>
          </cell>
          <cell r="BU120">
            <v>101.194</v>
          </cell>
          <cell r="BV120">
            <v>101.61675</v>
          </cell>
          <cell r="BW120">
            <v>113.357</v>
          </cell>
          <cell r="BX120">
            <v>122.27175</v>
          </cell>
          <cell r="BY120">
            <v>123.20399999999999</v>
          </cell>
          <cell r="BZ120">
            <v>121.05650000000001</v>
          </cell>
          <cell r="CA120">
            <v>116.706</v>
          </cell>
          <cell r="CB120">
            <v>109.87075000000002</v>
          </cell>
          <cell r="CC120">
            <v>96.551000000000016</v>
          </cell>
          <cell r="CD120">
            <v>90.11119439438832</v>
          </cell>
          <cell r="CE120">
            <v>87.256317117873579</v>
          </cell>
          <cell r="CF120">
            <v>84.63313646323806</v>
          </cell>
          <cell r="CG120">
            <v>82.203489664227561</v>
          </cell>
          <cell r="CI120" t="str">
            <v>mstag:averageDilutedSharesOutstanding</v>
          </cell>
          <cell r="CJ120">
            <v>6</v>
          </cell>
          <cell r="CK120" t="str">
            <v>ms_eqr_gcim_Decimal:ms_eqr_gcim_decimal</v>
          </cell>
          <cell r="CL120" t="b">
            <v>0</v>
          </cell>
        </row>
        <row r="122">
          <cell r="A122" t="str">
            <v>EPS from Continuing Ops</v>
          </cell>
          <cell r="C122">
            <v>0.10116805721096533</v>
          </cell>
          <cell r="D122">
            <v>0.75532777115613781</v>
          </cell>
          <cell r="E122">
            <v>0.25794994040524449</v>
          </cell>
          <cell r="F122">
            <v>0.23660309892729428</v>
          </cell>
          <cell r="G122">
            <v>0.2548152562574495</v>
          </cell>
          <cell r="H122">
            <v>0.21011946591707659</v>
          </cell>
          <cell r="I122">
            <v>0.95848695405558704</v>
          </cell>
          <cell r="J122">
            <v>0.17804384083869421</v>
          </cell>
          <cell r="K122">
            <v>0.18395173870974119</v>
          </cell>
          <cell r="L122">
            <v>0.18562803594957628</v>
          </cell>
          <cell r="M122">
            <v>0.12689601947223128</v>
          </cell>
          <cell r="N122">
            <v>0.67462497776548047</v>
          </cell>
          <cell r="O122">
            <v>0.16481556306728026</v>
          </cell>
          <cell r="P122">
            <v>0.19545486246027241</v>
          </cell>
          <cell r="Q122">
            <v>0.2075114297898504</v>
          </cell>
          <cell r="R122">
            <v>0.23638623400647446</v>
          </cell>
          <cell r="S122">
            <v>0.80499523946593454</v>
          </cell>
          <cell r="T122">
            <v>0.25998639507199273</v>
          </cell>
          <cell r="U122">
            <v>0.22704074412988318</v>
          </cell>
          <cell r="V122">
            <v>8.5747999434939104E-2</v>
          </cell>
          <cell r="W122">
            <v>0.24977717624533705</v>
          </cell>
          <cell r="X122">
            <v>0.81309491253297195</v>
          </cell>
          <cell r="Y122">
            <v>0.27473302025194013</v>
          </cell>
          <cell r="Z122">
            <v>0.37354276598355635</v>
          </cell>
          <cell r="AA122">
            <v>0.40707913951415753</v>
          </cell>
          <cell r="AB122">
            <v>0.36304432982960122</v>
          </cell>
          <cell r="AC122">
            <v>1.4185942378349874</v>
          </cell>
          <cell r="AH122">
            <v>1.4953897600727251</v>
          </cell>
          <cell r="AM122">
            <v>1.8384555971798278</v>
          </cell>
          <cell r="AN122">
            <v>0.4355228344645114</v>
          </cell>
          <cell r="AO122">
            <v>0.45947783630569589</v>
          </cell>
          <cell r="AP122">
            <v>0.41490985088490445</v>
          </cell>
          <cell r="AQ122">
            <v>0.34042393453289604</v>
          </cell>
          <cell r="AR122">
            <v>1.6515428746081369</v>
          </cell>
          <cell r="AS122">
            <v>0.39763231784952441</v>
          </cell>
          <cell r="AT122">
            <v>0.48334239869458812</v>
          </cell>
          <cell r="AU122">
            <v>0.44058277783942051</v>
          </cell>
          <cell r="AV122">
            <v>0.38235839313613834</v>
          </cell>
          <cell r="AW122">
            <v>1.7048566483299918</v>
          </cell>
          <cell r="AX122">
            <v>0.43722802628565366</v>
          </cell>
          <cell r="AY122">
            <v>0.49585144911494644</v>
          </cell>
          <cell r="AZ122">
            <v>0.58848684210526236</v>
          </cell>
          <cell r="BA122">
            <v>0.57919683367120411</v>
          </cell>
          <cell r="BB122">
            <v>2.0936873553698319</v>
          </cell>
          <cell r="BC122">
            <v>0.60368207364147253</v>
          </cell>
          <cell r="BD122">
            <v>0.69100404590867803</v>
          </cell>
          <cell r="BE122">
            <v>0.68376399610361116</v>
          </cell>
          <cell r="BF122">
            <v>0.72726304011934573</v>
          </cell>
          <cell r="BG122">
            <v>2.7055895281478728</v>
          </cell>
          <cell r="BH122">
            <v>0.79619968567187605</v>
          </cell>
          <cell r="BI122">
            <v>0.82066434740745997</v>
          </cell>
          <cell r="BJ122">
            <v>0.83956230546431032</v>
          </cell>
          <cell r="BK122">
            <v>0.86528612659355009</v>
          </cell>
          <cell r="BL122">
            <v>3.3213187787174347</v>
          </cell>
          <cell r="BM122">
            <v>3.8669176261048199</v>
          </cell>
          <cell r="BN122">
            <v>4.4562225859579323</v>
          </cell>
          <cell r="BO122">
            <v>5.1259770341539115</v>
          </cell>
          <cell r="BR122" t="str">
            <v>EPS from Continuing Ops</v>
          </cell>
          <cell r="BS122">
            <v>0.75532777115613781</v>
          </cell>
          <cell r="BT122">
            <v>0.95848695405558704</v>
          </cell>
          <cell r="BU122">
            <v>0.67462497776548047</v>
          </cell>
          <cell r="BV122">
            <v>0.80499523946593454</v>
          </cell>
          <cell r="BW122">
            <v>0.81309491253297195</v>
          </cell>
          <cell r="BX122">
            <v>1.4185942378349874</v>
          </cell>
          <cell r="BY122">
            <v>1.4953897600727251</v>
          </cell>
          <cell r="BZ122">
            <v>1.6515428746081369</v>
          </cell>
          <cell r="CA122">
            <v>1.7048566483299918</v>
          </cell>
          <cell r="CB122">
            <v>2.0936873553698319</v>
          </cell>
          <cell r="CC122">
            <v>2.7055895281478728</v>
          </cell>
          <cell r="CD122">
            <v>3.3213187787174347</v>
          </cell>
          <cell r="CE122">
            <v>3.8669176261048199</v>
          </cell>
          <cell r="CF122">
            <v>4.4562225859579323</v>
          </cell>
          <cell r="CG122">
            <v>5.1259770341539115</v>
          </cell>
        </row>
        <row r="123">
          <cell r="A123" t="str">
            <v>EPS to Common Stockholders</v>
          </cell>
          <cell r="C123">
            <v>0.1868414779499403</v>
          </cell>
          <cell r="D123">
            <v>0.85154946364719852</v>
          </cell>
          <cell r="E123">
            <v>0.25794994040524449</v>
          </cell>
          <cell r="F123">
            <v>0.23660309892729428</v>
          </cell>
          <cell r="G123">
            <v>0.2548152562574495</v>
          </cell>
          <cell r="H123">
            <v>0.21011946591707659</v>
          </cell>
          <cell r="I123">
            <v>0.95848695405558704</v>
          </cell>
          <cell r="J123">
            <v>0.17804384083869421</v>
          </cell>
          <cell r="K123">
            <v>0.18395173870974119</v>
          </cell>
          <cell r="L123">
            <v>0.18562803594957628</v>
          </cell>
          <cell r="M123">
            <v>0.12689601947223128</v>
          </cell>
          <cell r="N123">
            <v>0.67462497776548047</v>
          </cell>
          <cell r="O123">
            <v>0.16003587231819927</v>
          </cell>
          <cell r="P123">
            <v>0.18978589433202822</v>
          </cell>
          <cell r="Q123">
            <v>0.2075114297898504</v>
          </cell>
          <cell r="R123">
            <v>0.23638623400647446</v>
          </cell>
          <cell r="S123">
            <v>0.79462293371909654</v>
          </cell>
          <cell r="T123">
            <v>0.25570651146971013</v>
          </cell>
          <cell r="U123">
            <v>0.22386158882295792</v>
          </cell>
          <cell r="V123">
            <v>8.4767452489176637E-2</v>
          </cell>
          <cell r="W123">
            <v>0.24977717624533705</v>
          </cell>
          <cell r="X123">
            <v>0.81309491253297195</v>
          </cell>
          <cell r="Y123">
            <v>0.27211854474523178</v>
          </cell>
          <cell r="Z123">
            <v>0.37000040904814507</v>
          </cell>
          <cell r="AA123">
            <v>0.40312993139988396</v>
          </cell>
          <cell r="AB123">
            <v>0.36304432982960122</v>
          </cell>
          <cell r="AC123">
            <v>1.4084937853592518</v>
          </cell>
          <cell r="AD123">
            <v>0.35711906947276062</v>
          </cell>
          <cell r="AE123">
            <v>0.30452167565594729</v>
          </cell>
          <cell r="AF123">
            <v>0.39104090724989882</v>
          </cell>
          <cell r="AG123">
            <v>0.44271718362535084</v>
          </cell>
          <cell r="AH123">
            <v>1.4953897600727251</v>
          </cell>
          <cell r="AI123">
            <v>0.48427306042628704</v>
          </cell>
          <cell r="AJ123">
            <v>0.50015155362950459</v>
          </cell>
          <cell r="AK123">
            <v>0.45787788817197134</v>
          </cell>
          <cell r="AL123">
            <v>0.39421240104440342</v>
          </cell>
          <cell r="AM123">
            <v>1.8376295366213282</v>
          </cell>
          <cell r="AN123">
            <v>0.48345138124270748</v>
          </cell>
          <cell r="AO123">
            <v>0.50015155362950459</v>
          </cell>
          <cell r="AP123">
            <v>0.45787788817197134</v>
          </cell>
          <cell r="AQ123">
            <v>0.39421240104440342</v>
          </cell>
          <cell r="AR123">
            <v>1.8368034760628293</v>
          </cell>
          <cell r="AS123">
            <v>0.67801883690143971</v>
          </cell>
          <cell r="AT123">
            <v>0.91556465868914882</v>
          </cell>
          <cell r="AU123">
            <v>0.44011334636361332</v>
          </cell>
          <cell r="AV123">
            <v>0.39141487699600114</v>
          </cell>
          <cell r="AW123">
            <v>2.4338765787534493</v>
          </cell>
          <cell r="AX123">
            <v>0.38576663554200924</v>
          </cell>
          <cell r="AY123">
            <v>0.49545297571083241</v>
          </cell>
          <cell r="AZ123">
            <v>0.58807565789473604</v>
          </cell>
          <cell r="BA123">
            <v>0.57303793802490621</v>
          </cell>
          <cell r="BB123">
            <v>2.0355281091646318</v>
          </cell>
          <cell r="BC123">
            <v>0.60368207364147253</v>
          </cell>
          <cell r="BD123">
            <v>0.69100404590867803</v>
          </cell>
          <cell r="BE123">
            <v>0.68376399610361116</v>
          </cell>
          <cell r="BF123">
            <v>0.72726304011934573</v>
          </cell>
          <cell r="BG123">
            <v>2.7055895281478728</v>
          </cell>
          <cell r="BH123">
            <v>0.79619968567187605</v>
          </cell>
          <cell r="BI123">
            <v>0.82066434740745997</v>
          </cell>
          <cell r="BJ123">
            <v>0.83956230546431032</v>
          </cell>
          <cell r="BK123">
            <v>0.86528612659355009</v>
          </cell>
          <cell r="BL123">
            <v>3.3213187787174347</v>
          </cell>
          <cell r="BM123">
            <v>3.8669176261048199</v>
          </cell>
          <cell r="BN123">
            <v>4.4562225859579323</v>
          </cell>
          <cell r="BO123">
            <v>5.1259770341539115</v>
          </cell>
          <cell r="BR123" t="str">
            <v>EPS to Common Stockholders</v>
          </cell>
          <cell r="BS123">
            <v>0.85154946364719852</v>
          </cell>
          <cell r="BT123">
            <v>0.95848695405558704</v>
          </cell>
          <cell r="BU123">
            <v>0.67462497776548047</v>
          </cell>
          <cell r="BV123">
            <v>0.79462293371909654</v>
          </cell>
          <cell r="BW123">
            <v>0.81309491253297195</v>
          </cell>
          <cell r="BX123">
            <v>1.4084937853592518</v>
          </cell>
          <cell r="BY123">
            <v>1.4953897600727251</v>
          </cell>
          <cell r="BZ123">
            <v>1.8368034760628293</v>
          </cell>
          <cell r="CA123">
            <v>2.4338765787534493</v>
          </cell>
          <cell r="CB123">
            <v>2.0355281091646318</v>
          </cell>
          <cell r="CC123">
            <v>2.7055895281478728</v>
          </cell>
          <cell r="CD123">
            <v>3.3213187787174347</v>
          </cell>
          <cell r="CE123">
            <v>3.8669176261048199</v>
          </cell>
          <cell r="CF123">
            <v>4.4562225859579323</v>
          </cell>
          <cell r="CG123">
            <v>5.1259770341539115</v>
          </cell>
        </row>
        <row r="124">
          <cell r="A124" t="str">
            <v>Adjusted EPS</v>
          </cell>
          <cell r="D124">
            <v>1.0501676580832535</v>
          </cell>
          <cell r="E124">
            <v>0.30470882392360771</v>
          </cell>
          <cell r="F124">
            <v>0.28335655783849123</v>
          </cell>
          <cell r="G124">
            <v>0.30665455183617718</v>
          </cell>
          <cell r="H124">
            <v>0.25906785561958545</v>
          </cell>
          <cell r="I124">
            <v>1.1538775815170881</v>
          </cell>
          <cell r="J124">
            <v>0.25190709563730479</v>
          </cell>
          <cell r="K124">
            <v>0.26871422986245097</v>
          </cell>
          <cell r="L124">
            <v>0.262417342889808</v>
          </cell>
          <cell r="M124">
            <v>0.22462139921105409</v>
          </cell>
          <cell r="N124">
            <v>1.0074058385814559</v>
          </cell>
          <cell r="O124">
            <v>0.23892996220031978</v>
          </cell>
          <cell r="P124">
            <v>0.27394176936731252</v>
          </cell>
          <cell r="Q124">
            <v>0.28930704187633649</v>
          </cell>
          <cell r="R124">
            <v>0.31055164739952285</v>
          </cell>
          <cell r="S124">
            <v>1.1131778859071442</v>
          </cell>
          <cell r="T124">
            <v>0.31499438796719698</v>
          </cell>
          <cell r="U124">
            <v>0.34886274916747645</v>
          </cell>
          <cell r="V124">
            <v>0.3242956831005227</v>
          </cell>
          <cell r="W124">
            <v>0.36574192057571042</v>
          </cell>
          <cell r="X124">
            <v>1.35343946778761</v>
          </cell>
          <cell r="Y124">
            <v>0.42837278978469479</v>
          </cell>
          <cell r="Z124">
            <v>0.47263876958318007</v>
          </cell>
          <cell r="AA124">
            <v>0.4940925406572203</v>
          </cell>
          <cell r="AB124">
            <v>0.45341777110400222</v>
          </cell>
          <cell r="AC124">
            <v>1.8485794895386709</v>
          </cell>
          <cell r="AD124">
            <v>0.44368403273642126</v>
          </cell>
          <cell r="AE124">
            <v>0.49911999675574859</v>
          </cell>
          <cell r="AF124">
            <v>0.49336573511543136</v>
          </cell>
          <cell r="AG124">
            <v>0.52170413431440321</v>
          </cell>
          <cell r="AH124">
            <v>1.9580149371958631</v>
          </cell>
          <cell r="AI124">
            <v>0.56823223940444678</v>
          </cell>
          <cell r="AJ124">
            <v>0.57742752050070034</v>
          </cell>
          <cell r="AK124">
            <v>0.53480734462339696</v>
          </cell>
          <cell r="AL124">
            <v>0.4809262827731754</v>
          </cell>
          <cell r="AM124">
            <v>2.1624530694345188</v>
          </cell>
          <cell r="AN124">
            <v>0.50018898621222296</v>
          </cell>
          <cell r="AO124">
            <v>0.50982640965355652</v>
          </cell>
          <cell r="AP124">
            <v>0.46401499444343086</v>
          </cell>
          <cell r="AQ124">
            <v>0.39790785555194053</v>
          </cell>
          <cell r="AR124">
            <v>1.8731584012423947</v>
          </cell>
          <cell r="AS124">
            <v>0.45856134640842555</v>
          </cell>
          <cell r="AT124">
            <v>0.54906161779649276</v>
          </cell>
          <cell r="AU124">
            <v>0.50402617802360239</v>
          </cell>
          <cell r="AV124">
            <v>0.49019763613413464</v>
          </cell>
          <cell r="AW124">
            <v>2.0014052858652156</v>
          </cell>
          <cell r="AX124">
            <v>0.50270432162928747</v>
          </cell>
          <cell r="AY124">
            <v>0.56180592890547854</v>
          </cell>
          <cell r="AZ124">
            <v>0.60021016081871281</v>
          </cell>
          <cell r="BA124">
            <v>0.65877858391403499</v>
          </cell>
          <cell r="BB124">
            <v>2.3174792095701484</v>
          </cell>
          <cell r="BC124">
            <v>0.6824200331677297</v>
          </cell>
          <cell r="BD124">
            <v>0.77297498142184784</v>
          </cell>
          <cell r="BE124">
            <v>0.7661617574519185</v>
          </cell>
          <cell r="BF124">
            <v>0.81338560498151413</v>
          </cell>
          <cell r="BG124">
            <v>3.0306529403673066</v>
          </cell>
          <cell r="BH124">
            <v>0.87869890033485132</v>
          </cell>
          <cell r="BI124">
            <v>0.89150969881089437</v>
          </cell>
          <cell r="BJ124">
            <v>0.91119977873412794</v>
          </cell>
          <cell r="BK124">
            <v>0.93771764422549708</v>
          </cell>
          <cell r="BL124">
            <v>3.6180337215791165</v>
          </cell>
          <cell r="BM124">
            <v>4.1478551616838262</v>
          </cell>
          <cell r="BN124">
            <v>4.7210933584894299</v>
          </cell>
          <cell r="BO124">
            <v>5.3630947687837844</v>
          </cell>
          <cell r="BP124">
            <v>0.18271450991728089</v>
          </cell>
          <cell r="BR124" t="str">
            <v>Adjusted EPS</v>
          </cell>
          <cell r="BS124">
            <v>1.0501676580832535</v>
          </cell>
          <cell r="BT124">
            <v>1.1538775815170881</v>
          </cell>
          <cell r="BU124">
            <v>1.0074058385814559</v>
          </cell>
          <cell r="BV124">
            <v>1.1131778859071442</v>
          </cell>
          <cell r="BW124">
            <v>1.35343946778761</v>
          </cell>
          <cell r="BX124">
            <v>1.8485794895386709</v>
          </cell>
          <cell r="BY124">
            <v>1.9580149371958631</v>
          </cell>
          <cell r="BZ124">
            <v>1.8731584012423947</v>
          </cell>
          <cell r="CA124">
            <v>2.0014052858652156</v>
          </cell>
          <cell r="CB124">
            <v>2.3174792095701484</v>
          </cell>
          <cell r="CC124">
            <v>3.0306529403673066</v>
          </cell>
          <cell r="CD124">
            <v>3.6180337215791165</v>
          </cell>
          <cell r="CE124">
            <v>4.1478551616838262</v>
          </cell>
          <cell r="CF124">
            <v>4.7210933584894299</v>
          </cell>
          <cell r="CG124">
            <v>5.3630947687837844</v>
          </cell>
          <cell r="CI124" t="str">
            <v>mstag:adjEpsForConsensus</v>
          </cell>
          <cell r="CJ124">
            <v>0</v>
          </cell>
          <cell r="CK124" t="str">
            <v>ISO4217:USD</v>
          </cell>
          <cell r="CL124" t="b">
            <v>0</v>
          </cell>
        </row>
        <row r="125">
          <cell r="A125" t="str">
            <v>Annual Growth</v>
          </cell>
          <cell r="AH125">
            <v>5.9199752175386644E-2</v>
          </cell>
          <cell r="AM125">
            <v>0.10441091554257409</v>
          </cell>
          <cell r="AR125">
            <v>-4.3338043209718347E-2</v>
          </cell>
          <cell r="AW125">
            <v>6.8465584404265867E-2</v>
          </cell>
          <cell r="BB125">
            <v>0.15792599626731407</v>
          </cell>
          <cell r="BG125">
            <v>0.30773684089681197</v>
          </cell>
          <cell r="BL125">
            <v>0.19381327811841786</v>
          </cell>
          <cell r="BM125">
            <v>0.14643905526493151</v>
          </cell>
          <cell r="BN125">
            <v>0.13820111225216869</v>
          </cell>
          <cell r="BO125">
            <v>0.13598574769548089</v>
          </cell>
        </row>
        <row r="127">
          <cell r="A127" t="str">
            <v>Statement of Cash Flows</v>
          </cell>
        </row>
        <row r="128">
          <cell r="A128" t="str">
            <v>(Values in millions, except per-share amounts)</v>
          </cell>
        </row>
        <row r="129">
          <cell r="A129" t="str">
            <v>MSCI Only Until Q3 2010 then Pro Forma</v>
          </cell>
          <cell r="BR129" t="str">
            <v>MSCI Only Until Q3 2010 then Pro Forma</v>
          </cell>
        </row>
        <row r="130">
          <cell r="A130" t="str">
            <v>Fiscal Year Ending Dec 31</v>
          </cell>
          <cell r="C130" t="str">
            <v>4Q06</v>
          </cell>
          <cell r="D130">
            <v>2006</v>
          </cell>
          <cell r="E130" t="str">
            <v>1Q07</v>
          </cell>
          <cell r="F130" t="str">
            <v>2Q07</v>
          </cell>
          <cell r="G130" t="str">
            <v>3Q07</v>
          </cell>
          <cell r="H130" t="str">
            <v>4Q07</v>
          </cell>
          <cell r="I130">
            <v>2007</v>
          </cell>
          <cell r="J130" t="str">
            <v>1Q08</v>
          </cell>
          <cell r="K130" t="str">
            <v>2Q08</v>
          </cell>
          <cell r="L130" t="str">
            <v>3Q08</v>
          </cell>
          <cell r="M130" t="str">
            <v>4Q08</v>
          </cell>
          <cell r="N130">
            <v>2008</v>
          </cell>
          <cell r="O130" t="str">
            <v>1Q09</v>
          </cell>
          <cell r="P130" t="str">
            <v>2Q09</v>
          </cell>
          <cell r="Q130" t="str">
            <v>3Q09</v>
          </cell>
          <cell r="R130" t="str">
            <v>4Q09</v>
          </cell>
          <cell r="S130">
            <v>2009</v>
          </cell>
          <cell r="T130" t="str">
            <v>1Q10</v>
          </cell>
          <cell r="U130" t="str">
            <v>2Q10</v>
          </cell>
          <cell r="V130" t="str">
            <v>3Q10</v>
          </cell>
          <cell r="W130" t="str">
            <v>4Q10</v>
          </cell>
          <cell r="X130">
            <v>2010</v>
          </cell>
          <cell r="Y130" t="str">
            <v>1Q11</v>
          </cell>
          <cell r="Z130" t="str">
            <v>2Q11</v>
          </cell>
          <cell r="AA130" t="str">
            <v>3Q11</v>
          </cell>
          <cell r="AB130" t="str">
            <v>4Q11</v>
          </cell>
          <cell r="AC130">
            <v>2011</v>
          </cell>
          <cell r="AD130" t="str">
            <v>1Q12</v>
          </cell>
          <cell r="AE130" t="str">
            <v>2Q12</v>
          </cell>
          <cell r="AF130" t="str">
            <v>3Q12</v>
          </cell>
          <cell r="AG130" t="str">
            <v>4Q12</v>
          </cell>
          <cell r="AH130">
            <v>2012</v>
          </cell>
          <cell r="AI130" t="str">
            <v>1Q13</v>
          </cell>
          <cell r="AJ130" t="str">
            <v>2Q13</v>
          </cell>
          <cell r="AK130" t="str">
            <v>3Q13</v>
          </cell>
          <cell r="AL130" t="str">
            <v>4Q13</v>
          </cell>
          <cell r="AM130">
            <v>2013</v>
          </cell>
          <cell r="AN130" t="str">
            <v>1Q13R</v>
          </cell>
          <cell r="AO130" t="str">
            <v>2Q13R</v>
          </cell>
          <cell r="AP130" t="str">
            <v>3Q13R</v>
          </cell>
          <cell r="AQ130" t="str">
            <v>4Q13R</v>
          </cell>
          <cell r="AR130" t="str">
            <v>2013R</v>
          </cell>
          <cell r="AS130" t="str">
            <v>1Q14</v>
          </cell>
          <cell r="AT130" t="str">
            <v>2Q14</v>
          </cell>
          <cell r="AU130" t="str">
            <v>3Q14</v>
          </cell>
          <cell r="AV130" t="str">
            <v>4Q14</v>
          </cell>
          <cell r="AW130">
            <v>2014</v>
          </cell>
          <cell r="AX130" t="str">
            <v>1Q15</v>
          </cell>
          <cell r="AY130" t="str">
            <v>2Q15</v>
          </cell>
          <cell r="AZ130" t="str">
            <v>3Q15</v>
          </cell>
          <cell r="BA130" t="str">
            <v>4Q15</v>
          </cell>
          <cell r="BB130">
            <v>2015</v>
          </cell>
          <cell r="BC130" t="str">
            <v>1Q16</v>
          </cell>
          <cell r="BD130" t="str">
            <v>2Q16</v>
          </cell>
          <cell r="BE130" t="str">
            <v>3Q16</v>
          </cell>
          <cell r="BF130" t="str">
            <v>4Q16</v>
          </cell>
          <cell r="BG130">
            <v>2016</v>
          </cell>
          <cell r="BH130" t="str">
            <v>1Q17</v>
          </cell>
          <cell r="BI130" t="str">
            <v>2Q17E</v>
          </cell>
          <cell r="BJ130" t="str">
            <v>3Q17E</v>
          </cell>
          <cell r="BK130" t="str">
            <v>4Q17E</v>
          </cell>
          <cell r="BL130" t="str">
            <v>2017E</v>
          </cell>
          <cell r="BM130" t="str">
            <v>2018E</v>
          </cell>
          <cell r="BN130" t="str">
            <v>2019E</v>
          </cell>
          <cell r="BO130" t="str">
            <v>2020E</v>
          </cell>
          <cell r="BR130" t="str">
            <v>Fiscal Year Ending Dec 31</v>
          </cell>
          <cell r="BS130">
            <v>2006</v>
          </cell>
          <cell r="BT130">
            <v>2007</v>
          </cell>
          <cell r="BU130">
            <v>2008</v>
          </cell>
          <cell r="BV130">
            <v>2009</v>
          </cell>
          <cell r="BW130">
            <v>2010</v>
          </cell>
          <cell r="BX130">
            <v>2011</v>
          </cell>
          <cell r="BY130">
            <v>2012</v>
          </cell>
          <cell r="BZ130" t="str">
            <v>2013R</v>
          </cell>
          <cell r="CA130">
            <v>2014</v>
          </cell>
          <cell r="CB130">
            <v>2015</v>
          </cell>
          <cell r="CC130">
            <v>2016</v>
          </cell>
          <cell r="CD130" t="str">
            <v>2017E</v>
          </cell>
          <cell r="CE130" t="str">
            <v>2018E</v>
          </cell>
          <cell r="CF130" t="str">
            <v>2019E</v>
          </cell>
          <cell r="CG130" t="str">
            <v>2020E</v>
          </cell>
        </row>
        <row r="131">
          <cell r="A131" t="str">
            <v>Cash Flows From Operations</v>
          </cell>
          <cell r="BR131" t="str">
            <v>Cash Flows From Operations</v>
          </cell>
          <cell r="BS131">
            <v>0</v>
          </cell>
          <cell r="BT131">
            <v>0</v>
          </cell>
          <cell r="BU131">
            <v>0</v>
          </cell>
        </row>
        <row r="132">
          <cell r="A132" t="str">
            <v>Net Income</v>
          </cell>
          <cell r="C132">
            <v>15.675999999999993</v>
          </cell>
          <cell r="D132">
            <v>71.444999999999993</v>
          </cell>
          <cell r="E132">
            <v>21.642000000000014</v>
          </cell>
          <cell r="F132">
            <v>19.850999999999992</v>
          </cell>
          <cell r="G132">
            <v>21.379000000000012</v>
          </cell>
          <cell r="H132">
            <v>18.238999999999997</v>
          </cell>
          <cell r="I132">
            <v>81.111000000000018</v>
          </cell>
          <cell r="J132">
            <v>17.93399999999999</v>
          </cell>
          <cell r="K132">
            <v>18.631000000000007</v>
          </cell>
          <cell r="L132">
            <v>18.878000000000007</v>
          </cell>
          <cell r="M132">
            <v>12.824999999999999</v>
          </cell>
          <cell r="N132">
            <v>68.268000000000029</v>
          </cell>
          <cell r="O132">
            <v>16.723999999999997</v>
          </cell>
          <cell r="P132">
            <v>19.618000000000002</v>
          </cell>
          <cell r="Q132">
            <v>20.923999999999985</v>
          </cell>
          <cell r="R132">
            <v>24.535</v>
          </cell>
          <cell r="S132">
            <v>81.800999999999988</v>
          </cell>
          <cell r="T132">
            <v>27.517999999999997</v>
          </cell>
          <cell r="U132">
            <v>24.067000000000007</v>
          </cell>
          <cell r="V132">
            <v>10.319000000000006</v>
          </cell>
          <cell r="W132">
            <v>30.26599999999998</v>
          </cell>
          <cell r="X132">
            <v>92.169999999999987</v>
          </cell>
          <cell r="Y132">
            <v>33.520999999999972</v>
          </cell>
          <cell r="Z132">
            <v>45.660000000000011</v>
          </cell>
          <cell r="AA132">
            <v>49.787000000000006</v>
          </cell>
          <cell r="AB132">
            <v>44.486000000000018</v>
          </cell>
          <cell r="AC132">
            <v>173.45400000000012</v>
          </cell>
          <cell r="AD132">
            <v>43.96599999999998</v>
          </cell>
          <cell r="AE132">
            <v>37.546000000000021</v>
          </cell>
          <cell r="AF132">
            <v>48.274000000000008</v>
          </cell>
          <cell r="AG132">
            <v>54.452000000000027</v>
          </cell>
          <cell r="AH132">
            <v>184.238</v>
          </cell>
          <cell r="AI132">
            <v>58.936999999999983</v>
          </cell>
          <cell r="AJ132">
            <v>61.052999999999997</v>
          </cell>
          <cell r="AK132">
            <v>55.30999999999996</v>
          </cell>
          <cell r="AL132">
            <v>47.256999999999948</v>
          </cell>
          <cell r="AM132">
            <v>222.55699999999985</v>
          </cell>
          <cell r="AN132">
            <v>58.936999999999983</v>
          </cell>
          <cell r="AO132">
            <v>61.052999999999997</v>
          </cell>
          <cell r="AP132">
            <v>55.30999999999996</v>
          </cell>
          <cell r="AQ132">
            <v>47.256999999999948</v>
          </cell>
          <cell r="AR132">
            <v>222.55699999999985</v>
          </cell>
          <cell r="AS132">
            <v>80.411000000000044</v>
          </cell>
          <cell r="AT132">
            <v>107.72900000000001</v>
          </cell>
          <cell r="AU132">
            <v>51.610000000000028</v>
          </cell>
          <cell r="AV132">
            <v>44.387999999999977</v>
          </cell>
          <cell r="AW132">
            <v>284.13800000000003</v>
          </cell>
          <cell r="AX132">
            <v>43.83799999999998</v>
          </cell>
          <cell r="AY132">
            <v>55.997000000000014</v>
          </cell>
          <cell r="AZ132">
            <v>64.403999999999911</v>
          </cell>
          <cell r="BA132">
            <v>59.406000000000034</v>
          </cell>
          <cell r="BB132">
            <v>223.64499999999998</v>
          </cell>
          <cell r="BC132">
            <v>60.366999999999976</v>
          </cell>
          <cell r="BD132">
            <v>66.95</v>
          </cell>
          <cell r="BE132">
            <v>65.281000000000063</v>
          </cell>
          <cell r="BF132">
            <v>68.25</v>
          </cell>
          <cell r="BG132">
            <v>260.84800000000007</v>
          </cell>
          <cell r="BH132">
            <v>72.950999999999965</v>
          </cell>
          <cell r="BI132">
            <v>74.354018153948203</v>
          </cell>
          <cell r="BJ132">
            <v>75.225123160904261</v>
          </cell>
          <cell r="BK132">
            <v>76.680050651535112</v>
          </cell>
          <cell r="BL132">
            <v>299.28800211473919</v>
          </cell>
          <cell r="BM132">
            <v>337.41299065209705</v>
          </cell>
          <cell r="BN132">
            <v>377.14409422794131</v>
          </cell>
          <cell r="BO132">
            <v>421.37320014613891</v>
          </cell>
          <cell r="BR132" t="str">
            <v>Net Income</v>
          </cell>
          <cell r="BS132">
            <v>71.444999999999993</v>
          </cell>
          <cell r="BT132">
            <v>81.111000000000018</v>
          </cell>
          <cell r="BU132">
            <v>68.268000000000029</v>
          </cell>
          <cell r="BV132">
            <v>81.800999999999988</v>
          </cell>
          <cell r="BW132">
            <v>92.169999999999987</v>
          </cell>
          <cell r="BX132">
            <v>173.45400000000012</v>
          </cell>
          <cell r="BY132">
            <v>184.238</v>
          </cell>
          <cell r="BZ132">
            <v>222.55699999999985</v>
          </cell>
          <cell r="CA132">
            <v>284.13800000000003</v>
          </cell>
          <cell r="CB132">
            <v>223.64499999999998</v>
          </cell>
          <cell r="CC132">
            <v>260.84800000000007</v>
          </cell>
          <cell r="CD132">
            <v>299.28800211473919</v>
          </cell>
          <cell r="CE132">
            <v>337.41299065209705</v>
          </cell>
          <cell r="CF132">
            <v>377.14409422794131</v>
          </cell>
          <cell r="CG132">
            <v>421.37320014613891</v>
          </cell>
          <cell r="CI132" t="str">
            <v>mstag:netIncomeReported</v>
          </cell>
          <cell r="CJ132">
            <v>6</v>
          </cell>
          <cell r="CK132" t="str">
            <v>ISO4217:USD</v>
          </cell>
          <cell r="CL132" t="b">
            <v>0</v>
          </cell>
        </row>
        <row r="133">
          <cell r="A133" t="str">
            <v>Depreciation of prop., equipt. &amp; leasehold improvements</v>
          </cell>
          <cell r="C133">
            <v>1.0150000000000001</v>
          </cell>
          <cell r="D133">
            <v>3.4990000000000001</v>
          </cell>
          <cell r="E133">
            <v>0.56399999999999995</v>
          </cell>
          <cell r="F133">
            <v>0.52500000000000002</v>
          </cell>
          <cell r="G133">
            <v>0.44100000000000006</v>
          </cell>
          <cell r="H133">
            <v>-5.4999999999999938E-2</v>
          </cell>
          <cell r="I133">
            <v>1.4750000000000001</v>
          </cell>
          <cell r="J133">
            <v>0.48399999999999999</v>
          </cell>
          <cell r="K133">
            <v>0.52200000000000002</v>
          </cell>
          <cell r="L133">
            <v>1.268</v>
          </cell>
          <cell r="M133">
            <v>2.6959999999999997</v>
          </cell>
          <cell r="N133">
            <v>4.97</v>
          </cell>
          <cell r="O133">
            <v>3.0510000000000002</v>
          </cell>
          <cell r="P133">
            <v>2.9719999999999995</v>
          </cell>
          <cell r="Q133">
            <v>2.8689999999999998</v>
          </cell>
          <cell r="R133">
            <v>3.0650000000000013</v>
          </cell>
          <cell r="S133">
            <v>11.957000000000001</v>
          </cell>
          <cell r="T133">
            <v>3.3929999999999998</v>
          </cell>
          <cell r="U133">
            <v>3.556</v>
          </cell>
          <cell r="V133">
            <v>4.9339999999999993</v>
          </cell>
          <cell r="W133">
            <v>5.5300000000000011</v>
          </cell>
          <cell r="X133">
            <v>17.413</v>
          </cell>
          <cell r="Y133">
            <v>5.1100000000000003</v>
          </cell>
          <cell r="Z133">
            <v>5.1680000000000001</v>
          </cell>
          <cell r="AA133">
            <v>4.6689999999999996</v>
          </cell>
          <cell r="AB133">
            <v>4.4779999999999998</v>
          </cell>
          <cell r="AC133">
            <v>19.424999999999997</v>
          </cell>
          <cell r="AD133">
            <v>4.4160000000000004</v>
          </cell>
          <cell r="AE133">
            <v>4.661999999999999</v>
          </cell>
          <cell r="AF133">
            <v>4.6330000000000009</v>
          </cell>
          <cell r="AG133">
            <v>4.9889999999999999</v>
          </cell>
          <cell r="AH133">
            <v>18.7</v>
          </cell>
          <cell r="AI133">
            <v>5.08</v>
          </cell>
          <cell r="AJ133">
            <v>5.2460000000000004</v>
          </cell>
          <cell r="AK133">
            <v>5.9340000000000002</v>
          </cell>
          <cell r="AL133">
            <v>6.041999999999998</v>
          </cell>
          <cell r="AM133">
            <v>22.302</v>
          </cell>
          <cell r="AN133">
            <v>5.08</v>
          </cell>
          <cell r="AO133">
            <v>5.2460000000000004</v>
          </cell>
          <cell r="AP133">
            <v>5.9340000000000002</v>
          </cell>
          <cell r="AQ133">
            <v>6.041999999999998</v>
          </cell>
          <cell r="AR133">
            <v>22.302</v>
          </cell>
          <cell r="AS133">
            <v>6.0469999999999997</v>
          </cell>
          <cell r="AT133">
            <v>5.9210000000000003</v>
          </cell>
          <cell r="AU133">
            <v>6.3419999999999987</v>
          </cell>
          <cell r="AV133">
            <v>7.620000000000001</v>
          </cell>
          <cell r="AW133">
            <v>25.93</v>
          </cell>
          <cell r="AX133">
            <v>7.2069999999999999</v>
          </cell>
          <cell r="AY133">
            <v>8.0650000000000013</v>
          </cell>
          <cell r="AZ133">
            <v>8.0489999999999995</v>
          </cell>
          <cell r="BA133">
            <v>7.5679999999999978</v>
          </cell>
          <cell r="BB133">
            <v>30.888999999999996</v>
          </cell>
          <cell r="BC133">
            <v>8.1679999999999993</v>
          </cell>
          <cell r="BD133">
            <v>8.3930000000000007</v>
          </cell>
          <cell r="BE133">
            <v>8.3120000000000012</v>
          </cell>
          <cell r="BF133">
            <v>9.4469999999999992</v>
          </cell>
          <cell r="BG133">
            <v>34.32</v>
          </cell>
          <cell r="BH133">
            <v>8.8379999999999992</v>
          </cell>
          <cell r="BI133">
            <v>10.313888885643751</v>
          </cell>
          <cell r="BJ133">
            <v>10.304147091393377</v>
          </cell>
          <cell r="BK133">
            <v>10.439093065356809</v>
          </cell>
          <cell r="BL133">
            <v>39.895129042393933</v>
          </cell>
          <cell r="BM133">
            <v>42.265768218835262</v>
          </cell>
          <cell r="BN133">
            <v>44.788755922552959</v>
          </cell>
          <cell r="BO133">
            <v>47.552825356869199</v>
          </cell>
          <cell r="BR133" t="str">
            <v>Depreciation of prop., equipt. &amp; leasehold improvements</v>
          </cell>
          <cell r="BS133">
            <v>3.4990000000000001</v>
          </cell>
          <cell r="BT133">
            <v>1.4750000000000001</v>
          </cell>
          <cell r="BU133">
            <v>4.97</v>
          </cell>
          <cell r="BV133">
            <v>11.957000000000001</v>
          </cell>
          <cell r="BW133">
            <v>17.413</v>
          </cell>
          <cell r="BX133">
            <v>19.424999999999997</v>
          </cell>
          <cell r="BY133">
            <v>18.7</v>
          </cell>
          <cell r="BZ133">
            <v>22.302</v>
          </cell>
          <cell r="CA133">
            <v>25.93</v>
          </cell>
          <cell r="CB133">
            <v>30.888999999999996</v>
          </cell>
          <cell r="CC133">
            <v>34.32</v>
          </cell>
          <cell r="CD133">
            <v>39.895129042393933</v>
          </cell>
          <cell r="CE133">
            <v>42.265768218835262</v>
          </cell>
          <cell r="CF133">
            <v>44.788755922552959</v>
          </cell>
          <cell r="CG133">
            <v>47.552825356869199</v>
          </cell>
          <cell r="CI133" t="str">
            <v>mstag:depreciation</v>
          </cell>
          <cell r="CJ133">
            <v>6</v>
          </cell>
          <cell r="CK133" t="str">
            <v>ISO4217:USD</v>
          </cell>
          <cell r="CL133" t="b">
            <v>0</v>
          </cell>
        </row>
        <row r="134">
          <cell r="A134" t="str">
            <v>Amortization of intangibles</v>
          </cell>
          <cell r="C134">
            <v>6.5389999999999979</v>
          </cell>
          <cell r="D134">
            <v>26.155999999999999</v>
          </cell>
          <cell r="E134">
            <v>6.266</v>
          </cell>
          <cell r="F134">
            <v>6.2649999999999997</v>
          </cell>
          <cell r="G134">
            <v>6.6970000000000001</v>
          </cell>
          <cell r="H134">
            <v>7.125</v>
          </cell>
          <cell r="I134">
            <v>26.352999999999998</v>
          </cell>
          <cell r="J134">
            <v>7.125</v>
          </cell>
          <cell r="K134">
            <v>7.125</v>
          </cell>
          <cell r="L134">
            <v>7.125</v>
          </cell>
          <cell r="M134">
            <v>7.125</v>
          </cell>
          <cell r="N134">
            <v>28.5</v>
          </cell>
          <cell r="O134">
            <v>6.4290000000000003</v>
          </cell>
          <cell r="P134">
            <v>6.4279999999999999</v>
          </cell>
          <cell r="Q134">
            <v>6.4290000000000003</v>
          </cell>
          <cell r="R134">
            <v>6.2679999999999998</v>
          </cell>
          <cell r="S134">
            <v>25.554000000000002</v>
          </cell>
          <cell r="T134">
            <v>4.2779999999999996</v>
          </cell>
          <cell r="U134">
            <v>4.2770000000000001</v>
          </cell>
          <cell r="V134">
            <v>16.350000000000001</v>
          </cell>
          <cell r="W134">
            <v>16.693999999999999</v>
          </cell>
          <cell r="X134">
            <v>41.599000000000004</v>
          </cell>
          <cell r="Y134">
            <v>16.692</v>
          </cell>
          <cell r="Z134">
            <v>16.422999999999998</v>
          </cell>
          <cell r="AA134">
            <v>16.422000000000001</v>
          </cell>
          <cell r="AB134">
            <v>16.268000000000001</v>
          </cell>
          <cell r="AC134">
            <v>65.804999999999993</v>
          </cell>
          <cell r="AD134">
            <v>15.959</v>
          </cell>
          <cell r="AE134">
            <v>15.959</v>
          </cell>
          <cell r="AF134">
            <v>15.959000000000003</v>
          </cell>
          <cell r="AG134">
            <v>15.420999999999999</v>
          </cell>
          <cell r="AH134">
            <v>63.298000000000002</v>
          </cell>
          <cell r="AI134">
            <v>14.486000000000001</v>
          </cell>
          <cell r="AJ134">
            <v>14.509</v>
          </cell>
          <cell r="AK134">
            <v>14.448</v>
          </cell>
          <cell r="AL134">
            <v>14.760000000000005</v>
          </cell>
          <cell r="AM134">
            <v>58.203000000000003</v>
          </cell>
          <cell r="AN134">
            <v>14.486000000000001</v>
          </cell>
          <cell r="AO134">
            <v>14.509</v>
          </cell>
          <cell r="AP134">
            <v>14.448</v>
          </cell>
          <cell r="AQ134">
            <v>14.760000000000005</v>
          </cell>
          <cell r="AR134">
            <v>58.203000000000003</v>
          </cell>
          <cell r="AS134">
            <v>14.01</v>
          </cell>
          <cell r="AT134">
            <v>11.442000000000002</v>
          </cell>
          <cell r="AU134">
            <v>11.574000000000002</v>
          </cell>
          <cell r="AV134">
            <v>11.590999999999994</v>
          </cell>
          <cell r="AW134">
            <v>48.616999999999997</v>
          </cell>
          <cell r="AX134">
            <v>11.702</v>
          </cell>
          <cell r="AY134">
            <v>11.694999999999999</v>
          </cell>
          <cell r="AZ134">
            <v>11.709999999999999</v>
          </cell>
          <cell r="BA134">
            <v>11.802999999999997</v>
          </cell>
          <cell r="BB134">
            <v>46.91</v>
          </cell>
          <cell r="BC134">
            <v>11.84</v>
          </cell>
          <cell r="BD134">
            <v>11.943000000000001</v>
          </cell>
          <cell r="BE134">
            <v>11.751999999999995</v>
          </cell>
          <cell r="BF134">
            <v>11.498000000000005</v>
          </cell>
          <cell r="BG134">
            <v>47.033000000000001</v>
          </cell>
          <cell r="BH134">
            <v>11.250999999999999</v>
          </cell>
          <cell r="BI134">
            <v>10.939333333333332</v>
          </cell>
          <cell r="BJ134">
            <v>10.939333333333332</v>
          </cell>
          <cell r="BK134">
            <v>10.939333333333332</v>
          </cell>
          <cell r="BL134">
            <v>44.068999999999996</v>
          </cell>
          <cell r="BM134">
            <v>42.073999999999998</v>
          </cell>
          <cell r="BN134">
            <v>40.073999999999998</v>
          </cell>
          <cell r="BO134">
            <v>37.889000000000003</v>
          </cell>
          <cell r="BR134" t="str">
            <v>Amortization of intangibles</v>
          </cell>
          <cell r="BS134">
            <v>26.155999999999999</v>
          </cell>
          <cell r="BT134">
            <v>26.352999999999998</v>
          </cell>
          <cell r="BU134">
            <v>28.5</v>
          </cell>
          <cell r="BV134">
            <v>25.554000000000002</v>
          </cell>
          <cell r="BW134">
            <v>41.599000000000004</v>
          </cell>
          <cell r="BX134">
            <v>65.804999999999993</v>
          </cell>
          <cell r="BY134">
            <v>63.298000000000002</v>
          </cell>
          <cell r="BZ134">
            <v>58.203000000000003</v>
          </cell>
          <cell r="CA134">
            <v>48.616999999999997</v>
          </cell>
          <cell r="CB134">
            <v>46.91</v>
          </cell>
          <cell r="CC134">
            <v>47.033000000000001</v>
          </cell>
          <cell r="CD134">
            <v>44.068999999999996</v>
          </cell>
          <cell r="CE134">
            <v>42.073999999999998</v>
          </cell>
          <cell r="CF134">
            <v>40.073999999999998</v>
          </cell>
          <cell r="CG134">
            <v>37.889000000000003</v>
          </cell>
          <cell r="CI134" t="str">
            <v>mstag:amortizationOfOtherIntangibles</v>
          </cell>
          <cell r="CJ134">
            <v>6</v>
          </cell>
          <cell r="CK134" t="str">
            <v>ISO4217:USD</v>
          </cell>
          <cell r="CL134" t="b">
            <v>0</v>
          </cell>
        </row>
        <row r="135">
          <cell r="A135" t="str">
            <v>Foreign currency loss</v>
          </cell>
          <cell r="C135">
            <v>0</v>
          </cell>
          <cell r="D135">
            <v>0</v>
          </cell>
          <cell r="E135">
            <v>0</v>
          </cell>
          <cell r="F135">
            <v>0</v>
          </cell>
          <cell r="G135">
            <v>0</v>
          </cell>
          <cell r="H135">
            <v>0</v>
          </cell>
          <cell r="I135">
            <v>0</v>
          </cell>
          <cell r="J135">
            <v>0</v>
          </cell>
          <cell r="K135">
            <v>0</v>
          </cell>
          <cell r="L135">
            <v>0</v>
          </cell>
          <cell r="M135">
            <v>4.2789999999999999</v>
          </cell>
          <cell r="N135">
            <v>4.2789999999999999</v>
          </cell>
          <cell r="O135">
            <v>0.76300000000000001</v>
          </cell>
          <cell r="P135">
            <v>-0.14700000000000002</v>
          </cell>
          <cell r="Q135">
            <v>-0.16699999999999998</v>
          </cell>
          <cell r="R135">
            <v>-2.7000000000000024E-2</v>
          </cell>
          <cell r="S135">
            <v>0.42199999999999999</v>
          </cell>
          <cell r="T135">
            <v>-8.2000000000000003E-2</v>
          </cell>
          <cell r="U135">
            <v>0.83199999999999996</v>
          </cell>
          <cell r="V135">
            <v>-0.75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R135" t="str">
            <v>Foreign currency loss</v>
          </cell>
          <cell r="BS135">
            <v>0</v>
          </cell>
          <cell r="BT135">
            <v>0</v>
          </cell>
          <cell r="BU135">
            <v>4.2789999999999999</v>
          </cell>
          <cell r="BV135">
            <v>0.42199999999999999</v>
          </cell>
          <cell r="BW135">
            <v>0</v>
          </cell>
          <cell r="BX135">
            <v>0</v>
          </cell>
          <cell r="BY135">
            <v>0</v>
          </cell>
          <cell r="BZ135">
            <v>0</v>
          </cell>
          <cell r="CA135">
            <v>0</v>
          </cell>
          <cell r="CB135">
            <v>0</v>
          </cell>
          <cell r="CC135">
            <v>0</v>
          </cell>
          <cell r="CD135">
            <v>0</v>
          </cell>
          <cell r="CE135">
            <v>0</v>
          </cell>
          <cell r="CF135">
            <v>0</v>
          </cell>
          <cell r="CG135">
            <v>0</v>
          </cell>
          <cell r="CI135" t="str">
            <v>mstag:unrealizedForeignCurrencyExchangeGainLossCashFlowStatement</v>
          </cell>
          <cell r="CJ135">
            <v>6</v>
          </cell>
          <cell r="CK135" t="str">
            <v>ISO4217:USD</v>
          </cell>
          <cell r="CL135" t="b">
            <v>1</v>
          </cell>
        </row>
        <row r="136">
          <cell r="A136" t="str">
            <v>Loss on sale of property</v>
          </cell>
          <cell r="C136">
            <v>8.7999999999999995E-2</v>
          </cell>
          <cell r="D136">
            <v>2.5000000000000001E-2</v>
          </cell>
          <cell r="E136">
            <v>-5.0000000000000001E-3</v>
          </cell>
          <cell r="F136">
            <v>1.4999999999999999E-2</v>
          </cell>
          <cell r="G136">
            <v>0.14000000000000001</v>
          </cell>
          <cell r="H136">
            <v>-0.15000000000000002</v>
          </cell>
          <cell r="I136">
            <v>0</v>
          </cell>
          <cell r="J136">
            <v>0</v>
          </cell>
          <cell r="K136">
            <v>1.7999999999999999E-2</v>
          </cell>
          <cell r="L136">
            <v>5.7999999999999996E-2</v>
          </cell>
          <cell r="M136">
            <v>3.1120000000000001</v>
          </cell>
          <cell r="N136">
            <v>3.1880000000000002</v>
          </cell>
          <cell r="O136">
            <v>0.128</v>
          </cell>
          <cell r="P136">
            <v>0.14600000000000002</v>
          </cell>
          <cell r="Q136">
            <v>0</v>
          </cell>
          <cell r="R136">
            <v>0.39700000000000002</v>
          </cell>
          <cell r="S136">
            <v>0.67100000000000004</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-84.614999999999995</v>
          </cell>
          <cell r="AU136">
            <v>-5.0000000000096634E-3</v>
          </cell>
          <cell r="AV136">
            <v>0</v>
          </cell>
          <cell r="AW136">
            <v>-84.62</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v>
          </cell>
          <cell r="BO136">
            <v>0</v>
          </cell>
          <cell r="BR136" t="str">
            <v>Loss on sale of property</v>
          </cell>
          <cell r="BS136">
            <v>2.5000000000000001E-2</v>
          </cell>
          <cell r="BT136">
            <v>0</v>
          </cell>
          <cell r="BU136">
            <v>3.1880000000000002</v>
          </cell>
          <cell r="BV136">
            <v>0.67100000000000004</v>
          </cell>
          <cell r="BW136">
            <v>0</v>
          </cell>
          <cell r="BX136">
            <v>0</v>
          </cell>
          <cell r="BY136">
            <v>0</v>
          </cell>
          <cell r="BZ136">
            <v>0</v>
          </cell>
          <cell r="CA136">
            <v>-84.62</v>
          </cell>
          <cell r="CB136">
            <v>0</v>
          </cell>
          <cell r="CC136">
            <v>0</v>
          </cell>
          <cell r="CD136">
            <v>0</v>
          </cell>
          <cell r="CE136">
            <v>0</v>
          </cell>
          <cell r="CF136">
            <v>0</v>
          </cell>
          <cell r="CG136">
            <v>0</v>
          </cell>
          <cell r="CI136" t="str">
            <v>mstag:gainsLossesFromSaleOfOperatingAssetsOneTime</v>
          </cell>
          <cell r="CJ136">
            <v>6</v>
          </cell>
          <cell r="CK136" t="str">
            <v>ISO4217:USD</v>
          </cell>
          <cell r="CL136" t="b">
            <v>1</v>
          </cell>
        </row>
        <row r="137">
          <cell r="A137" t="str">
            <v>Stock-based compensation expense</v>
          </cell>
          <cell r="C137">
            <v>0</v>
          </cell>
          <cell r="D137">
            <v>0</v>
          </cell>
          <cell r="E137">
            <v>0</v>
          </cell>
          <cell r="F137">
            <v>0</v>
          </cell>
          <cell r="G137">
            <v>0</v>
          </cell>
          <cell r="H137">
            <v>1.034</v>
          </cell>
          <cell r="I137">
            <v>1.034</v>
          </cell>
          <cell r="J137">
            <v>4.875</v>
          </cell>
          <cell r="K137">
            <v>7.2219999999999995</v>
          </cell>
          <cell r="L137">
            <v>5.3970000000000002</v>
          </cell>
          <cell r="M137">
            <v>12.844000000000001</v>
          </cell>
          <cell r="N137">
            <v>30.338000000000001</v>
          </cell>
          <cell r="O137">
            <v>7.7359999999999998</v>
          </cell>
          <cell r="P137">
            <v>8.977999999999998</v>
          </cell>
          <cell r="Q137">
            <v>8.3540000000000028</v>
          </cell>
          <cell r="R137">
            <v>3.1660000000000004</v>
          </cell>
          <cell r="S137">
            <v>28.234000000000002</v>
          </cell>
          <cell r="T137">
            <v>5.12</v>
          </cell>
          <cell r="U137">
            <v>3.9029999999999996</v>
          </cell>
          <cell r="V137">
            <v>13.920999999999999</v>
          </cell>
          <cell r="W137">
            <v>0.80399999999999849</v>
          </cell>
          <cell r="X137">
            <v>23.747999999999998</v>
          </cell>
          <cell r="Y137">
            <v>8.4540000000000006</v>
          </cell>
          <cell r="Z137">
            <v>8.0079999999999991</v>
          </cell>
          <cell r="AA137">
            <v>7.8599999999999994</v>
          </cell>
          <cell r="AB137">
            <v>7.4009999999999998</v>
          </cell>
          <cell r="AC137">
            <v>31.722999999999999</v>
          </cell>
          <cell r="AD137">
            <v>5.843</v>
          </cell>
          <cell r="AE137">
            <v>6.0289999999999999</v>
          </cell>
          <cell r="AF137">
            <v>7.536999999999999</v>
          </cell>
          <cell r="AG137">
            <v>5.9140000000000015</v>
          </cell>
          <cell r="AH137">
            <v>25.323</v>
          </cell>
          <cell r="AI137">
            <v>6.8109999999999999</v>
          </cell>
          <cell r="AJ137">
            <v>6.0180000000000007</v>
          </cell>
          <cell r="AK137">
            <v>6.320999999999998</v>
          </cell>
          <cell r="AL137">
            <v>5.8540000000000028</v>
          </cell>
          <cell r="AM137">
            <v>25.004000000000001</v>
          </cell>
          <cell r="AN137">
            <v>6.8109999999999999</v>
          </cell>
          <cell r="AO137">
            <v>6.0180000000000007</v>
          </cell>
          <cell r="AP137">
            <v>6.320999999999998</v>
          </cell>
          <cell r="AQ137">
            <v>5.8540000000000028</v>
          </cell>
          <cell r="AR137">
            <v>25.004000000000001</v>
          </cell>
          <cell r="AS137">
            <v>5.1710000000000003</v>
          </cell>
          <cell r="AT137">
            <v>7.2860000000000005</v>
          </cell>
          <cell r="AU137">
            <v>7.6589999999999989</v>
          </cell>
          <cell r="AV137">
            <v>6.4690000000000012</v>
          </cell>
          <cell r="AW137">
            <v>26.585000000000001</v>
          </cell>
          <cell r="AX137">
            <v>7.35</v>
          </cell>
          <cell r="AY137">
            <v>7.1890000000000001</v>
          </cell>
          <cell r="AZ137">
            <v>6.0129999999999999</v>
          </cell>
          <cell r="BA137">
            <v>8.0060000000000002</v>
          </cell>
          <cell r="BB137">
            <v>28.558</v>
          </cell>
          <cell r="BC137">
            <v>7.08</v>
          </cell>
          <cell r="BD137">
            <v>8.1929999999999996</v>
          </cell>
          <cell r="BE137">
            <v>8.3180000000000014</v>
          </cell>
          <cell r="BF137">
            <v>8.4099999999999966</v>
          </cell>
          <cell r="BG137">
            <v>32.000999999999998</v>
          </cell>
          <cell r="BH137">
            <v>9.3940000000000001</v>
          </cell>
          <cell r="BI137">
            <v>8.6922047685236574</v>
          </cell>
          <cell r="BJ137">
            <v>8.6839947062109903</v>
          </cell>
          <cell r="BK137">
            <v>8.7977227142769596</v>
          </cell>
          <cell r="BL137">
            <v>35.567922189011604</v>
          </cell>
          <cell r="BM137">
            <v>36.973694917753953</v>
          </cell>
          <cell r="BN137">
            <v>39.576546198109732</v>
          </cell>
          <cell r="BO137">
            <v>42.443385956403276</v>
          </cell>
          <cell r="BR137" t="str">
            <v>Stock-based compensation expense</v>
          </cell>
          <cell r="BS137">
            <v>0</v>
          </cell>
          <cell r="BT137">
            <v>1.034</v>
          </cell>
          <cell r="BU137">
            <v>30.338000000000001</v>
          </cell>
          <cell r="BV137">
            <v>28.234000000000002</v>
          </cell>
          <cell r="BW137">
            <v>23.747999999999998</v>
          </cell>
          <cell r="BX137">
            <v>31.722999999999999</v>
          </cell>
          <cell r="BY137">
            <v>25.323</v>
          </cell>
          <cell r="BZ137">
            <v>25.004000000000001</v>
          </cell>
          <cell r="CA137">
            <v>26.585000000000001</v>
          </cell>
          <cell r="CB137">
            <v>28.558</v>
          </cell>
          <cell r="CC137">
            <v>32.000999999999998</v>
          </cell>
          <cell r="CD137">
            <v>35.567922189011604</v>
          </cell>
          <cell r="CE137">
            <v>36.973694917753953</v>
          </cell>
          <cell r="CF137">
            <v>39.576546198109732</v>
          </cell>
          <cell r="CG137">
            <v>42.443385956403276</v>
          </cell>
          <cell r="CI137" t="str">
            <v>mstag:stockBasedCompensationChargePreTax</v>
          </cell>
          <cell r="CJ137">
            <v>6</v>
          </cell>
          <cell r="CK137" t="str">
            <v>ISO4217:USD</v>
          </cell>
          <cell r="CL137" t="b">
            <v>0</v>
          </cell>
        </row>
        <row r="138">
          <cell r="A138" t="str">
            <v>Provision for bad debt</v>
          </cell>
          <cell r="C138">
            <v>0.66300000000000003</v>
          </cell>
          <cell r="D138">
            <v>0.65400000000000003</v>
          </cell>
          <cell r="E138">
            <v>-0.499</v>
          </cell>
          <cell r="F138">
            <v>0.54900000000000004</v>
          </cell>
          <cell r="G138">
            <v>2.4999999999999967E-2</v>
          </cell>
          <cell r="H138">
            <v>4.3999999999999928E-2</v>
          </cell>
          <cell r="I138">
            <v>0.11899999999999994</v>
          </cell>
          <cell r="J138">
            <v>-0.46200000000000002</v>
          </cell>
          <cell r="K138">
            <v>-0.87400000000000011</v>
          </cell>
          <cell r="L138">
            <v>0.27600000000000002</v>
          </cell>
          <cell r="M138">
            <v>0.2430000000000001</v>
          </cell>
          <cell r="N138">
            <v>-0.81699999999999995</v>
          </cell>
          <cell r="O138">
            <v>0.314</v>
          </cell>
          <cell r="P138">
            <v>6.2E-2</v>
          </cell>
          <cell r="Q138">
            <v>0.43799999999999994</v>
          </cell>
          <cell r="R138">
            <v>0.16300000000000003</v>
          </cell>
          <cell r="S138">
            <v>0.97699999999999998</v>
          </cell>
          <cell r="T138">
            <v>5.5E-2</v>
          </cell>
          <cell r="U138">
            <v>0.26700000000000002</v>
          </cell>
          <cell r="V138">
            <v>-0.32200000000000001</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0.44600000000000001</v>
          </cell>
          <cell r="AY138">
            <v>-0.44600000000000001</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R138" t="str">
            <v>Provision for bad debt</v>
          </cell>
          <cell r="BS138">
            <v>0.65400000000000003</v>
          </cell>
          <cell r="BT138">
            <v>0.11899999999999994</v>
          </cell>
          <cell r="BU138">
            <v>-0.81699999999999995</v>
          </cell>
          <cell r="BV138">
            <v>0.97699999999999998</v>
          </cell>
          <cell r="BW138">
            <v>0</v>
          </cell>
          <cell r="BX138">
            <v>0</v>
          </cell>
          <cell r="BY138">
            <v>0</v>
          </cell>
          <cell r="BZ138">
            <v>0</v>
          </cell>
          <cell r="CA138">
            <v>0</v>
          </cell>
          <cell r="CB138">
            <v>0</v>
          </cell>
          <cell r="CC138">
            <v>0</v>
          </cell>
          <cell r="CD138">
            <v>0</v>
          </cell>
          <cell r="CE138">
            <v>0</v>
          </cell>
          <cell r="CF138">
            <v>0</v>
          </cell>
          <cell r="CG138">
            <v>0</v>
          </cell>
          <cell r="CI138" t="str">
            <v>mstag:provisionForDoubtfulAccountsRecurringCashFlowStatement</v>
          </cell>
          <cell r="CJ138">
            <v>6</v>
          </cell>
          <cell r="CK138" t="str">
            <v>ISO4217:USD</v>
          </cell>
          <cell r="CL138" t="b">
            <v>0</v>
          </cell>
        </row>
        <row r="139">
          <cell r="A139" t="str">
            <v>Amortization of debt origination fees</v>
          </cell>
          <cell r="C139">
            <v>0</v>
          </cell>
          <cell r="D139">
            <v>0</v>
          </cell>
          <cell r="E139">
            <v>0</v>
          </cell>
          <cell r="F139">
            <v>0</v>
          </cell>
          <cell r="G139">
            <v>0</v>
          </cell>
          <cell r="H139">
            <v>0</v>
          </cell>
          <cell r="I139">
            <v>0</v>
          </cell>
          <cell r="J139">
            <v>0</v>
          </cell>
          <cell r="K139">
            <v>0</v>
          </cell>
          <cell r="L139">
            <v>0</v>
          </cell>
          <cell r="M139">
            <v>0</v>
          </cell>
          <cell r="N139">
            <v>0</v>
          </cell>
          <cell r="O139">
            <v>0.35799999999999998</v>
          </cell>
          <cell r="P139">
            <v>0.35799999999999998</v>
          </cell>
          <cell r="Q139">
            <v>0.3580000000000001</v>
          </cell>
          <cell r="R139">
            <v>0.35799999999999987</v>
          </cell>
          <cell r="S139">
            <v>1.4319999999999999</v>
          </cell>
          <cell r="T139">
            <v>0.35799999999999998</v>
          </cell>
          <cell r="U139">
            <v>3.0709999999999997</v>
          </cell>
          <cell r="V139">
            <v>3.1810000000000005</v>
          </cell>
          <cell r="W139">
            <v>1.4799999999999995</v>
          </cell>
          <cell r="X139">
            <v>8.09</v>
          </cell>
          <cell r="Y139">
            <v>1.847</v>
          </cell>
          <cell r="Z139">
            <v>1.2799999999999998</v>
          </cell>
          <cell r="AA139">
            <v>1.2780000000000005</v>
          </cell>
          <cell r="AB139">
            <v>1.3709999999999996</v>
          </cell>
          <cell r="AC139">
            <v>5.7759999999999998</v>
          </cell>
          <cell r="AD139">
            <v>1.268</v>
          </cell>
          <cell r="AE139">
            <v>15.331</v>
          </cell>
          <cell r="AF139">
            <v>0.50000000000000067</v>
          </cell>
          <cell r="AG139">
            <v>0.96600000000000108</v>
          </cell>
          <cell r="AH139">
            <v>18.065000000000001</v>
          </cell>
          <cell r="AI139">
            <v>0.76200000000000001</v>
          </cell>
          <cell r="AJ139">
            <v>0.71199999999999997</v>
          </cell>
          <cell r="AK139">
            <v>0.70499999999999985</v>
          </cell>
          <cell r="AL139">
            <v>1.169</v>
          </cell>
          <cell r="AM139">
            <v>3.3479999999999999</v>
          </cell>
          <cell r="AN139">
            <v>0.76200000000000001</v>
          </cell>
          <cell r="AO139">
            <v>0.71199999999999997</v>
          </cell>
          <cell r="AP139">
            <v>0.70499999999999985</v>
          </cell>
          <cell r="AQ139">
            <v>1.169</v>
          </cell>
          <cell r="AR139">
            <v>3.3479999999999999</v>
          </cell>
          <cell r="AS139">
            <v>0.44500000000000001</v>
          </cell>
          <cell r="AT139">
            <v>0.443</v>
          </cell>
          <cell r="AU139">
            <v>0.44000000000000006</v>
          </cell>
          <cell r="AV139">
            <v>6.42</v>
          </cell>
          <cell r="AW139">
            <v>7.7480000000000002</v>
          </cell>
          <cell r="AX139">
            <v>0</v>
          </cell>
          <cell r="AY139">
            <v>0.89300000000000002</v>
          </cell>
          <cell r="AZ139">
            <v>0.53400000000000003</v>
          </cell>
          <cell r="BA139">
            <v>0.70799999999999974</v>
          </cell>
          <cell r="BB139">
            <v>2.1349999999999998</v>
          </cell>
          <cell r="BC139">
            <v>0.70899999999999996</v>
          </cell>
          <cell r="BD139">
            <v>0.70800000000000007</v>
          </cell>
          <cell r="BE139">
            <v>0.80199999999999982</v>
          </cell>
          <cell r="BF139">
            <v>0.8490000000000002</v>
          </cell>
          <cell r="BG139">
            <v>3.0680000000000001</v>
          </cell>
          <cell r="BH139">
            <v>0.84899999999999998</v>
          </cell>
          <cell r="BI139">
            <v>0</v>
          </cell>
          <cell r="BJ139">
            <v>0</v>
          </cell>
          <cell r="BK139">
            <v>0</v>
          </cell>
          <cell r="BL139">
            <v>0.84899999999999998</v>
          </cell>
          <cell r="BM139">
            <v>0</v>
          </cell>
          <cell r="BN139">
            <v>0</v>
          </cell>
          <cell r="BO139">
            <v>0</v>
          </cell>
          <cell r="BR139" t="str">
            <v>Amortization of debt origination fees</v>
          </cell>
          <cell r="BS139">
            <v>0</v>
          </cell>
          <cell r="BT139">
            <v>0</v>
          </cell>
          <cell r="BU139">
            <v>0</v>
          </cell>
          <cell r="BV139">
            <v>1.4319999999999999</v>
          </cell>
          <cell r="BW139">
            <v>8.09</v>
          </cell>
          <cell r="BX139">
            <v>5.7759999999999998</v>
          </cell>
          <cell r="BY139">
            <v>18.065000000000001</v>
          </cell>
          <cell r="BZ139">
            <v>3.3479999999999999</v>
          </cell>
          <cell r="CA139">
            <v>7.7480000000000002</v>
          </cell>
          <cell r="CB139">
            <v>2.1349999999999998</v>
          </cell>
          <cell r="CC139">
            <v>3.0680000000000001</v>
          </cell>
          <cell r="CD139">
            <v>0.84899999999999998</v>
          </cell>
          <cell r="CE139">
            <v>0</v>
          </cell>
          <cell r="CF139">
            <v>0</v>
          </cell>
          <cell r="CG139">
            <v>0</v>
          </cell>
          <cell r="CI139" t="str">
            <v>mstag:amortizationOfDiscountPremiumOnDebtCashFlowStatement</v>
          </cell>
          <cell r="CJ139">
            <v>6</v>
          </cell>
          <cell r="CK139" t="str">
            <v>ISO4217:USD</v>
          </cell>
          <cell r="CL139" t="b">
            <v>0</v>
          </cell>
        </row>
        <row r="140">
          <cell r="A140" t="str">
            <v>Amortization of discount of debt</v>
          </cell>
          <cell r="C140">
            <v>0</v>
          </cell>
          <cell r="D140">
            <v>0</v>
          </cell>
          <cell r="E140">
            <v>0</v>
          </cell>
          <cell r="F140">
            <v>0</v>
          </cell>
          <cell r="G140">
            <v>0</v>
          </cell>
          <cell r="H140">
            <v>0</v>
          </cell>
          <cell r="I140">
            <v>0</v>
          </cell>
          <cell r="J140">
            <v>0</v>
          </cell>
          <cell r="K140">
            <v>0</v>
          </cell>
          <cell r="L140">
            <v>0.124</v>
          </cell>
          <cell r="M140">
            <v>4.1000000000000009E-2</v>
          </cell>
          <cell r="N140">
            <v>0.16500000000000001</v>
          </cell>
          <cell r="O140">
            <v>4.2000000000000003E-2</v>
          </cell>
          <cell r="P140">
            <v>-0.10399999999999998</v>
          </cell>
          <cell r="Q140">
            <v>-0.15600000000000006</v>
          </cell>
          <cell r="R140">
            <v>-0.17699999999999999</v>
          </cell>
          <cell r="S140">
            <v>-0.39500000000000002</v>
          </cell>
          <cell r="T140">
            <v>-0.23100000000000001</v>
          </cell>
          <cell r="U140">
            <v>0.18299999999999997</v>
          </cell>
          <cell r="V140">
            <v>1.1120000000000001</v>
          </cell>
          <cell r="W140">
            <v>0.27299999999999991</v>
          </cell>
          <cell r="X140">
            <v>1.337</v>
          </cell>
          <cell r="Y140">
            <v>0.34</v>
          </cell>
          <cell r="Z140">
            <v>0.23099999999999993</v>
          </cell>
          <cell r="AA140">
            <v>0.23000000000000009</v>
          </cell>
          <cell r="AB140">
            <v>0.24999999999999989</v>
          </cell>
          <cell r="AC140">
            <v>1.0509999999999999</v>
          </cell>
          <cell r="AD140">
            <v>0.22900000000000001</v>
          </cell>
          <cell r="AE140">
            <v>4.6049999999999995</v>
          </cell>
          <cell r="AF140">
            <v>0.23800000000000052</v>
          </cell>
          <cell r="AG140">
            <v>0.23299999999999965</v>
          </cell>
          <cell r="AH140">
            <v>5.3049999999999997</v>
          </cell>
          <cell r="AI140">
            <v>0.246</v>
          </cell>
          <cell r="AJ140">
            <v>0.22799999999999998</v>
          </cell>
          <cell r="AK140">
            <v>0.22499999999999998</v>
          </cell>
          <cell r="AL140">
            <v>0.3670000000000001</v>
          </cell>
          <cell r="AM140">
            <v>1.0660000000000001</v>
          </cell>
          <cell r="AN140">
            <v>0.246</v>
          </cell>
          <cell r="AO140">
            <v>0.22799999999999998</v>
          </cell>
          <cell r="AP140">
            <v>0.22499999999999998</v>
          </cell>
          <cell r="AQ140">
            <v>0.3670000000000001</v>
          </cell>
          <cell r="AR140">
            <v>1.0660000000000001</v>
          </cell>
          <cell r="AS140">
            <v>0.121</v>
          </cell>
          <cell r="AT140">
            <v>0.11899999999999999</v>
          </cell>
          <cell r="AU140">
            <v>0.11899999999999999</v>
          </cell>
          <cell r="AV140">
            <v>1.859</v>
          </cell>
          <cell r="AW140">
            <v>2.218</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R140" t="str">
            <v>Amortization of discount of debt</v>
          </cell>
          <cell r="BS140">
            <v>0</v>
          </cell>
          <cell r="BT140">
            <v>0</v>
          </cell>
          <cell r="BU140">
            <v>0.16500000000000001</v>
          </cell>
          <cell r="BV140">
            <v>-0.39500000000000002</v>
          </cell>
          <cell r="BW140">
            <v>1.337</v>
          </cell>
          <cell r="BX140">
            <v>1.0509999999999999</v>
          </cell>
          <cell r="BY140">
            <v>5.3049999999999997</v>
          </cell>
          <cell r="BZ140">
            <v>1.0660000000000001</v>
          </cell>
          <cell r="CA140">
            <v>2.218</v>
          </cell>
          <cell r="CB140">
            <v>0</v>
          </cell>
          <cell r="CC140">
            <v>0</v>
          </cell>
          <cell r="CD140">
            <v>0</v>
          </cell>
          <cell r="CE140">
            <v>0</v>
          </cell>
          <cell r="CF140">
            <v>0</v>
          </cell>
          <cell r="CG140">
            <v>0</v>
          </cell>
          <cell r="CI140" t="str">
            <v>mstag:amortizationOfDiscountPremiumOnDebtCashFlowStatement</v>
          </cell>
          <cell r="CJ140">
            <v>6</v>
          </cell>
          <cell r="CK140" t="str">
            <v>ISO4217:USD</v>
          </cell>
          <cell r="CL140" t="b">
            <v>0</v>
          </cell>
        </row>
        <row r="141">
          <cell r="A141" t="str">
            <v>Deferred taxes and other</v>
          </cell>
          <cell r="C141">
            <v>-13.664999999999999</v>
          </cell>
          <cell r="D141">
            <v>-10.013</v>
          </cell>
          <cell r="E141">
            <v>-5.5919999999999996</v>
          </cell>
          <cell r="F141">
            <v>2.8079999999999998</v>
          </cell>
          <cell r="G141">
            <v>-4.080000000000001</v>
          </cell>
          <cell r="H141">
            <v>-15.779</v>
          </cell>
          <cell r="I141">
            <v>-22.643000000000001</v>
          </cell>
          <cell r="J141">
            <v>-2.911</v>
          </cell>
          <cell r="K141">
            <v>-3.9970000000000003</v>
          </cell>
          <cell r="L141">
            <v>-0.29899999999999949</v>
          </cell>
          <cell r="M141">
            <v>2.8999999999999027E-2</v>
          </cell>
          <cell r="N141">
            <v>-7.1780000000000008</v>
          </cell>
          <cell r="O141">
            <v>-4.2140000000000004</v>
          </cell>
          <cell r="P141">
            <v>-6.7359999999999989</v>
          </cell>
          <cell r="Q141">
            <v>-4.2760000000000016</v>
          </cell>
          <cell r="R141">
            <v>0.88800000000000168</v>
          </cell>
          <cell r="S141">
            <v>-14.337999999999999</v>
          </cell>
          <cell r="T141">
            <v>-3.3099999999999996</v>
          </cell>
          <cell r="U141">
            <v>-1.2730000000000006</v>
          </cell>
          <cell r="V141">
            <v>7.2620000000000005</v>
          </cell>
          <cell r="W141">
            <v>1.4929999999999994</v>
          </cell>
          <cell r="X141">
            <v>4.1719999999999997</v>
          </cell>
          <cell r="Y141">
            <v>10.617000000000001</v>
          </cell>
          <cell r="Z141">
            <v>-9.1050000000000004</v>
          </cell>
          <cell r="AA141">
            <v>-17.118000000000002</v>
          </cell>
          <cell r="AB141">
            <v>15.510000000000002</v>
          </cell>
          <cell r="AC141">
            <v>-9.6000000000000085E-2</v>
          </cell>
          <cell r="AD141">
            <v>-7.0229999999999997</v>
          </cell>
          <cell r="AE141">
            <v>-12.450999999999997</v>
          </cell>
          <cell r="AF141">
            <v>-5.9420000000000037</v>
          </cell>
          <cell r="AG141">
            <v>-5.8760000000000012</v>
          </cell>
          <cell r="AH141">
            <v>-31.292000000000002</v>
          </cell>
          <cell r="AI141">
            <v>-7.423</v>
          </cell>
          <cell r="AJ141">
            <v>8.52</v>
          </cell>
          <cell r="AK141">
            <v>-5.7359999999999989</v>
          </cell>
          <cell r="AL141">
            <v>-13.431000000000001</v>
          </cell>
          <cell r="AM141">
            <v>-18.07</v>
          </cell>
          <cell r="AN141">
            <v>-7.423</v>
          </cell>
          <cell r="AO141">
            <v>8.52</v>
          </cell>
          <cell r="AP141">
            <v>-5.7359999999999989</v>
          </cell>
          <cell r="AQ141">
            <v>-13.431000000000001</v>
          </cell>
          <cell r="AR141">
            <v>-18.07</v>
          </cell>
          <cell r="AS141">
            <v>-27.547000000000001</v>
          </cell>
          <cell r="AT141">
            <v>28.797000000000001</v>
          </cell>
          <cell r="AU141">
            <v>-1.6870000000000001</v>
          </cell>
          <cell r="AV141">
            <v>-5.5110000000000001</v>
          </cell>
          <cell r="AW141">
            <v>-5.9480000000000004</v>
          </cell>
          <cell r="AX141">
            <v>4.1429999999999998</v>
          </cell>
          <cell r="AY141">
            <v>-17.067</v>
          </cell>
          <cell r="AZ141">
            <v>-9.1609999999999978</v>
          </cell>
          <cell r="BA141">
            <v>-5.5230000000000032</v>
          </cell>
          <cell r="BB141">
            <v>-27.608000000000001</v>
          </cell>
          <cell r="BC141">
            <v>-7.2670000000000003</v>
          </cell>
          <cell r="BD141">
            <v>-1.8540000000000001</v>
          </cell>
          <cell r="BE141">
            <v>-4.3219999999999992</v>
          </cell>
          <cell r="BF141">
            <v>-10.405999999999999</v>
          </cell>
          <cell r="BG141">
            <v>-23.848999999999997</v>
          </cell>
          <cell r="BH141">
            <v>-2.0100000000000002</v>
          </cell>
          <cell r="BI141">
            <v>0</v>
          </cell>
          <cell r="BJ141">
            <v>0</v>
          </cell>
          <cell r="BK141">
            <v>0</v>
          </cell>
          <cell r="BL141">
            <v>-2.0100000000000002</v>
          </cell>
          <cell r="BM141">
            <v>0</v>
          </cell>
          <cell r="BN141">
            <v>0</v>
          </cell>
          <cell r="BO141">
            <v>0</v>
          </cell>
          <cell r="BR141" t="str">
            <v>Deferred taxes and other</v>
          </cell>
          <cell r="BS141">
            <v>-10.013</v>
          </cell>
          <cell r="BT141">
            <v>-22.643000000000001</v>
          </cell>
          <cell r="BU141">
            <v>-7.1780000000000008</v>
          </cell>
          <cell r="BV141">
            <v>-14.337999999999999</v>
          </cell>
          <cell r="BW141">
            <v>4.1719999999999997</v>
          </cell>
          <cell r="BX141">
            <v>-9.6000000000000085E-2</v>
          </cell>
          <cell r="BY141">
            <v>-31.292000000000002</v>
          </cell>
          <cell r="BZ141">
            <v>-18.07</v>
          </cell>
          <cell r="CA141">
            <v>-5.9480000000000004</v>
          </cell>
          <cell r="CB141">
            <v>-27.608000000000001</v>
          </cell>
          <cell r="CC141">
            <v>-23.848999999999997</v>
          </cell>
          <cell r="CD141">
            <v>-2.0100000000000002</v>
          </cell>
          <cell r="CE141">
            <v>0</v>
          </cell>
          <cell r="CF141">
            <v>0</v>
          </cell>
          <cell r="CG141">
            <v>0</v>
          </cell>
          <cell r="CI141" t="str">
            <v>mstag:deferredTax</v>
          </cell>
          <cell r="CJ141">
            <v>6</v>
          </cell>
          <cell r="CK141" t="str">
            <v>ISO4217:USD</v>
          </cell>
          <cell r="CL141" t="b">
            <v>0</v>
          </cell>
        </row>
        <row r="142">
          <cell r="A142" t="str">
            <v>Net Changes in Operating Assets and Liabilities</v>
          </cell>
          <cell r="BR142" t="str">
            <v>Net Changes in Operating Assets and Liabilities</v>
          </cell>
          <cell r="BS142">
            <v>0</v>
          </cell>
          <cell r="BT142">
            <v>0</v>
          </cell>
          <cell r="BU142">
            <v>0</v>
          </cell>
        </row>
        <row r="143">
          <cell r="A143" t="str">
            <v xml:space="preserve">    Inc(Dec) in   Accounts receivable</v>
          </cell>
          <cell r="C143">
            <v>-5.4100000000000019</v>
          </cell>
          <cell r="D143">
            <v>11.773999999999999</v>
          </cell>
          <cell r="E143">
            <v>-35.426000000000002</v>
          </cell>
          <cell r="F143">
            <v>4.3350000000000009</v>
          </cell>
          <cell r="G143">
            <v>14.734999999999999</v>
          </cell>
          <cell r="H143">
            <v>0.82600000000000229</v>
          </cell>
          <cell r="I143">
            <v>-15.53</v>
          </cell>
          <cell r="J143">
            <v>-45.621000000000002</v>
          </cell>
          <cell r="K143">
            <v>18.501000000000001</v>
          </cell>
          <cell r="L143">
            <v>20.82</v>
          </cell>
          <cell r="M143">
            <v>-1.447999999999996</v>
          </cell>
          <cell r="N143">
            <v>-7.7479999999999967</v>
          </cell>
          <cell r="O143">
            <v>-14.225</v>
          </cell>
          <cell r="P143">
            <v>4.875</v>
          </cell>
          <cell r="Q143">
            <v>18.423000000000002</v>
          </cell>
          <cell r="R143">
            <v>-0.51300000000000168</v>
          </cell>
          <cell r="S143">
            <v>8.56</v>
          </cell>
          <cell r="T143">
            <v>-37.68</v>
          </cell>
          <cell r="U143">
            <v>20.536999999999999</v>
          </cell>
          <cell r="V143">
            <v>15.343</v>
          </cell>
          <cell r="W143">
            <v>-34.051000000000002</v>
          </cell>
          <cell r="X143">
            <v>-35.850999999999999</v>
          </cell>
          <cell r="Y143">
            <v>-46.948999999999998</v>
          </cell>
          <cell r="Z143">
            <v>8.9919999999999973</v>
          </cell>
          <cell r="AA143">
            <v>9.0740000000000016</v>
          </cell>
          <cell r="AB143">
            <v>-13.401</v>
          </cell>
          <cell r="AC143">
            <v>-42.283999999999999</v>
          </cell>
          <cell r="AD143">
            <v>8.5739999999999998</v>
          </cell>
          <cell r="AE143">
            <v>36.14</v>
          </cell>
          <cell r="AF143">
            <v>12.108000000000002</v>
          </cell>
          <cell r="AG143">
            <v>-21.349000000000004</v>
          </cell>
          <cell r="AH143">
            <v>35.472999999999999</v>
          </cell>
          <cell r="AI143">
            <v>-14.212999999999999</v>
          </cell>
          <cell r="AJ143">
            <v>6.2769999999999992</v>
          </cell>
          <cell r="AK143">
            <v>-18.826000000000001</v>
          </cell>
          <cell r="AL143">
            <v>10.350000000000001</v>
          </cell>
          <cell r="AM143">
            <v>-16.411999999999999</v>
          </cell>
          <cell r="AN143">
            <v>-14.212999999999999</v>
          </cell>
          <cell r="AO143">
            <v>6.2769999999999992</v>
          </cell>
          <cell r="AP143">
            <v>-18.826000000000001</v>
          </cell>
          <cell r="AQ143">
            <v>10.350000000000001</v>
          </cell>
          <cell r="AR143">
            <v>-16.411999999999999</v>
          </cell>
          <cell r="AS143">
            <v>-38.878999999999998</v>
          </cell>
          <cell r="AT143">
            <v>-20.202000000000005</v>
          </cell>
          <cell r="AU143">
            <v>20.446000000000005</v>
          </cell>
          <cell r="AV143">
            <v>11.813999999999997</v>
          </cell>
          <cell r="AW143">
            <v>-26.821000000000002</v>
          </cell>
          <cell r="AX143">
            <v>-7.181</v>
          </cell>
          <cell r="AY143">
            <v>-28.999999999999996</v>
          </cell>
          <cell r="AZ143">
            <v>5.6989999999999972</v>
          </cell>
          <cell r="BA143">
            <v>-0.41799999999999926</v>
          </cell>
          <cell r="BB143">
            <v>-30.9</v>
          </cell>
          <cell r="BC143">
            <v>-51.664000000000001</v>
          </cell>
          <cell r="BD143">
            <v>11.283000000000001</v>
          </cell>
          <cell r="BE143">
            <v>9.36</v>
          </cell>
          <cell r="BF143">
            <v>12.527000000000001</v>
          </cell>
          <cell r="BG143">
            <v>-18.494</v>
          </cell>
          <cell r="BH143">
            <v>-40.582000000000001</v>
          </cell>
          <cell r="BI143">
            <v>-10.844589524499497</v>
          </cell>
          <cell r="BJ143">
            <v>10.923176836896346</v>
          </cell>
          <cell r="BK143">
            <v>15.881363312501634</v>
          </cell>
          <cell r="BL143">
            <v>-24.622049375101518</v>
          </cell>
          <cell r="BM143">
            <v>-28.351995367190256</v>
          </cell>
          <cell r="BN143">
            <v>-27.242541012094023</v>
          </cell>
          <cell r="BO143">
            <v>-30.349082073956595</v>
          </cell>
          <cell r="BR143" t="str">
            <v xml:space="preserve">    Inc(Dec) in   Accounts receivable</v>
          </cell>
          <cell r="BS143">
            <v>11.773999999999999</v>
          </cell>
          <cell r="BT143">
            <v>-15.53</v>
          </cell>
          <cell r="BU143">
            <v>-7.7479999999999967</v>
          </cell>
          <cell r="BV143">
            <v>8.56</v>
          </cell>
          <cell r="BW143">
            <v>-35.850999999999999</v>
          </cell>
          <cell r="BX143">
            <v>-42.283999999999999</v>
          </cell>
          <cell r="BY143">
            <v>35.472999999999999</v>
          </cell>
          <cell r="BZ143">
            <v>-16.411999999999999</v>
          </cell>
          <cell r="CA143">
            <v>-26.821000000000002</v>
          </cell>
          <cell r="CB143">
            <v>-30.9</v>
          </cell>
          <cell r="CC143">
            <v>-18.494</v>
          </cell>
          <cell r="CD143">
            <v>-24.622049375101518</v>
          </cell>
          <cell r="CE143">
            <v>-28.351995367190256</v>
          </cell>
          <cell r="CF143">
            <v>-27.242541012094023</v>
          </cell>
          <cell r="CG143">
            <v>-30.349082073956595</v>
          </cell>
          <cell r="CI143" t="str">
            <v>mstag:netDecreaseInTradeReceivables</v>
          </cell>
          <cell r="CJ143">
            <v>6</v>
          </cell>
          <cell r="CK143" t="str">
            <v>ISO4217:USD</v>
          </cell>
          <cell r="CL143" t="b">
            <v>0</v>
          </cell>
        </row>
        <row r="144">
          <cell r="A144" t="str">
            <v xml:space="preserve">    Inc(Dec) in   Due from related parties</v>
          </cell>
          <cell r="C144">
            <v>-33.43</v>
          </cell>
          <cell r="D144">
            <v>-23.85</v>
          </cell>
          <cell r="E144">
            <v>32.802</v>
          </cell>
          <cell r="F144">
            <v>-0.18900000000000006</v>
          </cell>
          <cell r="G144">
            <v>0.86999999999999744</v>
          </cell>
          <cell r="H144">
            <v>1.7280000000000015</v>
          </cell>
          <cell r="I144">
            <v>35.210999999999999</v>
          </cell>
          <cell r="J144">
            <v>-2.968</v>
          </cell>
          <cell r="K144">
            <v>3.63</v>
          </cell>
          <cell r="L144">
            <v>-3.7290000000000001</v>
          </cell>
          <cell r="M144">
            <v>3.9290000000000003</v>
          </cell>
          <cell r="N144">
            <v>0.8620000000000001</v>
          </cell>
          <cell r="O144">
            <v>-2.62</v>
          </cell>
          <cell r="P144">
            <v>4.3849999999999998</v>
          </cell>
          <cell r="Q144">
            <v>0</v>
          </cell>
          <cell r="R144">
            <v>0</v>
          </cell>
          <cell r="S144">
            <v>1.7649999999999997</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R144" t="str">
            <v xml:space="preserve">    Inc(Dec) in   Due from related parties</v>
          </cell>
          <cell r="BS144">
            <v>-23.85</v>
          </cell>
          <cell r="BT144">
            <v>35.210999999999999</v>
          </cell>
          <cell r="BU144">
            <v>0.8620000000000001</v>
          </cell>
          <cell r="BV144">
            <v>1.7649999999999997</v>
          </cell>
          <cell r="BW144">
            <v>0</v>
          </cell>
          <cell r="BX144">
            <v>0</v>
          </cell>
          <cell r="BY144">
            <v>0</v>
          </cell>
          <cell r="BZ144">
            <v>0</v>
          </cell>
          <cell r="CA144">
            <v>0</v>
          </cell>
          <cell r="CB144">
            <v>0</v>
          </cell>
          <cell r="CC144">
            <v>0</v>
          </cell>
          <cell r="CD144">
            <v>0</v>
          </cell>
          <cell r="CE144">
            <v>0</v>
          </cell>
          <cell r="CF144">
            <v>0</v>
          </cell>
          <cell r="CG144">
            <v>0</v>
          </cell>
          <cell r="CI144" t="str">
            <v>mstag:netDecreaseInOtherAssets</v>
          </cell>
          <cell r="CJ144">
            <v>6</v>
          </cell>
          <cell r="CK144" t="str">
            <v>ISO4217:USD</v>
          </cell>
          <cell r="CL144" t="b">
            <v>0</v>
          </cell>
        </row>
        <row r="145">
          <cell r="A145" t="str">
            <v xml:space="preserve">    Inc(Dec) in   Prepaid and other assets</v>
          </cell>
          <cell r="C145">
            <v>2.7010000000000001</v>
          </cell>
          <cell r="D145">
            <v>-2.2189999999999999</v>
          </cell>
          <cell r="E145">
            <v>1.2809999999999999</v>
          </cell>
          <cell r="F145">
            <v>-1.23</v>
          </cell>
          <cell r="G145">
            <v>-0.20699999999999993</v>
          </cell>
          <cell r="H145">
            <v>0.64699999999999991</v>
          </cell>
          <cell r="I145">
            <v>0.49099999999999988</v>
          </cell>
          <cell r="J145">
            <v>-0.193</v>
          </cell>
          <cell r="K145">
            <v>-4.2600000000000007</v>
          </cell>
          <cell r="L145">
            <v>6.0340000000000007</v>
          </cell>
          <cell r="M145">
            <v>-10.840999999999999</v>
          </cell>
          <cell r="N145">
            <v>-9.259999999999998</v>
          </cell>
          <cell r="O145">
            <v>6.7229999999999999</v>
          </cell>
          <cell r="P145">
            <v>-0.84299999999999997</v>
          </cell>
          <cell r="Q145">
            <v>-0.64499999999999957</v>
          </cell>
          <cell r="R145">
            <v>-8.625</v>
          </cell>
          <cell r="S145">
            <v>-3.3899999999999997</v>
          </cell>
          <cell r="T145">
            <v>9.0050000000000008</v>
          </cell>
          <cell r="U145">
            <v>-12.213000000000001</v>
          </cell>
          <cell r="V145">
            <v>-2.8999999999999995</v>
          </cell>
          <cell r="W145">
            <v>26.657</v>
          </cell>
          <cell r="X145">
            <v>20.548999999999999</v>
          </cell>
          <cell r="Y145">
            <v>-8.3320000000000007</v>
          </cell>
          <cell r="Z145">
            <v>-7.134999999999998</v>
          </cell>
          <cell r="AA145">
            <v>10.678000000000001</v>
          </cell>
          <cell r="AB145">
            <v>-3.7360000000000024</v>
          </cell>
          <cell r="AC145">
            <v>-8.5250000000000004</v>
          </cell>
          <cell r="AD145">
            <v>24.356999999999999</v>
          </cell>
          <cell r="AE145">
            <v>-22.712</v>
          </cell>
          <cell r="AF145">
            <v>-1.125</v>
          </cell>
          <cell r="AG145">
            <v>5.3629999999999995</v>
          </cell>
          <cell r="AH145">
            <v>5.8829999999999991</v>
          </cell>
          <cell r="AI145">
            <v>19.244999999999997</v>
          </cell>
          <cell r="AJ145">
            <v>-29.601999999999997</v>
          </cell>
          <cell r="AK145">
            <v>-6.1030000000000015</v>
          </cell>
          <cell r="AL145">
            <v>19.928000000000001</v>
          </cell>
          <cell r="AM145">
            <v>3.468</v>
          </cell>
          <cell r="AN145">
            <v>19.244999999999997</v>
          </cell>
          <cell r="AO145">
            <v>-29.601999999999997</v>
          </cell>
          <cell r="AP145">
            <v>-6.1030000000000015</v>
          </cell>
          <cell r="AQ145">
            <v>19.928000000000001</v>
          </cell>
          <cell r="AR145">
            <v>3.468</v>
          </cell>
          <cell r="AS145">
            <v>9.7669999999999995</v>
          </cell>
          <cell r="AT145">
            <v>-35.525999999999996</v>
          </cell>
          <cell r="AU145">
            <v>-2.1360000000000028</v>
          </cell>
          <cell r="AV145">
            <v>3.0400000000000027</v>
          </cell>
          <cell r="AW145">
            <v>-24.854999999999997</v>
          </cell>
          <cell r="AX145">
            <v>15.016</v>
          </cell>
          <cell r="AY145">
            <v>-24.926000000000002</v>
          </cell>
          <cell r="AZ145">
            <v>18.418000000000006</v>
          </cell>
          <cell r="BA145">
            <v>-11.697000000000005</v>
          </cell>
          <cell r="BB145">
            <v>-3.1890000000000001</v>
          </cell>
          <cell r="BC145">
            <v>22.515999999999998</v>
          </cell>
          <cell r="BD145">
            <v>-25.367999999999995</v>
          </cell>
          <cell r="BE145">
            <v>33.872999999999998</v>
          </cell>
          <cell r="BF145">
            <v>10.935</v>
          </cell>
          <cell r="BG145">
            <v>41.956000000000003</v>
          </cell>
          <cell r="BH145">
            <v>13.067</v>
          </cell>
          <cell r="BI145">
            <v>-61.971203044765886</v>
          </cell>
          <cell r="BJ145">
            <v>34.528812895236975</v>
          </cell>
          <cell r="BK145">
            <v>11.099489688556289</v>
          </cell>
          <cell r="BL145">
            <v>-3.2759004609726219</v>
          </cell>
          <cell r="BM145">
            <v>-3.206928172498678</v>
          </cell>
          <cell r="BN145">
            <v>-3.4452357521308201</v>
          </cell>
          <cell r="BO145">
            <v>-3.7946612261123533</v>
          </cell>
          <cell r="BR145" t="str">
            <v xml:space="preserve">    Inc(Dec) in   Prepaid and other assets</v>
          </cell>
          <cell r="BS145">
            <v>-2.2189999999999999</v>
          </cell>
          <cell r="BT145">
            <v>0.49099999999999988</v>
          </cell>
          <cell r="BU145">
            <v>-9.259999999999998</v>
          </cell>
          <cell r="BV145">
            <v>-3.3899999999999997</v>
          </cell>
          <cell r="BW145">
            <v>20.548999999999999</v>
          </cell>
          <cell r="BX145">
            <v>-8.5250000000000004</v>
          </cell>
          <cell r="BY145">
            <v>5.8829999999999991</v>
          </cell>
          <cell r="BZ145">
            <v>3.468</v>
          </cell>
          <cell r="CA145">
            <v>-24.854999999999997</v>
          </cell>
          <cell r="CB145">
            <v>-3.1890000000000001</v>
          </cell>
          <cell r="CC145">
            <v>41.956000000000003</v>
          </cell>
          <cell r="CD145">
            <v>-3.2759004609726219</v>
          </cell>
          <cell r="CE145">
            <v>-3.206928172498678</v>
          </cell>
          <cell r="CF145">
            <v>-3.4452357521308201</v>
          </cell>
          <cell r="CG145">
            <v>-3.7946612261123533</v>
          </cell>
          <cell r="CI145" t="str">
            <v>mstag:netDecreaseInPrepaidExpenses</v>
          </cell>
          <cell r="CJ145">
            <v>6</v>
          </cell>
          <cell r="CK145" t="str">
            <v>ISO4217:USD</v>
          </cell>
          <cell r="CL145" t="b">
            <v>0</v>
          </cell>
        </row>
        <row r="146">
          <cell r="A146" t="str">
            <v xml:space="preserve">    Inc(Dec) in   Accounts payable</v>
          </cell>
          <cell r="C146">
            <v>0</v>
          </cell>
          <cell r="D146">
            <v>0</v>
          </cell>
          <cell r="E146">
            <v>0</v>
          </cell>
          <cell r="F146">
            <v>0</v>
          </cell>
          <cell r="G146">
            <v>0</v>
          </cell>
          <cell r="H146">
            <v>0</v>
          </cell>
          <cell r="I146">
            <v>0</v>
          </cell>
          <cell r="J146">
            <v>0</v>
          </cell>
          <cell r="K146">
            <v>0</v>
          </cell>
          <cell r="L146">
            <v>1.96</v>
          </cell>
          <cell r="M146">
            <v>-1.6879999999999999</v>
          </cell>
          <cell r="N146">
            <v>0.27200000000000002</v>
          </cell>
          <cell r="O146">
            <v>-0.35899999999999999</v>
          </cell>
          <cell r="P146">
            <v>37.564</v>
          </cell>
          <cell r="Q146">
            <v>-4.3639999999999972</v>
          </cell>
          <cell r="R146">
            <v>-32.152999999999999</v>
          </cell>
          <cell r="S146">
            <v>0.68800000000000239</v>
          </cell>
          <cell r="T146">
            <v>-1.466</v>
          </cell>
          <cell r="U146">
            <v>0.13100000000000001</v>
          </cell>
          <cell r="V146">
            <v>-2.0340000000000003</v>
          </cell>
          <cell r="W146">
            <v>0.71600000000000019</v>
          </cell>
          <cell r="X146">
            <v>-2.653</v>
          </cell>
          <cell r="Y146">
            <v>0.27100000000000002</v>
          </cell>
          <cell r="Z146">
            <v>0.16099999999999998</v>
          </cell>
          <cell r="AA146">
            <v>-0.19500000000000001</v>
          </cell>
          <cell r="AB146">
            <v>-0.18</v>
          </cell>
          <cell r="AC146">
            <v>5.6999999999999995E-2</v>
          </cell>
          <cell r="AD146">
            <v>-7.0000000000000007E-2</v>
          </cell>
          <cell r="AE146">
            <v>0.48399999999999999</v>
          </cell>
          <cell r="AF146">
            <v>1.034</v>
          </cell>
          <cell r="AG146">
            <v>0.53100000000000014</v>
          </cell>
          <cell r="AH146">
            <v>1.9790000000000001</v>
          </cell>
          <cell r="AI146">
            <v>-2.1789999999999998</v>
          </cell>
          <cell r="AJ146">
            <v>-0.16400000000000015</v>
          </cell>
          <cell r="AK146">
            <v>0.32600000000000007</v>
          </cell>
          <cell r="AL146">
            <v>-0.12800000000000011</v>
          </cell>
          <cell r="AM146">
            <v>-2.145</v>
          </cell>
          <cell r="AN146">
            <v>-2.1789999999999998</v>
          </cell>
          <cell r="AO146">
            <v>-0.16400000000000015</v>
          </cell>
          <cell r="AP146">
            <v>0.32600000000000007</v>
          </cell>
          <cell r="AQ146">
            <v>-0.12800000000000011</v>
          </cell>
          <cell r="AR146">
            <v>-2.145</v>
          </cell>
          <cell r="AS146">
            <v>0.34899999999999998</v>
          </cell>
          <cell r="AT146">
            <v>0.88000000000000012</v>
          </cell>
          <cell r="AU146">
            <v>-0.25600000000000012</v>
          </cell>
          <cell r="AV146">
            <v>1.1550000000000002</v>
          </cell>
          <cell r="AW146">
            <v>2.1280000000000001</v>
          </cell>
          <cell r="AX146">
            <v>-1.681</v>
          </cell>
          <cell r="AY146">
            <v>1.012</v>
          </cell>
          <cell r="AZ146">
            <v>-0.34299999999999997</v>
          </cell>
          <cell r="BA146">
            <v>0.71399999999999997</v>
          </cell>
          <cell r="BB146">
            <v>-0.29800000000000004</v>
          </cell>
          <cell r="BC146">
            <v>-1.006</v>
          </cell>
          <cell r="BD146">
            <v>0.21599999999999997</v>
          </cell>
          <cell r="BE146">
            <v>-0.47299999999999986</v>
          </cell>
          <cell r="BF146">
            <v>-0.64900000000000002</v>
          </cell>
          <cell r="BG146">
            <v>-1.9119999999999999</v>
          </cell>
          <cell r="BH146">
            <v>0.56100000000000005</v>
          </cell>
          <cell r="BI146">
            <v>0.70608033794682878</v>
          </cell>
          <cell r="BJ146">
            <v>-0.53227334927784997</v>
          </cell>
          <cell r="BK146">
            <v>-0.7111095335817843</v>
          </cell>
          <cell r="BL146">
            <v>2.3697455087194452E-2</v>
          </cell>
          <cell r="BM146">
            <v>3.3732651316483508E-2</v>
          </cell>
          <cell r="BN146">
            <v>3.5569948134624441E-2</v>
          </cell>
          <cell r="BO146">
            <v>3.8782466684103456E-2</v>
          </cell>
          <cell r="BR146" t="str">
            <v xml:space="preserve">    Inc(Dec) in   Accounts payable</v>
          </cell>
          <cell r="BS146">
            <v>0</v>
          </cell>
          <cell r="BT146">
            <v>0</v>
          </cell>
          <cell r="BU146">
            <v>0.27200000000000002</v>
          </cell>
          <cell r="BV146">
            <v>0.68800000000000239</v>
          </cell>
          <cell r="BW146">
            <v>-2.653</v>
          </cell>
          <cell r="BX146">
            <v>5.6999999999999995E-2</v>
          </cell>
          <cell r="BY146">
            <v>1.9790000000000001</v>
          </cell>
          <cell r="BZ146">
            <v>-2.145</v>
          </cell>
          <cell r="CA146">
            <v>2.1280000000000001</v>
          </cell>
          <cell r="CB146">
            <v>-0.29800000000000004</v>
          </cell>
          <cell r="CC146">
            <v>-1.9119999999999999</v>
          </cell>
          <cell r="CD146">
            <v>2.3697455087194452E-2</v>
          </cell>
          <cell r="CE146">
            <v>3.3732651316483508E-2</v>
          </cell>
          <cell r="CF146">
            <v>3.5569948134624441E-2</v>
          </cell>
          <cell r="CG146">
            <v>3.8782466684103456E-2</v>
          </cell>
          <cell r="CI146" t="str">
            <v>mstag:netIncreaseInTradeAndOtherPayables</v>
          </cell>
          <cell r="CJ146">
            <v>6</v>
          </cell>
          <cell r="CK146" t="str">
            <v>ISO4217:USD</v>
          </cell>
          <cell r="CL146" t="b">
            <v>0</v>
          </cell>
        </row>
        <row r="147">
          <cell r="A147" t="str">
            <v xml:space="preserve">    Inc(Dec) in   Payable to related parties</v>
          </cell>
          <cell r="C147">
            <v>52.628</v>
          </cell>
          <cell r="D147">
            <v>-5.5659999999999998</v>
          </cell>
          <cell r="E147">
            <v>-20.919</v>
          </cell>
          <cell r="F147">
            <v>-13.464000000000002</v>
          </cell>
          <cell r="G147">
            <v>-17.898999999999994</v>
          </cell>
          <cell r="H147">
            <v>4.7489999999999952</v>
          </cell>
          <cell r="I147">
            <v>-47.533000000000001</v>
          </cell>
          <cell r="J147">
            <v>24.184000000000001</v>
          </cell>
          <cell r="K147">
            <v>-9.1770000000000014</v>
          </cell>
          <cell r="L147">
            <v>-16.913</v>
          </cell>
          <cell r="M147">
            <v>24.198000000000004</v>
          </cell>
          <cell r="N147">
            <v>22.292000000000002</v>
          </cell>
          <cell r="O147">
            <v>1.9630000000000001</v>
          </cell>
          <cell r="P147">
            <v>-36.954999999999998</v>
          </cell>
          <cell r="Q147">
            <v>0</v>
          </cell>
          <cell r="R147">
            <v>0</v>
          </cell>
          <cell r="S147">
            <v>-34.991999999999997</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O147">
            <v>0</v>
          </cell>
          <cell r="BR147" t="str">
            <v xml:space="preserve">    Inc(Dec) in   Payable to related parties</v>
          </cell>
          <cell r="BS147">
            <v>-5.5659999999999998</v>
          </cell>
          <cell r="BT147">
            <v>-47.533000000000001</v>
          </cell>
          <cell r="BU147">
            <v>22.292000000000002</v>
          </cell>
          <cell r="BV147">
            <v>-34.991999999999997</v>
          </cell>
          <cell r="BW147">
            <v>0</v>
          </cell>
          <cell r="BX147">
            <v>0</v>
          </cell>
          <cell r="BY147">
            <v>0</v>
          </cell>
          <cell r="BZ147">
            <v>0</v>
          </cell>
          <cell r="CA147">
            <v>0</v>
          </cell>
          <cell r="CB147">
            <v>0</v>
          </cell>
          <cell r="CC147">
            <v>0</v>
          </cell>
          <cell r="CD147">
            <v>0</v>
          </cell>
          <cell r="CE147">
            <v>0</v>
          </cell>
          <cell r="CF147">
            <v>0</v>
          </cell>
          <cell r="CG147">
            <v>0</v>
          </cell>
          <cell r="CI147" t="str">
            <v>mstag:netIncreaseInOtherPayablesAndAccruedExpenses</v>
          </cell>
          <cell r="CJ147">
            <v>6</v>
          </cell>
          <cell r="CK147" t="str">
            <v>ISO4217:USD</v>
          </cell>
          <cell r="CL147" t="b">
            <v>0</v>
          </cell>
        </row>
        <row r="148">
          <cell r="A148" t="str">
            <v xml:space="preserve">    Inc(Dec) in   Deferred revenue</v>
          </cell>
          <cell r="C148">
            <v>-2.7220000000000013</v>
          </cell>
          <cell r="D148">
            <v>14.416</v>
          </cell>
          <cell r="E148">
            <v>37.624000000000002</v>
          </cell>
          <cell r="F148">
            <v>-0.33800000000000097</v>
          </cell>
          <cell r="G148">
            <v>-8.2380000000000031</v>
          </cell>
          <cell r="H148">
            <v>-6.1859999999999999</v>
          </cell>
          <cell r="I148">
            <v>22.861999999999998</v>
          </cell>
          <cell r="J148">
            <v>42.106000000000002</v>
          </cell>
          <cell r="K148">
            <v>1.4879999999999995</v>
          </cell>
          <cell r="L148">
            <v>-10.127000000000002</v>
          </cell>
          <cell r="M148">
            <v>-10.683999999999997</v>
          </cell>
          <cell r="N148">
            <v>22.783000000000001</v>
          </cell>
          <cell r="O148">
            <v>33.548000000000002</v>
          </cell>
          <cell r="P148">
            <v>-3.5850000000000009</v>
          </cell>
          <cell r="Q148">
            <v>-10.516000000000002</v>
          </cell>
          <cell r="R148">
            <v>-14.828999999999999</v>
          </cell>
          <cell r="S148">
            <v>4.6180000000000003</v>
          </cell>
          <cell r="T148">
            <v>18.007999999999999</v>
          </cell>
          <cell r="U148">
            <v>14.826000000000004</v>
          </cell>
          <cell r="V148">
            <v>-16.792000000000002</v>
          </cell>
          <cell r="W148">
            <v>-12.062000000000001</v>
          </cell>
          <cell r="X148">
            <v>3.9800000000000004</v>
          </cell>
          <cell r="Y148">
            <v>14.343999999999999</v>
          </cell>
          <cell r="Z148">
            <v>12.452</v>
          </cell>
          <cell r="AA148">
            <v>-5.629999999999999</v>
          </cell>
          <cell r="AB148">
            <v>-1.786999999999999</v>
          </cell>
          <cell r="AC148">
            <v>19.379000000000001</v>
          </cell>
          <cell r="AD148">
            <v>40.951000000000001</v>
          </cell>
          <cell r="AE148">
            <v>4.0279999999999987</v>
          </cell>
          <cell r="AF148">
            <v>-11.677999999999997</v>
          </cell>
          <cell r="AG148">
            <v>-14.956000000000003</v>
          </cell>
          <cell r="AH148">
            <v>18.344999999999999</v>
          </cell>
          <cell r="AI148">
            <v>43.405000000000001</v>
          </cell>
          <cell r="AJ148">
            <v>-2.0859999999999985</v>
          </cell>
          <cell r="AK148">
            <v>-15.865000000000002</v>
          </cell>
          <cell r="AL148">
            <v>-14.055000000000001</v>
          </cell>
          <cell r="AM148">
            <v>11.398999999999999</v>
          </cell>
          <cell r="AN148">
            <v>43.405000000000001</v>
          </cell>
          <cell r="AO148">
            <v>-2.0859999999999985</v>
          </cell>
          <cell r="AP148">
            <v>-15.865000000000002</v>
          </cell>
          <cell r="AQ148">
            <v>-14.055000000000001</v>
          </cell>
          <cell r="AR148">
            <v>11.398999999999999</v>
          </cell>
          <cell r="AS148">
            <v>46.167000000000002</v>
          </cell>
          <cell r="AT148">
            <v>8.3170000000000002</v>
          </cell>
          <cell r="AU148">
            <v>-4.18</v>
          </cell>
          <cell r="AV148">
            <v>-8.0410000000000039</v>
          </cell>
          <cell r="AW148">
            <v>42.262999999999998</v>
          </cell>
          <cell r="AX148">
            <v>34.716999999999999</v>
          </cell>
          <cell r="AY148">
            <v>-6.727999999999998</v>
          </cell>
          <cell r="AZ148">
            <v>-10.004000000000001</v>
          </cell>
          <cell r="BA148">
            <v>-9.9379999999999988</v>
          </cell>
          <cell r="BB148">
            <v>8.0470000000000006</v>
          </cell>
          <cell r="BC148">
            <v>42.039000000000001</v>
          </cell>
          <cell r="BD148">
            <v>5.9329999999999998</v>
          </cell>
          <cell r="BE148">
            <v>-20.635000000000002</v>
          </cell>
          <cell r="BF148">
            <v>-5.5279999999999987</v>
          </cell>
          <cell r="BG148">
            <v>21.809000000000001</v>
          </cell>
          <cell r="BH148">
            <v>43.247</v>
          </cell>
          <cell r="BI148">
            <v>3.985355070395542</v>
          </cell>
          <cell r="BJ148">
            <v>-21.210693368592558</v>
          </cell>
          <cell r="BK148">
            <v>-10.521292461733879</v>
          </cell>
          <cell r="BL148">
            <v>15.500369240069105</v>
          </cell>
          <cell r="BM148">
            <v>13.511745394168599</v>
          </cell>
          <cell r="BN148">
            <v>11.802817896356942</v>
          </cell>
          <cell r="BO148">
            <v>12.398722056375334</v>
          </cell>
          <cell r="BR148" t="str">
            <v xml:space="preserve">    Inc(Dec) in   Deferred revenue</v>
          </cell>
          <cell r="BS148">
            <v>14.416</v>
          </cell>
          <cell r="BT148">
            <v>22.861999999999998</v>
          </cell>
          <cell r="BU148">
            <v>22.783000000000001</v>
          </cell>
          <cell r="BV148">
            <v>4.6180000000000003</v>
          </cell>
          <cell r="BW148">
            <v>3.9800000000000004</v>
          </cell>
          <cell r="BX148">
            <v>19.379000000000001</v>
          </cell>
          <cell r="BY148">
            <v>18.344999999999999</v>
          </cell>
          <cell r="BZ148">
            <v>11.398999999999999</v>
          </cell>
          <cell r="CA148">
            <v>42.262999999999998</v>
          </cell>
          <cell r="CB148">
            <v>8.0470000000000006</v>
          </cell>
          <cell r="CC148">
            <v>21.809000000000001</v>
          </cell>
          <cell r="CD148">
            <v>15.500369240069105</v>
          </cell>
          <cell r="CE148">
            <v>13.511745394168599</v>
          </cell>
          <cell r="CF148">
            <v>11.802817896356942</v>
          </cell>
          <cell r="CG148">
            <v>12.398722056375334</v>
          </cell>
          <cell r="CI148" t="str">
            <v>mstag:netIncreaseInDeferredRevenue</v>
          </cell>
          <cell r="CJ148">
            <v>6</v>
          </cell>
          <cell r="CK148" t="str">
            <v>ISO4217:USD</v>
          </cell>
          <cell r="CL148" t="b">
            <v>0</v>
          </cell>
        </row>
        <row r="149">
          <cell r="A149" t="str">
            <v xml:space="preserve">    Inc(Dec) in  Accrued comp. and related benefits</v>
          </cell>
          <cell r="C149">
            <v>16.678999999999998</v>
          </cell>
          <cell r="D149">
            <v>14.728</v>
          </cell>
          <cell r="E149">
            <v>-27.928000000000001</v>
          </cell>
          <cell r="F149">
            <v>8.3829999999999991</v>
          </cell>
          <cell r="G149">
            <v>11.137000000000002</v>
          </cell>
          <cell r="H149">
            <v>17.028999999999996</v>
          </cell>
          <cell r="I149">
            <v>8.6209999999999969</v>
          </cell>
          <cell r="J149">
            <v>-30.707999999999998</v>
          </cell>
          <cell r="K149">
            <v>12.547999999999998</v>
          </cell>
          <cell r="L149">
            <v>15.247</v>
          </cell>
          <cell r="M149">
            <v>0.73000000000000043</v>
          </cell>
          <cell r="N149">
            <v>-2.1829999999999998</v>
          </cell>
          <cell r="O149">
            <v>-35.552999999999997</v>
          </cell>
          <cell r="P149">
            <v>13.660999999999998</v>
          </cell>
          <cell r="Q149">
            <v>11.535</v>
          </cell>
          <cell r="R149">
            <v>15.872</v>
          </cell>
          <cell r="S149">
            <v>5.5150000000000006</v>
          </cell>
          <cell r="T149">
            <v>-39.374000000000002</v>
          </cell>
          <cell r="U149">
            <v>12.401000000000003</v>
          </cell>
          <cell r="V149">
            <v>19.596</v>
          </cell>
          <cell r="W149">
            <v>22.951000000000001</v>
          </cell>
          <cell r="X149">
            <v>15.574000000000002</v>
          </cell>
          <cell r="Y149">
            <v>-61.747</v>
          </cell>
          <cell r="Z149">
            <v>22.884999999999998</v>
          </cell>
          <cell r="AA149">
            <v>23.723000000000003</v>
          </cell>
          <cell r="AB149">
            <v>21.544999999999998</v>
          </cell>
          <cell r="AC149">
            <v>6.4059999999999988</v>
          </cell>
          <cell r="AD149">
            <v>-71.23</v>
          </cell>
          <cell r="AE149">
            <v>24.462000000000003</v>
          </cell>
          <cell r="AF149">
            <v>24.085000000000001</v>
          </cell>
          <cell r="AG149">
            <v>21.849</v>
          </cell>
          <cell r="AH149">
            <v>-0.83399999999999963</v>
          </cell>
          <cell r="AI149">
            <v>-61.639000000000003</v>
          </cell>
          <cell r="AJ149">
            <v>19.240000000000002</v>
          </cell>
          <cell r="AK149">
            <v>26.238</v>
          </cell>
          <cell r="AL149">
            <v>23.218000000000004</v>
          </cell>
          <cell r="AM149">
            <v>7.0570000000000022</v>
          </cell>
          <cell r="AN149">
            <v>-61.639000000000003</v>
          </cell>
          <cell r="AO149">
            <v>19.240000000000002</v>
          </cell>
          <cell r="AP149">
            <v>26.238</v>
          </cell>
          <cell r="AQ149">
            <v>23.218000000000004</v>
          </cell>
          <cell r="AR149">
            <v>7.0570000000000022</v>
          </cell>
          <cell r="AS149">
            <v>-68.646000000000001</v>
          </cell>
          <cell r="AT149">
            <v>26.408999999999999</v>
          </cell>
          <cell r="AU149">
            <v>22.656000000000002</v>
          </cell>
          <cell r="AV149">
            <v>19.669</v>
          </cell>
          <cell r="AW149">
            <v>8.8000000000000966E-2</v>
          </cell>
          <cell r="AX149">
            <v>-63.350999999999999</v>
          </cell>
          <cell r="AY149">
            <v>25.64</v>
          </cell>
          <cell r="AZ149">
            <v>22.542000000000002</v>
          </cell>
          <cell r="BA149">
            <v>20.255999999999997</v>
          </cell>
          <cell r="BB149">
            <v>5.0869999999999997</v>
          </cell>
          <cell r="BC149">
            <v>-62.258000000000003</v>
          </cell>
          <cell r="BD149">
            <v>22.870000000000005</v>
          </cell>
          <cell r="BE149">
            <v>28.210999999999999</v>
          </cell>
          <cell r="BF149">
            <v>24.265999999999998</v>
          </cell>
          <cell r="BG149">
            <v>13.088999999999999</v>
          </cell>
          <cell r="BH149">
            <v>-76.707999999999998</v>
          </cell>
          <cell r="BI149">
            <v>31.216703576072995</v>
          </cell>
          <cell r="BJ149">
            <v>31.349677302032347</v>
          </cell>
          <cell r="BK149">
            <v>24.293010046203264</v>
          </cell>
          <cell r="BL149">
            <v>10.151390924308608</v>
          </cell>
          <cell r="BM149">
            <v>9.0235952804222563</v>
          </cell>
          <cell r="BN149">
            <v>9.6941407479816064</v>
          </cell>
          <cell r="BO149">
            <v>10.67734769502789</v>
          </cell>
          <cell r="BR149" t="str">
            <v xml:space="preserve">    Inc(Dec) in  Accrued comp. and related benefits</v>
          </cell>
          <cell r="BS149">
            <v>14.728</v>
          </cell>
          <cell r="BT149">
            <v>8.6209999999999969</v>
          </cell>
          <cell r="BU149">
            <v>-2.1829999999999998</v>
          </cell>
          <cell r="BV149">
            <v>5.5150000000000006</v>
          </cell>
          <cell r="BW149">
            <v>15.574000000000002</v>
          </cell>
          <cell r="BX149">
            <v>6.4059999999999988</v>
          </cell>
          <cell r="BY149">
            <v>-0.83399999999999963</v>
          </cell>
          <cell r="BZ149">
            <v>7.0570000000000022</v>
          </cell>
          <cell r="CA149">
            <v>8.8000000000000966E-2</v>
          </cell>
          <cell r="CB149">
            <v>5.0869999999999997</v>
          </cell>
          <cell r="CC149">
            <v>13.088999999999999</v>
          </cell>
          <cell r="CD149">
            <v>10.151390924308608</v>
          </cell>
          <cell r="CE149">
            <v>9.0235952804222563</v>
          </cell>
          <cell r="CF149">
            <v>9.6941407479816064</v>
          </cell>
          <cell r="CG149">
            <v>10.67734769502789</v>
          </cell>
          <cell r="CI149" t="str">
            <v>mstag:netIncreaseInAccruedExpenses</v>
          </cell>
          <cell r="CJ149">
            <v>6</v>
          </cell>
          <cell r="CK149" t="str">
            <v>ISO4217:USD</v>
          </cell>
          <cell r="CL149" t="b">
            <v>0</v>
          </cell>
        </row>
        <row r="150">
          <cell r="A150" t="str">
            <v xml:space="preserve">    Inc(Dec) in   Income taxes payable</v>
          </cell>
          <cell r="C150">
            <v>0.77300000000000058</v>
          </cell>
          <cell r="D150">
            <v>-7.01</v>
          </cell>
          <cell r="E150">
            <v>-0.99299999999999999</v>
          </cell>
          <cell r="F150">
            <v>0.88500000000000001</v>
          </cell>
          <cell r="G150">
            <v>-0.43700000000000006</v>
          </cell>
          <cell r="H150">
            <v>15.744</v>
          </cell>
          <cell r="I150">
            <v>15.199</v>
          </cell>
          <cell r="J150">
            <v>5.8470000000000004</v>
          </cell>
          <cell r="K150">
            <v>3.8779999999999992</v>
          </cell>
          <cell r="L150">
            <v>-5.31</v>
          </cell>
          <cell r="M150">
            <v>-19.997</v>
          </cell>
          <cell r="N150">
            <v>-15.582000000000001</v>
          </cell>
          <cell r="O150">
            <v>0.65600000000000003</v>
          </cell>
          <cell r="P150">
            <v>-0.65600000000000003</v>
          </cell>
          <cell r="Q150">
            <v>0.45900000000000002</v>
          </cell>
          <cell r="R150">
            <v>-0.45900000000000002</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3.7549999999999999</v>
          </cell>
          <cell r="BI150">
            <v>0</v>
          </cell>
          <cell r="BJ150">
            <v>0</v>
          </cell>
          <cell r="BK150">
            <v>0</v>
          </cell>
          <cell r="BL150">
            <v>3.7549999999999999</v>
          </cell>
          <cell r="BM150">
            <v>0</v>
          </cell>
          <cell r="BN150">
            <v>0</v>
          </cell>
          <cell r="BO150">
            <v>0</v>
          </cell>
          <cell r="BR150" t="str">
            <v xml:space="preserve">    Inc(Dec) in   Income taxes payable</v>
          </cell>
          <cell r="BS150">
            <v>-7.01</v>
          </cell>
          <cell r="BT150">
            <v>15.199</v>
          </cell>
          <cell r="BU150">
            <v>-15.582000000000001</v>
          </cell>
          <cell r="BV150">
            <v>0</v>
          </cell>
          <cell r="BW150">
            <v>0</v>
          </cell>
          <cell r="BX150">
            <v>0</v>
          </cell>
          <cell r="BY150">
            <v>0</v>
          </cell>
          <cell r="BZ150">
            <v>0</v>
          </cell>
          <cell r="CA150">
            <v>0</v>
          </cell>
          <cell r="CB150">
            <v>0</v>
          </cell>
          <cell r="CC150">
            <v>0</v>
          </cell>
          <cell r="CD150">
            <v>3.7549999999999999</v>
          </cell>
          <cell r="CE150">
            <v>0</v>
          </cell>
          <cell r="CF150">
            <v>0</v>
          </cell>
          <cell r="CG150">
            <v>0</v>
          </cell>
          <cell r="CI150" t="str">
            <v>mstag:netIncreaseInIncomeTaxPayableReceivable</v>
          </cell>
          <cell r="CJ150">
            <v>6</v>
          </cell>
          <cell r="CK150" t="str">
            <v>ISO4217:USD</v>
          </cell>
          <cell r="CL150" t="b">
            <v>0</v>
          </cell>
        </row>
        <row r="151">
          <cell r="A151" t="str">
            <v xml:space="preserve">    Inc(Dec) in   Other accrued liabilities</v>
          </cell>
          <cell r="C151">
            <v>-0.71199999999999974</v>
          </cell>
          <cell r="D151">
            <v>-10.374000000000001</v>
          </cell>
          <cell r="E151">
            <v>1.3049999999999999</v>
          </cell>
          <cell r="F151">
            <v>2.8680000000000003</v>
          </cell>
          <cell r="G151">
            <v>2.4080000000000004</v>
          </cell>
          <cell r="H151">
            <v>-3.1260000000000003</v>
          </cell>
          <cell r="I151">
            <v>3.4550000000000001</v>
          </cell>
          <cell r="J151">
            <v>1.0489999999999999</v>
          </cell>
          <cell r="K151">
            <v>4.7409999999999997</v>
          </cell>
          <cell r="L151">
            <v>-2.8389999999999991</v>
          </cell>
          <cell r="M151">
            <v>7.2779999999999987</v>
          </cell>
          <cell r="N151">
            <v>10.228999999999999</v>
          </cell>
          <cell r="O151">
            <v>0.77100000000000002</v>
          </cell>
          <cell r="P151">
            <v>-3.1579999999999999</v>
          </cell>
          <cell r="Q151">
            <v>3.073</v>
          </cell>
          <cell r="R151">
            <v>0.81300000000000017</v>
          </cell>
          <cell r="S151">
            <v>1.4990000000000001</v>
          </cell>
          <cell r="T151">
            <v>2.14</v>
          </cell>
          <cell r="U151">
            <v>-4.3550000000000004</v>
          </cell>
          <cell r="V151">
            <v>-7.6560000000000006</v>
          </cell>
          <cell r="W151">
            <v>3.3480000000000008</v>
          </cell>
          <cell r="X151">
            <v>-6.5229999999999997</v>
          </cell>
          <cell r="Y151">
            <v>1.0349999999999999</v>
          </cell>
          <cell r="Z151">
            <v>0.4930000000000001</v>
          </cell>
          <cell r="AA151">
            <v>-4.6110000000000007</v>
          </cell>
          <cell r="AB151">
            <v>-0.31699999999999928</v>
          </cell>
          <cell r="AC151">
            <v>-3.4</v>
          </cell>
          <cell r="AD151">
            <v>1.3919999999999999</v>
          </cell>
          <cell r="AE151">
            <v>-3.4990000000000001</v>
          </cell>
          <cell r="AF151">
            <v>-2.4239999999999995</v>
          </cell>
          <cell r="AG151">
            <v>-3.7020000000000008</v>
          </cell>
          <cell r="AH151">
            <v>-8.2330000000000005</v>
          </cell>
          <cell r="AI151">
            <v>2.8140000000000001</v>
          </cell>
          <cell r="AJ151">
            <v>-6.593</v>
          </cell>
          <cell r="AK151">
            <v>6.9260000000000002</v>
          </cell>
          <cell r="AL151">
            <v>-3.407</v>
          </cell>
          <cell r="AM151">
            <v>-0.25999999999999979</v>
          </cell>
          <cell r="AN151">
            <v>2.8140000000000001</v>
          </cell>
          <cell r="AO151">
            <v>-6.593</v>
          </cell>
          <cell r="AP151">
            <v>6.9260000000000002</v>
          </cell>
          <cell r="AQ151">
            <v>-3.407</v>
          </cell>
          <cell r="AR151">
            <v>-0.25999999999999979</v>
          </cell>
          <cell r="AS151">
            <v>3.48</v>
          </cell>
          <cell r="AT151">
            <v>8.3099999999999987</v>
          </cell>
          <cell r="AU151">
            <v>-5.2379999999999995</v>
          </cell>
          <cell r="AV151">
            <v>1.8760000000000012</v>
          </cell>
          <cell r="AW151">
            <v>8.4280000000000008</v>
          </cell>
          <cell r="AX151">
            <v>11.331</v>
          </cell>
          <cell r="AY151">
            <v>-10.244</v>
          </cell>
          <cell r="AZ151">
            <v>18.759</v>
          </cell>
          <cell r="BA151">
            <v>-2.6810000000000009</v>
          </cell>
          <cell r="BB151">
            <v>17.164999999999999</v>
          </cell>
          <cell r="BC151">
            <v>-1.325</v>
          </cell>
          <cell r="BD151">
            <v>9.0489999999999995</v>
          </cell>
          <cell r="BE151">
            <v>4.6410000000000009</v>
          </cell>
          <cell r="BF151">
            <v>7.3759999999999994</v>
          </cell>
          <cell r="BG151">
            <v>19.741</v>
          </cell>
          <cell r="BH151">
            <v>-10.28</v>
          </cell>
          <cell r="BI151">
            <v>9.2594023333216455</v>
          </cell>
          <cell r="BJ151">
            <v>1.6278421213180536</v>
          </cell>
          <cell r="BK151">
            <v>7.0641938885647733</v>
          </cell>
          <cell r="BL151">
            <v>7.671438343204473</v>
          </cell>
          <cell r="BM151">
            <v>6.2522675282171463</v>
          </cell>
          <cell r="BN151">
            <v>6.7168749848603539</v>
          </cell>
          <cell r="BO151">
            <v>7.3981192868817516</v>
          </cell>
          <cell r="BR151" t="str">
            <v xml:space="preserve">    Inc(Dec) in   Other accrued liabilities</v>
          </cell>
          <cell r="BS151">
            <v>-10.374000000000001</v>
          </cell>
          <cell r="BT151">
            <v>3.4550000000000001</v>
          </cell>
          <cell r="BU151">
            <v>10.228999999999999</v>
          </cell>
          <cell r="BV151">
            <v>1.4990000000000001</v>
          </cell>
          <cell r="BW151">
            <v>-6.5229999999999997</v>
          </cell>
          <cell r="BX151">
            <v>-3.4</v>
          </cell>
          <cell r="BY151">
            <v>-8.2330000000000005</v>
          </cell>
          <cell r="BZ151">
            <v>-0.25999999999999979</v>
          </cell>
          <cell r="CA151">
            <v>8.4280000000000008</v>
          </cell>
          <cell r="CB151">
            <v>17.164999999999999</v>
          </cell>
          <cell r="CC151">
            <v>19.741</v>
          </cell>
          <cell r="CD151">
            <v>7.671438343204473</v>
          </cell>
          <cell r="CE151">
            <v>6.2522675282171463</v>
          </cell>
          <cell r="CF151">
            <v>6.7168749848603539</v>
          </cell>
          <cell r="CG151">
            <v>7.3981192868817516</v>
          </cell>
          <cell r="CI151" t="str">
            <v>mstag:netIncreaseInAccruedExpenses</v>
          </cell>
          <cell r="CJ151">
            <v>6</v>
          </cell>
          <cell r="CK151" t="str">
            <v>ISO4217:USD</v>
          </cell>
          <cell r="CL151" t="b">
            <v>0</v>
          </cell>
        </row>
        <row r="152">
          <cell r="A152" t="str">
            <v xml:space="preserve">    Inc(Dec) in   Other </v>
          </cell>
          <cell r="C152">
            <v>0</v>
          </cell>
          <cell r="D152">
            <v>0</v>
          </cell>
          <cell r="E152">
            <v>0</v>
          </cell>
          <cell r="F152">
            <v>0</v>
          </cell>
          <cell r="G152">
            <v>0</v>
          </cell>
          <cell r="H152">
            <v>0</v>
          </cell>
          <cell r="I152">
            <v>0</v>
          </cell>
          <cell r="J152">
            <v>0</v>
          </cell>
          <cell r="K152">
            <v>0</v>
          </cell>
          <cell r="L152">
            <v>-7.1429999999999998</v>
          </cell>
          <cell r="M152">
            <v>8.8460000000000001</v>
          </cell>
          <cell r="N152">
            <v>1.7030000000000003</v>
          </cell>
          <cell r="O152">
            <v>0.23699999999999999</v>
          </cell>
          <cell r="P152">
            <v>-0.17799999999999999</v>
          </cell>
          <cell r="Q152">
            <v>-1.0509999999999999</v>
          </cell>
          <cell r="R152">
            <v>11.356000000000002</v>
          </cell>
          <cell r="S152">
            <v>10.364000000000001</v>
          </cell>
          <cell r="T152">
            <v>-2.4929999999999999</v>
          </cell>
          <cell r="U152">
            <v>-0.3450000000000002</v>
          </cell>
          <cell r="V152">
            <v>4.57</v>
          </cell>
          <cell r="W152">
            <v>-1.9830000000000001</v>
          </cell>
          <cell r="X152">
            <v>-0.25099999999999989</v>
          </cell>
          <cell r="Y152">
            <v>-1.081</v>
          </cell>
          <cell r="Z152">
            <v>0.61099999999999999</v>
          </cell>
          <cell r="AA152">
            <v>-1.4830000000000001</v>
          </cell>
          <cell r="AB152">
            <v>-11.821000000000002</v>
          </cell>
          <cell r="AC152">
            <v>-13.774000000000001</v>
          </cell>
          <cell r="AD152">
            <v>0.875</v>
          </cell>
          <cell r="AE152">
            <v>9.9749999999999996</v>
          </cell>
          <cell r="AF152">
            <v>4.3979999999999997</v>
          </cell>
          <cell r="AG152">
            <v>-4.423</v>
          </cell>
          <cell r="AH152">
            <v>10.824999999999999</v>
          </cell>
          <cell r="AI152">
            <v>4.7149999999999999</v>
          </cell>
          <cell r="AJ152">
            <v>2.2709999999999999</v>
          </cell>
          <cell r="AK152">
            <v>-0.54199999999999982</v>
          </cell>
          <cell r="AL152">
            <v>-3.5139999999999998</v>
          </cell>
          <cell r="AM152">
            <v>2.93</v>
          </cell>
          <cell r="AN152">
            <v>4.7149999999999999</v>
          </cell>
          <cell r="AO152">
            <v>2.2709999999999999</v>
          </cell>
          <cell r="AP152">
            <v>-0.54199999999999982</v>
          </cell>
          <cell r="AQ152">
            <v>-3.5139999999999998</v>
          </cell>
          <cell r="AR152">
            <v>2.93</v>
          </cell>
          <cell r="AS152">
            <v>-5.6349999999999998</v>
          </cell>
          <cell r="AT152">
            <v>3.5619999999999998</v>
          </cell>
          <cell r="AU152">
            <v>0.11899999999999999</v>
          </cell>
          <cell r="AV152">
            <v>1.7529999999999999</v>
          </cell>
          <cell r="AW152">
            <v>-0.20100000000000007</v>
          </cell>
          <cell r="AX152">
            <v>3.157</v>
          </cell>
          <cell r="AY152">
            <v>1.9260000000000002</v>
          </cell>
          <cell r="AZ152">
            <v>-2.6510000000000002</v>
          </cell>
          <cell r="BA152">
            <v>3.1179999999999999</v>
          </cell>
          <cell r="BB152">
            <v>5.55</v>
          </cell>
          <cell r="BC152">
            <v>3.831</v>
          </cell>
          <cell r="BD152">
            <v>-1.246</v>
          </cell>
          <cell r="BE152">
            <v>1.8029999999999999</v>
          </cell>
          <cell r="BF152">
            <v>0.73300000000000054</v>
          </cell>
          <cell r="BG152">
            <v>5.1210000000000004</v>
          </cell>
          <cell r="BH152">
            <v>2.6819999999999999</v>
          </cell>
          <cell r="BI152">
            <v>0</v>
          </cell>
          <cell r="BJ152">
            <v>0</v>
          </cell>
          <cell r="BK152">
            <v>0</v>
          </cell>
          <cell r="BL152">
            <v>2.6819999999999999</v>
          </cell>
          <cell r="BM152">
            <v>0</v>
          </cell>
          <cell r="BN152">
            <v>0</v>
          </cell>
          <cell r="BO152">
            <v>0</v>
          </cell>
          <cell r="BR152" t="str">
            <v xml:space="preserve">    Inc(Dec) in   Other </v>
          </cell>
          <cell r="BS152">
            <v>0</v>
          </cell>
          <cell r="BT152">
            <v>0</v>
          </cell>
          <cell r="BU152">
            <v>1.7030000000000003</v>
          </cell>
          <cell r="BV152">
            <v>10.364000000000001</v>
          </cell>
          <cell r="BW152">
            <v>-0.25099999999999989</v>
          </cell>
          <cell r="BX152">
            <v>-13.774000000000001</v>
          </cell>
          <cell r="BY152">
            <v>10.824999999999999</v>
          </cell>
          <cell r="BZ152">
            <v>2.93</v>
          </cell>
          <cell r="CA152">
            <v>-0.20100000000000007</v>
          </cell>
          <cell r="CB152">
            <v>5.55</v>
          </cell>
          <cell r="CC152">
            <v>5.1210000000000004</v>
          </cell>
          <cell r="CD152">
            <v>2.6819999999999999</v>
          </cell>
          <cell r="CE152">
            <v>0</v>
          </cell>
          <cell r="CF152">
            <v>0</v>
          </cell>
          <cell r="CG152">
            <v>0</v>
          </cell>
          <cell r="CI152" t="str">
            <v>mstag:netIncreaseInOtherLiabilitiesOperating</v>
          </cell>
          <cell r="CJ152">
            <v>6</v>
          </cell>
          <cell r="CK152" t="str">
            <v>ISO4217:USD</v>
          </cell>
          <cell r="CL152" t="b">
            <v>0</v>
          </cell>
        </row>
        <row r="154">
          <cell r="A154" t="str">
            <v>Cash From Operating Activities</v>
          </cell>
          <cell r="C154">
            <v>40.822999999999986</v>
          </cell>
          <cell r="D154">
            <v>83.664999999999992</v>
          </cell>
          <cell r="E154">
            <v>10.122000000000016</v>
          </cell>
          <cell r="F154">
            <v>31.262999999999987</v>
          </cell>
          <cell r="G154">
            <v>26.971000000000011</v>
          </cell>
          <cell r="H154">
            <v>41.868999999999986</v>
          </cell>
          <cell r="I154">
            <v>110.22499999999999</v>
          </cell>
          <cell r="J154">
            <v>20.741</v>
          </cell>
          <cell r="K154">
            <v>59.996000000000002</v>
          </cell>
          <cell r="L154">
            <v>30.827000000000012</v>
          </cell>
          <cell r="M154">
            <v>43.517000000000003</v>
          </cell>
          <cell r="N154">
            <v>155.08100000000002</v>
          </cell>
          <cell r="O154">
            <v>22.472000000000008</v>
          </cell>
          <cell r="P154">
            <v>46.685000000000002</v>
          </cell>
          <cell r="Q154">
            <v>51.686999999999998</v>
          </cell>
          <cell r="R154">
            <v>10.097999999999999</v>
          </cell>
          <cell r="S154">
            <v>130.94199999999998</v>
          </cell>
          <cell r="T154">
            <v>-14.761000000000017</v>
          </cell>
          <cell r="U154">
            <v>69.865000000000009</v>
          </cell>
          <cell r="V154">
            <v>66.134</v>
          </cell>
          <cell r="W154">
            <v>62.115999999999985</v>
          </cell>
          <cell r="X154">
            <v>183.35399999999998</v>
          </cell>
          <cell r="Y154">
            <v>-25.878000000000029</v>
          </cell>
          <cell r="Z154">
            <v>106.124</v>
          </cell>
          <cell r="AA154">
            <v>94.684000000000012</v>
          </cell>
          <cell r="AB154">
            <v>80.067000000000021</v>
          </cell>
          <cell r="AC154">
            <v>254.99700000000016</v>
          </cell>
          <cell r="AD154">
            <v>69.506999999999977</v>
          </cell>
          <cell r="AE154">
            <v>120.55900000000003</v>
          </cell>
          <cell r="AF154">
            <v>97.597000000000023</v>
          </cell>
          <cell r="AG154">
            <v>59.412000000000006</v>
          </cell>
          <cell r="AH154">
            <v>347.07499999999993</v>
          </cell>
          <cell r="AI154">
            <v>71.046999999999983</v>
          </cell>
          <cell r="AJ154">
            <v>85.628999999999991</v>
          </cell>
          <cell r="AK154">
            <v>69.360999999999933</v>
          </cell>
          <cell r="AL154">
            <v>94.409999999999968</v>
          </cell>
          <cell r="AM154">
            <v>320.44699999999983</v>
          </cell>
          <cell r="AN154">
            <v>71.046999999999983</v>
          </cell>
          <cell r="AO154">
            <v>85.628999999999991</v>
          </cell>
          <cell r="AP154">
            <v>69.360999999999933</v>
          </cell>
          <cell r="AQ154">
            <v>94.409999999999968</v>
          </cell>
          <cell r="AR154">
            <v>320.44699999999983</v>
          </cell>
          <cell r="AS154">
            <v>25.261000000000045</v>
          </cell>
          <cell r="AT154">
            <v>68.872000000000028</v>
          </cell>
          <cell r="AU154">
            <v>107.46300000000001</v>
          </cell>
          <cell r="AV154">
            <v>104.10199999999998</v>
          </cell>
          <cell r="AW154">
            <v>305.69800000000004</v>
          </cell>
          <cell r="AX154">
            <v>66.693999999999974</v>
          </cell>
          <cell r="AY154">
            <v>24.006</v>
          </cell>
          <cell r="AZ154">
            <v>133.96899999999994</v>
          </cell>
          <cell r="BA154">
            <v>81.322000000000017</v>
          </cell>
          <cell r="BB154">
            <v>305.99099999999993</v>
          </cell>
          <cell r="BC154">
            <v>33.029999999999973</v>
          </cell>
          <cell r="BD154">
            <v>117.07000000000001</v>
          </cell>
          <cell r="BE154">
            <v>146.92300000000006</v>
          </cell>
          <cell r="BF154">
            <v>137.708</v>
          </cell>
          <cell r="BG154">
            <v>434.73100000000005</v>
          </cell>
          <cell r="BH154">
            <v>37.014999999999972</v>
          </cell>
          <cell r="BI154">
            <v>76.651193889920563</v>
          </cell>
          <cell r="BJ154">
            <v>161.83914072945527</v>
          </cell>
          <cell r="BK154">
            <v>153.96185470501251</v>
          </cell>
          <cell r="BL154">
            <v>429.54499947273996</v>
          </cell>
          <cell r="BM154">
            <v>455.98887110312182</v>
          </cell>
          <cell r="BN154">
            <v>499.14502316171269</v>
          </cell>
          <cell r="BO154">
            <v>545.62763966431146</v>
          </cell>
          <cell r="BR154" t="str">
            <v>Cash From Operating Activities</v>
          </cell>
          <cell r="BS154">
            <v>83.664999999999992</v>
          </cell>
          <cell r="BT154">
            <v>110.22499999999999</v>
          </cell>
          <cell r="BU154">
            <v>155.08100000000002</v>
          </cell>
          <cell r="BV154">
            <v>130.94199999999998</v>
          </cell>
          <cell r="BW154">
            <v>183.35399999999998</v>
          </cell>
          <cell r="BX154">
            <v>254.99700000000016</v>
          </cell>
          <cell r="BY154">
            <v>347.07499999999993</v>
          </cell>
          <cell r="BZ154">
            <v>320.44699999999983</v>
          </cell>
          <cell r="CA154">
            <v>305.69800000000004</v>
          </cell>
          <cell r="CB154">
            <v>305.99099999999993</v>
          </cell>
          <cell r="CC154">
            <v>434.73100000000005</v>
          </cell>
          <cell r="CD154">
            <v>429.54499947273996</v>
          </cell>
          <cell r="CE154">
            <v>455.98887110312182</v>
          </cell>
          <cell r="CF154">
            <v>499.14502316171269</v>
          </cell>
          <cell r="CG154">
            <v>545.62763966431146</v>
          </cell>
        </row>
        <row r="156">
          <cell r="A156" t="str">
            <v>Cash From Investing Activities</v>
          </cell>
          <cell r="BR156" t="str">
            <v>Cash From Investing Activities</v>
          </cell>
        </row>
        <row r="157">
          <cell r="A157" t="str">
            <v xml:space="preserve">Capital Expenditures </v>
          </cell>
          <cell r="C157">
            <v>-1.4970000000000001</v>
          </cell>
          <cell r="D157">
            <v>-2.4350000000000001</v>
          </cell>
          <cell r="E157">
            <v>-5.8000000000000003E-2</v>
          </cell>
          <cell r="F157">
            <v>-0.29899999999999999</v>
          </cell>
          <cell r="G157">
            <v>-0.58899999999999997</v>
          </cell>
          <cell r="H157">
            <v>0.41099999999999992</v>
          </cell>
          <cell r="I157">
            <v>-0.53500000000000003</v>
          </cell>
          <cell r="J157">
            <v>-0.96099999999999997</v>
          </cell>
          <cell r="K157">
            <v>-4.859</v>
          </cell>
          <cell r="L157">
            <v>-13.277000000000001</v>
          </cell>
          <cell r="M157">
            <v>-6.4589999999999996</v>
          </cell>
          <cell r="N157">
            <v>-25.556000000000001</v>
          </cell>
          <cell r="O157">
            <v>-6.0330000000000004</v>
          </cell>
          <cell r="P157">
            <v>-3.4859999999999998</v>
          </cell>
          <cell r="Q157">
            <v>-1.6690000000000005</v>
          </cell>
          <cell r="R157">
            <v>-2.2240000000000002</v>
          </cell>
          <cell r="S157">
            <v>-13.412000000000001</v>
          </cell>
          <cell r="T157">
            <v>-3.2850000000000001</v>
          </cell>
          <cell r="U157">
            <v>-1.4109999999999996</v>
          </cell>
          <cell r="V157">
            <v>-2.399</v>
          </cell>
          <cell r="W157">
            <v>-6.0729999999999995</v>
          </cell>
          <cell r="X157">
            <v>-13.167999999999999</v>
          </cell>
          <cell r="Y157">
            <v>-3.835</v>
          </cell>
          <cell r="Z157">
            <v>-2.8970000000000002</v>
          </cell>
          <cell r="AA157">
            <v>-10.11</v>
          </cell>
          <cell r="AB157">
            <v>-6.2690000000000019</v>
          </cell>
          <cell r="AC157">
            <v>-23.111000000000001</v>
          </cell>
          <cell r="AD157">
            <v>-4.2919999999999998</v>
          </cell>
          <cell r="AE157">
            <v>-15.654000000000002</v>
          </cell>
          <cell r="AF157">
            <v>-18.162999999999997</v>
          </cell>
          <cell r="AG157">
            <v>-6.7750000000000057</v>
          </cell>
          <cell r="AH157">
            <v>-44.884</v>
          </cell>
          <cell r="AI157">
            <v>-4.8</v>
          </cell>
          <cell r="AJ157">
            <v>-3.6909999999999998</v>
          </cell>
          <cell r="AK157">
            <v>-14.208000000000002</v>
          </cell>
          <cell r="AL157">
            <v>-20.812000000000001</v>
          </cell>
          <cell r="AM157">
            <v>-43.511000000000003</v>
          </cell>
          <cell r="AN157">
            <v>-4.8</v>
          </cell>
          <cell r="AO157">
            <v>-3.6909999999999998</v>
          </cell>
          <cell r="AP157">
            <v>-14.208000000000002</v>
          </cell>
          <cell r="AQ157">
            <v>-20.812000000000001</v>
          </cell>
          <cell r="AR157">
            <v>-43.511000000000003</v>
          </cell>
          <cell r="AS157">
            <v>-10.059999999999999</v>
          </cell>
          <cell r="AT157">
            <v>-11.904000000000003</v>
          </cell>
          <cell r="AU157">
            <v>-20.273</v>
          </cell>
          <cell r="AV157">
            <v>-8.6159999999999997</v>
          </cell>
          <cell r="AW157">
            <v>-50.853000000000002</v>
          </cell>
          <cell r="AX157">
            <v>-6.32</v>
          </cell>
          <cell r="AY157">
            <v>-11.962</v>
          </cell>
          <cell r="AZ157">
            <v>-12.305</v>
          </cell>
          <cell r="BA157">
            <v>-18.510000000000002</v>
          </cell>
          <cell r="BB157">
            <v>-49.097000000000001</v>
          </cell>
          <cell r="BC157">
            <v>-3.1349999999999998</v>
          </cell>
          <cell r="BD157">
            <v>-15.23</v>
          </cell>
          <cell r="BE157">
            <v>-13.727999999999994</v>
          </cell>
          <cell r="BF157">
            <v>-10.535000000000002</v>
          </cell>
          <cell r="BG157">
            <v>-42.628</v>
          </cell>
          <cell r="BH157">
            <v>-9.6289999999999996</v>
          </cell>
          <cell r="BI157">
            <v>-12.501683497750001</v>
          </cell>
          <cell r="BJ157">
            <v>-12.489875262295001</v>
          </cell>
          <cell r="BK157">
            <v>-14.235126907304739</v>
          </cell>
          <cell r="BL157">
            <v>-48.855685667349739</v>
          </cell>
          <cell r="BM157">
            <v>-50.28743348128755</v>
          </cell>
          <cell r="BN157">
            <v>-51.692994059494524</v>
          </cell>
          <cell r="BO157">
            <v>-53.148358477417041</v>
          </cell>
          <cell r="BR157" t="str">
            <v xml:space="preserve">Capital Expenditures </v>
          </cell>
          <cell r="BS157">
            <v>-2.4350000000000001</v>
          </cell>
          <cell r="BT157">
            <v>-0.53500000000000003</v>
          </cell>
          <cell r="BU157">
            <v>-25.556000000000001</v>
          </cell>
          <cell r="BV157">
            <v>-13.412000000000001</v>
          </cell>
          <cell r="BW157">
            <v>-13.167999999999999</v>
          </cell>
          <cell r="BX157">
            <v>-23.111000000000001</v>
          </cell>
          <cell r="BY157">
            <v>-44.884</v>
          </cell>
          <cell r="BZ157">
            <v>-43.511000000000003</v>
          </cell>
          <cell r="CA157">
            <v>-50.853000000000002</v>
          </cell>
          <cell r="CB157">
            <v>-49.097000000000001</v>
          </cell>
          <cell r="CC157">
            <v>-42.628</v>
          </cell>
          <cell r="CD157">
            <v>-48.855685667349739</v>
          </cell>
          <cell r="CE157">
            <v>-50.28743348128755</v>
          </cell>
          <cell r="CF157">
            <v>-51.692994059494524</v>
          </cell>
          <cell r="CG157">
            <v>-53.148358477417041</v>
          </cell>
          <cell r="CI157" t="str">
            <v>mstag:capitalExpenditures</v>
          </cell>
          <cell r="CJ157">
            <v>6</v>
          </cell>
          <cell r="CK157" t="str">
            <v>ISO4217:USD</v>
          </cell>
          <cell r="CL157" t="b">
            <v>1</v>
          </cell>
        </row>
        <row r="158">
          <cell r="A158" t="str">
            <v>Acquisitions/ Disposals</v>
          </cell>
          <cell r="C158">
            <v>0</v>
          </cell>
          <cell r="D158">
            <v>0.02</v>
          </cell>
          <cell r="E158">
            <v>0.154</v>
          </cell>
          <cell r="F158">
            <v>-0.154</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-1100.943</v>
          </cell>
          <cell r="W158">
            <v>-0.29999999999995453</v>
          </cell>
          <cell r="X158">
            <v>-1101.2429999999999</v>
          </cell>
          <cell r="Y158">
            <v>0</v>
          </cell>
          <cell r="Z158">
            <v>0</v>
          </cell>
          <cell r="AA158">
            <v>0</v>
          </cell>
          <cell r="AB158">
            <v>0</v>
          </cell>
          <cell r="AC158">
            <v>0</v>
          </cell>
          <cell r="AD158">
            <v>0</v>
          </cell>
          <cell r="AE158">
            <v>0</v>
          </cell>
          <cell r="AF158">
            <v>0</v>
          </cell>
          <cell r="AG158">
            <v>-119.554</v>
          </cell>
          <cell r="AH158">
            <v>-119.554</v>
          </cell>
          <cell r="AI158">
            <v>-23.167999999999999</v>
          </cell>
          <cell r="AJ158">
            <v>-0.10000000000000142</v>
          </cell>
          <cell r="AK158">
            <v>0</v>
          </cell>
          <cell r="AL158">
            <v>0</v>
          </cell>
          <cell r="AM158">
            <v>-23.268000000000001</v>
          </cell>
          <cell r="AN158">
            <v>-23.167999999999999</v>
          </cell>
          <cell r="AO158">
            <v>-0.10000000000000142</v>
          </cell>
          <cell r="AP158">
            <v>0</v>
          </cell>
          <cell r="AQ158">
            <v>0</v>
          </cell>
          <cell r="AR158">
            <v>-23.268000000000001</v>
          </cell>
          <cell r="AS158">
            <v>0</v>
          </cell>
          <cell r="AT158">
            <v>362.81899999999996</v>
          </cell>
          <cell r="AU158">
            <v>-14.879999999999995</v>
          </cell>
          <cell r="AV158">
            <v>-4.8999999999978172E-2</v>
          </cell>
          <cell r="AW158">
            <v>347.89</v>
          </cell>
          <cell r="AX158">
            <v>0</v>
          </cell>
          <cell r="AY158">
            <v>0</v>
          </cell>
          <cell r="AZ158">
            <v>0</v>
          </cell>
          <cell r="BA158">
            <v>-6.5</v>
          </cell>
          <cell r="BB158">
            <v>-6.5</v>
          </cell>
          <cell r="BC158">
            <v>-2.3250000000000002</v>
          </cell>
          <cell r="BD158">
            <v>2.2650000000000001</v>
          </cell>
          <cell r="BE158">
            <v>0.71700000000000008</v>
          </cell>
          <cell r="BF158">
            <v>-6.0000000000000053E-2</v>
          </cell>
          <cell r="BG158">
            <v>0.59699999999999998</v>
          </cell>
          <cell r="BH158">
            <v>0</v>
          </cell>
          <cell r="BI158">
            <v>0</v>
          </cell>
          <cell r="BJ158">
            <v>0</v>
          </cell>
          <cell r="BK158">
            <v>0</v>
          </cell>
          <cell r="BL158">
            <v>0</v>
          </cell>
          <cell r="BM158">
            <v>0</v>
          </cell>
          <cell r="BN158">
            <v>0</v>
          </cell>
          <cell r="BO158">
            <v>0</v>
          </cell>
          <cell r="BR158" t="str">
            <v>Acquisitions/ Disposals</v>
          </cell>
          <cell r="BS158">
            <v>0.02</v>
          </cell>
          <cell r="BT158">
            <v>0</v>
          </cell>
          <cell r="BU158">
            <v>0</v>
          </cell>
          <cell r="BV158">
            <v>0</v>
          </cell>
          <cell r="BW158">
            <v>-1101.2429999999999</v>
          </cell>
          <cell r="BX158">
            <v>0</v>
          </cell>
          <cell r="BY158">
            <v>-119.554</v>
          </cell>
          <cell r="BZ158">
            <v>-23.268000000000001</v>
          </cell>
          <cell r="CA158">
            <v>347.89</v>
          </cell>
          <cell r="CB158">
            <v>-6.5</v>
          </cell>
          <cell r="CC158">
            <v>0.59699999999999998</v>
          </cell>
          <cell r="CD158">
            <v>0</v>
          </cell>
          <cell r="CE158">
            <v>0</v>
          </cell>
          <cell r="CF158">
            <v>0</v>
          </cell>
          <cell r="CG158">
            <v>0</v>
          </cell>
          <cell r="CI158" t="str">
            <v>mstag:otherAssetsLiabilitiesIncludedInEndingBalanceSheetTotals</v>
          </cell>
          <cell r="CJ158">
            <v>6</v>
          </cell>
          <cell r="CK158" t="str">
            <v>ISO4217:USD</v>
          </cell>
          <cell r="CL158" t="b">
            <v>1</v>
          </cell>
        </row>
        <row r="159">
          <cell r="A159" t="str">
            <v>Purch of inv and proceeds from redempt of securities</v>
          </cell>
          <cell r="C159">
            <v>-40.046000000000006</v>
          </cell>
          <cell r="D159">
            <v>-77.349000000000004</v>
          </cell>
          <cell r="E159">
            <v>-10.752000000000001</v>
          </cell>
          <cell r="F159">
            <v>-26.027000000000001</v>
          </cell>
          <cell r="G159">
            <v>315.21100000000001</v>
          </cell>
          <cell r="H159">
            <v>-85.826000000000022</v>
          </cell>
          <cell r="I159">
            <v>192.60599999999999</v>
          </cell>
          <cell r="J159">
            <v>-26.474</v>
          </cell>
          <cell r="K159">
            <v>-39.215999999999994</v>
          </cell>
          <cell r="L159">
            <v>203.315</v>
          </cell>
          <cell r="M159">
            <v>0</v>
          </cell>
          <cell r="N159">
            <v>137.625</v>
          </cell>
          <cell r="O159">
            <v>0</v>
          </cell>
          <cell r="P159">
            <v>-244.73400000000001</v>
          </cell>
          <cell r="Q159">
            <v>-4.9859999999999616</v>
          </cell>
          <cell r="R159">
            <v>-45.084000000000003</v>
          </cell>
          <cell r="S159">
            <v>-294.80399999999997</v>
          </cell>
          <cell r="T159">
            <v>-62.256</v>
          </cell>
          <cell r="U159">
            <v>296.81399999999996</v>
          </cell>
          <cell r="V159">
            <v>18.85600000000003</v>
          </cell>
          <cell r="W159">
            <v>-31.279999999999973</v>
          </cell>
          <cell r="X159">
            <v>222.13400000000001</v>
          </cell>
          <cell r="Y159">
            <v>22.71</v>
          </cell>
          <cell r="Z159">
            <v>-60.95600000000001</v>
          </cell>
          <cell r="AA159">
            <v>-31.543999999999983</v>
          </cell>
          <cell r="AB159">
            <v>2.289999999999992</v>
          </cell>
          <cell r="AC159">
            <v>-67.5</v>
          </cell>
          <cell r="AD159">
            <v>-53.636000000000003</v>
          </cell>
          <cell r="AE159">
            <v>107.739</v>
          </cell>
          <cell r="AF159">
            <v>-7.3859999999999886</v>
          </cell>
          <cell r="AG159">
            <v>23.359999999999985</v>
          </cell>
          <cell r="AH159">
            <v>70.076999999999998</v>
          </cell>
          <cell r="AI159">
            <v>70.900000000000006</v>
          </cell>
          <cell r="AJ159">
            <v>0</v>
          </cell>
          <cell r="AK159">
            <v>0</v>
          </cell>
          <cell r="AL159">
            <v>0</v>
          </cell>
          <cell r="AM159">
            <v>70.900000000000006</v>
          </cell>
          <cell r="AN159">
            <v>70.900000000000006</v>
          </cell>
          <cell r="AO159">
            <v>0</v>
          </cell>
          <cell r="AP159">
            <v>0</v>
          </cell>
          <cell r="AQ159">
            <v>0</v>
          </cell>
          <cell r="AR159">
            <v>70.900000000000006</v>
          </cell>
          <cell r="AS159">
            <v>7.0000000000000001E-3</v>
          </cell>
          <cell r="AT159">
            <v>0</v>
          </cell>
          <cell r="AU159">
            <v>0</v>
          </cell>
          <cell r="AV159">
            <v>0</v>
          </cell>
          <cell r="AW159">
            <v>7.0000000000000001E-3</v>
          </cell>
          <cell r="AX159">
            <v>0</v>
          </cell>
          <cell r="AY159">
            <v>0</v>
          </cell>
          <cell r="AZ159">
            <v>0</v>
          </cell>
          <cell r="BA159">
            <v>6.7359999999999998</v>
          </cell>
          <cell r="BB159">
            <v>6.7359999999999998</v>
          </cell>
          <cell r="BC159">
            <v>-0.06</v>
          </cell>
          <cell r="BD159">
            <v>0</v>
          </cell>
          <cell r="BE159">
            <v>0</v>
          </cell>
          <cell r="BF159">
            <v>0</v>
          </cell>
          <cell r="BG159">
            <v>-0.06</v>
          </cell>
          <cell r="BH159">
            <v>0</v>
          </cell>
          <cell r="BI159">
            <v>0</v>
          </cell>
          <cell r="BJ159">
            <v>0</v>
          </cell>
          <cell r="BK159">
            <v>0</v>
          </cell>
          <cell r="BL159">
            <v>0</v>
          </cell>
          <cell r="BM159">
            <v>0</v>
          </cell>
          <cell r="BN159">
            <v>0</v>
          </cell>
          <cell r="BO159">
            <v>0</v>
          </cell>
          <cell r="BR159" t="str">
            <v>Purch of inv and proceeds from redempt of securities</v>
          </cell>
          <cell r="BS159">
            <v>-77.349000000000004</v>
          </cell>
          <cell r="BT159">
            <v>192.60599999999999</v>
          </cell>
          <cell r="BU159">
            <v>137.625</v>
          </cell>
          <cell r="BV159">
            <v>-294.80399999999997</v>
          </cell>
          <cell r="BW159">
            <v>222.13400000000001</v>
          </cell>
          <cell r="BX159">
            <v>-67.5</v>
          </cell>
          <cell r="BY159">
            <v>70.076999999999998</v>
          </cell>
          <cell r="BZ159">
            <v>70.900000000000006</v>
          </cell>
          <cell r="CA159">
            <v>7.0000000000000001E-3</v>
          </cell>
          <cell r="CB159">
            <v>6.7359999999999998</v>
          </cell>
          <cell r="CC159">
            <v>-0.06</v>
          </cell>
          <cell r="CD159">
            <v>0</v>
          </cell>
          <cell r="CE159">
            <v>0</v>
          </cell>
          <cell r="CF159">
            <v>0</v>
          </cell>
          <cell r="CG159">
            <v>0</v>
          </cell>
          <cell r="CI159" t="str">
            <v>mstag:netDecreaseInInvestmentsNonOperating</v>
          </cell>
          <cell r="CJ159">
            <v>6</v>
          </cell>
          <cell r="CK159" t="str">
            <v>ISO4217:USD</v>
          </cell>
          <cell r="CL159" t="b">
            <v>0</v>
          </cell>
        </row>
        <row r="161">
          <cell r="A161" t="str">
            <v>Cash Used in Investing Activities</v>
          </cell>
          <cell r="C161">
            <v>-41.543000000000006</v>
          </cell>
          <cell r="D161">
            <v>-79.76400000000001</v>
          </cell>
          <cell r="E161">
            <v>-10.656000000000001</v>
          </cell>
          <cell r="F161">
            <v>-26.48</v>
          </cell>
          <cell r="G161">
            <v>314.62200000000001</v>
          </cell>
          <cell r="H161">
            <v>-85.41500000000002</v>
          </cell>
          <cell r="I161">
            <v>192.071</v>
          </cell>
          <cell r="J161">
            <v>-27.434999999999999</v>
          </cell>
          <cell r="K161">
            <v>-44.074999999999996</v>
          </cell>
          <cell r="L161">
            <v>190.03800000000001</v>
          </cell>
          <cell r="M161">
            <v>-6.4589999999999996</v>
          </cell>
          <cell r="N161">
            <v>112.069</v>
          </cell>
          <cell r="O161">
            <v>-6.0330000000000004</v>
          </cell>
          <cell r="P161">
            <v>-248.22</v>
          </cell>
          <cell r="Q161">
            <v>-6.6549999999999621</v>
          </cell>
          <cell r="R161">
            <v>-47.308000000000007</v>
          </cell>
          <cell r="S161">
            <v>-308.21599999999995</v>
          </cell>
          <cell r="T161">
            <v>-65.540999999999997</v>
          </cell>
          <cell r="U161">
            <v>295.40299999999996</v>
          </cell>
          <cell r="V161">
            <v>-1084.4859999999999</v>
          </cell>
          <cell r="W161">
            <v>-37.652999999999928</v>
          </cell>
          <cell r="X161">
            <v>-892.27699999999982</v>
          </cell>
          <cell r="Y161">
            <v>18.875</v>
          </cell>
          <cell r="Z161">
            <v>-63.853000000000009</v>
          </cell>
          <cell r="AA161">
            <v>-41.653999999999982</v>
          </cell>
          <cell r="AB161">
            <v>-3.9790000000000099</v>
          </cell>
          <cell r="AC161">
            <v>-90.611000000000004</v>
          </cell>
          <cell r="AD161">
            <v>-57.928000000000004</v>
          </cell>
          <cell r="AE161">
            <v>92.085000000000008</v>
          </cell>
          <cell r="AF161">
            <v>-25.548999999999985</v>
          </cell>
          <cell r="AG161">
            <v>-102.96900000000002</v>
          </cell>
          <cell r="AH161">
            <v>-94.36099999999999</v>
          </cell>
          <cell r="AI161">
            <v>42.932000000000002</v>
          </cell>
          <cell r="AJ161">
            <v>-3.7910000000000013</v>
          </cell>
          <cell r="AK161">
            <v>-14.208000000000002</v>
          </cell>
          <cell r="AL161">
            <v>-20.812000000000001</v>
          </cell>
          <cell r="AM161">
            <v>4.1210000000000093</v>
          </cell>
          <cell r="AN161">
            <v>42.932000000000002</v>
          </cell>
          <cell r="AO161">
            <v>-3.7910000000000013</v>
          </cell>
          <cell r="AP161">
            <v>-14.208000000000002</v>
          </cell>
          <cell r="AQ161">
            <v>-20.812000000000001</v>
          </cell>
          <cell r="AR161">
            <v>4.1210000000000093</v>
          </cell>
          <cell r="AS161">
            <v>-10.052999999999999</v>
          </cell>
          <cell r="AT161">
            <v>350.91499999999996</v>
          </cell>
          <cell r="AU161">
            <v>-35.152999999999992</v>
          </cell>
          <cell r="AV161">
            <v>-8.6649999999999778</v>
          </cell>
          <cell r="AW161">
            <v>297.04399999999998</v>
          </cell>
          <cell r="AX161">
            <v>-6.32</v>
          </cell>
          <cell r="AY161">
            <v>-11.962</v>
          </cell>
          <cell r="AZ161">
            <v>-12.305</v>
          </cell>
          <cell r="BA161">
            <v>-18.274000000000001</v>
          </cell>
          <cell r="BB161">
            <v>-48.861000000000004</v>
          </cell>
          <cell r="BC161">
            <v>-5.52</v>
          </cell>
          <cell r="BD161">
            <v>-12.965</v>
          </cell>
          <cell r="BE161">
            <v>-13.010999999999994</v>
          </cell>
          <cell r="BF161">
            <v>-10.595000000000002</v>
          </cell>
          <cell r="BG161">
            <v>-42.091000000000001</v>
          </cell>
          <cell r="BH161">
            <v>-9.6289999999999996</v>
          </cell>
          <cell r="BI161">
            <v>-12.501683497750001</v>
          </cell>
          <cell r="BJ161">
            <v>-12.489875262295001</v>
          </cell>
          <cell r="BK161">
            <v>-14.235126907304739</v>
          </cell>
          <cell r="BL161">
            <v>-48.855685667349739</v>
          </cell>
          <cell r="BM161">
            <v>-50.28743348128755</v>
          </cell>
          <cell r="BN161">
            <v>-51.692994059494524</v>
          </cell>
          <cell r="BO161">
            <v>-53.148358477417041</v>
          </cell>
          <cell r="BR161" t="str">
            <v>Cash Used in Investing Activities</v>
          </cell>
          <cell r="BS161">
            <v>-79.76400000000001</v>
          </cell>
          <cell r="BT161">
            <v>192.071</v>
          </cell>
          <cell r="BU161">
            <v>112.069</v>
          </cell>
          <cell r="BV161">
            <v>-308.21599999999995</v>
          </cell>
          <cell r="BW161">
            <v>-892.27699999999982</v>
          </cell>
          <cell r="BX161">
            <v>-90.611000000000004</v>
          </cell>
          <cell r="BY161">
            <v>-94.36099999999999</v>
          </cell>
          <cell r="BZ161">
            <v>4.1210000000000093</v>
          </cell>
          <cell r="CA161">
            <v>297.04399999999998</v>
          </cell>
          <cell r="CB161">
            <v>-48.861000000000004</v>
          </cell>
          <cell r="CC161">
            <v>-42.091000000000001</v>
          </cell>
          <cell r="CD161">
            <v>-48.855685667349739</v>
          </cell>
          <cell r="CE161">
            <v>-50.28743348128755</v>
          </cell>
          <cell r="CF161">
            <v>-51.692994059494524</v>
          </cell>
          <cell r="CG161">
            <v>-53.148358477417041</v>
          </cell>
        </row>
        <row r="162">
          <cell r="BE162">
            <v>-2.2000000000389264E-2</v>
          </cell>
        </row>
        <row r="163">
          <cell r="A163" t="str">
            <v>Cash From Financing Activities</v>
          </cell>
          <cell r="BR163" t="str">
            <v>Cash From Financing Activities</v>
          </cell>
        </row>
        <row r="164">
          <cell r="A164" t="str">
            <v>Proceeds from Notes Payable &amp; issuance of LT debt</v>
          </cell>
          <cell r="C164">
            <v>0</v>
          </cell>
          <cell r="D164">
            <v>0</v>
          </cell>
          <cell r="E164">
            <v>0</v>
          </cell>
          <cell r="F164">
            <v>0</v>
          </cell>
          <cell r="G164">
            <v>625.90099999999995</v>
          </cell>
          <cell r="H164">
            <v>-202.02599999999995</v>
          </cell>
          <cell r="I164">
            <v>423.875</v>
          </cell>
          <cell r="J164">
            <v>0</v>
          </cell>
          <cell r="K164">
            <v>0</v>
          </cell>
          <cell r="L164">
            <v>0</v>
          </cell>
          <cell r="M164">
            <v>0</v>
          </cell>
          <cell r="N164">
            <v>0</v>
          </cell>
          <cell r="O164">
            <v>0</v>
          </cell>
          <cell r="P164">
            <v>0</v>
          </cell>
          <cell r="Q164">
            <v>0</v>
          </cell>
          <cell r="R164">
            <v>0</v>
          </cell>
          <cell r="S164">
            <v>0</v>
          </cell>
          <cell r="T164">
            <v>0</v>
          </cell>
          <cell r="U164">
            <v>0</v>
          </cell>
          <cell r="V164">
            <v>1268.625</v>
          </cell>
          <cell r="W164">
            <v>0</v>
          </cell>
          <cell r="X164">
            <v>1268.625</v>
          </cell>
          <cell r="Y164">
            <v>1125</v>
          </cell>
          <cell r="Z164">
            <v>0</v>
          </cell>
          <cell r="AA164">
            <v>0</v>
          </cell>
          <cell r="AB164">
            <v>0</v>
          </cell>
          <cell r="AC164">
            <v>1125</v>
          </cell>
          <cell r="AD164">
            <v>0</v>
          </cell>
          <cell r="AE164">
            <v>876.08699999999999</v>
          </cell>
          <cell r="AF164">
            <v>0</v>
          </cell>
          <cell r="AG164">
            <v>0</v>
          </cell>
          <cell r="AH164">
            <v>876.08699999999999</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800</v>
          </cell>
          <cell r="AW164">
            <v>800</v>
          </cell>
          <cell r="AX164">
            <v>0</v>
          </cell>
          <cell r="AY164">
            <v>0</v>
          </cell>
          <cell r="AZ164">
            <v>800</v>
          </cell>
          <cell r="BA164">
            <v>0</v>
          </cell>
          <cell r="BB164">
            <v>800</v>
          </cell>
          <cell r="BC164">
            <v>0</v>
          </cell>
          <cell r="BD164">
            <v>0</v>
          </cell>
          <cell r="BE164">
            <v>500</v>
          </cell>
          <cell r="BF164">
            <v>0</v>
          </cell>
          <cell r="BG164">
            <v>500</v>
          </cell>
          <cell r="BH164">
            <v>0</v>
          </cell>
          <cell r="BI164">
            <v>0</v>
          </cell>
          <cell r="BJ164">
            <v>0</v>
          </cell>
          <cell r="BK164">
            <v>0</v>
          </cell>
          <cell r="BL164">
            <v>0</v>
          </cell>
          <cell r="BM164">
            <v>0</v>
          </cell>
          <cell r="BN164">
            <v>0</v>
          </cell>
          <cell r="BO164">
            <v>0</v>
          </cell>
          <cell r="BR164" t="str">
            <v>Proceeds from Notes Payable &amp; issuance of LT debt</v>
          </cell>
          <cell r="BS164">
            <v>0</v>
          </cell>
          <cell r="BT164">
            <v>423.875</v>
          </cell>
          <cell r="BU164">
            <v>0</v>
          </cell>
          <cell r="BV164">
            <v>0</v>
          </cell>
          <cell r="BW164">
            <v>1268.625</v>
          </cell>
          <cell r="BX164">
            <v>1125</v>
          </cell>
          <cell r="BY164">
            <v>876.08699999999999</v>
          </cell>
          <cell r="BZ164">
            <v>0</v>
          </cell>
          <cell r="CA164">
            <v>800</v>
          </cell>
          <cell r="CB164">
            <v>800</v>
          </cell>
          <cell r="CC164">
            <v>500</v>
          </cell>
          <cell r="CD164">
            <v>0</v>
          </cell>
          <cell r="CE164">
            <v>0</v>
          </cell>
          <cell r="CF164">
            <v>0</v>
          </cell>
          <cell r="CG164">
            <v>0</v>
          </cell>
          <cell r="CI164" t="str">
            <v>mstag:proceedsFromIssuanceAndCashUsedToRepayShortTermBorrowings</v>
          </cell>
          <cell r="CJ164">
            <v>6</v>
          </cell>
          <cell r="CK164" t="str">
            <v>ISO4217:USD</v>
          </cell>
          <cell r="CL164" t="b">
            <v>0</v>
          </cell>
        </row>
        <row r="165">
          <cell r="A165" t="str">
            <v>Repayment of Long Term Debt</v>
          </cell>
          <cell r="C165">
            <v>0</v>
          </cell>
          <cell r="D165">
            <v>0</v>
          </cell>
          <cell r="E165">
            <v>0</v>
          </cell>
          <cell r="F165">
            <v>0</v>
          </cell>
          <cell r="G165">
            <v>0</v>
          </cell>
          <cell r="H165">
            <v>0</v>
          </cell>
          <cell r="I165">
            <v>0</v>
          </cell>
          <cell r="J165">
            <v>-5.5620000000000003</v>
          </cell>
          <cell r="K165">
            <v>-5.5629999999999997</v>
          </cell>
          <cell r="L165">
            <v>-5.5620000000000012</v>
          </cell>
          <cell r="M165">
            <v>-5.5629999999999988</v>
          </cell>
          <cell r="N165">
            <v>-22.25</v>
          </cell>
          <cell r="O165">
            <v>-5.5629999999999997</v>
          </cell>
          <cell r="P165">
            <v>-5.5620000000000003</v>
          </cell>
          <cell r="Q165">
            <v>-5.5620000000000012</v>
          </cell>
          <cell r="R165">
            <v>-5.5629999999999988</v>
          </cell>
          <cell r="S165">
            <v>-22.25</v>
          </cell>
          <cell r="T165">
            <v>-10.563000000000001</v>
          </cell>
          <cell r="U165">
            <v>-299.077</v>
          </cell>
          <cell r="V165">
            <v>-181.53300000000002</v>
          </cell>
          <cell r="W165">
            <v>-3.1870000000000118</v>
          </cell>
          <cell r="X165">
            <v>-494.36</v>
          </cell>
          <cell r="Y165">
            <v>-1268.625</v>
          </cell>
          <cell r="Z165">
            <v>-2.8130000000001019</v>
          </cell>
          <cell r="AA165">
            <v>-2.8109999999999218</v>
          </cell>
          <cell r="AB165">
            <v>-37.812999999999874</v>
          </cell>
          <cell r="AC165">
            <v>-1312.0619999999999</v>
          </cell>
          <cell r="AD165">
            <v>-2.8119999999999998</v>
          </cell>
          <cell r="AE165">
            <v>-1078.7510000000002</v>
          </cell>
          <cell r="AF165">
            <v>-10.999999999999899</v>
          </cell>
          <cell r="AG165">
            <v>-11</v>
          </cell>
          <cell r="AH165">
            <v>-1103.5630000000001</v>
          </cell>
          <cell r="AI165">
            <v>-26</v>
          </cell>
          <cell r="AJ165">
            <v>-11</v>
          </cell>
          <cell r="AK165">
            <v>-11</v>
          </cell>
          <cell r="AL165">
            <v>0</v>
          </cell>
          <cell r="AM165">
            <v>-48</v>
          </cell>
          <cell r="AN165">
            <v>-26</v>
          </cell>
          <cell r="AO165">
            <v>-11</v>
          </cell>
          <cell r="AP165">
            <v>-11</v>
          </cell>
          <cell r="AQ165">
            <v>0</v>
          </cell>
          <cell r="AR165">
            <v>-48</v>
          </cell>
          <cell r="AS165">
            <v>-5.0629999999999997</v>
          </cell>
          <cell r="AT165">
            <v>-5.0620000000000003</v>
          </cell>
          <cell r="AU165">
            <v>-5.0619999999999994</v>
          </cell>
          <cell r="AV165">
            <v>-794.81299999999999</v>
          </cell>
          <cell r="AW165">
            <v>-810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cell r="BM165">
            <v>0</v>
          </cell>
          <cell r="BN165">
            <v>0</v>
          </cell>
          <cell r="BO165">
            <v>0</v>
          </cell>
          <cell r="BR165" t="str">
            <v>Repayment of Long Term Debt</v>
          </cell>
          <cell r="BS165">
            <v>0</v>
          </cell>
          <cell r="BT165">
            <v>0</v>
          </cell>
          <cell r="BU165">
            <v>-22.25</v>
          </cell>
          <cell r="BV165">
            <v>-22.25</v>
          </cell>
          <cell r="BW165">
            <v>-494.36</v>
          </cell>
          <cell r="BX165">
            <v>-1312.0619999999999</v>
          </cell>
          <cell r="BY165">
            <v>-1103.5630000000001</v>
          </cell>
          <cell r="BZ165">
            <v>-48</v>
          </cell>
          <cell r="CA165">
            <v>-810</v>
          </cell>
          <cell r="CB165">
            <v>0</v>
          </cell>
          <cell r="CC165">
            <v>0</v>
          </cell>
          <cell r="CD165">
            <v>0</v>
          </cell>
          <cell r="CE165">
            <v>0</v>
          </cell>
          <cell r="CF165">
            <v>0</v>
          </cell>
          <cell r="CG165">
            <v>0</v>
          </cell>
          <cell r="CI165" t="str">
            <v>mstag:proceedsFromIssuanceAndCashUsedToRepayLongTermDebt</v>
          </cell>
          <cell r="CJ165">
            <v>6</v>
          </cell>
          <cell r="CK165" t="str">
            <v>ISO4217:USD</v>
          </cell>
          <cell r="CL165" t="b">
            <v>0</v>
          </cell>
        </row>
        <row r="166">
          <cell r="A166" t="str">
            <v>Proceeds from Stock Options</v>
          </cell>
          <cell r="C166">
            <v>0</v>
          </cell>
          <cell r="D166">
            <v>0</v>
          </cell>
          <cell r="E166">
            <v>0</v>
          </cell>
          <cell r="F166">
            <v>0</v>
          </cell>
          <cell r="G166">
            <v>0</v>
          </cell>
          <cell r="H166">
            <v>0</v>
          </cell>
          <cell r="I166">
            <v>0</v>
          </cell>
          <cell r="J166">
            <v>0</v>
          </cell>
          <cell r="K166">
            <v>0</v>
          </cell>
          <cell r="L166">
            <v>0</v>
          </cell>
          <cell r="M166">
            <v>0</v>
          </cell>
          <cell r="N166">
            <v>0</v>
          </cell>
          <cell r="O166">
            <v>0</v>
          </cell>
          <cell r="P166">
            <v>0.03</v>
          </cell>
          <cell r="Q166">
            <v>0</v>
          </cell>
          <cell r="R166">
            <v>0.56699999999999995</v>
          </cell>
          <cell r="S166">
            <v>0.59699999999999998</v>
          </cell>
          <cell r="T166">
            <v>2.117</v>
          </cell>
          <cell r="U166">
            <v>9.6999999999999975E-2</v>
          </cell>
          <cell r="V166">
            <v>11.952</v>
          </cell>
          <cell r="W166">
            <v>9.27</v>
          </cell>
          <cell r="X166">
            <v>23.436</v>
          </cell>
          <cell r="Y166">
            <v>6.81</v>
          </cell>
          <cell r="Z166">
            <v>5.8050000000000006</v>
          </cell>
          <cell r="AA166">
            <v>1.1440000000000001</v>
          </cell>
          <cell r="AB166">
            <v>2.6720000000000006</v>
          </cell>
          <cell r="AC166">
            <v>16.431000000000001</v>
          </cell>
          <cell r="AD166">
            <v>3.343</v>
          </cell>
          <cell r="AE166">
            <v>4.2119999999999997</v>
          </cell>
          <cell r="AF166">
            <v>3.2059999999999995</v>
          </cell>
          <cell r="AG166">
            <v>2.5500000000000007</v>
          </cell>
          <cell r="AH166">
            <v>13.311</v>
          </cell>
          <cell r="AI166">
            <v>3.7639999999999998</v>
          </cell>
          <cell r="AJ166">
            <v>3.1160000000000001</v>
          </cell>
          <cell r="AK166">
            <v>2.4280000000000004</v>
          </cell>
          <cell r="AL166">
            <v>2.3940000000000001</v>
          </cell>
          <cell r="AM166">
            <v>11.702</v>
          </cell>
          <cell r="AN166">
            <v>3.7639999999999998</v>
          </cell>
          <cell r="AO166">
            <v>3.1160000000000001</v>
          </cell>
          <cell r="AP166">
            <v>2.4280000000000004</v>
          </cell>
          <cell r="AQ166">
            <v>2.3940000000000001</v>
          </cell>
          <cell r="AR166">
            <v>11.702</v>
          </cell>
          <cell r="AS166">
            <v>1.71</v>
          </cell>
          <cell r="AT166">
            <v>3.6959999999999997</v>
          </cell>
          <cell r="AU166">
            <v>3.6030000000000006</v>
          </cell>
          <cell r="AV166">
            <v>0.67199999999999882</v>
          </cell>
          <cell r="AW166">
            <v>9.6809999999999992</v>
          </cell>
          <cell r="AX166">
            <v>0.63200000000000001</v>
          </cell>
          <cell r="AY166">
            <v>1.1280000000000001</v>
          </cell>
          <cell r="AZ166">
            <v>0.67299999999999971</v>
          </cell>
          <cell r="BA166">
            <v>1.198</v>
          </cell>
          <cell r="BB166">
            <v>3.6309999999999998</v>
          </cell>
          <cell r="BC166">
            <v>2.4380000000000002</v>
          </cell>
          <cell r="BD166">
            <v>1.004</v>
          </cell>
          <cell r="BE166">
            <v>0.77899999999999991</v>
          </cell>
          <cell r="BF166">
            <v>0.81899999999999995</v>
          </cell>
          <cell r="BG166">
            <v>5.04</v>
          </cell>
          <cell r="BH166">
            <v>0.625</v>
          </cell>
          <cell r="BI166">
            <v>0.625</v>
          </cell>
          <cell r="BJ166">
            <v>0.625</v>
          </cell>
          <cell r="BK166">
            <v>0.625</v>
          </cell>
          <cell r="BL166">
            <v>2.5</v>
          </cell>
          <cell r="BM166">
            <v>2.5</v>
          </cell>
          <cell r="BN166">
            <v>2.5</v>
          </cell>
          <cell r="BO166">
            <v>2.5</v>
          </cell>
          <cell r="BR166" t="str">
            <v>Proceeds from Stock Options</v>
          </cell>
          <cell r="BS166">
            <v>0</v>
          </cell>
          <cell r="BT166">
            <v>0</v>
          </cell>
          <cell r="BU166">
            <v>0</v>
          </cell>
          <cell r="BV166">
            <v>0.59699999999999998</v>
          </cell>
          <cell r="BW166">
            <v>23.436</v>
          </cell>
          <cell r="BX166">
            <v>16.431000000000001</v>
          </cell>
          <cell r="BY166">
            <v>13.311</v>
          </cell>
          <cell r="BZ166">
            <v>11.702</v>
          </cell>
          <cell r="CA166">
            <v>9.6809999999999992</v>
          </cell>
          <cell r="CB166">
            <v>3.6309999999999998</v>
          </cell>
          <cell r="CC166">
            <v>5.04</v>
          </cell>
          <cell r="CD166">
            <v>2.5</v>
          </cell>
          <cell r="CE166">
            <v>2.5</v>
          </cell>
          <cell r="CF166">
            <v>2.5</v>
          </cell>
          <cell r="CG166">
            <v>2.5</v>
          </cell>
          <cell r="CI166" t="str">
            <v>mstag:proceedsFromExerciseOfStockOptions</v>
          </cell>
          <cell r="CJ166">
            <v>6</v>
          </cell>
          <cell r="CK166" t="str">
            <v>ISO4217:USD</v>
          </cell>
          <cell r="CL166" t="b">
            <v>0</v>
          </cell>
        </row>
        <row r="167">
          <cell r="A167" t="str">
            <v>Sale of common Stock/ IPO, net</v>
          </cell>
          <cell r="C167">
            <v>0</v>
          </cell>
          <cell r="D167">
            <v>0</v>
          </cell>
          <cell r="E167">
            <v>0</v>
          </cell>
          <cell r="F167">
            <v>0</v>
          </cell>
          <cell r="G167">
            <v>0</v>
          </cell>
          <cell r="H167">
            <v>265.03500000000003</v>
          </cell>
          <cell r="I167">
            <v>265.03500000000003</v>
          </cell>
          <cell r="J167">
            <v>0</v>
          </cell>
          <cell r="K167">
            <v>0</v>
          </cell>
          <cell r="L167">
            <v>0</v>
          </cell>
          <cell r="M167">
            <v>0</v>
          </cell>
          <cell r="N167">
            <v>0</v>
          </cell>
          <cell r="O167">
            <v>0</v>
          </cell>
          <cell r="P167">
            <v>0</v>
          </cell>
          <cell r="Q167">
            <v>0</v>
          </cell>
          <cell r="R167">
            <v>115.755</v>
          </cell>
          <cell r="S167">
            <v>115.755</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cell r="BM167">
            <v>0</v>
          </cell>
          <cell r="BN167">
            <v>0</v>
          </cell>
          <cell r="BO167">
            <v>0</v>
          </cell>
          <cell r="BR167" t="str">
            <v>Sale of common Stock/ IPO, net</v>
          </cell>
          <cell r="BS167">
            <v>0</v>
          </cell>
          <cell r="BT167">
            <v>265.03500000000003</v>
          </cell>
          <cell r="BU167">
            <v>0</v>
          </cell>
          <cell r="BV167">
            <v>115.755</v>
          </cell>
          <cell r="BW167">
            <v>0</v>
          </cell>
          <cell r="BX167">
            <v>0</v>
          </cell>
          <cell r="BY167">
            <v>0</v>
          </cell>
          <cell r="BZ167">
            <v>0</v>
          </cell>
          <cell r="CA167">
            <v>0</v>
          </cell>
          <cell r="CB167">
            <v>0</v>
          </cell>
          <cell r="CC167">
            <v>0</v>
          </cell>
          <cell r="CD167">
            <v>0</v>
          </cell>
          <cell r="CE167">
            <v>0</v>
          </cell>
          <cell r="CF167">
            <v>0</v>
          </cell>
          <cell r="CG167">
            <v>0</v>
          </cell>
          <cell r="CI167" t="str">
            <v>mstag:proceedsFromIssuanceOfCommonStock</v>
          </cell>
          <cell r="CJ167">
            <v>6</v>
          </cell>
          <cell r="CK167" t="str">
            <v>ISO4217:USD</v>
          </cell>
          <cell r="CL167" t="b">
            <v>0</v>
          </cell>
        </row>
        <row r="168">
          <cell r="A168" t="str">
            <v>Repurchase of common stock</v>
          </cell>
          <cell r="C168">
            <v>0</v>
          </cell>
          <cell r="D168">
            <v>0</v>
          </cell>
          <cell r="E168">
            <v>0</v>
          </cell>
          <cell r="F168">
            <v>0</v>
          </cell>
          <cell r="G168">
            <v>0</v>
          </cell>
          <cell r="H168">
            <v>0</v>
          </cell>
          <cell r="I168">
            <v>0</v>
          </cell>
          <cell r="J168">
            <v>0</v>
          </cell>
          <cell r="K168">
            <v>-0.55700000000000005</v>
          </cell>
          <cell r="L168">
            <v>-2.8999999999999915E-2</v>
          </cell>
          <cell r="M168">
            <v>-9.5000000000000084E-2</v>
          </cell>
          <cell r="N168">
            <v>-0.68100000000000005</v>
          </cell>
          <cell r="O168">
            <v>-0.11</v>
          </cell>
          <cell r="P168">
            <v>-0.495</v>
          </cell>
          <cell r="Q168">
            <v>-0.10899999999999999</v>
          </cell>
          <cell r="R168">
            <v>-17.773</v>
          </cell>
          <cell r="S168">
            <v>-18.486999999999998</v>
          </cell>
          <cell r="T168">
            <v>-2.4460000000000002</v>
          </cell>
          <cell r="U168">
            <v>-4.0000000000000036E-3</v>
          </cell>
          <cell r="V168">
            <v>-1.7569999999999997</v>
          </cell>
          <cell r="W168">
            <v>-9.9439999999999991</v>
          </cell>
          <cell r="X168">
            <v>-14.151</v>
          </cell>
          <cell r="Y168">
            <v>-2.8959999999999999</v>
          </cell>
          <cell r="Z168">
            <v>-1.8000000000000238E-2</v>
          </cell>
          <cell r="AA168">
            <v>-2.6999999999999691E-2</v>
          </cell>
          <cell r="AB168">
            <v>-11.684999999999999</v>
          </cell>
          <cell r="AC168">
            <v>-14.625999999999998</v>
          </cell>
          <cell r="AD168">
            <v>-2.3090000000000002</v>
          </cell>
          <cell r="AE168">
            <v>-0.17399999999999993</v>
          </cell>
          <cell r="AF168">
            <v>-0.44099999999999984</v>
          </cell>
          <cell r="AG168">
            <v>-103.065</v>
          </cell>
          <cell r="AH168">
            <v>-105.989</v>
          </cell>
          <cell r="AI168">
            <v>-9.3970000000000002</v>
          </cell>
          <cell r="AJ168">
            <v>-0.2419999999999991</v>
          </cell>
          <cell r="AK168">
            <v>-100.28899999999999</v>
          </cell>
          <cell r="AL168">
            <v>-2.2550000000000239</v>
          </cell>
          <cell r="AM168">
            <v>-112.18300000000001</v>
          </cell>
          <cell r="AN168">
            <v>-9.3970000000000002</v>
          </cell>
          <cell r="AO168">
            <v>-0.2419999999999991</v>
          </cell>
          <cell r="AP168">
            <v>-100.28899999999999</v>
          </cell>
          <cell r="AQ168">
            <v>-2.2550000000000239</v>
          </cell>
          <cell r="AR168">
            <v>-112.18300000000001</v>
          </cell>
          <cell r="AS168">
            <v>-107.15900000000001</v>
          </cell>
          <cell r="AT168">
            <v>-1.7439999999999998</v>
          </cell>
          <cell r="AU168">
            <v>-300.49299999999999</v>
          </cell>
          <cell r="AV168">
            <v>-0.25499999999999545</v>
          </cell>
          <cell r="AW168">
            <v>-409.65100000000001</v>
          </cell>
          <cell r="AX168">
            <v>-10.352</v>
          </cell>
          <cell r="AY168">
            <v>-87.214999999999989</v>
          </cell>
          <cell r="AZ168">
            <v>-347.07300000000004</v>
          </cell>
          <cell r="BA168">
            <v>-256.07499999999999</v>
          </cell>
          <cell r="BB168">
            <v>-700.71500000000003</v>
          </cell>
          <cell r="BC168">
            <v>-346.71499999999997</v>
          </cell>
          <cell r="BD168">
            <v>-120.03000000000003</v>
          </cell>
          <cell r="BE168">
            <v>-32.117999999999995</v>
          </cell>
          <cell r="BF168">
            <v>-275.70200000000006</v>
          </cell>
          <cell r="BG168">
            <v>-774.56500000000005</v>
          </cell>
          <cell r="BH168">
            <v>-100.36199999999999</v>
          </cell>
          <cell r="BI168">
            <v>-100</v>
          </cell>
          <cell r="BJ168">
            <v>-100</v>
          </cell>
          <cell r="BK168">
            <v>-100</v>
          </cell>
          <cell r="BL168">
            <v>-400.36199999999997</v>
          </cell>
          <cell r="BM168">
            <v>-300</v>
          </cell>
          <cell r="BN168">
            <v>-300</v>
          </cell>
          <cell r="BO168">
            <v>-300</v>
          </cell>
          <cell r="BR168" t="str">
            <v>Repurchase of common stock</v>
          </cell>
          <cell r="BS168">
            <v>0</v>
          </cell>
          <cell r="BT168">
            <v>0</v>
          </cell>
          <cell r="BU168">
            <v>-0.68100000000000005</v>
          </cell>
          <cell r="BV168">
            <v>-18.486999999999998</v>
          </cell>
          <cell r="BW168">
            <v>-14.151</v>
          </cell>
          <cell r="BX168">
            <v>-14.625999999999998</v>
          </cell>
          <cell r="BY168">
            <v>-105.989</v>
          </cell>
          <cell r="BZ168">
            <v>-112.18300000000001</v>
          </cell>
          <cell r="CA168">
            <v>-409.65100000000001</v>
          </cell>
          <cell r="CB168">
            <v>-700.71500000000003</v>
          </cell>
          <cell r="CC168">
            <v>-774.56500000000005</v>
          </cell>
          <cell r="CD168">
            <v>-400.36199999999997</v>
          </cell>
          <cell r="CE168">
            <v>-300</v>
          </cell>
          <cell r="CF168">
            <v>-300</v>
          </cell>
          <cell r="CG168">
            <v>-300</v>
          </cell>
          <cell r="CI168" t="str">
            <v>mstag:fundsUsedToRepurchaseCommonStock</v>
          </cell>
          <cell r="CJ168">
            <v>6</v>
          </cell>
          <cell r="CK168" t="str">
            <v>ISO4217:USD</v>
          </cell>
          <cell r="CL168" t="b">
            <v>1</v>
          </cell>
        </row>
        <row r="169">
          <cell r="A169" t="str">
            <v>Expenses related to IPO</v>
          </cell>
          <cell r="C169">
            <v>0</v>
          </cell>
          <cell r="D169">
            <v>0</v>
          </cell>
          <cell r="E169">
            <v>0</v>
          </cell>
          <cell r="F169">
            <v>0</v>
          </cell>
          <cell r="G169">
            <v>0</v>
          </cell>
          <cell r="H169">
            <v>0</v>
          </cell>
          <cell r="I169">
            <v>0</v>
          </cell>
          <cell r="J169">
            <v>0</v>
          </cell>
          <cell r="K169">
            <v>0</v>
          </cell>
          <cell r="L169">
            <v>-2.1000000000000001E-2</v>
          </cell>
          <cell r="M169">
            <v>0</v>
          </cell>
          <cell r="N169">
            <v>-2.1000000000000001E-2</v>
          </cell>
          <cell r="O169">
            <v>0</v>
          </cell>
          <cell r="P169">
            <v>0</v>
          </cell>
          <cell r="Q169">
            <v>0</v>
          </cell>
          <cell r="R169">
            <v>0</v>
          </cell>
          <cell r="S169">
            <v>0</v>
          </cell>
          <cell r="T169">
            <v>0</v>
          </cell>
          <cell r="U169">
            <v>0</v>
          </cell>
          <cell r="V169">
            <v>-34.029000000000003</v>
          </cell>
          <cell r="W169">
            <v>0</v>
          </cell>
          <cell r="X169">
            <v>-34.029000000000003</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cell r="BM169">
            <v>0</v>
          </cell>
          <cell r="BN169">
            <v>0</v>
          </cell>
          <cell r="BO169">
            <v>0</v>
          </cell>
          <cell r="BR169" t="str">
            <v>Expenses related to IPO</v>
          </cell>
          <cell r="BS169">
            <v>0</v>
          </cell>
          <cell r="BT169">
            <v>0</v>
          </cell>
          <cell r="BU169">
            <v>-2.1000000000000001E-2</v>
          </cell>
          <cell r="BV169">
            <v>0</v>
          </cell>
          <cell r="BW169">
            <v>-34.029000000000003</v>
          </cell>
          <cell r="BX169">
            <v>0</v>
          </cell>
          <cell r="BY169">
            <v>0</v>
          </cell>
          <cell r="BZ169">
            <v>0</v>
          </cell>
          <cell r="CA169">
            <v>0</v>
          </cell>
          <cell r="CB169">
            <v>0</v>
          </cell>
          <cell r="CC169">
            <v>0</v>
          </cell>
          <cell r="CD169">
            <v>0</v>
          </cell>
          <cell r="CE169">
            <v>0</v>
          </cell>
          <cell r="CF169">
            <v>0</v>
          </cell>
          <cell r="CG169">
            <v>0</v>
          </cell>
          <cell r="CI169" t="str">
            <v>mstag:otherCashFlowsFromUsedInFinancingActivities</v>
          </cell>
          <cell r="CJ169">
            <v>6</v>
          </cell>
          <cell r="CK169" t="str">
            <v>ISO4217:USD</v>
          </cell>
          <cell r="CL169" t="b">
            <v>0</v>
          </cell>
        </row>
        <row r="170">
          <cell r="A170" t="str">
            <v>Other</v>
          </cell>
          <cell r="C170">
            <v>0</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6.9269999999999996</v>
          </cell>
          <cell r="S170">
            <v>6.9269999999999996</v>
          </cell>
          <cell r="T170">
            <v>1.3919999999999999</v>
          </cell>
          <cell r="U170">
            <v>7.1000000000000174E-2</v>
          </cell>
          <cell r="V170">
            <v>1.04</v>
          </cell>
          <cell r="W170">
            <v>6.0340000000000007</v>
          </cell>
          <cell r="X170">
            <v>8.5370000000000008</v>
          </cell>
          <cell r="Y170">
            <v>45.424999999999997</v>
          </cell>
          <cell r="Z170">
            <v>1.1859999999999999</v>
          </cell>
          <cell r="AA170">
            <v>0.31300000000000239</v>
          </cell>
          <cell r="AB170">
            <v>3.1869999999999976</v>
          </cell>
          <cell r="AC170">
            <v>50.110999999999997</v>
          </cell>
          <cell r="AD170">
            <v>1.262</v>
          </cell>
          <cell r="AE170">
            <v>0.39700000000000002</v>
          </cell>
          <cell r="AF170">
            <v>-8.0000000000000071E-2</v>
          </cell>
          <cell r="AG170">
            <v>-0.53099999999999992</v>
          </cell>
          <cell r="AH170">
            <v>1.048</v>
          </cell>
          <cell r="AI170">
            <v>1.1719999999999999</v>
          </cell>
          <cell r="AJ170">
            <v>0.22999999999999998</v>
          </cell>
          <cell r="AK170">
            <v>0.3640000000000001</v>
          </cell>
          <cell r="AL170">
            <v>0.86699999999999999</v>
          </cell>
          <cell r="AM170">
            <v>2.633</v>
          </cell>
          <cell r="AN170">
            <v>1.1719999999999999</v>
          </cell>
          <cell r="AO170">
            <v>0.22999999999999998</v>
          </cell>
          <cell r="AP170">
            <v>0.3640000000000001</v>
          </cell>
          <cell r="AQ170">
            <v>0.86699999999999999</v>
          </cell>
          <cell r="AR170">
            <v>2.633</v>
          </cell>
          <cell r="AS170">
            <v>1.1739999999999999</v>
          </cell>
          <cell r="AT170">
            <v>1.5990000000000002</v>
          </cell>
          <cell r="AU170">
            <v>0.42399999999999993</v>
          </cell>
          <cell r="AV170">
            <v>-15.161999999999999</v>
          </cell>
          <cell r="AW170">
            <v>-11.965</v>
          </cell>
          <cell r="AX170">
            <v>2.99</v>
          </cell>
          <cell r="AY170">
            <v>10.241999999999999</v>
          </cell>
          <cell r="AZ170">
            <v>0.4740000000000002</v>
          </cell>
          <cell r="BA170">
            <v>1.5470000000000006</v>
          </cell>
          <cell r="BB170">
            <v>15.253</v>
          </cell>
          <cell r="BC170">
            <v>3.8570000000000002</v>
          </cell>
          <cell r="BD170">
            <v>1.0190000000000001</v>
          </cell>
          <cell r="BE170">
            <v>1.6040000000000001</v>
          </cell>
          <cell r="BF170">
            <v>1.1449999999999996</v>
          </cell>
          <cell r="BG170">
            <v>7.625</v>
          </cell>
          <cell r="BH170">
            <v>0</v>
          </cell>
          <cell r="BI170">
            <v>0</v>
          </cell>
          <cell r="BJ170">
            <v>0</v>
          </cell>
          <cell r="BK170">
            <v>0</v>
          </cell>
          <cell r="BL170">
            <v>0</v>
          </cell>
          <cell r="BM170">
            <v>0</v>
          </cell>
          <cell r="BN170">
            <v>0</v>
          </cell>
          <cell r="BO170">
            <v>0</v>
          </cell>
          <cell r="BR170" t="str">
            <v>Other</v>
          </cell>
          <cell r="BS170">
            <v>0</v>
          </cell>
          <cell r="BT170">
            <v>0</v>
          </cell>
          <cell r="BU170">
            <v>0</v>
          </cell>
          <cell r="BV170">
            <v>6.9269999999999996</v>
          </cell>
          <cell r="BW170">
            <v>8.5370000000000008</v>
          </cell>
          <cell r="BX170">
            <v>50.110999999999997</v>
          </cell>
          <cell r="BY170">
            <v>1.048</v>
          </cell>
          <cell r="BZ170">
            <v>2.633</v>
          </cell>
          <cell r="CA170">
            <v>-11.965</v>
          </cell>
          <cell r="CB170">
            <v>15.253</v>
          </cell>
          <cell r="CC170">
            <v>7.625</v>
          </cell>
          <cell r="CD170">
            <v>0</v>
          </cell>
          <cell r="CE170">
            <v>0</v>
          </cell>
          <cell r="CF170">
            <v>0</v>
          </cell>
          <cell r="CG170">
            <v>0</v>
          </cell>
          <cell r="CI170" t="str">
            <v>mstag:otherCashFlowsFromUsedInFinancingActivities</v>
          </cell>
          <cell r="CJ170">
            <v>6</v>
          </cell>
          <cell r="CK170" t="str">
            <v>ISO4217:USD</v>
          </cell>
          <cell r="CL170" t="b">
            <v>0</v>
          </cell>
        </row>
        <row r="171">
          <cell r="A171" t="str">
            <v>Payment of issuance costs for LT debt</v>
          </cell>
          <cell r="C171">
            <v>0</v>
          </cell>
          <cell r="D171">
            <v>0</v>
          </cell>
          <cell r="E171">
            <v>0</v>
          </cell>
          <cell r="F171">
            <v>0</v>
          </cell>
          <cell r="G171">
            <v>0</v>
          </cell>
          <cell r="H171">
            <v>-7.9740000000000002</v>
          </cell>
          <cell r="I171">
            <v>-7.9740000000000002</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-3.87</v>
          </cell>
          <cell r="AF171">
            <v>0</v>
          </cell>
          <cell r="AG171">
            <v>0</v>
          </cell>
          <cell r="AH171">
            <v>-3.87</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-10.477</v>
          </cell>
          <cell r="BA171">
            <v>0</v>
          </cell>
          <cell r="BB171">
            <v>-10.477</v>
          </cell>
          <cell r="BC171">
            <v>0</v>
          </cell>
          <cell r="BD171">
            <v>0</v>
          </cell>
          <cell r="BE171">
            <v>-7.1829999999999998</v>
          </cell>
          <cell r="BF171">
            <v>0</v>
          </cell>
          <cell r="BG171">
            <v>-7.1829999999999998</v>
          </cell>
          <cell r="BH171">
            <v>0</v>
          </cell>
          <cell r="BI171">
            <v>0</v>
          </cell>
          <cell r="BJ171">
            <v>0</v>
          </cell>
          <cell r="BK171">
            <v>0</v>
          </cell>
          <cell r="BL171">
            <v>0</v>
          </cell>
          <cell r="BM171">
            <v>0</v>
          </cell>
          <cell r="BN171">
            <v>0</v>
          </cell>
          <cell r="BO171">
            <v>0</v>
          </cell>
          <cell r="BR171" t="str">
            <v>Payment of issuance costs for LT debt</v>
          </cell>
          <cell r="BS171">
            <v>0</v>
          </cell>
          <cell r="BT171">
            <v>-7.9740000000000002</v>
          </cell>
          <cell r="BU171">
            <v>0</v>
          </cell>
          <cell r="BV171">
            <v>0</v>
          </cell>
          <cell r="BW171">
            <v>0</v>
          </cell>
          <cell r="BX171">
            <v>0</v>
          </cell>
          <cell r="BY171">
            <v>-3.87</v>
          </cell>
          <cell r="BZ171">
            <v>0</v>
          </cell>
          <cell r="CA171">
            <v>0</v>
          </cell>
          <cell r="CB171">
            <v>-10.477</v>
          </cell>
          <cell r="CC171">
            <v>-7.1829999999999998</v>
          </cell>
          <cell r="CD171">
            <v>0</v>
          </cell>
          <cell r="CE171">
            <v>0</v>
          </cell>
          <cell r="CF171">
            <v>0</v>
          </cell>
          <cell r="CG171">
            <v>0</v>
          </cell>
          <cell r="CI171" t="str">
            <v>mstag:otherCashFlowsFromUsedInFinancingActivities</v>
          </cell>
          <cell r="CJ171">
            <v>6</v>
          </cell>
          <cell r="CK171" t="str">
            <v>ISO4217:USD</v>
          </cell>
          <cell r="CL171" t="b">
            <v>0</v>
          </cell>
        </row>
        <row r="172">
          <cell r="A172" t="str">
            <v xml:space="preserve">Payment of cash dividends </v>
          </cell>
          <cell r="C172">
            <v>0</v>
          </cell>
          <cell r="D172">
            <v>-5</v>
          </cell>
          <cell r="E172">
            <v>0</v>
          </cell>
          <cell r="F172">
            <v>0</v>
          </cell>
          <cell r="G172">
            <v>-973</v>
          </cell>
          <cell r="H172">
            <v>0</v>
          </cell>
          <cell r="I172">
            <v>-973</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-20.393000000000001</v>
          </cell>
          <cell r="AW172">
            <v>-20.393000000000001</v>
          </cell>
          <cell r="AX172">
            <v>-20.405999999999999</v>
          </cell>
          <cell r="AY172">
            <v>-20.437000000000005</v>
          </cell>
          <cell r="AZ172">
            <v>-24.146000000000001</v>
          </cell>
          <cell r="BA172">
            <v>-22.753999999999991</v>
          </cell>
          <cell r="BB172">
            <v>-87.742999999999995</v>
          </cell>
          <cell r="BC172">
            <v>-21.888999999999999</v>
          </cell>
          <cell r="BD172">
            <v>-21.391999999999999</v>
          </cell>
          <cell r="BE172">
            <v>-26.652000000000008</v>
          </cell>
          <cell r="BF172">
            <v>-26.257999999999996</v>
          </cell>
          <cell r="BG172">
            <v>-96.191000000000003</v>
          </cell>
          <cell r="BH172">
            <v>-25.489000000000001</v>
          </cell>
          <cell r="BI172">
            <v>-23.112676544752436</v>
          </cell>
          <cell r="BJ172">
            <v>-25.142822305745163</v>
          </cell>
          <cell r="BK172">
            <v>-24.867189308500159</v>
          </cell>
          <cell r="BL172">
            <v>-98.611688158997751</v>
          </cell>
          <cell r="BM172">
            <v>-104.86924966966075</v>
          </cell>
          <cell r="BN172">
            <v>-115.8566451741211</v>
          </cell>
          <cell r="BO172">
            <v>-127.9229401846401</v>
          </cell>
          <cell r="BR172" t="str">
            <v xml:space="preserve">Payment of cash dividends </v>
          </cell>
          <cell r="BS172">
            <v>-5</v>
          </cell>
          <cell r="BT172">
            <v>-973</v>
          </cell>
          <cell r="BU172">
            <v>0</v>
          </cell>
          <cell r="BV172">
            <v>0</v>
          </cell>
          <cell r="BW172">
            <v>0</v>
          </cell>
          <cell r="BX172">
            <v>0</v>
          </cell>
          <cell r="BY172">
            <v>0</v>
          </cell>
          <cell r="BZ172">
            <v>0</v>
          </cell>
          <cell r="CA172">
            <v>-20.393000000000001</v>
          </cell>
          <cell r="CB172">
            <v>-87.742999999999995</v>
          </cell>
          <cell r="CC172">
            <v>-96.191000000000003</v>
          </cell>
          <cell r="CD172">
            <v>-98.611688158997751</v>
          </cell>
          <cell r="CE172">
            <v>-104.86924966966075</v>
          </cell>
          <cell r="CF172">
            <v>-115.8566451741211</v>
          </cell>
          <cell r="CG172">
            <v>-127.9229401846401</v>
          </cell>
          <cell r="CI172" t="str">
            <v>mstag:cashDividendsPaid</v>
          </cell>
          <cell r="CJ172">
            <v>6</v>
          </cell>
          <cell r="CK172" t="str">
            <v>ISO4217:USD</v>
          </cell>
          <cell r="CL172" t="b">
            <v>1</v>
          </cell>
        </row>
        <row r="173">
          <cell r="CC173">
            <v>0</v>
          </cell>
        </row>
        <row r="175">
          <cell r="A175" t="str">
            <v>Cash From Financing Activities</v>
          </cell>
          <cell r="C175">
            <v>0</v>
          </cell>
          <cell r="D175">
            <v>-5</v>
          </cell>
          <cell r="E175">
            <v>0</v>
          </cell>
          <cell r="F175">
            <v>0</v>
          </cell>
          <cell r="G175">
            <v>-347.09900000000005</v>
          </cell>
          <cell r="H175">
            <v>55.035000000000068</v>
          </cell>
          <cell r="I175">
            <v>-292.06399999999996</v>
          </cell>
          <cell r="J175">
            <v>-5.5620000000000003</v>
          </cell>
          <cell r="K175">
            <v>-6.12</v>
          </cell>
          <cell r="L175">
            <v>-5.612000000000001</v>
          </cell>
          <cell r="M175">
            <v>-5.6579999999999986</v>
          </cell>
          <cell r="N175">
            <v>-22.952000000000002</v>
          </cell>
          <cell r="O175">
            <v>-5.673</v>
          </cell>
          <cell r="P175">
            <v>-6.0270000000000001</v>
          </cell>
          <cell r="Q175">
            <v>-5.6710000000000012</v>
          </cell>
          <cell r="R175">
            <v>99.913000000000011</v>
          </cell>
          <cell r="S175">
            <v>82.542000000000002</v>
          </cell>
          <cell r="T175">
            <v>-9.5000000000000018</v>
          </cell>
          <cell r="U175">
            <v>-298.91300000000001</v>
          </cell>
          <cell r="V175">
            <v>1064.298</v>
          </cell>
          <cell r="W175">
            <v>2.1729999999999894</v>
          </cell>
          <cell r="X175">
            <v>758.05800000000011</v>
          </cell>
          <cell r="Y175">
            <v>-94.285999999999987</v>
          </cell>
          <cell r="Z175">
            <v>4.1599999999998989</v>
          </cell>
          <cell r="AA175">
            <v>-1.380999999999919</v>
          </cell>
          <cell r="AB175">
            <v>-43.638999999999882</v>
          </cell>
          <cell r="AC175">
            <v>-135.1459999999999</v>
          </cell>
          <cell r="AD175">
            <v>-0.51600000000000001</v>
          </cell>
          <cell r="AE175">
            <v>-202.09900000000025</v>
          </cell>
          <cell r="AF175">
            <v>-8.3149999999999</v>
          </cell>
          <cell r="AG175">
            <v>-112.04600000000001</v>
          </cell>
          <cell r="AH175">
            <v>-322.97600000000011</v>
          </cell>
          <cell r="AI175">
            <v>-30.461000000000002</v>
          </cell>
          <cell r="AJ175">
            <v>-7.895999999999999</v>
          </cell>
          <cell r="AK175">
            <v>-108.49699999999999</v>
          </cell>
          <cell r="AL175">
            <v>1.0059999999999762</v>
          </cell>
          <cell r="AM175">
            <v>-145.84799999999998</v>
          </cell>
          <cell r="AN175">
            <v>-30.461000000000002</v>
          </cell>
          <cell r="AO175">
            <v>-7.895999999999999</v>
          </cell>
          <cell r="AP175">
            <v>-108.49699999999999</v>
          </cell>
          <cell r="AQ175">
            <v>1.0059999999999762</v>
          </cell>
          <cell r="AR175">
            <v>-145.84799999999998</v>
          </cell>
          <cell r="AS175">
            <v>-109.33799999999999</v>
          </cell>
          <cell r="AT175">
            <v>-1.5110000000000001</v>
          </cell>
          <cell r="AU175">
            <v>-301.52800000000002</v>
          </cell>
          <cell r="AV175">
            <v>-29.950999999999986</v>
          </cell>
          <cell r="AW175">
            <v>-442.32799999999997</v>
          </cell>
          <cell r="AX175">
            <v>-27.135999999999999</v>
          </cell>
          <cell r="AY175">
            <v>-96.281999999999982</v>
          </cell>
          <cell r="AZ175">
            <v>419.45099999999996</v>
          </cell>
          <cell r="BA175">
            <v>-276.08399999999995</v>
          </cell>
          <cell r="BB175">
            <v>19.948999999999941</v>
          </cell>
          <cell r="BC175">
            <v>-362.30899999999997</v>
          </cell>
          <cell r="BD175">
            <v>-139.39900000000003</v>
          </cell>
          <cell r="BE175">
            <v>436.43</v>
          </cell>
          <cell r="BF175">
            <v>-299.99600000000004</v>
          </cell>
          <cell r="BG175">
            <v>-365.274</v>
          </cell>
          <cell r="BH175">
            <v>-125.226</v>
          </cell>
          <cell r="BI175">
            <v>-122.48767654475243</v>
          </cell>
          <cell r="BJ175">
            <v>-124.51782230574517</v>
          </cell>
          <cell r="BK175">
            <v>-124.24218930850016</v>
          </cell>
          <cell r="BL175">
            <v>-496.47368815899773</v>
          </cell>
          <cell r="BM175">
            <v>-402.36924966966075</v>
          </cell>
          <cell r="BN175">
            <v>-413.35664517412113</v>
          </cell>
          <cell r="BO175">
            <v>-425.42294018464008</v>
          </cell>
          <cell r="BR175" t="str">
            <v>Cash From Financing Activities</v>
          </cell>
          <cell r="BS175">
            <v>-5</v>
          </cell>
          <cell r="BT175">
            <v>-292.06399999999996</v>
          </cell>
          <cell r="BU175">
            <v>-22.952000000000002</v>
          </cell>
          <cell r="BV175">
            <v>82.542000000000002</v>
          </cell>
          <cell r="BW175">
            <v>758.05800000000011</v>
          </cell>
          <cell r="BX175">
            <v>-135.1459999999999</v>
          </cell>
          <cell r="BY175">
            <v>-322.97600000000011</v>
          </cell>
          <cell r="BZ175">
            <v>-145.84799999999998</v>
          </cell>
          <cell r="CA175">
            <v>-442.32799999999997</v>
          </cell>
          <cell r="CB175">
            <v>19.948999999999941</v>
          </cell>
          <cell r="CC175">
            <v>-365.274</v>
          </cell>
          <cell r="CD175">
            <v>-496.47368815899773</v>
          </cell>
          <cell r="CE175">
            <v>-402.36924966966075</v>
          </cell>
          <cell r="CF175">
            <v>-413.35664517412113</v>
          </cell>
          <cell r="CG175">
            <v>-425.42294018464008</v>
          </cell>
        </row>
        <row r="177">
          <cell r="A177" t="str">
            <v>Effect of FX Rate Changes on Cash &amp; Other</v>
          </cell>
          <cell r="C177">
            <v>3.5059999999999998</v>
          </cell>
          <cell r="D177">
            <v>2.0499999999999998</v>
          </cell>
          <cell r="E177">
            <v>0.65500000000000003</v>
          </cell>
          <cell r="F177">
            <v>0.68500000000000005</v>
          </cell>
          <cell r="G177">
            <v>-2.8460000000000001</v>
          </cell>
          <cell r="H177">
            <v>0.73</v>
          </cell>
          <cell r="I177">
            <v>-0.77600000000000002</v>
          </cell>
          <cell r="J177">
            <v>0.36699999999999999</v>
          </cell>
          <cell r="K177">
            <v>0.56400000000000006</v>
          </cell>
          <cell r="L177">
            <v>-1.095</v>
          </cell>
          <cell r="M177">
            <v>-9.7750000000000004</v>
          </cell>
          <cell r="N177">
            <v>-9.9390000000000001</v>
          </cell>
          <cell r="O177">
            <v>-1.962</v>
          </cell>
          <cell r="P177">
            <v>3.45</v>
          </cell>
          <cell r="Q177">
            <v>-0.42900000000000027</v>
          </cell>
          <cell r="R177">
            <v>1.6199999999999999</v>
          </cell>
          <cell r="S177">
            <v>2.6789999999999998</v>
          </cell>
          <cell r="T177">
            <v>-1.873</v>
          </cell>
          <cell r="U177">
            <v>1.444</v>
          </cell>
          <cell r="V177">
            <v>-0.35899999999999999</v>
          </cell>
          <cell r="W177">
            <v>2.2039999999999997</v>
          </cell>
          <cell r="X177">
            <v>1.4159999999999997</v>
          </cell>
          <cell r="Y177">
            <v>2.3540000000000001</v>
          </cell>
          <cell r="Z177">
            <v>1.8239999999999998</v>
          </cell>
          <cell r="AA177">
            <v>-5.9660000000000002</v>
          </cell>
          <cell r="AB177">
            <v>-1.8159999999999998</v>
          </cell>
          <cell r="AC177">
            <v>-3.6040000000000001</v>
          </cell>
          <cell r="AD177">
            <v>2.7480000000000002</v>
          </cell>
          <cell r="AE177">
            <v>-3.2600000000000002</v>
          </cell>
          <cell r="AF177">
            <v>3.4180000000000001</v>
          </cell>
          <cell r="AG177">
            <v>-1.546</v>
          </cell>
          <cell r="AH177">
            <v>1.36</v>
          </cell>
          <cell r="AI177">
            <v>-3.798</v>
          </cell>
          <cell r="AJ177">
            <v>-2.2699999999999996</v>
          </cell>
          <cell r="AK177">
            <v>2.3929999999999998</v>
          </cell>
          <cell r="AL177">
            <v>7.9999999999999627E-2</v>
          </cell>
          <cell r="AM177">
            <v>-3.5950000000000002</v>
          </cell>
          <cell r="AN177">
            <v>-3.798</v>
          </cell>
          <cell r="AO177">
            <v>-2.2699999999999996</v>
          </cell>
          <cell r="AP177">
            <v>2.3929999999999998</v>
          </cell>
          <cell r="AQ177">
            <v>7.9999999999999627E-2</v>
          </cell>
          <cell r="AR177">
            <v>-3.5950000000000002</v>
          </cell>
          <cell r="AS177">
            <v>-3.8420000000000005</v>
          </cell>
          <cell r="AT177">
            <v>4.5890000000000004</v>
          </cell>
          <cell r="AU177">
            <v>-5.9319999999999995</v>
          </cell>
          <cell r="AV177">
            <v>-4.8319999999999999</v>
          </cell>
          <cell r="AW177">
            <v>-10.016999999999999</v>
          </cell>
          <cell r="AX177">
            <v>-4.2750000000000004</v>
          </cell>
          <cell r="AY177">
            <v>1.4880000000000004</v>
          </cell>
          <cell r="AZ177">
            <v>-2.6970000000000001</v>
          </cell>
          <cell r="BA177">
            <v>-2.6910000000000007</v>
          </cell>
          <cell r="BB177">
            <v>-8.1750000000000007</v>
          </cell>
          <cell r="BC177">
            <v>2.1070000000000002</v>
          </cell>
          <cell r="BD177">
            <v>-5.173</v>
          </cell>
          <cell r="BE177">
            <v>-0.83400000000000007</v>
          </cell>
          <cell r="BF177">
            <v>-9.4049999999999994</v>
          </cell>
          <cell r="BG177">
            <v>-13.305</v>
          </cell>
          <cell r="BH177">
            <v>2.9780000000000002</v>
          </cell>
          <cell r="BI177">
            <v>0</v>
          </cell>
          <cell r="BJ177">
            <v>0</v>
          </cell>
          <cell r="BK177">
            <v>0</v>
          </cell>
          <cell r="BL177">
            <v>2.9780000000000002</v>
          </cell>
          <cell r="BM177">
            <v>0</v>
          </cell>
          <cell r="BN177">
            <v>0</v>
          </cell>
          <cell r="BO177">
            <v>0</v>
          </cell>
          <cell r="BR177" t="str">
            <v>Effect of FX Rate Changes on Cash &amp; Other</v>
          </cell>
          <cell r="BS177">
            <v>2.0499999999999998</v>
          </cell>
          <cell r="BT177">
            <v>-0.77600000000000002</v>
          </cell>
          <cell r="BU177">
            <v>-9.9390000000000001</v>
          </cell>
          <cell r="BV177">
            <v>2.6789999999999998</v>
          </cell>
          <cell r="BW177">
            <v>1.4159999999999997</v>
          </cell>
          <cell r="BX177">
            <v>-3.6040000000000001</v>
          </cell>
          <cell r="BY177">
            <v>1.36</v>
          </cell>
          <cell r="BZ177">
            <v>-3.5950000000000002</v>
          </cell>
          <cell r="CA177">
            <v>-10.016999999999999</v>
          </cell>
          <cell r="CB177">
            <v>-8.1750000000000007</v>
          </cell>
          <cell r="CC177">
            <v>-13.305</v>
          </cell>
          <cell r="CD177">
            <v>2.9780000000000002</v>
          </cell>
          <cell r="CE177">
            <v>0</v>
          </cell>
          <cell r="CF177">
            <v>0</v>
          </cell>
          <cell r="CG177">
            <v>0</v>
          </cell>
          <cell r="CI177" t="str">
            <v>mstag:effectOfForeignExchangeRatesOnCash</v>
          </cell>
          <cell r="CJ177">
            <v>6</v>
          </cell>
          <cell r="CK177" t="str">
            <v>ISO4217:USD</v>
          </cell>
          <cell r="CL177" t="b">
            <v>0</v>
          </cell>
        </row>
        <row r="179">
          <cell r="A179" t="str">
            <v>Net increase (decrease) in Cash and Cash Equivalents</v>
          </cell>
          <cell r="C179">
            <v>2.7859999999999796</v>
          </cell>
          <cell r="D179">
            <v>0.95099999999998186</v>
          </cell>
          <cell r="E179">
            <v>0.12100000000001532</v>
          </cell>
          <cell r="F179">
            <v>5.4679999999999875</v>
          </cell>
          <cell r="G179">
            <v>-8.3520000000000287</v>
          </cell>
          <cell r="H179">
            <v>12.219000000000033</v>
          </cell>
          <cell r="I179">
            <v>9.4560000000000279</v>
          </cell>
          <cell r="J179">
            <v>-11.888999999999999</v>
          </cell>
          <cell r="K179">
            <v>10.365000000000006</v>
          </cell>
          <cell r="L179">
            <v>214.15800000000002</v>
          </cell>
          <cell r="M179">
            <v>21.625000000000007</v>
          </cell>
          <cell r="N179">
            <v>234.25900000000004</v>
          </cell>
          <cell r="O179">
            <v>8.8040000000000074</v>
          </cell>
          <cell r="P179">
            <v>-204.11199999999999</v>
          </cell>
          <cell r="Q179">
            <v>38.932000000000038</v>
          </cell>
          <cell r="R179">
            <v>64.323000000000008</v>
          </cell>
          <cell r="S179">
            <v>-92.052999999999969</v>
          </cell>
          <cell r="T179">
            <v>-91.675000000000026</v>
          </cell>
          <cell r="U179">
            <v>67.798999999999964</v>
          </cell>
          <cell r="V179">
            <v>45.587000000000138</v>
          </cell>
          <cell r="W179">
            <v>28.840000000000046</v>
          </cell>
          <cell r="X179">
            <v>50.551000000000329</v>
          </cell>
          <cell r="Y179">
            <v>-98.935000000000016</v>
          </cell>
          <cell r="Z179">
            <v>48.254999999999882</v>
          </cell>
          <cell r="AA179">
            <v>45.683000000000106</v>
          </cell>
          <cell r="AB179">
            <v>30.633000000000127</v>
          </cell>
          <cell r="AC179">
            <v>25.636000000000237</v>
          </cell>
          <cell r="AD179">
            <v>13.810999999999972</v>
          </cell>
          <cell r="AE179">
            <v>7.2849999999997888</v>
          </cell>
          <cell r="AF179">
            <v>67.151000000000138</v>
          </cell>
          <cell r="AG179">
            <v>-157.149</v>
          </cell>
          <cell r="AH179">
            <v>-68.902000000000172</v>
          </cell>
          <cell r="AI179">
            <v>79.719999999999985</v>
          </cell>
          <cell r="AJ179">
            <v>71.671999999999997</v>
          </cell>
          <cell r="AK179">
            <v>-50.95100000000005</v>
          </cell>
          <cell r="AL179">
            <v>74.683999999999941</v>
          </cell>
          <cell r="AM179">
            <v>175.12499999999989</v>
          </cell>
          <cell r="AN179">
            <v>79.719999999999985</v>
          </cell>
          <cell r="AO179">
            <v>71.671999999999997</v>
          </cell>
          <cell r="AP179">
            <v>-50.95100000000005</v>
          </cell>
          <cell r="AQ179">
            <v>74.683999999999941</v>
          </cell>
          <cell r="AR179">
            <v>175.12499999999989</v>
          </cell>
          <cell r="AS179">
            <v>-97.971999999999952</v>
          </cell>
          <cell r="AT179">
            <v>422.86499999999995</v>
          </cell>
          <cell r="AU179">
            <v>-235.15</v>
          </cell>
          <cell r="AV179">
            <v>60.654000000000018</v>
          </cell>
          <cell r="AW179">
            <v>150.39699999999999</v>
          </cell>
          <cell r="AX179">
            <v>28.962999999999973</v>
          </cell>
          <cell r="AY179">
            <v>-82.749999999999986</v>
          </cell>
          <cell r="AZ179">
            <v>538.41799999999989</v>
          </cell>
          <cell r="BA179">
            <v>-215.72699999999995</v>
          </cell>
          <cell r="BB179">
            <v>268.90399999999988</v>
          </cell>
          <cell r="BC179">
            <v>-332.69199999999995</v>
          </cell>
          <cell r="BD179">
            <v>-40.467000000000027</v>
          </cell>
          <cell r="BE179">
            <v>569.50800000000015</v>
          </cell>
          <cell r="BF179">
            <v>-182.28800000000004</v>
          </cell>
          <cell r="BG179">
            <v>14.061000000000043</v>
          </cell>
          <cell r="BH179">
            <v>-94.862000000000037</v>
          </cell>
          <cell r="BI179">
            <v>-58.338166152581877</v>
          </cell>
          <cell r="BJ179">
            <v>24.831443161415081</v>
          </cell>
          <cell r="BK179">
            <v>15.484538489207623</v>
          </cell>
          <cell r="BL179">
            <v>-112.80637435360752</v>
          </cell>
          <cell r="BM179">
            <v>3.3321879521735127</v>
          </cell>
          <cell r="BN179">
            <v>34.095383928097021</v>
          </cell>
          <cell r="BO179">
            <v>67.056341002254328</v>
          </cell>
          <cell r="BR179" t="str">
            <v>Net increase (decrease) in Cash and Cash Equivalents</v>
          </cell>
          <cell r="BS179">
            <v>0.95099999999998186</v>
          </cell>
          <cell r="BT179">
            <v>9.4560000000000279</v>
          </cell>
          <cell r="BU179">
            <v>234.25900000000004</v>
          </cell>
          <cell r="BV179">
            <v>-92.052999999999969</v>
          </cell>
          <cell r="BW179">
            <v>50.551000000000329</v>
          </cell>
          <cell r="BX179">
            <v>25.636000000000237</v>
          </cell>
          <cell r="BY179">
            <v>-68.902000000000172</v>
          </cell>
          <cell r="BZ179">
            <v>175.12499999999989</v>
          </cell>
          <cell r="CA179">
            <v>150.39699999999999</v>
          </cell>
          <cell r="CB179">
            <v>268.90399999999988</v>
          </cell>
          <cell r="CC179">
            <v>14.061000000000043</v>
          </cell>
          <cell r="CD179">
            <v>-112.80637435360752</v>
          </cell>
          <cell r="CE179">
            <v>3.3321879521735127</v>
          </cell>
          <cell r="CF179">
            <v>34.095383928097021</v>
          </cell>
          <cell r="CG179">
            <v>67.056341002254328</v>
          </cell>
        </row>
        <row r="180">
          <cell r="A180" t="str">
            <v>Cash &amp; Equivalents - Beginning</v>
          </cell>
          <cell r="C180">
            <v>21.576000000000018</v>
          </cell>
          <cell r="D180">
            <v>23.411000000000001</v>
          </cell>
          <cell r="E180">
            <v>24.361999999999984</v>
          </cell>
          <cell r="F180">
            <v>24.483000000000001</v>
          </cell>
          <cell r="G180">
            <v>29.950999999999986</v>
          </cell>
          <cell r="H180">
            <v>21.598999999999958</v>
          </cell>
          <cell r="I180">
            <v>24.361999999999984</v>
          </cell>
          <cell r="J180">
            <v>33.818000000000012</v>
          </cell>
          <cell r="K180">
            <v>21.929000000000013</v>
          </cell>
          <cell r="L180">
            <v>32.294000000000018</v>
          </cell>
          <cell r="M180">
            <v>246.45200000000003</v>
          </cell>
          <cell r="N180">
            <v>33.818000000000012</v>
          </cell>
          <cell r="O180">
            <v>268.07700000000006</v>
          </cell>
          <cell r="P180">
            <v>276.88100000000009</v>
          </cell>
          <cell r="Q180">
            <v>72.769000000000091</v>
          </cell>
          <cell r="R180">
            <v>111.70100000000014</v>
          </cell>
          <cell r="S180">
            <v>268.07700000000006</v>
          </cell>
          <cell r="T180">
            <v>176.02400000000009</v>
          </cell>
          <cell r="U180">
            <v>84.349000000000061</v>
          </cell>
          <cell r="V180">
            <v>152.14800000000002</v>
          </cell>
          <cell r="W180">
            <v>197.73500000000016</v>
          </cell>
          <cell r="X180">
            <v>176.02400000000009</v>
          </cell>
          <cell r="Y180">
            <v>226.57500000000041</v>
          </cell>
          <cell r="Z180">
            <v>127.6400000000004</v>
          </cell>
          <cell r="AA180">
            <v>175.89500000000027</v>
          </cell>
          <cell r="AB180">
            <v>221.57800000000037</v>
          </cell>
          <cell r="AC180">
            <v>226.57500000000041</v>
          </cell>
          <cell r="AD180">
            <v>252.21100000000064</v>
          </cell>
          <cell r="AE180">
            <v>266.02200000000062</v>
          </cell>
          <cell r="AF180">
            <v>273.30700000000041</v>
          </cell>
          <cell r="AG180">
            <v>340.45800000000054</v>
          </cell>
          <cell r="AH180">
            <v>252.21100000000064</v>
          </cell>
          <cell r="AI180">
            <v>183.30900000000048</v>
          </cell>
          <cell r="AJ180">
            <v>263.02900000000045</v>
          </cell>
          <cell r="AK180">
            <v>334.70100000000048</v>
          </cell>
          <cell r="AL180">
            <v>283.75000000000045</v>
          </cell>
          <cell r="AM180">
            <v>183.30900000000048</v>
          </cell>
          <cell r="AN180">
            <v>183.30900000000048</v>
          </cell>
          <cell r="AO180">
            <v>263.02900000000045</v>
          </cell>
          <cell r="AP180">
            <v>334.70100000000048</v>
          </cell>
          <cell r="AQ180">
            <v>283.75000000000045</v>
          </cell>
          <cell r="AR180">
            <v>183.30900000000048</v>
          </cell>
          <cell r="AS180">
            <v>358.43400000000037</v>
          </cell>
          <cell r="AT180">
            <v>260.46200000000044</v>
          </cell>
          <cell r="AU180">
            <v>683.32700000000045</v>
          </cell>
          <cell r="AV180">
            <v>448.17700000000048</v>
          </cell>
          <cell r="AW180">
            <v>358.43400000000037</v>
          </cell>
          <cell r="AX180">
            <v>508.83100000000036</v>
          </cell>
          <cell r="AY180">
            <v>537.79400000000032</v>
          </cell>
          <cell r="AZ180">
            <v>455.04400000000032</v>
          </cell>
          <cell r="BA180">
            <v>993.46200000000022</v>
          </cell>
          <cell r="BB180">
            <v>508.83100000000036</v>
          </cell>
          <cell r="BC180">
            <v>777.73500000000024</v>
          </cell>
          <cell r="BD180">
            <v>445.04300000000029</v>
          </cell>
          <cell r="BE180">
            <v>404.57600000000025</v>
          </cell>
          <cell r="BF180">
            <v>974.0840000000004</v>
          </cell>
          <cell r="BG180">
            <v>777.73500000000024</v>
          </cell>
          <cell r="BH180">
            <v>791.79600000000028</v>
          </cell>
          <cell r="BI180">
            <v>696.9340000000002</v>
          </cell>
          <cell r="BJ180">
            <v>638.59583384741836</v>
          </cell>
          <cell r="BK180">
            <v>663.42727700883347</v>
          </cell>
          <cell r="BL180">
            <v>791.79600000000028</v>
          </cell>
          <cell r="BM180">
            <v>678.98962564639271</v>
          </cell>
          <cell r="BN180">
            <v>682.32181359856622</v>
          </cell>
          <cell r="BO180">
            <v>716.41719752666324</v>
          </cell>
          <cell r="BR180" t="str">
            <v>Cash &amp; Equivalents - Beginning</v>
          </cell>
          <cell r="BS180">
            <v>23.411000000000001</v>
          </cell>
          <cell r="BT180">
            <v>24.361999999999984</v>
          </cell>
          <cell r="BU180">
            <v>33.818000000000012</v>
          </cell>
          <cell r="BV180">
            <v>268.07700000000006</v>
          </cell>
          <cell r="BW180">
            <v>176.02400000000009</v>
          </cell>
          <cell r="BX180">
            <v>226.57500000000041</v>
          </cell>
          <cell r="BY180">
            <v>252.21100000000064</v>
          </cell>
          <cell r="BZ180">
            <v>183.30900000000048</v>
          </cell>
          <cell r="CA180">
            <v>358.43400000000037</v>
          </cell>
          <cell r="CB180">
            <v>508.83100000000036</v>
          </cell>
          <cell r="CC180">
            <v>777.73500000000024</v>
          </cell>
          <cell r="CD180">
            <v>791.79600000000028</v>
          </cell>
          <cell r="CE180">
            <v>678.98962564639271</v>
          </cell>
          <cell r="CF180">
            <v>682.32181359856622</v>
          </cell>
          <cell r="CG180">
            <v>716.41719752666324</v>
          </cell>
        </row>
        <row r="182">
          <cell r="A182" t="str">
            <v>Cash &amp; Equivalents - End</v>
          </cell>
          <cell r="C182">
            <v>24.361999999999998</v>
          </cell>
          <cell r="D182">
            <v>24.361999999999984</v>
          </cell>
          <cell r="E182">
            <v>24.483000000000001</v>
          </cell>
          <cell r="F182">
            <v>29.950999999999986</v>
          </cell>
          <cell r="G182">
            <v>21.598999999999958</v>
          </cell>
          <cell r="H182">
            <v>33.817999999999991</v>
          </cell>
          <cell r="I182">
            <v>33.818000000000012</v>
          </cell>
          <cell r="J182">
            <v>21.929000000000013</v>
          </cell>
          <cell r="K182">
            <v>32.294000000000018</v>
          </cell>
          <cell r="L182">
            <v>246.45200000000003</v>
          </cell>
          <cell r="M182">
            <v>268.07700000000006</v>
          </cell>
          <cell r="N182">
            <v>268.07700000000006</v>
          </cell>
          <cell r="O182">
            <v>276.88100000000009</v>
          </cell>
          <cell r="P182">
            <v>72.769000000000091</v>
          </cell>
          <cell r="Q182">
            <v>111.70100000000014</v>
          </cell>
          <cell r="R182">
            <v>176.02400000000014</v>
          </cell>
          <cell r="S182">
            <v>176.02400000000009</v>
          </cell>
          <cell r="T182">
            <v>84.349000000000061</v>
          </cell>
          <cell r="U182">
            <v>152.14800000000002</v>
          </cell>
          <cell r="V182">
            <v>197.73500000000016</v>
          </cell>
          <cell r="W182">
            <v>226.57500000000022</v>
          </cell>
          <cell r="X182">
            <v>226.57500000000041</v>
          </cell>
          <cell r="Y182">
            <v>127.6400000000004</v>
          </cell>
          <cell r="Z182">
            <v>175.89500000000027</v>
          </cell>
          <cell r="AA182">
            <v>221.57800000000037</v>
          </cell>
          <cell r="AB182">
            <v>252.2110000000005</v>
          </cell>
          <cell r="AC182">
            <v>252.21100000000064</v>
          </cell>
          <cell r="AD182">
            <v>266.02200000000062</v>
          </cell>
          <cell r="AE182">
            <v>273.30700000000041</v>
          </cell>
          <cell r="AF182">
            <v>340.45800000000054</v>
          </cell>
          <cell r="AG182">
            <v>183.30900000000054</v>
          </cell>
          <cell r="AH182">
            <v>183.30900000000048</v>
          </cell>
          <cell r="AI182">
            <v>263.02900000000045</v>
          </cell>
          <cell r="AJ182">
            <v>334.70100000000048</v>
          </cell>
          <cell r="AK182">
            <v>283.75000000000045</v>
          </cell>
          <cell r="AL182">
            <v>358.43400000000042</v>
          </cell>
          <cell r="AM182">
            <v>358.43400000000037</v>
          </cell>
          <cell r="AN182">
            <v>263.02900000000045</v>
          </cell>
          <cell r="AO182">
            <v>334.70100000000048</v>
          </cell>
          <cell r="AP182">
            <v>283.75000000000045</v>
          </cell>
          <cell r="AQ182">
            <v>358.43400000000042</v>
          </cell>
          <cell r="AR182">
            <v>358.43400000000037</v>
          </cell>
          <cell r="AS182">
            <v>260.46200000000044</v>
          </cell>
          <cell r="AT182">
            <v>683.32700000000045</v>
          </cell>
          <cell r="AU182">
            <v>448.17700000000048</v>
          </cell>
          <cell r="AV182">
            <v>508.83100000000047</v>
          </cell>
          <cell r="AW182">
            <v>508.83100000000036</v>
          </cell>
          <cell r="AX182">
            <v>537.79400000000032</v>
          </cell>
          <cell r="AY182">
            <v>455.04400000000032</v>
          </cell>
          <cell r="AZ182">
            <v>993.46200000000022</v>
          </cell>
          <cell r="BA182">
            <v>777.73500000000024</v>
          </cell>
          <cell r="BB182">
            <v>777.73500000000024</v>
          </cell>
          <cell r="BC182">
            <v>445.04300000000029</v>
          </cell>
          <cell r="BD182">
            <v>404.57600000000025</v>
          </cell>
          <cell r="BE182">
            <v>974.0840000000004</v>
          </cell>
          <cell r="BF182">
            <v>791.79600000000039</v>
          </cell>
          <cell r="BG182">
            <v>791.79600000000028</v>
          </cell>
          <cell r="BH182">
            <v>696.9340000000002</v>
          </cell>
          <cell r="BI182">
            <v>638.59583384741836</v>
          </cell>
          <cell r="BJ182">
            <v>663.42727700883347</v>
          </cell>
          <cell r="BK182">
            <v>678.91181549804105</v>
          </cell>
          <cell r="BL182">
            <v>678.98962564639271</v>
          </cell>
          <cell r="BM182">
            <v>682.32181359856622</v>
          </cell>
          <cell r="BN182">
            <v>716.41719752666324</v>
          </cell>
          <cell r="BO182">
            <v>783.47353852891752</v>
          </cell>
          <cell r="BR182" t="str">
            <v>Cash &amp; Equivalents - End</v>
          </cell>
          <cell r="BS182">
            <v>24.361999999999984</v>
          </cell>
          <cell r="BT182">
            <v>33.818000000000012</v>
          </cell>
          <cell r="BU182">
            <v>268.07700000000006</v>
          </cell>
          <cell r="BV182">
            <v>176.02400000000009</v>
          </cell>
          <cell r="BW182">
            <v>226.57500000000041</v>
          </cell>
          <cell r="BX182">
            <v>252.21100000000064</v>
          </cell>
          <cell r="BY182">
            <v>183.30900000000048</v>
          </cell>
          <cell r="BZ182">
            <v>358.43400000000037</v>
          </cell>
          <cell r="CA182">
            <v>508.83100000000036</v>
          </cell>
          <cell r="CB182">
            <v>777.73500000000024</v>
          </cell>
          <cell r="CC182">
            <v>791.79600000000028</v>
          </cell>
          <cell r="CD182">
            <v>678.98962564639271</v>
          </cell>
          <cell r="CE182">
            <v>682.32181359856622</v>
          </cell>
          <cell r="CF182">
            <v>716.41719752666324</v>
          </cell>
          <cell r="CG182">
            <v>783.47353852891752</v>
          </cell>
        </row>
        <row r="186">
          <cell r="A186" t="str">
            <v>Quarterly Balance Sheet</v>
          </cell>
        </row>
        <row r="187">
          <cell r="A187" t="str">
            <v>(Values in millions, except per-share amounts)</v>
          </cell>
        </row>
        <row r="188">
          <cell r="A188" t="str">
            <v>MSCI Only Until Q3 2010 then Pro Forma</v>
          </cell>
          <cell r="BR188" t="str">
            <v>MSCI Only Until Q3 2010 then Pro Forma</v>
          </cell>
        </row>
        <row r="189">
          <cell r="A189" t="str">
            <v>Fiscal Year Ending Dec 31</v>
          </cell>
          <cell r="C189" t="str">
            <v>4Q06</v>
          </cell>
          <cell r="D189">
            <v>2006</v>
          </cell>
          <cell r="E189" t="str">
            <v>1Q07</v>
          </cell>
          <cell r="F189" t="str">
            <v>2Q07</v>
          </cell>
          <cell r="G189" t="str">
            <v>3Q07</v>
          </cell>
          <cell r="H189" t="str">
            <v>4Q07</v>
          </cell>
          <cell r="I189">
            <v>2007</v>
          </cell>
          <cell r="J189" t="str">
            <v>1Q08</v>
          </cell>
          <cell r="K189" t="str">
            <v>2Q08</v>
          </cell>
          <cell r="L189" t="str">
            <v>3Q08</v>
          </cell>
          <cell r="M189" t="str">
            <v>4Q08</v>
          </cell>
          <cell r="N189">
            <v>2008</v>
          </cell>
          <cell r="O189" t="str">
            <v>1Q09</v>
          </cell>
          <cell r="P189" t="str">
            <v>2Q09</v>
          </cell>
          <cell r="Q189" t="str">
            <v>3Q09</v>
          </cell>
          <cell r="R189" t="str">
            <v>4Q09</v>
          </cell>
          <cell r="S189">
            <v>2009</v>
          </cell>
          <cell r="T189" t="str">
            <v>1Q10</v>
          </cell>
          <cell r="U189" t="str">
            <v>2Q10</v>
          </cell>
          <cell r="V189" t="str">
            <v>3Q10</v>
          </cell>
          <cell r="W189" t="str">
            <v>4Q10</v>
          </cell>
          <cell r="X189">
            <v>2010</v>
          </cell>
          <cell r="Y189" t="str">
            <v>1Q11</v>
          </cell>
          <cell r="Z189" t="str">
            <v>2Q11</v>
          </cell>
          <cell r="AA189" t="str">
            <v>3Q11</v>
          </cell>
          <cell r="AB189" t="str">
            <v>4Q11</v>
          </cell>
          <cell r="AC189">
            <v>2011</v>
          </cell>
          <cell r="AD189" t="str">
            <v>1Q12</v>
          </cell>
          <cell r="AE189" t="str">
            <v>2Q12</v>
          </cell>
          <cell r="AF189" t="str">
            <v>3Q12</v>
          </cell>
          <cell r="AG189" t="str">
            <v>4Q12</v>
          </cell>
          <cell r="AH189">
            <v>2012</v>
          </cell>
          <cell r="AI189" t="str">
            <v>1Q13</v>
          </cell>
          <cell r="AJ189" t="str">
            <v>2Q13</v>
          </cell>
          <cell r="AK189" t="str">
            <v>3Q13</v>
          </cell>
          <cell r="AL189" t="str">
            <v>4Q13</v>
          </cell>
          <cell r="AM189">
            <v>2013</v>
          </cell>
          <cell r="AN189" t="str">
            <v>1Q13R</v>
          </cell>
          <cell r="AO189" t="str">
            <v>2Q13R</v>
          </cell>
          <cell r="AP189" t="str">
            <v>3Q13R</v>
          </cell>
          <cell r="AQ189" t="str">
            <v>4Q13R</v>
          </cell>
          <cell r="AR189" t="str">
            <v>2013R</v>
          </cell>
          <cell r="AS189" t="str">
            <v>1Q14</v>
          </cell>
          <cell r="AT189" t="str">
            <v>2Q14</v>
          </cell>
          <cell r="AU189" t="str">
            <v>3Q14</v>
          </cell>
          <cell r="AV189" t="str">
            <v>4Q14</v>
          </cell>
          <cell r="AW189">
            <v>2014</v>
          </cell>
          <cell r="AX189" t="str">
            <v>1Q15</v>
          </cell>
          <cell r="AY189" t="str">
            <v>2Q15</v>
          </cell>
          <cell r="AZ189" t="str">
            <v>3Q15</v>
          </cell>
          <cell r="BA189" t="str">
            <v>4Q15</v>
          </cell>
          <cell r="BB189">
            <v>2015</v>
          </cell>
          <cell r="BC189" t="str">
            <v>1Q16</v>
          </cell>
          <cell r="BD189" t="str">
            <v>2Q16</v>
          </cell>
          <cell r="BE189" t="str">
            <v>3Q16</v>
          </cell>
          <cell r="BF189" t="str">
            <v>4Q16</v>
          </cell>
          <cell r="BG189">
            <v>2016</v>
          </cell>
          <cell r="BH189" t="str">
            <v>1Q17</v>
          </cell>
          <cell r="BI189" t="str">
            <v>2Q17E</v>
          </cell>
          <cell r="BJ189" t="str">
            <v>3Q17E</v>
          </cell>
          <cell r="BK189" t="str">
            <v>4Q17E</v>
          </cell>
          <cell r="BL189" t="str">
            <v>2017E</v>
          </cell>
          <cell r="BM189" t="str">
            <v>2018E</v>
          </cell>
          <cell r="BN189" t="str">
            <v>2019E</v>
          </cell>
          <cell r="BO189" t="str">
            <v>2020E</v>
          </cell>
          <cell r="BR189" t="str">
            <v>Fiscal Year Ending Dec 31</v>
          </cell>
          <cell r="BS189">
            <v>2006</v>
          </cell>
          <cell r="BT189">
            <v>2007</v>
          </cell>
          <cell r="BU189">
            <v>2008</v>
          </cell>
          <cell r="BV189">
            <v>2009</v>
          </cell>
          <cell r="BW189">
            <v>2010</v>
          </cell>
          <cell r="BX189">
            <v>2011</v>
          </cell>
          <cell r="BY189">
            <v>2012</v>
          </cell>
          <cell r="BZ189" t="str">
            <v>2013R</v>
          </cell>
          <cell r="CA189">
            <v>2014</v>
          </cell>
          <cell r="CB189">
            <v>2015</v>
          </cell>
          <cell r="CC189">
            <v>2016</v>
          </cell>
          <cell r="CD189" t="str">
            <v>2017E</v>
          </cell>
          <cell r="CE189" t="str">
            <v>2018E</v>
          </cell>
          <cell r="CF189" t="str">
            <v>2019E</v>
          </cell>
          <cell r="CG189" t="str">
            <v>2020E</v>
          </cell>
        </row>
        <row r="190">
          <cell r="A190" t="str">
            <v>ASSETS</v>
          </cell>
          <cell r="BR190" t="str">
            <v>ASSETS</v>
          </cell>
          <cell r="CO190" t="str">
            <v>Acquired Amount</v>
          </cell>
        </row>
        <row r="191">
          <cell r="A191" t="str">
            <v>Current Assets</v>
          </cell>
          <cell r="BR191" t="str">
            <v>Current Assets</v>
          </cell>
        </row>
        <row r="192">
          <cell r="A192" t="str">
            <v xml:space="preserve">Cash and Cash Equivalents </v>
          </cell>
          <cell r="C192">
            <v>24.361999999999998</v>
          </cell>
          <cell r="D192">
            <v>24.361999999999998</v>
          </cell>
          <cell r="E192">
            <v>24.482999999999972</v>
          </cell>
          <cell r="F192">
            <v>29.950999999999958</v>
          </cell>
          <cell r="G192">
            <v>21.598999999999929</v>
          </cell>
          <cell r="H192">
            <v>33.817999999999998</v>
          </cell>
          <cell r="I192">
            <v>33.817999999999998</v>
          </cell>
          <cell r="J192">
            <v>21.928999999999998</v>
          </cell>
          <cell r="K192">
            <v>32.293999999999997</v>
          </cell>
          <cell r="L192">
            <v>246.452</v>
          </cell>
          <cell r="M192">
            <v>268.077</v>
          </cell>
          <cell r="N192">
            <v>268.077</v>
          </cell>
          <cell r="O192">
            <v>276.88099999999997</v>
          </cell>
          <cell r="P192">
            <v>72.769000000000005</v>
          </cell>
          <cell r="Q192">
            <v>111.70100000000008</v>
          </cell>
          <cell r="R192">
            <v>176.02400000000014</v>
          </cell>
          <cell r="S192">
            <v>176.02400000000014</v>
          </cell>
          <cell r="T192">
            <v>84.349000000000061</v>
          </cell>
          <cell r="U192">
            <v>152.14800000000002</v>
          </cell>
          <cell r="V192">
            <v>197.73500000000016</v>
          </cell>
          <cell r="W192">
            <v>226.57500000000022</v>
          </cell>
          <cell r="X192">
            <v>226.57500000000022</v>
          </cell>
          <cell r="Y192">
            <v>127.6400000000004</v>
          </cell>
          <cell r="Z192">
            <v>175.89500000000027</v>
          </cell>
          <cell r="AA192">
            <v>221.57800000000037</v>
          </cell>
          <cell r="AB192">
            <v>252.2110000000005</v>
          </cell>
          <cell r="AC192">
            <v>252.2110000000005</v>
          </cell>
          <cell r="AD192">
            <v>266.02200000000062</v>
          </cell>
          <cell r="AE192">
            <v>273.30700000000041</v>
          </cell>
          <cell r="AF192">
            <v>340.45800000000054</v>
          </cell>
          <cell r="AG192">
            <v>183.30900000000054</v>
          </cell>
          <cell r="AH192">
            <v>183.30900000000054</v>
          </cell>
          <cell r="AI192">
            <v>263.02900000000045</v>
          </cell>
          <cell r="AJ192">
            <v>334.70100000000048</v>
          </cell>
          <cell r="AK192">
            <v>283.75000000000045</v>
          </cell>
          <cell r="AL192">
            <v>358.43400000000042</v>
          </cell>
          <cell r="AM192">
            <v>358.43400000000042</v>
          </cell>
          <cell r="AN192">
            <v>263.02900000000045</v>
          </cell>
          <cell r="AO192">
            <v>334.70100000000048</v>
          </cell>
          <cell r="AP192">
            <v>283.75000000000045</v>
          </cell>
          <cell r="AQ192">
            <v>358.43400000000042</v>
          </cell>
          <cell r="AR192">
            <v>358.43400000000042</v>
          </cell>
          <cell r="AS192">
            <v>260.46200000000044</v>
          </cell>
          <cell r="AT192">
            <v>683.32700000000045</v>
          </cell>
          <cell r="AU192">
            <v>448.17700000000048</v>
          </cell>
          <cell r="AV192">
            <v>508.83100000000047</v>
          </cell>
          <cell r="AW192">
            <v>508.83100000000047</v>
          </cell>
          <cell r="AX192">
            <v>537.79400000000032</v>
          </cell>
          <cell r="AY192">
            <v>455.04400000000032</v>
          </cell>
          <cell r="AZ192">
            <v>993.46200000000022</v>
          </cell>
          <cell r="BA192">
            <v>777.73500000000024</v>
          </cell>
          <cell r="BB192">
            <v>777.73500000000024</v>
          </cell>
          <cell r="BC192">
            <v>445.04300000000029</v>
          </cell>
          <cell r="BD192">
            <v>404.57600000000025</v>
          </cell>
          <cell r="BE192">
            <v>974.0840000000004</v>
          </cell>
          <cell r="BF192">
            <v>791.79600000000039</v>
          </cell>
          <cell r="BG192">
            <v>791.79600000000039</v>
          </cell>
          <cell r="BH192">
            <v>696.9340000000002</v>
          </cell>
          <cell r="BI192">
            <v>638.59583384741836</v>
          </cell>
          <cell r="BJ192">
            <v>663.42727700883347</v>
          </cell>
          <cell r="BK192">
            <v>678.91181549804105</v>
          </cell>
          <cell r="BL192">
            <v>678.91181549804105</v>
          </cell>
          <cell r="BM192">
            <v>682.32181359856622</v>
          </cell>
          <cell r="BN192">
            <v>716.41719752666324</v>
          </cell>
          <cell r="BO192">
            <v>783.47353852891752</v>
          </cell>
          <cell r="BR192" t="str">
            <v xml:space="preserve">Cash and Cash Equivalents </v>
          </cell>
          <cell r="BS192">
            <v>24.361999999999998</v>
          </cell>
          <cell r="BT192">
            <v>33.817999999999998</v>
          </cell>
          <cell r="BU192">
            <v>268.077</v>
          </cell>
          <cell r="BV192">
            <v>176.02400000000014</v>
          </cell>
          <cell r="BW192">
            <v>226.57500000000022</v>
          </cell>
          <cell r="BX192">
            <v>252.2110000000005</v>
          </cell>
          <cell r="BY192">
            <v>183.30900000000054</v>
          </cell>
          <cell r="BZ192">
            <v>358.43400000000042</v>
          </cell>
          <cell r="CA192">
            <v>508.83100000000047</v>
          </cell>
          <cell r="CB192">
            <v>777.73500000000024</v>
          </cell>
          <cell r="CC192">
            <v>791.79600000000039</v>
          </cell>
          <cell r="CD192">
            <v>678.91181549804105</v>
          </cell>
          <cell r="CE192">
            <v>682.32181359856622</v>
          </cell>
          <cell r="CF192">
            <v>716.41719752666324</v>
          </cell>
          <cell r="CG192">
            <v>783.47353852891752</v>
          </cell>
          <cell r="CI192" t="str">
            <v>mstag:cashAndCashEquivalents</v>
          </cell>
          <cell r="CJ192">
            <v>6</v>
          </cell>
          <cell r="CK192" t="str">
            <v>ISO4217:USD</v>
          </cell>
          <cell r="CL192" t="b">
            <v>0</v>
          </cell>
          <cell r="CO192">
            <v>242.65</v>
          </cell>
        </row>
        <row r="193">
          <cell r="A193" t="str">
            <v xml:space="preserve"> Short-term investments</v>
          </cell>
          <cell r="C193">
            <v>330.23099999999999</v>
          </cell>
          <cell r="D193">
            <v>330.23099999999999</v>
          </cell>
          <cell r="E193" t="str">
            <v>ND</v>
          </cell>
          <cell r="F193" t="str">
            <v>ND</v>
          </cell>
          <cell r="G193">
            <v>51.798999999999999</v>
          </cell>
          <cell r="H193">
            <v>137.625</v>
          </cell>
          <cell r="I193">
            <v>137.625</v>
          </cell>
          <cell r="J193">
            <v>164.09899999999999</v>
          </cell>
          <cell r="K193">
            <v>203.315</v>
          </cell>
          <cell r="L193">
            <v>0</v>
          </cell>
          <cell r="M193">
            <v>0</v>
          </cell>
          <cell r="N193">
            <v>0</v>
          </cell>
          <cell r="O193">
            <v>0</v>
          </cell>
          <cell r="P193">
            <v>244.87799999999999</v>
          </cell>
          <cell r="Q193">
            <v>250.06100000000001</v>
          </cell>
          <cell r="R193">
            <v>295.30399999999997</v>
          </cell>
          <cell r="S193">
            <v>295.30399999999997</v>
          </cell>
          <cell r="T193">
            <v>358.14499999999998</v>
          </cell>
          <cell r="U193">
            <v>61.399000000000001</v>
          </cell>
          <cell r="V193">
            <v>42.593000000000004</v>
          </cell>
          <cell r="W193">
            <v>73.891000000000005</v>
          </cell>
          <cell r="X193">
            <v>73.891000000000005</v>
          </cell>
          <cell r="Y193">
            <v>50.161000000000001</v>
          </cell>
          <cell r="Z193">
            <v>111.167</v>
          </cell>
          <cell r="AA193">
            <v>142.75399999999999</v>
          </cell>
          <cell r="AB193">
            <v>140.49</v>
          </cell>
          <cell r="AC193">
            <v>140.49</v>
          </cell>
          <cell r="AD193">
            <v>194.15700000000001</v>
          </cell>
          <cell r="AE193">
            <v>86.46</v>
          </cell>
          <cell r="AF193">
            <v>93.885000000000005</v>
          </cell>
          <cell r="AG193">
            <v>70.897999999999996</v>
          </cell>
          <cell r="AH193">
            <v>70.897999999999996</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cell r="BM193">
            <v>0</v>
          </cell>
          <cell r="BN193">
            <v>0</v>
          </cell>
          <cell r="BO193">
            <v>0</v>
          </cell>
          <cell r="BR193" t="str">
            <v xml:space="preserve"> Short-term investments</v>
          </cell>
          <cell r="BS193">
            <v>330.23099999999999</v>
          </cell>
          <cell r="BT193">
            <v>137.625</v>
          </cell>
          <cell r="BU193">
            <v>0</v>
          </cell>
          <cell r="BV193">
            <v>295.30399999999997</v>
          </cell>
          <cell r="BW193">
            <v>73.891000000000005</v>
          </cell>
          <cell r="BX193">
            <v>140.49</v>
          </cell>
          <cell r="BY193">
            <v>70.897999999999996</v>
          </cell>
          <cell r="BZ193">
            <v>0</v>
          </cell>
          <cell r="CA193">
            <v>0</v>
          </cell>
          <cell r="CB193">
            <v>0</v>
          </cell>
          <cell r="CC193">
            <v>0</v>
          </cell>
          <cell r="CD193">
            <v>0</v>
          </cell>
          <cell r="CE193">
            <v>0</v>
          </cell>
          <cell r="CF193">
            <v>0</v>
          </cell>
          <cell r="CG193">
            <v>0</v>
          </cell>
          <cell r="CI193" t="str">
            <v>mstag:shortTermInvestments</v>
          </cell>
          <cell r="CJ193">
            <v>6</v>
          </cell>
          <cell r="CK193" t="str">
            <v>ISO4217:USD</v>
          </cell>
          <cell r="CL193" t="b">
            <v>0</v>
          </cell>
          <cell r="CO193">
            <v>0</v>
          </cell>
        </row>
        <row r="194">
          <cell r="A194" t="str">
            <v xml:space="preserve"> Accounts receivables, net</v>
          </cell>
          <cell r="C194">
            <v>62.337000000000003</v>
          </cell>
          <cell r="D194">
            <v>62.337000000000003</v>
          </cell>
          <cell r="E194" t="str">
            <v>ND</v>
          </cell>
          <cell r="F194" t="str">
            <v>ND</v>
          </cell>
          <cell r="G194">
            <v>78.617999999999995</v>
          </cell>
          <cell r="H194">
            <v>77.748000000000005</v>
          </cell>
          <cell r="I194">
            <v>77.748000000000005</v>
          </cell>
          <cell r="J194">
            <v>123.831</v>
          </cell>
          <cell r="K194">
            <v>106.20399999999999</v>
          </cell>
          <cell r="L194">
            <v>85.108000000000004</v>
          </cell>
          <cell r="M194">
            <v>85.722999999999999</v>
          </cell>
          <cell r="N194">
            <v>85.722999999999999</v>
          </cell>
          <cell r="O194">
            <v>99.475999999999999</v>
          </cell>
          <cell r="P194">
            <v>95.373999999999995</v>
          </cell>
          <cell r="Q194">
            <v>76.510999999999996</v>
          </cell>
          <cell r="R194">
            <v>77.180000000000007</v>
          </cell>
          <cell r="S194">
            <v>77.180000000000007</v>
          </cell>
          <cell r="T194">
            <v>113.901</v>
          </cell>
          <cell r="U194">
            <v>92.53</v>
          </cell>
          <cell r="V194">
            <v>114.527</v>
          </cell>
          <cell r="W194">
            <v>147.66200000000001</v>
          </cell>
          <cell r="X194">
            <v>147.66200000000001</v>
          </cell>
          <cell r="Y194">
            <v>185.714</v>
          </cell>
          <cell r="Z194">
            <v>177.18899999999999</v>
          </cell>
          <cell r="AA194">
            <v>166.94800000000001</v>
          </cell>
          <cell r="AB194">
            <v>180.566</v>
          </cell>
          <cell r="AC194">
            <v>180.566</v>
          </cell>
          <cell r="AD194">
            <v>172.18100000000001</v>
          </cell>
          <cell r="AE194">
            <v>136.07400000000001</v>
          </cell>
          <cell r="AF194">
            <v>124.309</v>
          </cell>
          <cell r="AG194">
            <v>153.55699999999999</v>
          </cell>
          <cell r="AH194">
            <v>153.55699999999999</v>
          </cell>
          <cell r="AI194">
            <v>166.91499999999999</v>
          </cell>
          <cell r="AJ194">
            <v>160.101</v>
          </cell>
          <cell r="AK194">
            <v>179.92</v>
          </cell>
          <cell r="AL194">
            <v>169.49</v>
          </cell>
          <cell r="AM194">
            <v>169.49</v>
          </cell>
          <cell r="AN194">
            <v>166.91499999999999</v>
          </cell>
          <cell r="AO194">
            <v>160.101</v>
          </cell>
          <cell r="AP194">
            <v>179.92</v>
          </cell>
          <cell r="AQ194">
            <v>169.49</v>
          </cell>
          <cell r="AR194">
            <v>169.49</v>
          </cell>
          <cell r="AS194">
            <v>191.905</v>
          </cell>
          <cell r="AT194">
            <v>213.43199999999999</v>
          </cell>
          <cell r="AU194">
            <v>191.80600000000001</v>
          </cell>
          <cell r="AV194">
            <v>178.71700000000001</v>
          </cell>
          <cell r="AW194">
            <v>178.71700000000001</v>
          </cell>
          <cell r="AX194">
            <v>184.827</v>
          </cell>
          <cell r="AY194">
            <v>214.48699999999999</v>
          </cell>
          <cell r="AZ194">
            <v>208.239</v>
          </cell>
          <cell r="BA194">
            <v>208.239</v>
          </cell>
          <cell r="BB194">
            <v>208.239</v>
          </cell>
          <cell r="BC194">
            <v>260.16800000000001</v>
          </cell>
          <cell r="BD194">
            <v>247.49700000000001</v>
          </cell>
          <cell r="BE194">
            <v>235.803</v>
          </cell>
          <cell r="BF194">
            <v>221.50399999999999</v>
          </cell>
          <cell r="BG194">
            <v>221.50399999999999</v>
          </cell>
          <cell r="BH194">
            <v>262.28899999999999</v>
          </cell>
          <cell r="BI194">
            <v>273.13358952449948</v>
          </cell>
          <cell r="BJ194">
            <v>262.21041268760314</v>
          </cell>
          <cell r="BK194">
            <v>246.3290493751015</v>
          </cell>
          <cell r="BL194">
            <v>246.3290493751015</v>
          </cell>
          <cell r="BM194">
            <v>274.68104474229176</v>
          </cell>
          <cell r="BN194">
            <v>301.92358575438578</v>
          </cell>
          <cell r="BO194">
            <v>332.27266782834238</v>
          </cell>
          <cell r="BR194" t="str">
            <v xml:space="preserve"> Accounts receivables, net</v>
          </cell>
          <cell r="BS194">
            <v>62.337000000000003</v>
          </cell>
          <cell r="BT194">
            <v>77.748000000000005</v>
          </cell>
          <cell r="BU194">
            <v>85.722999999999999</v>
          </cell>
          <cell r="BV194">
            <v>77.180000000000007</v>
          </cell>
          <cell r="BW194">
            <v>147.66200000000001</v>
          </cell>
          <cell r="BX194">
            <v>180.566</v>
          </cell>
          <cell r="BY194">
            <v>153.55699999999999</v>
          </cell>
          <cell r="BZ194">
            <v>169.49</v>
          </cell>
          <cell r="CA194">
            <v>178.71700000000001</v>
          </cell>
          <cell r="CB194">
            <v>208.239</v>
          </cell>
          <cell r="CC194">
            <v>221.50399999999999</v>
          </cell>
          <cell r="CD194">
            <v>246.3290493751015</v>
          </cell>
          <cell r="CE194">
            <v>274.68104474229176</v>
          </cell>
          <cell r="CF194">
            <v>301.92358575438578</v>
          </cell>
          <cell r="CG194">
            <v>332.27266782834238</v>
          </cell>
          <cell r="CI194" t="str">
            <v>mstag:tradeReceivablesCurrent</v>
          </cell>
          <cell r="CJ194">
            <v>6</v>
          </cell>
          <cell r="CK194" t="str">
            <v>ISO4217:USD</v>
          </cell>
          <cell r="CL194" t="b">
            <v>0</v>
          </cell>
          <cell r="CO194">
            <v>34.343000000000004</v>
          </cell>
        </row>
        <row r="195">
          <cell r="A195" t="str">
            <v xml:space="preserve">  Due from related parties</v>
          </cell>
          <cell r="C195">
            <v>37.838000000000001</v>
          </cell>
          <cell r="D195">
            <v>37.838000000000001</v>
          </cell>
          <cell r="E195" t="str">
            <v>ND</v>
          </cell>
          <cell r="F195" t="str">
            <v>ND</v>
          </cell>
          <cell r="G195">
            <v>4.3550000000000004</v>
          </cell>
          <cell r="H195">
            <v>2.6269999999999998</v>
          </cell>
          <cell r="I195">
            <v>2.6269999999999998</v>
          </cell>
          <cell r="J195">
            <v>5.5949999999999998</v>
          </cell>
          <cell r="K195">
            <v>1.9650000000000001</v>
          </cell>
          <cell r="L195">
            <v>5.694</v>
          </cell>
          <cell r="M195">
            <v>1.7649999999999999</v>
          </cell>
          <cell r="N195">
            <v>1.7649999999999999</v>
          </cell>
          <cell r="O195">
            <v>4.3849999999999998</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R195" t="str">
            <v xml:space="preserve">  Due from related parties</v>
          </cell>
          <cell r="BS195">
            <v>37.838000000000001</v>
          </cell>
          <cell r="BT195">
            <v>2.6269999999999998</v>
          </cell>
          <cell r="BU195">
            <v>1.7649999999999999</v>
          </cell>
          <cell r="BV195">
            <v>0</v>
          </cell>
          <cell r="BW195">
            <v>0</v>
          </cell>
          <cell r="BX195">
            <v>0</v>
          </cell>
          <cell r="BY195">
            <v>0</v>
          </cell>
          <cell r="BZ195">
            <v>0</v>
          </cell>
          <cell r="CA195">
            <v>0</v>
          </cell>
          <cell r="CB195">
            <v>0</v>
          </cell>
          <cell r="CC195">
            <v>0</v>
          </cell>
          <cell r="CD195">
            <v>0</v>
          </cell>
          <cell r="CE195">
            <v>0</v>
          </cell>
          <cell r="CF195">
            <v>0</v>
          </cell>
          <cell r="CG195">
            <v>0</v>
          </cell>
          <cell r="CI195" t="str">
            <v>mstag:otherReceivablesCurrent</v>
          </cell>
          <cell r="CJ195">
            <v>6</v>
          </cell>
          <cell r="CK195" t="str">
            <v>ISO4217:USD</v>
          </cell>
          <cell r="CL195" t="b">
            <v>0</v>
          </cell>
        </row>
        <row r="196">
          <cell r="A196" t="str">
            <v xml:space="preserve">  Deferred taxes</v>
          </cell>
          <cell r="C196">
            <v>3.8860000000000001</v>
          </cell>
          <cell r="D196">
            <v>3.8860000000000001</v>
          </cell>
          <cell r="E196" t="str">
            <v>ND</v>
          </cell>
          <cell r="F196" t="str">
            <v>ND</v>
          </cell>
          <cell r="G196">
            <v>4.1559999999999997</v>
          </cell>
          <cell r="H196">
            <v>17.425000000000001</v>
          </cell>
          <cell r="I196">
            <v>17.425000000000001</v>
          </cell>
          <cell r="J196">
            <v>17.831</v>
          </cell>
          <cell r="K196">
            <v>22.239000000000001</v>
          </cell>
          <cell r="L196">
            <v>19.971</v>
          </cell>
          <cell r="M196">
            <v>18.59</v>
          </cell>
          <cell r="N196">
            <v>18.59</v>
          </cell>
          <cell r="O196">
            <v>20.803000000000001</v>
          </cell>
          <cell r="P196">
            <v>26.869</v>
          </cell>
          <cell r="Q196">
            <v>28.425000000000001</v>
          </cell>
          <cell r="R196">
            <v>24.577000000000002</v>
          </cell>
          <cell r="S196">
            <v>24.577000000000002</v>
          </cell>
          <cell r="T196">
            <v>23.876999999999999</v>
          </cell>
          <cell r="U196">
            <v>23.334</v>
          </cell>
          <cell r="V196">
            <v>29.542999999999999</v>
          </cell>
          <cell r="W196">
            <v>47.811</v>
          </cell>
          <cell r="X196">
            <v>47.811</v>
          </cell>
          <cell r="Y196">
            <v>37.509</v>
          </cell>
          <cell r="Z196">
            <v>40.136000000000003</v>
          </cell>
          <cell r="AA196">
            <v>55.012</v>
          </cell>
          <cell r="AB196">
            <v>40.951999999999998</v>
          </cell>
          <cell r="AC196">
            <v>40.951999999999998</v>
          </cell>
          <cell r="AD196">
            <v>40.039000000000001</v>
          </cell>
          <cell r="AE196">
            <v>47.612000000000002</v>
          </cell>
          <cell r="AF196">
            <v>49.359000000000002</v>
          </cell>
          <cell r="AG196">
            <v>49.552</v>
          </cell>
          <cell r="AH196">
            <v>49.552</v>
          </cell>
          <cell r="AI196">
            <v>53.743000000000002</v>
          </cell>
          <cell r="AJ196">
            <v>53.345999999999997</v>
          </cell>
          <cell r="AK196">
            <v>50.386000000000003</v>
          </cell>
          <cell r="AL196">
            <v>52.887999999999998</v>
          </cell>
          <cell r="AM196">
            <v>52.887999999999998</v>
          </cell>
          <cell r="AN196">
            <v>53.743000000000002</v>
          </cell>
          <cell r="AO196">
            <v>53.345999999999997</v>
          </cell>
          <cell r="AP196">
            <v>50.386000000000003</v>
          </cell>
          <cell r="AQ196">
            <v>52.887999999999998</v>
          </cell>
          <cell r="AR196">
            <v>52.887999999999998</v>
          </cell>
          <cell r="AS196">
            <v>75.930999999999997</v>
          </cell>
          <cell r="AT196">
            <v>46.023000000000003</v>
          </cell>
          <cell r="AU196">
            <v>52.124000000000002</v>
          </cell>
          <cell r="AV196">
            <v>22.209</v>
          </cell>
          <cell r="AW196">
            <v>22.209</v>
          </cell>
          <cell r="AX196">
            <v>17.792000000000002</v>
          </cell>
          <cell r="AY196">
            <v>16.72</v>
          </cell>
          <cell r="AZ196">
            <v>14.098000000000001</v>
          </cell>
          <cell r="BA196">
            <v>0</v>
          </cell>
          <cell r="BB196">
            <v>0</v>
          </cell>
          <cell r="BC196">
            <v>0</v>
          </cell>
          <cell r="BD196">
            <v>0</v>
          </cell>
          <cell r="BE196">
            <v>0</v>
          </cell>
          <cell r="BF196">
            <v>0</v>
          </cell>
          <cell r="BG196">
            <v>0</v>
          </cell>
          <cell r="BH196">
            <v>0</v>
          </cell>
          <cell r="BI196">
            <v>0</v>
          </cell>
          <cell r="BJ196">
            <v>0</v>
          </cell>
          <cell r="BK196">
            <v>0</v>
          </cell>
          <cell r="BL196">
            <v>0</v>
          </cell>
          <cell r="BM196">
            <v>0</v>
          </cell>
          <cell r="BN196">
            <v>0</v>
          </cell>
          <cell r="BO196">
            <v>0</v>
          </cell>
          <cell r="BR196" t="str">
            <v xml:space="preserve">  Deferred taxes</v>
          </cell>
          <cell r="BS196">
            <v>3.8860000000000001</v>
          </cell>
          <cell r="BT196">
            <v>17.425000000000001</v>
          </cell>
          <cell r="BU196">
            <v>18.59</v>
          </cell>
          <cell r="BV196">
            <v>24.577000000000002</v>
          </cell>
          <cell r="BW196">
            <v>47.811</v>
          </cell>
          <cell r="BX196">
            <v>40.951999999999998</v>
          </cell>
          <cell r="BY196">
            <v>49.552</v>
          </cell>
          <cell r="BZ196">
            <v>52.887999999999998</v>
          </cell>
          <cell r="CA196">
            <v>22.209</v>
          </cell>
          <cell r="CB196">
            <v>0</v>
          </cell>
          <cell r="CC196">
            <v>0</v>
          </cell>
          <cell r="CD196">
            <v>0</v>
          </cell>
          <cell r="CE196">
            <v>0</v>
          </cell>
          <cell r="CF196">
            <v>0</v>
          </cell>
          <cell r="CG196">
            <v>0</v>
          </cell>
          <cell r="CI196" t="str">
            <v>mstag:deferredTaxAssetsCurrent</v>
          </cell>
          <cell r="CJ196">
            <v>6</v>
          </cell>
          <cell r="CK196" t="str">
            <v>ISO4217:USD</v>
          </cell>
          <cell r="CL196" t="b">
            <v>0</v>
          </cell>
          <cell r="CO196">
            <v>0.83399999999999996</v>
          </cell>
        </row>
        <row r="197">
          <cell r="A197" t="str">
            <v xml:space="preserve">  Prepaid Expenses &amp; Other</v>
          </cell>
          <cell r="C197">
            <v>3.552</v>
          </cell>
          <cell r="D197">
            <v>3.552</v>
          </cell>
          <cell r="E197" t="str">
            <v>ND</v>
          </cell>
          <cell r="F197" t="str">
            <v>ND</v>
          </cell>
          <cell r="G197">
            <v>3.7080000000000002</v>
          </cell>
          <cell r="H197">
            <v>12.16</v>
          </cell>
          <cell r="I197">
            <v>12.16</v>
          </cell>
          <cell r="J197">
            <v>12.353</v>
          </cell>
          <cell r="K197">
            <v>16.613</v>
          </cell>
          <cell r="L197">
            <v>9.4589999999999996</v>
          </cell>
          <cell r="M197">
            <v>18.100000000000001</v>
          </cell>
          <cell r="N197">
            <v>18.100000000000001</v>
          </cell>
          <cell r="O197">
            <v>11.205</v>
          </cell>
          <cell r="P197">
            <v>12.973000000000001</v>
          </cell>
          <cell r="Q197">
            <v>13.202999999999999</v>
          </cell>
          <cell r="R197">
            <v>29.399000000000001</v>
          </cell>
          <cell r="S197">
            <v>29.399000000000001</v>
          </cell>
          <cell r="T197">
            <v>21.576000000000001</v>
          </cell>
          <cell r="U197">
            <v>32.975000000000001</v>
          </cell>
          <cell r="V197">
            <v>61.329000000000008</v>
          </cell>
          <cell r="W197">
            <v>40.344000000000001</v>
          </cell>
          <cell r="X197">
            <v>40.344000000000001</v>
          </cell>
          <cell r="Y197">
            <v>47.942</v>
          </cell>
          <cell r="Z197">
            <v>56.932999999999993</v>
          </cell>
          <cell r="AA197">
            <v>46.147000000000006</v>
          </cell>
          <cell r="AB197">
            <v>63.724000000000004</v>
          </cell>
          <cell r="AC197">
            <v>63.724000000000004</v>
          </cell>
          <cell r="AD197">
            <v>40.733000000000004</v>
          </cell>
          <cell r="AE197">
            <v>61.647999999999996</v>
          </cell>
          <cell r="AF197">
            <v>62.769999999999996</v>
          </cell>
          <cell r="AG197">
            <v>57.518999999999998</v>
          </cell>
          <cell r="AH197">
            <v>57.518999999999998</v>
          </cell>
          <cell r="AI197">
            <v>39.646000000000001</v>
          </cell>
          <cell r="AJ197">
            <v>69.367999999999995</v>
          </cell>
          <cell r="AK197">
            <v>76.039000000000001</v>
          </cell>
          <cell r="AL197">
            <v>56.222999999999999</v>
          </cell>
          <cell r="AM197">
            <v>56.222999999999999</v>
          </cell>
          <cell r="AN197">
            <v>39.646000000000001</v>
          </cell>
          <cell r="AO197">
            <v>69.367999999999995</v>
          </cell>
          <cell r="AP197">
            <v>76.039000000000001</v>
          </cell>
          <cell r="AQ197">
            <v>43.457999999999998</v>
          </cell>
          <cell r="AR197">
            <v>43.457999999999998</v>
          </cell>
          <cell r="AS197">
            <v>460.57400000000001</v>
          </cell>
          <cell r="AT197">
            <v>64.198999999999998</v>
          </cell>
          <cell r="AU197">
            <v>66.466000000000008</v>
          </cell>
          <cell r="AV197">
            <v>60.906999999999996</v>
          </cell>
          <cell r="AW197">
            <v>60.906999999999996</v>
          </cell>
          <cell r="AX197">
            <v>48.262</v>
          </cell>
          <cell r="AY197">
            <v>90.548000000000002</v>
          </cell>
          <cell r="AZ197">
            <v>70.531999999999996</v>
          </cell>
          <cell r="BA197">
            <v>77.325999999999993</v>
          </cell>
          <cell r="BB197">
            <v>77.325999999999993</v>
          </cell>
          <cell r="BC197">
            <v>58.629000000000005</v>
          </cell>
          <cell r="BD197">
            <v>84.945999999999998</v>
          </cell>
          <cell r="BE197">
            <v>52.498000000000005</v>
          </cell>
          <cell r="BF197">
            <v>42.332000000000001</v>
          </cell>
          <cell r="BG197">
            <v>42.332000000000001</v>
          </cell>
          <cell r="BH197">
            <v>29.39</v>
          </cell>
          <cell r="BI197">
            <v>91.361203044765887</v>
          </cell>
          <cell r="BJ197">
            <v>56.832390149528912</v>
          </cell>
          <cell r="BK197">
            <v>45.732900460972623</v>
          </cell>
          <cell r="BL197">
            <v>45.732900460972623</v>
          </cell>
          <cell r="BM197">
            <v>48.939828633471301</v>
          </cell>
          <cell r="BN197">
            <v>52.385064385602121</v>
          </cell>
          <cell r="BO197">
            <v>56.179725611714474</v>
          </cell>
          <cell r="BR197" t="str">
            <v xml:space="preserve">  Prepaid Expenses &amp; Other</v>
          </cell>
          <cell r="BS197">
            <v>3.552</v>
          </cell>
          <cell r="BT197">
            <v>12.16</v>
          </cell>
          <cell r="BU197">
            <v>18.100000000000001</v>
          </cell>
          <cell r="BV197">
            <v>29.399000000000001</v>
          </cell>
          <cell r="BW197">
            <v>40.344000000000001</v>
          </cell>
          <cell r="BX197">
            <v>63.724000000000004</v>
          </cell>
          <cell r="BY197">
            <v>57.518999999999998</v>
          </cell>
          <cell r="BZ197">
            <v>43.457999999999998</v>
          </cell>
          <cell r="CA197">
            <v>60.906999999999996</v>
          </cell>
          <cell r="CB197">
            <v>77.325999999999993</v>
          </cell>
          <cell r="CC197">
            <v>42.332000000000001</v>
          </cell>
          <cell r="CD197">
            <v>45.732900460972623</v>
          </cell>
          <cell r="CE197">
            <v>48.939828633471301</v>
          </cell>
          <cell r="CF197">
            <v>52.385064385602121</v>
          </cell>
          <cell r="CG197">
            <v>56.179725611714474</v>
          </cell>
          <cell r="CI197" t="str">
            <v>mstag:prepaidExpensesCurrent</v>
          </cell>
          <cell r="CJ197">
            <v>6</v>
          </cell>
          <cell r="CK197" t="str">
            <v>ISO4217:USD</v>
          </cell>
          <cell r="CL197" t="b">
            <v>0</v>
          </cell>
          <cell r="CO197">
            <v>33.358000000000004</v>
          </cell>
        </row>
        <row r="199">
          <cell r="A199" t="str">
            <v xml:space="preserve">Total Current Assets </v>
          </cell>
          <cell r="C199">
            <v>462.20600000000007</v>
          </cell>
          <cell r="D199">
            <v>462.20600000000007</v>
          </cell>
          <cell r="E199" t="str">
            <v>ND</v>
          </cell>
          <cell r="F199" t="str">
            <v>ND</v>
          </cell>
          <cell r="G199">
            <v>164.2349999999999</v>
          </cell>
          <cell r="H199">
            <v>281.40300000000002</v>
          </cell>
          <cell r="I199">
            <v>281.40300000000002</v>
          </cell>
          <cell r="J199">
            <v>345.63800000000003</v>
          </cell>
          <cell r="K199">
            <v>382.62999999999994</v>
          </cell>
          <cell r="L199">
            <v>366.68400000000003</v>
          </cell>
          <cell r="M199">
            <v>392.255</v>
          </cell>
          <cell r="N199">
            <v>392.255</v>
          </cell>
          <cell r="O199">
            <v>412.74999999999994</v>
          </cell>
          <cell r="P199">
            <v>452.863</v>
          </cell>
          <cell r="Q199">
            <v>479.90100000000001</v>
          </cell>
          <cell r="R199">
            <v>602.48400000000004</v>
          </cell>
          <cell r="S199">
            <v>602.48400000000004</v>
          </cell>
          <cell r="T199">
            <v>601.84799999999996</v>
          </cell>
          <cell r="U199">
            <v>362.38600000000002</v>
          </cell>
          <cell r="V199">
            <v>445.72700000000015</v>
          </cell>
          <cell r="W199">
            <v>536.28300000000024</v>
          </cell>
          <cell r="X199">
            <v>536.28300000000024</v>
          </cell>
          <cell r="Y199">
            <v>448.96600000000041</v>
          </cell>
          <cell r="Z199">
            <v>561.32000000000016</v>
          </cell>
          <cell r="AA199">
            <v>632.43900000000042</v>
          </cell>
          <cell r="AB199">
            <v>677.94300000000055</v>
          </cell>
          <cell r="AC199">
            <v>677.94300000000055</v>
          </cell>
          <cell r="AD199">
            <v>713.13200000000074</v>
          </cell>
          <cell r="AE199">
            <v>605.10100000000045</v>
          </cell>
          <cell r="AF199">
            <v>670.78100000000052</v>
          </cell>
          <cell r="AG199">
            <v>514.83500000000049</v>
          </cell>
          <cell r="AH199">
            <v>514.83500000000049</v>
          </cell>
          <cell r="AI199">
            <v>523.33300000000042</v>
          </cell>
          <cell r="AJ199">
            <v>617.51600000000053</v>
          </cell>
          <cell r="AK199">
            <v>590.09500000000037</v>
          </cell>
          <cell r="AL199">
            <v>637.03500000000042</v>
          </cell>
          <cell r="AM199">
            <v>637.03500000000042</v>
          </cell>
          <cell r="AN199">
            <v>523.33300000000042</v>
          </cell>
          <cell r="AO199">
            <v>617.51600000000053</v>
          </cell>
          <cell r="AP199">
            <v>590.09500000000037</v>
          </cell>
          <cell r="AQ199">
            <v>624.27000000000044</v>
          </cell>
          <cell r="AR199">
            <v>624.27000000000044</v>
          </cell>
          <cell r="AS199">
            <v>988.87200000000053</v>
          </cell>
          <cell r="AT199">
            <v>1006.9810000000004</v>
          </cell>
          <cell r="AU199">
            <v>758.57300000000055</v>
          </cell>
          <cell r="AV199">
            <v>770.66400000000044</v>
          </cell>
          <cell r="AW199">
            <v>770.66400000000044</v>
          </cell>
          <cell r="AX199">
            <v>788.67500000000041</v>
          </cell>
          <cell r="AY199">
            <v>776.79900000000032</v>
          </cell>
          <cell r="AZ199">
            <v>1286.3310000000001</v>
          </cell>
          <cell r="BA199">
            <v>1063.3000000000002</v>
          </cell>
          <cell r="BB199">
            <v>1063.3000000000002</v>
          </cell>
          <cell r="BC199">
            <v>763.84000000000026</v>
          </cell>
          <cell r="BD199">
            <v>737.01900000000035</v>
          </cell>
          <cell r="BE199">
            <v>1262.3850000000004</v>
          </cell>
          <cell r="BF199">
            <v>1055.6320000000005</v>
          </cell>
          <cell r="BG199">
            <v>1055.6320000000005</v>
          </cell>
          <cell r="BH199">
            <v>988.61300000000017</v>
          </cell>
          <cell r="BI199">
            <v>1003.0906264166838</v>
          </cell>
          <cell r="BJ199">
            <v>982.47007984596553</v>
          </cell>
          <cell r="BK199">
            <v>970.97376533411511</v>
          </cell>
          <cell r="BL199">
            <v>970.97376533411511</v>
          </cell>
          <cell r="BM199">
            <v>1005.9426869743293</v>
          </cell>
          <cell r="BN199">
            <v>1070.7258476666511</v>
          </cell>
          <cell r="BO199">
            <v>1171.9259319689743</v>
          </cell>
          <cell r="BR199" t="str">
            <v xml:space="preserve">Total Current Assets </v>
          </cell>
          <cell r="BS199">
            <v>462.20600000000007</v>
          </cell>
          <cell r="BT199">
            <v>281.40300000000002</v>
          </cell>
          <cell r="BU199">
            <v>392.255</v>
          </cell>
          <cell r="BV199">
            <v>602.48400000000004</v>
          </cell>
          <cell r="BW199">
            <v>536.28300000000024</v>
          </cell>
          <cell r="BX199">
            <v>677.94300000000055</v>
          </cell>
          <cell r="BY199">
            <v>514.83500000000049</v>
          </cell>
          <cell r="BZ199">
            <v>624.27000000000044</v>
          </cell>
          <cell r="CA199">
            <v>770.66400000000044</v>
          </cell>
          <cell r="CB199">
            <v>1063.3000000000002</v>
          </cell>
          <cell r="CC199">
            <v>1055.6320000000005</v>
          </cell>
          <cell r="CD199">
            <v>970.97376533411511</v>
          </cell>
          <cell r="CE199">
            <v>1005.9426869743293</v>
          </cell>
          <cell r="CF199">
            <v>1070.7258476666511</v>
          </cell>
          <cell r="CG199">
            <v>1171.9259319689743</v>
          </cell>
        </row>
        <row r="201">
          <cell r="A201" t="str">
            <v xml:space="preserve">  Property &amp; Equip. - Net</v>
          </cell>
          <cell r="C201">
            <v>5.1859999999999999</v>
          </cell>
          <cell r="D201">
            <v>5.1859999999999999</v>
          </cell>
          <cell r="E201" t="str">
            <v>ND</v>
          </cell>
          <cell r="F201" t="str">
            <v>ND</v>
          </cell>
          <cell r="G201">
            <v>4.452</v>
          </cell>
          <cell r="H201">
            <v>4.2460000000000004</v>
          </cell>
          <cell r="I201">
            <v>4.2460000000000004</v>
          </cell>
          <cell r="J201">
            <v>4.7229999999999999</v>
          </cell>
          <cell r="K201">
            <v>15.367000000000001</v>
          </cell>
          <cell r="L201">
            <v>21.977</v>
          </cell>
          <cell r="M201">
            <v>28.446999999999999</v>
          </cell>
          <cell r="N201">
            <v>28.446999999999999</v>
          </cell>
          <cell r="O201">
            <v>29.765999999999998</v>
          </cell>
          <cell r="P201">
            <v>29.853000000000002</v>
          </cell>
          <cell r="Q201">
            <v>27.9</v>
          </cell>
          <cell r="R201">
            <v>29.381</v>
          </cell>
          <cell r="S201">
            <v>29.381</v>
          </cell>
          <cell r="T201">
            <v>27.256</v>
          </cell>
          <cell r="U201">
            <v>25.387</v>
          </cell>
          <cell r="V201">
            <v>35.612000000000002</v>
          </cell>
          <cell r="W201">
            <v>34.368000000000002</v>
          </cell>
          <cell r="X201">
            <v>34.368000000000002</v>
          </cell>
          <cell r="Y201">
            <v>33.064999999999998</v>
          </cell>
          <cell r="Z201">
            <v>36.075000000000003</v>
          </cell>
          <cell r="AA201">
            <v>36.911000000000001</v>
          </cell>
          <cell r="AB201">
            <v>37.622999999999998</v>
          </cell>
          <cell r="AC201">
            <v>37.622999999999998</v>
          </cell>
          <cell r="AD201">
            <v>39.71</v>
          </cell>
          <cell r="AE201">
            <v>54.792999999999999</v>
          </cell>
          <cell r="AF201">
            <v>64.012</v>
          </cell>
          <cell r="AG201">
            <v>67.418999999999997</v>
          </cell>
          <cell r="AH201">
            <v>67.418999999999997</v>
          </cell>
          <cell r="AI201">
            <v>64.608000000000004</v>
          </cell>
          <cell r="AJ201">
            <v>65.981999999999999</v>
          </cell>
          <cell r="AK201">
            <v>73.808999999999997</v>
          </cell>
          <cell r="AL201">
            <v>85.587999999999994</v>
          </cell>
          <cell r="AM201">
            <v>85.587999999999994</v>
          </cell>
          <cell r="AN201">
            <v>64.608000000000004</v>
          </cell>
          <cell r="AO201">
            <v>65.981999999999999</v>
          </cell>
          <cell r="AP201">
            <v>73.808999999999997</v>
          </cell>
          <cell r="AQ201">
            <v>85.587999999999994</v>
          </cell>
          <cell r="AR201">
            <v>85.587999999999994</v>
          </cell>
          <cell r="AS201">
            <v>79.757999999999996</v>
          </cell>
          <cell r="AT201">
            <v>94.802999999999997</v>
          </cell>
          <cell r="AU201">
            <v>93.787000000000006</v>
          </cell>
          <cell r="AV201">
            <v>94.073999999999998</v>
          </cell>
          <cell r="AW201">
            <v>94.073999999999998</v>
          </cell>
          <cell r="AX201">
            <v>97.498000000000005</v>
          </cell>
          <cell r="AY201">
            <v>93.293000000000006</v>
          </cell>
          <cell r="AZ201">
            <v>94.963999999999999</v>
          </cell>
          <cell r="BA201">
            <v>98.926000000000002</v>
          </cell>
          <cell r="BB201">
            <v>98.926000000000002</v>
          </cell>
          <cell r="BC201">
            <v>96.007000000000005</v>
          </cell>
          <cell r="BD201">
            <v>97.808000000000007</v>
          </cell>
          <cell r="BE201">
            <v>99.259</v>
          </cell>
          <cell r="BF201">
            <v>95.584999999999994</v>
          </cell>
          <cell r="BG201">
            <v>95.584999999999994</v>
          </cell>
          <cell r="BH201">
            <v>93.156000000000006</v>
          </cell>
          <cell r="BI201">
            <v>95.343794612106265</v>
          </cell>
          <cell r="BJ201">
            <v>97.529522783007891</v>
          </cell>
          <cell r="BK201">
            <v>101.32555662495582</v>
          </cell>
          <cell r="BL201">
            <v>101.32555662495582</v>
          </cell>
          <cell r="BM201">
            <v>109.34722188740812</v>
          </cell>
          <cell r="BN201">
            <v>116.25146002434971</v>
          </cell>
          <cell r="BO201">
            <v>121.84699314489757</v>
          </cell>
          <cell r="BR201" t="str">
            <v xml:space="preserve">  Property &amp; Equip. - Net</v>
          </cell>
          <cell r="BS201">
            <v>5.1859999999999999</v>
          </cell>
          <cell r="BT201">
            <v>4.2460000000000004</v>
          </cell>
          <cell r="BU201">
            <v>28.446999999999999</v>
          </cell>
          <cell r="BV201">
            <v>29.381</v>
          </cell>
          <cell r="BW201">
            <v>34.368000000000002</v>
          </cell>
          <cell r="BX201">
            <v>37.622999999999998</v>
          </cell>
          <cell r="BY201">
            <v>67.418999999999997</v>
          </cell>
          <cell r="BZ201">
            <v>85.587999999999994</v>
          </cell>
          <cell r="CA201">
            <v>94.073999999999998</v>
          </cell>
          <cell r="CB201">
            <v>98.926000000000002</v>
          </cell>
          <cell r="CC201">
            <v>95.584999999999994</v>
          </cell>
          <cell r="CD201">
            <v>101.32555662495582</v>
          </cell>
          <cell r="CE201">
            <v>109.34722188740812</v>
          </cell>
          <cell r="CF201">
            <v>116.25146002434971</v>
          </cell>
          <cell r="CG201">
            <v>121.84699314489757</v>
          </cell>
          <cell r="CI201" t="str">
            <v>mstag:propertyPlantAndEquipmentNet</v>
          </cell>
          <cell r="CJ201">
            <v>6</v>
          </cell>
          <cell r="CK201" t="str">
            <v>ISO4217:USD</v>
          </cell>
          <cell r="CL201" t="b">
            <v>0</v>
          </cell>
          <cell r="CO201">
            <v>13.471</v>
          </cell>
        </row>
        <row r="202">
          <cell r="A202" t="str">
            <v xml:space="preserve">  Investment in unconsolidated companies</v>
          </cell>
          <cell r="C202">
            <v>3</v>
          </cell>
          <cell r="D202">
            <v>3</v>
          </cell>
          <cell r="E202" t="str">
            <v>ND</v>
          </cell>
          <cell r="F202" t="str">
            <v>ND</v>
          </cell>
          <cell r="G202">
            <v>3</v>
          </cell>
          <cell r="H202">
            <v>3</v>
          </cell>
          <cell r="I202">
            <v>3</v>
          </cell>
          <cell r="J202">
            <v>3</v>
          </cell>
          <cell r="K202">
            <v>3</v>
          </cell>
          <cell r="L202">
            <v>3</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cell r="BM202">
            <v>0</v>
          </cell>
          <cell r="BN202">
            <v>0</v>
          </cell>
          <cell r="BO202">
            <v>0</v>
          </cell>
          <cell r="BR202" t="str">
            <v xml:space="preserve">  Investment in unconsolidated companies</v>
          </cell>
          <cell r="BS202">
            <v>3</v>
          </cell>
          <cell r="BT202">
            <v>3</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I202" t="str">
            <v>mstag:longTermInvestmentsNonOperating</v>
          </cell>
          <cell r="CJ202">
            <v>6</v>
          </cell>
          <cell r="CK202" t="str">
            <v>ISO4217:USD</v>
          </cell>
          <cell r="CL202" t="b">
            <v>0</v>
          </cell>
        </row>
        <row r="203">
          <cell r="A203" t="str">
            <v xml:space="preserve">  Goodwill - Net</v>
          </cell>
          <cell r="C203">
            <v>441.62299999999999</v>
          </cell>
          <cell r="D203">
            <v>441.62299999999999</v>
          </cell>
          <cell r="E203" t="str">
            <v>ND</v>
          </cell>
          <cell r="F203" t="str">
            <v>ND</v>
          </cell>
          <cell r="G203">
            <v>441.62299999999999</v>
          </cell>
          <cell r="H203">
            <v>441.62299999999999</v>
          </cell>
          <cell r="I203">
            <v>441.62299999999999</v>
          </cell>
          <cell r="J203">
            <v>441.62299999999999</v>
          </cell>
          <cell r="K203">
            <v>441.62299999999999</v>
          </cell>
          <cell r="L203">
            <v>441.62299999999999</v>
          </cell>
          <cell r="M203">
            <v>441.62299999999999</v>
          </cell>
          <cell r="N203">
            <v>441.62299999999999</v>
          </cell>
          <cell r="O203">
            <v>441.62299999999999</v>
          </cell>
          <cell r="P203">
            <v>441.62299999999999</v>
          </cell>
          <cell r="Q203">
            <v>441.62299999999999</v>
          </cell>
          <cell r="R203">
            <v>441.62299999999999</v>
          </cell>
          <cell r="S203">
            <v>441.62299999999999</v>
          </cell>
          <cell r="T203">
            <v>441.62299999999999</v>
          </cell>
          <cell r="U203">
            <v>441.62299999999999</v>
          </cell>
          <cell r="V203">
            <v>1703.4860000000001</v>
          </cell>
          <cell r="W203">
            <v>1706.671</v>
          </cell>
          <cell r="X203">
            <v>1706.671</v>
          </cell>
          <cell r="Y203">
            <v>1706.671</v>
          </cell>
          <cell r="Z203">
            <v>1708.585</v>
          </cell>
          <cell r="AA203">
            <v>1708.585</v>
          </cell>
          <cell r="AB203">
            <v>1708.585</v>
          </cell>
          <cell r="AC203">
            <v>1708.585</v>
          </cell>
          <cell r="AD203">
            <v>1708.585</v>
          </cell>
          <cell r="AE203">
            <v>1708.585</v>
          </cell>
          <cell r="AF203">
            <v>1708.585</v>
          </cell>
          <cell r="AG203">
            <v>1783.41</v>
          </cell>
          <cell r="AH203">
            <v>1783.41</v>
          </cell>
          <cell r="AI203">
            <v>1799.453</v>
          </cell>
          <cell r="AJ203">
            <v>1792.31</v>
          </cell>
          <cell r="AK203">
            <v>1797.223</v>
          </cell>
          <cell r="AL203">
            <v>1798.8209999999999</v>
          </cell>
          <cell r="AM203">
            <v>1798.8209999999999</v>
          </cell>
          <cell r="AN203">
            <v>1799.453</v>
          </cell>
          <cell r="AO203">
            <v>1792.31</v>
          </cell>
          <cell r="AP203">
            <v>1797.223</v>
          </cell>
          <cell r="AQ203">
            <v>1813.164</v>
          </cell>
          <cell r="AR203">
            <v>1813.164</v>
          </cell>
          <cell r="AS203">
            <v>1547.173</v>
          </cell>
          <cell r="AT203">
            <v>1561.12</v>
          </cell>
          <cell r="AU203">
            <v>1567.443</v>
          </cell>
          <cell r="AV203">
            <v>1564.904</v>
          </cell>
          <cell r="AW203">
            <v>1564.904</v>
          </cell>
          <cell r="AX203">
            <v>1561.8520000000001</v>
          </cell>
          <cell r="AY203">
            <v>1565.453</v>
          </cell>
          <cell r="AZ203">
            <v>1563.087</v>
          </cell>
          <cell r="BA203">
            <v>1565.6210000000001</v>
          </cell>
          <cell r="BB203">
            <v>1565.6210000000001</v>
          </cell>
          <cell r="BC203">
            <v>1564.1859999999999</v>
          </cell>
          <cell r="BD203">
            <v>1560.0830000000001</v>
          </cell>
          <cell r="BE203">
            <v>1558.431</v>
          </cell>
          <cell r="BF203">
            <v>1555.85</v>
          </cell>
          <cell r="BG203">
            <v>1555.85</v>
          </cell>
          <cell r="BH203">
            <v>1556.453</v>
          </cell>
          <cell r="BI203">
            <v>1556.453</v>
          </cell>
          <cell r="BJ203">
            <v>1556.453</v>
          </cell>
          <cell r="BK203">
            <v>1556.453</v>
          </cell>
          <cell r="BL203">
            <v>1556.453</v>
          </cell>
          <cell r="BM203">
            <v>1556.453</v>
          </cell>
          <cell r="BN203">
            <v>1556.453</v>
          </cell>
          <cell r="BO203">
            <v>1556.453</v>
          </cell>
          <cell r="BR203" t="str">
            <v xml:space="preserve">  Goodwill - Net</v>
          </cell>
          <cell r="BS203">
            <v>441.62299999999999</v>
          </cell>
          <cell r="BT203">
            <v>441.62299999999999</v>
          </cell>
          <cell r="BU203">
            <v>441.62299999999999</v>
          </cell>
          <cell r="BV203">
            <v>441.62299999999999</v>
          </cell>
          <cell r="BW203">
            <v>1706.671</v>
          </cell>
          <cell r="BX203">
            <v>1708.585</v>
          </cell>
          <cell r="BY203">
            <v>1783.41</v>
          </cell>
          <cell r="BZ203">
            <v>1813.164</v>
          </cell>
          <cell r="CA203">
            <v>1564.904</v>
          </cell>
          <cell r="CB203">
            <v>1565.6210000000001</v>
          </cell>
          <cell r="CC203">
            <v>1555.85</v>
          </cell>
          <cell r="CD203">
            <v>1556.453</v>
          </cell>
          <cell r="CE203">
            <v>1556.453</v>
          </cell>
          <cell r="CF203">
            <v>1556.453</v>
          </cell>
          <cell r="CG203">
            <v>1556.453</v>
          </cell>
          <cell r="CI203" t="str">
            <v>mstag:goodwill</v>
          </cell>
          <cell r="CJ203">
            <v>6</v>
          </cell>
          <cell r="CK203" t="str">
            <v>ISO4217:USD</v>
          </cell>
          <cell r="CL203" t="b">
            <v>0</v>
          </cell>
          <cell r="CO203">
            <v>1298.414</v>
          </cell>
          <cell r="CP203">
            <v>-36.550999999999874</v>
          </cell>
        </row>
        <row r="204">
          <cell r="A204" t="str">
            <v xml:space="preserve">  Intangible Assets</v>
          </cell>
          <cell r="C204">
            <v>200.76</v>
          </cell>
          <cell r="D204">
            <v>200.76</v>
          </cell>
          <cell r="E204" t="str">
            <v>ND</v>
          </cell>
          <cell r="F204" t="str">
            <v>ND</v>
          </cell>
          <cell r="G204">
            <v>181.53200000000001</v>
          </cell>
          <cell r="H204">
            <v>174.40700000000001</v>
          </cell>
          <cell r="I204">
            <v>174.40700000000001</v>
          </cell>
          <cell r="J204">
            <v>167.28200000000001</v>
          </cell>
          <cell r="K204">
            <v>160.15700000000001</v>
          </cell>
          <cell r="L204">
            <v>153.03200000000001</v>
          </cell>
          <cell r="M204">
            <v>145.90700000000001</v>
          </cell>
          <cell r="N204">
            <v>145.90700000000001</v>
          </cell>
          <cell r="O204">
            <v>139.477</v>
          </cell>
          <cell r="P204">
            <v>132.887</v>
          </cell>
          <cell r="Q204">
            <v>126.458</v>
          </cell>
          <cell r="R204">
            <v>120.18899999999999</v>
          </cell>
          <cell r="S204">
            <v>120.18899999999999</v>
          </cell>
          <cell r="T204">
            <v>115.911</v>
          </cell>
          <cell r="U204">
            <v>111.634</v>
          </cell>
          <cell r="V204">
            <v>732.93399999999997</v>
          </cell>
          <cell r="W204">
            <v>716.25</v>
          </cell>
          <cell r="X204">
            <v>716.25</v>
          </cell>
          <cell r="Y204">
            <v>693.99400000000003</v>
          </cell>
          <cell r="Z204">
            <v>677.57100000000003</v>
          </cell>
          <cell r="AA204">
            <v>661.149</v>
          </cell>
          <cell r="AB204">
            <v>644.88099999999997</v>
          </cell>
          <cell r="AC204">
            <v>644.88099999999997</v>
          </cell>
          <cell r="AD204">
            <v>628.92200000000003</v>
          </cell>
          <cell r="AE204">
            <v>612.96299999999997</v>
          </cell>
          <cell r="AF204">
            <v>597.00400000000002</v>
          </cell>
          <cell r="AG204">
            <v>641.07399999999996</v>
          </cell>
          <cell r="AH204">
            <v>641.07399999999996</v>
          </cell>
          <cell r="AI204">
            <v>631.38499999999999</v>
          </cell>
          <cell r="AJ204">
            <v>616.82500000000005</v>
          </cell>
          <cell r="AK204">
            <v>607.76599999999996</v>
          </cell>
          <cell r="AL204">
            <v>595.70699999999999</v>
          </cell>
          <cell r="AM204">
            <v>595.70699999999999</v>
          </cell>
          <cell r="AN204">
            <v>631.38499999999999</v>
          </cell>
          <cell r="AO204">
            <v>616.82500000000005</v>
          </cell>
          <cell r="AP204">
            <v>607.76599999999996</v>
          </cell>
          <cell r="AQ204">
            <v>595.70699999999999</v>
          </cell>
          <cell r="AR204">
            <v>595.70699999999999</v>
          </cell>
          <cell r="AS204">
            <v>462.34800000000001</v>
          </cell>
          <cell r="AT204">
            <v>454.52499999999998</v>
          </cell>
          <cell r="AU204">
            <v>445.03399999999999</v>
          </cell>
          <cell r="AV204">
            <v>433.62799999999999</v>
          </cell>
          <cell r="AW204">
            <v>433.62799999999999</v>
          </cell>
          <cell r="AX204">
            <v>417.61</v>
          </cell>
          <cell r="AY204">
            <v>410.19900000000001</v>
          </cell>
          <cell r="AZ204">
            <v>399.94299999999998</v>
          </cell>
          <cell r="BA204">
            <v>391.49</v>
          </cell>
          <cell r="BB204">
            <v>391.49</v>
          </cell>
          <cell r="BC204">
            <v>380.86</v>
          </cell>
          <cell r="BD204">
            <v>368.71499999999997</v>
          </cell>
          <cell r="BE204">
            <v>358.43099999999998</v>
          </cell>
          <cell r="BF204">
            <v>347.64</v>
          </cell>
          <cell r="BG204">
            <v>347.64</v>
          </cell>
          <cell r="BH204">
            <v>339.10700000000003</v>
          </cell>
          <cell r="BI204">
            <v>328.16766666666672</v>
          </cell>
          <cell r="BJ204">
            <v>317.22833333333341</v>
          </cell>
          <cell r="BK204">
            <v>306.2890000000001</v>
          </cell>
          <cell r="BL204">
            <v>306.2890000000001</v>
          </cell>
          <cell r="BM204">
            <v>264.21500000000009</v>
          </cell>
          <cell r="BN204">
            <v>224.14100000000008</v>
          </cell>
          <cell r="BO204">
            <v>186.25200000000007</v>
          </cell>
          <cell r="BR204" t="str">
            <v xml:space="preserve">  Intangible Assets</v>
          </cell>
          <cell r="BS204">
            <v>200.76</v>
          </cell>
          <cell r="BT204">
            <v>174.40700000000001</v>
          </cell>
          <cell r="BU204">
            <v>145.90700000000001</v>
          </cell>
          <cell r="BV204">
            <v>120.18899999999999</v>
          </cell>
          <cell r="BW204">
            <v>716.25</v>
          </cell>
          <cell r="BX204">
            <v>644.88099999999997</v>
          </cell>
          <cell r="BY204">
            <v>641.07399999999996</v>
          </cell>
          <cell r="BZ204">
            <v>595.70699999999999</v>
          </cell>
          <cell r="CA204">
            <v>433.62799999999999</v>
          </cell>
          <cell r="CB204">
            <v>391.49</v>
          </cell>
          <cell r="CC204">
            <v>347.64</v>
          </cell>
          <cell r="CD204">
            <v>306.2890000000001</v>
          </cell>
          <cell r="CE204">
            <v>264.21500000000009</v>
          </cell>
          <cell r="CF204">
            <v>224.14100000000008</v>
          </cell>
          <cell r="CG204">
            <v>186.25200000000007</v>
          </cell>
          <cell r="CI204" t="str">
            <v>mstag:otherIntangibleAssets</v>
          </cell>
          <cell r="CJ204">
            <v>6</v>
          </cell>
          <cell r="CK204" t="str">
            <v>ISO4217:USD</v>
          </cell>
          <cell r="CL204" t="b">
            <v>0</v>
          </cell>
          <cell r="CO204">
            <v>633.72699999999998</v>
          </cell>
        </row>
        <row r="205">
          <cell r="A205" t="str">
            <v xml:space="preserve">  Other Assets</v>
          </cell>
          <cell r="C205">
            <v>0</v>
          </cell>
          <cell r="D205">
            <v>0</v>
          </cell>
          <cell r="E205" t="str">
            <v>ND</v>
          </cell>
          <cell r="F205" t="str">
            <v>ND</v>
          </cell>
          <cell r="G205">
            <v>0</v>
          </cell>
          <cell r="H205">
            <v>0</v>
          </cell>
          <cell r="I205">
            <v>0</v>
          </cell>
          <cell r="J205">
            <v>0</v>
          </cell>
          <cell r="K205">
            <v>0</v>
          </cell>
          <cell r="L205">
            <v>7.1429999999999998</v>
          </cell>
          <cell r="M205">
            <v>6.8159999999999998</v>
          </cell>
          <cell r="N205">
            <v>6.8159999999999998</v>
          </cell>
          <cell r="O205">
            <v>6.4420000000000002</v>
          </cell>
          <cell r="P205">
            <v>6.6349999999999998</v>
          </cell>
          <cell r="Q205">
            <v>6.6829999999999998</v>
          </cell>
          <cell r="R205">
            <v>6.5919999999999996</v>
          </cell>
          <cell r="S205">
            <v>6.5919999999999996</v>
          </cell>
          <cell r="T205">
            <v>9.2360000000000007</v>
          </cell>
          <cell r="U205">
            <v>6.9009999999999998</v>
          </cell>
          <cell r="V205">
            <v>30.696000000000002</v>
          </cell>
          <cell r="W205">
            <v>29.594000000000001</v>
          </cell>
          <cell r="X205">
            <v>29.594000000000001</v>
          </cell>
          <cell r="Y205">
            <v>27.788</v>
          </cell>
          <cell r="Z205">
            <v>26.036000000000001</v>
          </cell>
          <cell r="AA205">
            <v>25.132999999999999</v>
          </cell>
          <cell r="AB205">
            <v>23.963999999999999</v>
          </cell>
          <cell r="AC205">
            <v>23.963999999999999</v>
          </cell>
          <cell r="AD205">
            <v>22.698</v>
          </cell>
          <cell r="AE205">
            <v>13.448</v>
          </cell>
          <cell r="AF205">
            <v>12.808999999999999</v>
          </cell>
          <cell r="AG205">
            <v>12.901</v>
          </cell>
          <cell r="AH205">
            <v>12.901</v>
          </cell>
          <cell r="AI205">
            <v>13.081</v>
          </cell>
          <cell r="AJ205">
            <v>12.465</v>
          </cell>
          <cell r="AK205">
            <v>12.696</v>
          </cell>
          <cell r="AL205">
            <v>17.385999999999999</v>
          </cell>
          <cell r="AM205">
            <v>17.385999999999999</v>
          </cell>
          <cell r="AN205">
            <v>13.081</v>
          </cell>
          <cell r="AO205">
            <v>12.465</v>
          </cell>
          <cell r="AP205">
            <v>12.696</v>
          </cell>
          <cell r="AQ205">
            <v>17.385999999999999</v>
          </cell>
          <cell r="AR205">
            <v>17.385999999999999</v>
          </cell>
          <cell r="AS205">
            <v>15.679</v>
          </cell>
          <cell r="AT205">
            <v>15.894</v>
          </cell>
          <cell r="AU205">
            <v>15.426</v>
          </cell>
          <cell r="AV205">
            <v>30.937000000000001</v>
          </cell>
          <cell r="AW205">
            <v>30.937000000000001</v>
          </cell>
          <cell r="AX205">
            <v>30.934999999999999</v>
          </cell>
          <cell r="AY205">
            <v>29.907</v>
          </cell>
          <cell r="AZ205">
            <v>22.44</v>
          </cell>
          <cell r="BA205">
            <v>27.678999999999998</v>
          </cell>
          <cell r="BB205">
            <v>27.678999999999998</v>
          </cell>
          <cell r="BC205">
            <v>26.770000000000003</v>
          </cell>
          <cell r="BD205">
            <v>27.323</v>
          </cell>
          <cell r="BE205">
            <v>28.599999999999998</v>
          </cell>
          <cell r="BF205">
            <v>27.832999999999998</v>
          </cell>
          <cell r="BG205">
            <v>27.832999999999998</v>
          </cell>
          <cell r="BH205">
            <v>27.771000000000001</v>
          </cell>
          <cell r="BI205">
            <v>27.771000000000001</v>
          </cell>
          <cell r="BJ205">
            <v>27.771000000000001</v>
          </cell>
          <cell r="BK205">
            <v>27.771000000000001</v>
          </cell>
          <cell r="BL205">
            <v>27.771000000000001</v>
          </cell>
          <cell r="BM205">
            <v>27.771000000000001</v>
          </cell>
          <cell r="BN205">
            <v>27.771000000000001</v>
          </cell>
          <cell r="BO205">
            <v>27.771000000000001</v>
          </cell>
          <cell r="BR205" t="str">
            <v xml:space="preserve">  Other Assets</v>
          </cell>
          <cell r="BS205">
            <v>0</v>
          </cell>
          <cell r="BT205">
            <v>0</v>
          </cell>
          <cell r="BU205">
            <v>6.8159999999999998</v>
          </cell>
          <cell r="BV205">
            <v>6.5919999999999996</v>
          </cell>
          <cell r="BW205">
            <v>29.594000000000001</v>
          </cell>
          <cell r="BX205">
            <v>23.963999999999999</v>
          </cell>
          <cell r="BY205">
            <v>12.901</v>
          </cell>
          <cell r="BZ205">
            <v>17.385999999999999</v>
          </cell>
          <cell r="CA205">
            <v>30.937000000000001</v>
          </cell>
          <cell r="CB205">
            <v>27.678999999999998</v>
          </cell>
          <cell r="CC205">
            <v>27.832999999999998</v>
          </cell>
          <cell r="CD205">
            <v>27.771000000000001</v>
          </cell>
          <cell r="CE205">
            <v>27.771000000000001</v>
          </cell>
          <cell r="CF205">
            <v>27.771000000000001</v>
          </cell>
          <cell r="CG205">
            <v>27.771000000000001</v>
          </cell>
          <cell r="CI205" t="str">
            <v>mstag:otherAssetsOperatingNonCurrent</v>
          </cell>
          <cell r="CJ205">
            <v>6</v>
          </cell>
          <cell r="CK205" t="str">
            <v>ISO4217:USD</v>
          </cell>
          <cell r="CL205" t="b">
            <v>0</v>
          </cell>
          <cell r="CO205">
            <v>5.7690000000000001</v>
          </cell>
        </row>
        <row r="207">
          <cell r="A207" t="str">
            <v>Total Assets</v>
          </cell>
          <cell r="C207">
            <v>1112.7750000000001</v>
          </cell>
          <cell r="D207">
            <v>1112.7750000000001</v>
          </cell>
          <cell r="E207" t="str">
            <v>ND</v>
          </cell>
          <cell r="F207" t="str">
            <v>ND</v>
          </cell>
          <cell r="G207">
            <v>794.84199999999987</v>
          </cell>
          <cell r="H207">
            <v>904.67899999999997</v>
          </cell>
          <cell r="I207">
            <v>904.67899999999997</v>
          </cell>
          <cell r="J207">
            <v>962.26600000000008</v>
          </cell>
          <cell r="K207">
            <v>1002.777</v>
          </cell>
          <cell r="L207">
            <v>993.45900000000006</v>
          </cell>
          <cell r="M207">
            <v>1015.048</v>
          </cell>
          <cell r="N207">
            <v>1015.048</v>
          </cell>
          <cell r="O207">
            <v>1030.058</v>
          </cell>
          <cell r="P207">
            <v>1063.8610000000001</v>
          </cell>
          <cell r="Q207">
            <v>1082.5650000000001</v>
          </cell>
          <cell r="R207">
            <v>1200.269</v>
          </cell>
          <cell r="S207">
            <v>1200.269</v>
          </cell>
          <cell r="T207">
            <v>1195.8739999999998</v>
          </cell>
          <cell r="U207">
            <v>947.93100000000004</v>
          </cell>
          <cell r="V207">
            <v>2948.4550000000004</v>
          </cell>
          <cell r="W207">
            <v>3023.1660000000002</v>
          </cell>
          <cell r="X207">
            <v>3023.1660000000002</v>
          </cell>
          <cell r="Y207">
            <v>2910.4840000000004</v>
          </cell>
          <cell r="Z207">
            <v>3009.5870000000004</v>
          </cell>
          <cell r="AA207">
            <v>3064.2170000000001</v>
          </cell>
          <cell r="AB207">
            <v>3092.9960000000005</v>
          </cell>
          <cell r="AC207">
            <v>3092.9960000000005</v>
          </cell>
          <cell r="AD207">
            <v>3113.0470000000005</v>
          </cell>
          <cell r="AE207">
            <v>2994.8900000000003</v>
          </cell>
          <cell r="AF207">
            <v>3053.1910000000007</v>
          </cell>
          <cell r="AG207">
            <v>3019.6390000000006</v>
          </cell>
          <cell r="AH207">
            <v>3019.6390000000006</v>
          </cell>
          <cell r="AI207">
            <v>3031.8600000000006</v>
          </cell>
          <cell r="AJ207">
            <v>3105.0980000000009</v>
          </cell>
          <cell r="AK207">
            <v>3081.5889999999999</v>
          </cell>
          <cell r="AL207">
            <v>3134.5370000000003</v>
          </cell>
          <cell r="AM207">
            <v>3134.5370000000003</v>
          </cell>
          <cell r="AN207">
            <v>3031.8600000000006</v>
          </cell>
          <cell r="AO207">
            <v>3105.0980000000009</v>
          </cell>
          <cell r="AP207">
            <v>3081.5889999999999</v>
          </cell>
          <cell r="AQ207">
            <v>3136.1150000000002</v>
          </cell>
          <cell r="AR207">
            <v>3136.1150000000002</v>
          </cell>
          <cell r="AS207">
            <v>3093.8300000000008</v>
          </cell>
          <cell r="AT207">
            <v>3133.3230000000003</v>
          </cell>
          <cell r="AU207">
            <v>2880.2630000000008</v>
          </cell>
          <cell r="AV207">
            <v>2894.2070000000003</v>
          </cell>
          <cell r="AW207">
            <v>2894.2070000000003</v>
          </cell>
          <cell r="AX207">
            <v>2896.5700000000006</v>
          </cell>
          <cell r="AY207">
            <v>2875.6510000000007</v>
          </cell>
          <cell r="AZ207">
            <v>3366.7649999999999</v>
          </cell>
          <cell r="BA207">
            <v>3147.0160000000005</v>
          </cell>
          <cell r="BB207">
            <v>3147.0160000000005</v>
          </cell>
          <cell r="BC207">
            <v>2831.663</v>
          </cell>
          <cell r="BD207">
            <v>2790.9480000000003</v>
          </cell>
          <cell r="BE207">
            <v>3307.1060000000007</v>
          </cell>
          <cell r="BF207">
            <v>3082.5400000000004</v>
          </cell>
          <cell r="BG207">
            <v>3082.5400000000004</v>
          </cell>
          <cell r="BH207">
            <v>3005.1</v>
          </cell>
          <cell r="BI207">
            <v>3010.8260876954564</v>
          </cell>
          <cell r="BJ207">
            <v>2981.4519359623068</v>
          </cell>
          <cell r="BK207">
            <v>2962.8123219590711</v>
          </cell>
          <cell r="BL207">
            <v>2962.8123219590711</v>
          </cell>
          <cell r="BM207">
            <v>2963.7289088617372</v>
          </cell>
          <cell r="BN207">
            <v>2995.3423076910008</v>
          </cell>
          <cell r="BO207">
            <v>3064.2489251138718</v>
          </cell>
          <cell r="BR207" t="str">
            <v>Total Assets</v>
          </cell>
          <cell r="BS207">
            <v>1112.7750000000001</v>
          </cell>
          <cell r="BT207">
            <v>904.67899999999997</v>
          </cell>
          <cell r="BU207">
            <v>1015.048</v>
          </cell>
          <cell r="BV207">
            <v>1200.269</v>
          </cell>
          <cell r="BW207">
            <v>3023.1660000000002</v>
          </cell>
          <cell r="BX207">
            <v>3092.9960000000005</v>
          </cell>
          <cell r="BY207">
            <v>3019.6390000000006</v>
          </cell>
          <cell r="BZ207">
            <v>3136.1150000000002</v>
          </cell>
          <cell r="CA207">
            <v>2894.2070000000003</v>
          </cell>
          <cell r="CB207">
            <v>3147.0160000000005</v>
          </cell>
          <cell r="CC207">
            <v>3082.5400000000004</v>
          </cell>
          <cell r="CD207">
            <v>2962.8123219590711</v>
          </cell>
          <cell r="CE207">
            <v>2963.7289088617372</v>
          </cell>
          <cell r="CF207">
            <v>2995.3423076910008</v>
          </cell>
          <cell r="CG207">
            <v>3064.2489251138718</v>
          </cell>
        </row>
        <row r="209">
          <cell r="A209" t="str">
            <v>LIABILITIES AND STOCKHOLDERS’ EQUITY</v>
          </cell>
          <cell r="BR209" t="str">
            <v>LIABILITIES AND STOCKHOLDERS’ EQUITY</v>
          </cell>
        </row>
        <row r="210">
          <cell r="A210" t="str">
            <v>Current Liabilities</v>
          </cell>
          <cell r="BR210" t="str">
            <v>Current Liabilities</v>
          </cell>
        </row>
        <row r="211">
          <cell r="A211" t="str">
            <v xml:space="preserve">  Accounts payable</v>
          </cell>
          <cell r="C211">
            <v>0</v>
          </cell>
          <cell r="D211">
            <v>0</v>
          </cell>
          <cell r="E211" t="str">
            <v>ND</v>
          </cell>
          <cell r="F211" t="str">
            <v>ND</v>
          </cell>
          <cell r="G211">
            <v>0</v>
          </cell>
          <cell r="H211">
            <v>7.0000000000000007E-2</v>
          </cell>
          <cell r="I211">
            <v>7.0000000000000007E-2</v>
          </cell>
          <cell r="J211">
            <v>0</v>
          </cell>
          <cell r="K211">
            <v>0</v>
          </cell>
          <cell r="L211">
            <v>2.06</v>
          </cell>
          <cell r="M211">
            <v>0.9</v>
          </cell>
          <cell r="N211">
            <v>0.9</v>
          </cell>
          <cell r="O211">
            <v>0.51300000000000001</v>
          </cell>
          <cell r="P211">
            <v>38.606000000000002</v>
          </cell>
          <cell r="Q211">
            <v>33.945999999999998</v>
          </cell>
          <cell r="R211">
            <v>1.8779999999999999</v>
          </cell>
          <cell r="S211">
            <v>1.8779999999999999</v>
          </cell>
          <cell r="T211">
            <v>0.40600000000000003</v>
          </cell>
          <cell r="U211">
            <v>0.53400000000000003</v>
          </cell>
          <cell r="V211">
            <v>1.462</v>
          </cell>
          <cell r="W211">
            <v>2.1619999999999999</v>
          </cell>
          <cell r="X211">
            <v>2.1619999999999999</v>
          </cell>
          <cell r="Y211">
            <v>0.47099999999999997</v>
          </cell>
          <cell r="Z211">
            <v>0.625</v>
          </cell>
          <cell r="AA211">
            <v>0.43099999999999999</v>
          </cell>
          <cell r="AB211">
            <v>0.23899999999999999</v>
          </cell>
          <cell r="AC211">
            <v>0.23899999999999999</v>
          </cell>
          <cell r="AD211">
            <v>0.16600000000000001</v>
          </cell>
          <cell r="AE211">
            <v>0.65700000000000003</v>
          </cell>
          <cell r="AF211">
            <v>1.694</v>
          </cell>
          <cell r="AG211">
            <v>2.9849999999999999</v>
          </cell>
          <cell r="AH211">
            <v>2.9849999999999999</v>
          </cell>
          <cell r="AI211">
            <v>1.1379999999999999</v>
          </cell>
          <cell r="AJ211">
            <v>0.97899999999999998</v>
          </cell>
          <cell r="AK211">
            <v>1.319</v>
          </cell>
          <cell r="AL211">
            <v>1.198</v>
          </cell>
          <cell r="AM211">
            <v>1.198</v>
          </cell>
          <cell r="AN211">
            <v>1.1379999999999999</v>
          </cell>
          <cell r="AO211">
            <v>0.97899999999999998</v>
          </cell>
          <cell r="AP211">
            <v>1.319</v>
          </cell>
          <cell r="AQ211">
            <v>1.198</v>
          </cell>
          <cell r="AR211">
            <v>1.198</v>
          </cell>
          <cell r="AS211">
            <v>1.542</v>
          </cell>
          <cell r="AT211">
            <v>1.859</v>
          </cell>
          <cell r="AU211">
            <v>1.6950000000000001</v>
          </cell>
          <cell r="AV211">
            <v>2.835</v>
          </cell>
          <cell r="AW211">
            <v>2.835</v>
          </cell>
          <cell r="AX211">
            <v>1.139</v>
          </cell>
          <cell r="AY211">
            <v>2.17</v>
          </cell>
          <cell r="AZ211">
            <v>1.806</v>
          </cell>
          <cell r="BA211">
            <v>2.512</v>
          </cell>
          <cell r="BB211">
            <v>2.512</v>
          </cell>
          <cell r="BC211">
            <v>1.514</v>
          </cell>
          <cell r="BD211">
            <v>1.732</v>
          </cell>
          <cell r="BE211">
            <v>1.2490000000000001</v>
          </cell>
          <cell r="BF211">
            <v>0.56799999999999995</v>
          </cell>
          <cell r="BG211">
            <v>0.56799999999999995</v>
          </cell>
          <cell r="BH211">
            <v>1.1379999999999999</v>
          </cell>
          <cell r="BI211">
            <v>1.8440803379468287</v>
          </cell>
          <cell r="BJ211">
            <v>1.3118069886689787</v>
          </cell>
          <cell r="BK211">
            <v>0.60069745508719441</v>
          </cell>
          <cell r="BL211">
            <v>0.60069745508719441</v>
          </cell>
          <cell r="BM211">
            <v>0.63443010640367792</v>
          </cell>
          <cell r="BN211">
            <v>0.67000005453830236</v>
          </cell>
          <cell r="BO211">
            <v>0.70878252122240581</v>
          </cell>
          <cell r="BR211" t="str">
            <v xml:space="preserve">  Accounts payable</v>
          </cell>
          <cell r="BS211">
            <v>0</v>
          </cell>
          <cell r="BT211">
            <v>7.0000000000000007E-2</v>
          </cell>
          <cell r="BU211">
            <v>0.9</v>
          </cell>
          <cell r="BV211">
            <v>1.8779999999999999</v>
          </cell>
          <cell r="BW211">
            <v>2.1619999999999999</v>
          </cell>
          <cell r="BX211">
            <v>0.23899999999999999</v>
          </cell>
          <cell r="BY211">
            <v>2.9849999999999999</v>
          </cell>
          <cell r="BZ211">
            <v>1.198</v>
          </cell>
          <cell r="CA211">
            <v>2.835</v>
          </cell>
          <cell r="CB211">
            <v>2.512</v>
          </cell>
          <cell r="CC211">
            <v>0.56799999999999995</v>
          </cell>
          <cell r="CD211">
            <v>0.60069745508719441</v>
          </cell>
          <cell r="CE211">
            <v>0.63443010640367792</v>
          </cell>
          <cell r="CF211">
            <v>0.67000005453830236</v>
          </cell>
          <cell r="CG211">
            <v>0.70878252122240581</v>
          </cell>
          <cell r="CI211" t="str">
            <v>mstag:tradePayablesCurrent</v>
          </cell>
          <cell r="CJ211">
            <v>6</v>
          </cell>
          <cell r="CK211" t="str">
            <v>ISO4217:USD</v>
          </cell>
          <cell r="CL211" t="b">
            <v>0</v>
          </cell>
          <cell r="CO211">
            <v>-3.8559999999999999</v>
          </cell>
        </row>
        <row r="212">
          <cell r="A212" t="str">
            <v xml:space="preserve">  Payable to related parties</v>
          </cell>
          <cell r="C212">
            <v>64.676000000000002</v>
          </cell>
          <cell r="D212">
            <v>64.676000000000002</v>
          </cell>
          <cell r="E212" t="str">
            <v>ND</v>
          </cell>
          <cell r="F212" t="str">
            <v>ND</v>
          </cell>
          <cell r="G212">
            <v>12.394</v>
          </cell>
          <cell r="H212">
            <v>17.143000000000001</v>
          </cell>
          <cell r="I212">
            <v>17.143000000000001</v>
          </cell>
          <cell r="J212">
            <v>41.326999999999998</v>
          </cell>
          <cell r="K212">
            <v>32.15</v>
          </cell>
          <cell r="L212">
            <v>15.237</v>
          </cell>
          <cell r="M212">
            <v>34.991999999999997</v>
          </cell>
          <cell r="N212">
            <v>34.991999999999997</v>
          </cell>
          <cell r="O212">
            <v>36.915999999999997</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0</v>
          </cell>
          <cell r="BR212" t="str">
            <v xml:space="preserve">  Payable to related parties</v>
          </cell>
          <cell r="BS212">
            <v>64.676000000000002</v>
          </cell>
          <cell r="BT212">
            <v>17.143000000000001</v>
          </cell>
          <cell r="BU212">
            <v>34.991999999999997</v>
          </cell>
          <cell r="BV212">
            <v>0</v>
          </cell>
          <cell r="BW212">
            <v>0</v>
          </cell>
          <cell r="BX212">
            <v>0</v>
          </cell>
          <cell r="BY212">
            <v>0</v>
          </cell>
          <cell r="BZ212">
            <v>0</v>
          </cell>
          <cell r="CA212">
            <v>0</v>
          </cell>
          <cell r="CB212">
            <v>0</v>
          </cell>
          <cell r="CC212">
            <v>0</v>
          </cell>
          <cell r="CD212">
            <v>0</v>
          </cell>
          <cell r="CE212">
            <v>0</v>
          </cell>
          <cell r="CF212">
            <v>0</v>
          </cell>
          <cell r="CG212">
            <v>0</v>
          </cell>
          <cell r="CI212" t="str">
            <v>mstag:otherPayablesCurrent</v>
          </cell>
          <cell r="CJ212">
            <v>6</v>
          </cell>
          <cell r="CK212" t="str">
            <v>ISO4217:USD</v>
          </cell>
          <cell r="CL212" t="b">
            <v>0</v>
          </cell>
        </row>
        <row r="213">
          <cell r="A213" t="str">
            <v xml:space="preserve">  Income Taxes Payable</v>
          </cell>
          <cell r="C213">
            <v>1.0129999999999999</v>
          </cell>
          <cell r="D213">
            <v>1.0129999999999999</v>
          </cell>
          <cell r="E213" t="str">
            <v>ND</v>
          </cell>
          <cell r="F213" t="str">
            <v>ND</v>
          </cell>
          <cell r="G213">
            <v>0.46800000000000003</v>
          </cell>
          <cell r="H213">
            <v>16.212</v>
          </cell>
          <cell r="I213">
            <v>16.212</v>
          </cell>
          <cell r="J213">
            <v>22.059000000000001</v>
          </cell>
          <cell r="K213">
            <v>25.937000000000001</v>
          </cell>
          <cell r="L213">
            <v>20.626999999999999</v>
          </cell>
          <cell r="M213">
            <v>0</v>
          </cell>
          <cell r="N213">
            <v>0</v>
          </cell>
          <cell r="O213">
            <v>0.28399999999999997</v>
          </cell>
          <cell r="P213">
            <v>0</v>
          </cell>
          <cell r="Q213">
            <v>1.7000000000000001E-2</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3.7549999999999999</v>
          </cell>
          <cell r="BI213">
            <v>3.7549999999999999</v>
          </cell>
          <cell r="BJ213">
            <v>3.7549999999999999</v>
          </cell>
          <cell r="BK213">
            <v>3.7549999999999999</v>
          </cell>
          <cell r="BL213">
            <v>3.7549999999999999</v>
          </cell>
          <cell r="BM213">
            <v>3.7549999999999999</v>
          </cell>
          <cell r="BN213">
            <v>3.7549999999999999</v>
          </cell>
          <cell r="BO213">
            <v>3.7549999999999999</v>
          </cell>
          <cell r="BR213" t="str">
            <v xml:space="preserve">  Income Taxes Payable</v>
          </cell>
          <cell r="BS213">
            <v>1.0129999999999999</v>
          </cell>
          <cell r="BT213">
            <v>16.212</v>
          </cell>
          <cell r="BU213">
            <v>0</v>
          </cell>
          <cell r="BV213">
            <v>0</v>
          </cell>
          <cell r="BW213">
            <v>0</v>
          </cell>
          <cell r="BX213">
            <v>0</v>
          </cell>
          <cell r="BY213">
            <v>0</v>
          </cell>
          <cell r="BZ213">
            <v>0</v>
          </cell>
          <cell r="CA213">
            <v>0</v>
          </cell>
          <cell r="CB213">
            <v>0</v>
          </cell>
          <cell r="CC213">
            <v>0</v>
          </cell>
          <cell r="CD213">
            <v>3.7549999999999999</v>
          </cell>
          <cell r="CE213">
            <v>3.7549999999999999</v>
          </cell>
          <cell r="CF213">
            <v>3.7549999999999999</v>
          </cell>
          <cell r="CG213">
            <v>3.7549999999999999</v>
          </cell>
          <cell r="CI213" t="str">
            <v>mstag:incomeTaxPayable</v>
          </cell>
          <cell r="CJ213">
            <v>6</v>
          </cell>
          <cell r="CK213" t="str">
            <v>ISO4217:USD</v>
          </cell>
          <cell r="CL213" t="b">
            <v>0</v>
          </cell>
        </row>
        <row r="214">
          <cell r="A214" t="str">
            <v xml:space="preserve">  Accrued Payroll &amp; Benefits</v>
          </cell>
          <cell r="C214">
            <v>46.115000000000002</v>
          </cell>
          <cell r="D214">
            <v>46.115000000000002</v>
          </cell>
          <cell r="E214" t="str">
            <v>ND</v>
          </cell>
          <cell r="F214" t="str">
            <v>ND</v>
          </cell>
          <cell r="G214">
            <v>37.707000000000001</v>
          </cell>
          <cell r="H214">
            <v>53.831000000000003</v>
          </cell>
          <cell r="I214">
            <v>53.831000000000003</v>
          </cell>
          <cell r="J214">
            <v>23.327000000000002</v>
          </cell>
          <cell r="K214">
            <v>36.009</v>
          </cell>
          <cell r="L214">
            <v>49.747999999999998</v>
          </cell>
          <cell r="M214">
            <v>58.945999999999998</v>
          </cell>
          <cell r="N214">
            <v>58.945999999999998</v>
          </cell>
          <cell r="O214">
            <v>20.106000000000002</v>
          </cell>
          <cell r="P214">
            <v>34.707999999999998</v>
          </cell>
          <cell r="Q214">
            <v>46.594000000000001</v>
          </cell>
          <cell r="R214">
            <v>65.087999999999994</v>
          </cell>
          <cell r="S214">
            <v>65.087999999999994</v>
          </cell>
          <cell r="T214">
            <v>21.516999999999999</v>
          </cell>
          <cell r="U214">
            <v>35.200000000000003</v>
          </cell>
          <cell r="V214">
            <v>74.775000000000006</v>
          </cell>
          <cell r="W214">
            <v>99.046000000000006</v>
          </cell>
          <cell r="X214">
            <v>99.046000000000006</v>
          </cell>
          <cell r="Y214">
            <v>36.585000000000001</v>
          </cell>
          <cell r="Z214">
            <v>61.463999999999999</v>
          </cell>
          <cell r="AA214">
            <v>85.010999999999996</v>
          </cell>
          <cell r="AB214">
            <v>107.506</v>
          </cell>
          <cell r="AC214">
            <v>107.506</v>
          </cell>
          <cell r="AD214">
            <v>32.194000000000003</v>
          </cell>
          <cell r="AE214">
            <v>57.168999999999997</v>
          </cell>
          <cell r="AF214">
            <v>83.647000000000006</v>
          </cell>
          <cell r="AG214">
            <v>113.35899999999999</v>
          </cell>
          <cell r="AH214">
            <v>113.35899999999999</v>
          </cell>
          <cell r="AI214">
            <v>45.555999999999997</v>
          </cell>
          <cell r="AJ214">
            <v>66.442999999999998</v>
          </cell>
          <cell r="AK214">
            <v>96.03</v>
          </cell>
          <cell r="AL214">
            <v>121.124</v>
          </cell>
          <cell r="AM214">
            <v>121.124</v>
          </cell>
          <cell r="AN214">
            <v>45.555999999999997</v>
          </cell>
          <cell r="AO214">
            <v>66.442999999999998</v>
          </cell>
          <cell r="AP214">
            <v>96.03</v>
          </cell>
          <cell r="AQ214">
            <v>121.124</v>
          </cell>
          <cell r="AR214">
            <v>121.124</v>
          </cell>
          <cell r="AS214">
            <v>42.634999999999998</v>
          </cell>
          <cell r="AT214">
            <v>69.171000000000006</v>
          </cell>
          <cell r="AU214">
            <v>91.84</v>
          </cell>
          <cell r="AV214">
            <v>111.408</v>
          </cell>
          <cell r="AW214">
            <v>111.408</v>
          </cell>
          <cell r="AX214">
            <v>41.328000000000003</v>
          </cell>
          <cell r="AY214">
            <v>69.873999999999995</v>
          </cell>
          <cell r="AZ214">
            <v>92.850999999999999</v>
          </cell>
          <cell r="BA214">
            <v>116.619</v>
          </cell>
          <cell r="BB214">
            <v>116.619</v>
          </cell>
          <cell r="BC214">
            <v>45.198</v>
          </cell>
          <cell r="BD214">
            <v>67.911000000000001</v>
          </cell>
          <cell r="BE214">
            <v>96.427999999999997</v>
          </cell>
          <cell r="BF214">
            <v>119.113</v>
          </cell>
          <cell r="BG214">
            <v>119.113</v>
          </cell>
          <cell r="BH214">
            <v>41.823</v>
          </cell>
          <cell r="BI214">
            <v>73.039703576072995</v>
          </cell>
          <cell r="BJ214">
            <v>104.38938087810534</v>
          </cell>
          <cell r="BK214">
            <v>128.68239092430861</v>
          </cell>
          <cell r="BL214">
            <v>128.68239092430861</v>
          </cell>
          <cell r="BM214">
            <v>137.70598620473086</v>
          </cell>
          <cell r="BN214">
            <v>147.40012695271247</v>
          </cell>
          <cell r="BO214">
            <v>158.07747464774036</v>
          </cell>
          <cell r="BR214" t="str">
            <v xml:space="preserve">  Accrued Payroll &amp; Benefits</v>
          </cell>
          <cell r="BS214">
            <v>46.115000000000002</v>
          </cell>
          <cell r="BT214">
            <v>53.831000000000003</v>
          </cell>
          <cell r="BU214">
            <v>58.945999999999998</v>
          </cell>
          <cell r="BV214">
            <v>65.087999999999994</v>
          </cell>
          <cell r="BW214">
            <v>99.046000000000006</v>
          </cell>
          <cell r="BX214">
            <v>107.506</v>
          </cell>
          <cell r="BY214">
            <v>113.35899999999999</v>
          </cell>
          <cell r="BZ214">
            <v>121.124</v>
          </cell>
          <cell r="CA214">
            <v>111.408</v>
          </cell>
          <cell r="CB214">
            <v>116.619</v>
          </cell>
          <cell r="CC214">
            <v>119.113</v>
          </cell>
          <cell r="CD214">
            <v>128.68239092430861</v>
          </cell>
          <cell r="CE214">
            <v>137.70598620473086</v>
          </cell>
          <cell r="CF214">
            <v>147.40012695271247</v>
          </cell>
          <cell r="CG214">
            <v>158.07747464774036</v>
          </cell>
          <cell r="CI214" t="str">
            <v>mstag:payrollAndBenefitsRelatedLiabilities</v>
          </cell>
          <cell r="CJ214">
            <v>6</v>
          </cell>
          <cell r="CK214" t="str">
            <v>ISO4217:USD</v>
          </cell>
          <cell r="CL214" t="b">
            <v>0</v>
          </cell>
          <cell r="CO214">
            <v>-23.175999999999998</v>
          </cell>
        </row>
        <row r="215">
          <cell r="A215" t="str">
            <v xml:space="preserve">  Other Accrued Liabilities</v>
          </cell>
          <cell r="C215">
            <v>6.81</v>
          </cell>
          <cell r="D215">
            <v>6.81</v>
          </cell>
          <cell r="E215" t="str">
            <v>ND</v>
          </cell>
          <cell r="F215" t="str">
            <v>ND</v>
          </cell>
          <cell r="G215">
            <v>13.391</v>
          </cell>
          <cell r="H215">
            <v>10.195</v>
          </cell>
          <cell r="I215">
            <v>10.195</v>
          </cell>
          <cell r="J215">
            <v>12.138</v>
          </cell>
          <cell r="K215">
            <v>20.238</v>
          </cell>
          <cell r="L215">
            <v>14.1</v>
          </cell>
          <cell r="M215">
            <v>29.459</v>
          </cell>
          <cell r="N215">
            <v>29.459</v>
          </cell>
          <cell r="O215">
            <v>29.798999999999999</v>
          </cell>
          <cell r="P215">
            <v>27.093</v>
          </cell>
          <cell r="Q215">
            <v>28.064</v>
          </cell>
          <cell r="R215">
            <v>30.501999999999999</v>
          </cell>
          <cell r="S215">
            <v>30.501999999999999</v>
          </cell>
          <cell r="T215">
            <v>30.088000000000001</v>
          </cell>
          <cell r="U215">
            <v>23.289000000000001</v>
          </cell>
          <cell r="V215">
            <v>37.590000000000003</v>
          </cell>
          <cell r="W215">
            <v>39.5</v>
          </cell>
          <cell r="X215">
            <v>39.5</v>
          </cell>
          <cell r="Y215">
            <v>46.512999999999998</v>
          </cell>
          <cell r="Z215">
            <v>54.353000000000002</v>
          </cell>
          <cell r="AA215">
            <v>47.073</v>
          </cell>
          <cell r="AB215">
            <v>45.503999999999998</v>
          </cell>
          <cell r="AC215">
            <v>45.503999999999998</v>
          </cell>
          <cell r="AD215">
            <v>48.439</v>
          </cell>
          <cell r="AE215">
            <v>49.043999999999997</v>
          </cell>
          <cell r="AF215">
            <v>41.579000000000001</v>
          </cell>
          <cell r="AG215">
            <v>42.485999999999997</v>
          </cell>
          <cell r="AH215">
            <v>42.485999999999997</v>
          </cell>
          <cell r="AI215">
            <v>42.581000000000003</v>
          </cell>
          <cell r="AJ215">
            <v>38.456000000000003</v>
          </cell>
          <cell r="AK215">
            <v>46.38</v>
          </cell>
          <cell r="AL215">
            <v>41.212000000000003</v>
          </cell>
          <cell r="AM215">
            <v>41.212000000000003</v>
          </cell>
          <cell r="AN215">
            <v>42.581000000000003</v>
          </cell>
          <cell r="AO215">
            <v>38.456000000000003</v>
          </cell>
          <cell r="AP215">
            <v>46.38</v>
          </cell>
          <cell r="AQ215">
            <v>41.212000000000003</v>
          </cell>
          <cell r="AR215">
            <v>41.212000000000003</v>
          </cell>
          <cell r="AS215">
            <v>168.452</v>
          </cell>
          <cell r="AT215">
            <v>60.72</v>
          </cell>
          <cell r="AU215">
            <v>64.298000000000002</v>
          </cell>
          <cell r="AV215">
            <v>47.893999999999998</v>
          </cell>
          <cell r="AW215">
            <v>47.893999999999998</v>
          </cell>
          <cell r="AX215">
            <v>65.025999999999996</v>
          </cell>
          <cell r="AY215">
            <v>47.825000000000003</v>
          </cell>
          <cell r="AZ215">
            <v>68.256</v>
          </cell>
          <cell r="BA215">
            <v>61.433</v>
          </cell>
          <cell r="BB215">
            <v>61.433</v>
          </cell>
          <cell r="BC215">
            <v>61.889000000000003</v>
          </cell>
          <cell r="BD215">
            <v>74.819000000000003</v>
          </cell>
          <cell r="BE215">
            <v>75.835999999999999</v>
          </cell>
          <cell r="BF215">
            <v>82.531000000000006</v>
          </cell>
          <cell r="BG215">
            <v>82.531000000000006</v>
          </cell>
          <cell r="BH215">
            <v>71.209999999999994</v>
          </cell>
          <cell r="BI215">
            <v>80.469402333321639</v>
          </cell>
          <cell r="BJ215">
            <v>82.097244454639693</v>
          </cell>
          <cell r="BK215">
            <v>89.161438343204466</v>
          </cell>
          <cell r="BL215">
            <v>89.161438343204466</v>
          </cell>
          <cell r="BM215">
            <v>95.413705871421612</v>
          </cell>
          <cell r="BN215">
            <v>102.13058085628197</v>
          </cell>
          <cell r="BO215">
            <v>109.52870014316372</v>
          </cell>
          <cell r="BR215" t="str">
            <v xml:space="preserve">  Other Accrued Liabilities</v>
          </cell>
          <cell r="BS215">
            <v>6.81</v>
          </cell>
          <cell r="BT215">
            <v>10.195</v>
          </cell>
          <cell r="BU215">
            <v>29.459</v>
          </cell>
          <cell r="BV215">
            <v>30.501999999999999</v>
          </cell>
          <cell r="BW215">
            <v>39.5</v>
          </cell>
          <cell r="BX215">
            <v>45.503999999999998</v>
          </cell>
          <cell r="BY215">
            <v>42.485999999999997</v>
          </cell>
          <cell r="BZ215">
            <v>41.212000000000003</v>
          </cell>
          <cell r="CA215">
            <v>47.893999999999998</v>
          </cell>
          <cell r="CB215">
            <v>61.433</v>
          </cell>
          <cell r="CC215">
            <v>82.531000000000006</v>
          </cell>
          <cell r="CD215">
            <v>89.161438343204466</v>
          </cell>
          <cell r="CE215">
            <v>95.413705871421612</v>
          </cell>
          <cell r="CF215">
            <v>102.13058085628197</v>
          </cell>
          <cell r="CG215">
            <v>109.52870014316372</v>
          </cell>
          <cell r="CI215" t="str">
            <v>mstag:otherAccruedExpenses</v>
          </cell>
          <cell r="CJ215">
            <v>6</v>
          </cell>
          <cell r="CK215" t="str">
            <v>ISO4217:USD</v>
          </cell>
          <cell r="CL215" t="b">
            <v>0</v>
          </cell>
          <cell r="CO215">
            <v>-0.221</v>
          </cell>
        </row>
        <row r="216">
          <cell r="A216" t="str">
            <v xml:space="preserve">  Current Maturities of LT Debt</v>
          </cell>
          <cell r="C216">
            <v>0</v>
          </cell>
          <cell r="D216">
            <v>0</v>
          </cell>
          <cell r="E216" t="str">
            <v>ND</v>
          </cell>
          <cell r="F216" t="str">
            <v>ND</v>
          </cell>
          <cell r="G216">
            <v>625.90099999999995</v>
          </cell>
          <cell r="H216">
            <v>22.25</v>
          </cell>
          <cell r="I216">
            <v>22.25</v>
          </cell>
          <cell r="J216">
            <v>22.236000000000001</v>
          </cell>
          <cell r="K216">
            <v>22.25</v>
          </cell>
          <cell r="L216">
            <v>22.25</v>
          </cell>
          <cell r="M216">
            <v>22.085999999999999</v>
          </cell>
          <cell r="N216">
            <v>22.085999999999999</v>
          </cell>
          <cell r="O216">
            <v>27.085999999999999</v>
          </cell>
          <cell r="P216">
            <v>32.087000000000003</v>
          </cell>
          <cell r="Q216">
            <v>37.087000000000003</v>
          </cell>
          <cell r="R216">
            <v>42.088000000000001</v>
          </cell>
          <cell r="S216">
            <v>42.088000000000001</v>
          </cell>
          <cell r="T216">
            <v>42.088000000000001</v>
          </cell>
          <cell r="U216">
            <v>8.2449999999999992</v>
          </cell>
          <cell r="V216">
            <v>11.663</v>
          </cell>
          <cell r="W216">
            <v>54.915999999999997</v>
          </cell>
          <cell r="X216">
            <v>54.915999999999997</v>
          </cell>
          <cell r="Y216">
            <v>10.329000000000001</v>
          </cell>
          <cell r="Z216">
            <v>10.331</v>
          </cell>
          <cell r="AA216">
            <v>10.334</v>
          </cell>
          <cell r="AB216">
            <v>10.339</v>
          </cell>
          <cell r="AC216">
            <v>10.339</v>
          </cell>
          <cell r="AD216">
            <v>10.342000000000001</v>
          </cell>
          <cell r="AE216">
            <v>43.07</v>
          </cell>
          <cell r="AF216">
            <v>43.082000000000001</v>
          </cell>
          <cell r="AG216">
            <v>43.093000000000004</v>
          </cell>
          <cell r="AH216">
            <v>43.093000000000004</v>
          </cell>
          <cell r="AI216">
            <v>43.106000000000002</v>
          </cell>
          <cell r="AJ216">
            <v>43.118000000000002</v>
          </cell>
          <cell r="AK216">
            <v>54.13</v>
          </cell>
          <cell r="AL216">
            <v>19.771999999999998</v>
          </cell>
          <cell r="AM216">
            <v>19.771999999999998</v>
          </cell>
          <cell r="AN216">
            <v>43.106000000000002</v>
          </cell>
          <cell r="AO216">
            <v>43.118000000000002</v>
          </cell>
          <cell r="AP216">
            <v>54.13</v>
          </cell>
          <cell r="AQ216">
            <v>19.771999999999998</v>
          </cell>
          <cell r="AR216">
            <v>19.771999999999998</v>
          </cell>
          <cell r="AS216">
            <v>19.774999999999999</v>
          </cell>
          <cell r="AT216">
            <v>19.777999999999999</v>
          </cell>
          <cell r="AU216">
            <v>19.780999999999999</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cell r="BM216">
            <v>0</v>
          </cell>
          <cell r="BN216">
            <v>0</v>
          </cell>
          <cell r="BO216">
            <v>0</v>
          </cell>
          <cell r="BR216" t="str">
            <v xml:space="preserve">  Current Maturities of LT Debt</v>
          </cell>
          <cell r="BS216">
            <v>0</v>
          </cell>
          <cell r="BT216">
            <v>22.25</v>
          </cell>
          <cell r="BU216">
            <v>22.085999999999999</v>
          </cell>
          <cell r="BV216">
            <v>42.088000000000001</v>
          </cell>
          <cell r="BW216">
            <v>54.915999999999997</v>
          </cell>
          <cell r="BX216">
            <v>10.339</v>
          </cell>
          <cell r="BY216">
            <v>43.093000000000004</v>
          </cell>
          <cell r="BZ216">
            <v>19.771999999999998</v>
          </cell>
          <cell r="CA216">
            <v>0</v>
          </cell>
          <cell r="CB216">
            <v>0</v>
          </cell>
          <cell r="CC216">
            <v>0</v>
          </cell>
          <cell r="CD216">
            <v>0</v>
          </cell>
          <cell r="CE216">
            <v>0</v>
          </cell>
          <cell r="CF216">
            <v>0</v>
          </cell>
          <cell r="CG216">
            <v>0</v>
          </cell>
          <cell r="CI216" t="str">
            <v>mstag:shortTermBorrowings</v>
          </cell>
          <cell r="CJ216">
            <v>6</v>
          </cell>
          <cell r="CK216" t="str">
            <v>ISO4217:USD</v>
          </cell>
          <cell r="CL216" t="b">
            <v>0</v>
          </cell>
          <cell r="CO216">
            <v>-2.9660000000000002</v>
          </cell>
        </row>
        <row r="217">
          <cell r="A217" t="str">
            <v xml:space="preserve">  Deferred revenue</v>
          </cell>
          <cell r="C217">
            <v>102.36799999999999</v>
          </cell>
          <cell r="D217">
            <v>102.36799999999999</v>
          </cell>
          <cell r="E217" t="str">
            <v>ND</v>
          </cell>
          <cell r="F217" t="str">
            <v>ND</v>
          </cell>
          <cell r="G217">
            <v>131.416</v>
          </cell>
          <cell r="H217">
            <v>125.23</v>
          </cell>
          <cell r="I217">
            <v>125.23</v>
          </cell>
          <cell r="J217">
            <v>167.33600000000001</v>
          </cell>
          <cell r="K217">
            <v>168.82400000000001</v>
          </cell>
          <cell r="L217">
            <v>158.697</v>
          </cell>
          <cell r="M217">
            <v>144.71100000000001</v>
          </cell>
          <cell r="N217">
            <v>144.71100000000001</v>
          </cell>
          <cell r="O217">
            <v>176.80500000000001</v>
          </cell>
          <cell r="P217">
            <v>176.029</v>
          </cell>
          <cell r="Q217">
            <v>166.215</v>
          </cell>
          <cell r="R217">
            <v>152.94399999999999</v>
          </cell>
          <cell r="S217">
            <v>152.94399999999999</v>
          </cell>
          <cell r="T217">
            <v>168.31100000000001</v>
          </cell>
          <cell r="U217">
            <v>181.90600000000001</v>
          </cell>
          <cell r="V217">
            <v>283.834</v>
          </cell>
          <cell r="W217">
            <v>271.3</v>
          </cell>
          <cell r="X217">
            <v>271.3</v>
          </cell>
          <cell r="Y217">
            <v>284.11900000000003</v>
          </cell>
          <cell r="Z217">
            <v>296.79300000000001</v>
          </cell>
          <cell r="AA217">
            <v>291.04500000000002</v>
          </cell>
          <cell r="AB217">
            <v>289.21699999999998</v>
          </cell>
          <cell r="AC217">
            <v>289.21699999999998</v>
          </cell>
          <cell r="AD217">
            <v>330.05</v>
          </cell>
          <cell r="AE217">
            <v>333.89</v>
          </cell>
          <cell r="AF217">
            <v>323.50299999999999</v>
          </cell>
          <cell r="AG217">
            <v>308.02199999999999</v>
          </cell>
          <cell r="AH217">
            <v>308.02199999999999</v>
          </cell>
          <cell r="AI217">
            <v>350.47</v>
          </cell>
          <cell r="AJ217">
            <v>347.47</v>
          </cell>
          <cell r="AK217">
            <v>334.09399999999999</v>
          </cell>
          <cell r="AL217">
            <v>319.73500000000001</v>
          </cell>
          <cell r="AM217">
            <v>319.73500000000001</v>
          </cell>
          <cell r="AN217">
            <v>350.47</v>
          </cell>
          <cell r="AO217">
            <v>347.47</v>
          </cell>
          <cell r="AP217">
            <v>334.09399999999999</v>
          </cell>
          <cell r="AQ217">
            <v>319.73500000000001</v>
          </cell>
          <cell r="AR217">
            <v>319.73500000000001</v>
          </cell>
          <cell r="AS217">
            <v>314.24700000000001</v>
          </cell>
          <cell r="AT217">
            <v>323.96300000000002</v>
          </cell>
          <cell r="AU217">
            <v>321.02499999999998</v>
          </cell>
          <cell r="AV217">
            <v>310.77499999999998</v>
          </cell>
          <cell r="AW217">
            <v>310.77499999999998</v>
          </cell>
          <cell r="AX217">
            <v>344.267</v>
          </cell>
          <cell r="AY217">
            <v>338.76299999999998</v>
          </cell>
          <cell r="AZ217">
            <v>328.05099999999999</v>
          </cell>
          <cell r="BA217">
            <v>317.55200000000002</v>
          </cell>
          <cell r="BB217">
            <v>317.55200000000002</v>
          </cell>
          <cell r="BC217">
            <v>359.87</v>
          </cell>
          <cell r="BD217">
            <v>365.24200000000002</v>
          </cell>
          <cell r="BE217">
            <v>343.26400000000001</v>
          </cell>
          <cell r="BF217">
            <v>334.358</v>
          </cell>
          <cell r="BG217">
            <v>334.358</v>
          </cell>
          <cell r="BH217">
            <v>378.42200000000003</v>
          </cell>
          <cell r="BI217">
            <v>382.40735507039557</v>
          </cell>
          <cell r="BJ217">
            <v>361.19666170180301</v>
          </cell>
          <cell r="BK217">
            <v>350.67536924006913</v>
          </cell>
          <cell r="BL217">
            <v>350.67536924006913</v>
          </cell>
          <cell r="BM217">
            <v>364.18711463423773</v>
          </cell>
          <cell r="BN217">
            <v>375.98993253059467</v>
          </cell>
          <cell r="BO217">
            <v>388.38865458697001</v>
          </cell>
          <cell r="BR217" t="str">
            <v xml:space="preserve">  Deferred revenue</v>
          </cell>
          <cell r="BS217">
            <v>102.36799999999999</v>
          </cell>
          <cell r="BT217">
            <v>125.23</v>
          </cell>
          <cell r="BU217">
            <v>144.71100000000001</v>
          </cell>
          <cell r="BV217">
            <v>152.94399999999999</v>
          </cell>
          <cell r="BW217">
            <v>271.3</v>
          </cell>
          <cell r="BX217">
            <v>289.21699999999998</v>
          </cell>
          <cell r="BY217">
            <v>308.02199999999999</v>
          </cell>
          <cell r="BZ217">
            <v>319.73500000000001</v>
          </cell>
          <cell r="CA217">
            <v>310.77499999999998</v>
          </cell>
          <cell r="CB217">
            <v>317.55200000000002</v>
          </cell>
          <cell r="CC217">
            <v>334.358</v>
          </cell>
          <cell r="CD217">
            <v>350.67536924006913</v>
          </cell>
          <cell r="CE217">
            <v>364.18711463423773</v>
          </cell>
          <cell r="CF217">
            <v>375.98993253059467</v>
          </cell>
          <cell r="CG217">
            <v>388.38865458697001</v>
          </cell>
          <cell r="CI217" t="str">
            <v>mstag:deferredRevenueCurrent</v>
          </cell>
          <cell r="CJ217">
            <v>6</v>
          </cell>
          <cell r="CK217" t="str">
            <v>ISO4217:USD</v>
          </cell>
          <cell r="CL217" t="b">
            <v>0</v>
          </cell>
          <cell r="CO217">
            <v>-114.464</v>
          </cell>
        </row>
        <row r="219">
          <cell r="A219" t="str">
            <v xml:space="preserve">Total Current Liabilities </v>
          </cell>
          <cell r="C219">
            <v>220.982</v>
          </cell>
          <cell r="D219">
            <v>220.982</v>
          </cell>
          <cell r="E219" t="str">
            <v>ND</v>
          </cell>
          <cell r="F219" t="str">
            <v>ND</v>
          </cell>
          <cell r="G219">
            <v>821.27700000000004</v>
          </cell>
          <cell r="H219">
            <v>244.93099999999998</v>
          </cell>
          <cell r="I219">
            <v>244.93099999999998</v>
          </cell>
          <cell r="J219">
            <v>288.423</v>
          </cell>
          <cell r="K219">
            <v>305.40800000000002</v>
          </cell>
          <cell r="L219">
            <v>282.71899999999999</v>
          </cell>
          <cell r="M219">
            <v>291.09399999999999</v>
          </cell>
          <cell r="N219">
            <v>291.09399999999999</v>
          </cell>
          <cell r="O219">
            <v>291.50900000000001</v>
          </cell>
          <cell r="P219">
            <v>308.52300000000002</v>
          </cell>
          <cell r="Q219">
            <v>311.923</v>
          </cell>
          <cell r="R219">
            <v>292.5</v>
          </cell>
          <cell r="S219">
            <v>292.5</v>
          </cell>
          <cell r="T219">
            <v>262.40999999999997</v>
          </cell>
          <cell r="U219">
            <v>249.17400000000001</v>
          </cell>
          <cell r="V219">
            <v>409.32400000000001</v>
          </cell>
          <cell r="W219">
            <v>466.92400000000004</v>
          </cell>
          <cell r="X219">
            <v>466.92400000000004</v>
          </cell>
          <cell r="Y219">
            <v>378.01700000000005</v>
          </cell>
          <cell r="Z219">
            <v>423.56600000000003</v>
          </cell>
          <cell r="AA219">
            <v>433.89400000000001</v>
          </cell>
          <cell r="AB219">
            <v>452.80499999999995</v>
          </cell>
          <cell r="AC219">
            <v>452.80499999999995</v>
          </cell>
          <cell r="AD219">
            <v>421.19100000000003</v>
          </cell>
          <cell r="AE219">
            <v>483.83</v>
          </cell>
          <cell r="AF219">
            <v>493.505</v>
          </cell>
          <cell r="AG219">
            <v>509.94499999999999</v>
          </cell>
          <cell r="AH219">
            <v>509.94499999999999</v>
          </cell>
          <cell r="AI219">
            <v>482.851</v>
          </cell>
          <cell r="AJ219">
            <v>496.46600000000001</v>
          </cell>
          <cell r="AK219">
            <v>531.95299999999997</v>
          </cell>
          <cell r="AL219">
            <v>503.041</v>
          </cell>
          <cell r="AM219">
            <v>503.041</v>
          </cell>
          <cell r="AN219">
            <v>482.851</v>
          </cell>
          <cell r="AO219">
            <v>496.46600000000001</v>
          </cell>
          <cell r="AP219">
            <v>531.95299999999997</v>
          </cell>
          <cell r="AQ219">
            <v>503.041</v>
          </cell>
          <cell r="AR219">
            <v>503.041</v>
          </cell>
          <cell r="AS219">
            <v>546.65100000000007</v>
          </cell>
          <cell r="AT219">
            <v>475.49099999999999</v>
          </cell>
          <cell r="AU219">
            <v>498.63900000000001</v>
          </cell>
          <cell r="AV219">
            <v>472.91199999999998</v>
          </cell>
          <cell r="AW219">
            <v>472.91199999999998</v>
          </cell>
          <cell r="AX219">
            <v>451.76</v>
          </cell>
          <cell r="AY219">
            <v>458.63199999999995</v>
          </cell>
          <cell r="AZ219">
            <v>490.964</v>
          </cell>
          <cell r="BA219">
            <v>498.11599999999999</v>
          </cell>
          <cell r="BB219">
            <v>498.11599999999999</v>
          </cell>
          <cell r="BC219">
            <v>468.471</v>
          </cell>
          <cell r="BD219">
            <v>509.70400000000001</v>
          </cell>
          <cell r="BE219">
            <v>516.77700000000004</v>
          </cell>
          <cell r="BF219">
            <v>536.56999999999994</v>
          </cell>
          <cell r="BG219">
            <v>536.56999999999994</v>
          </cell>
          <cell r="BH219">
            <v>496.34800000000001</v>
          </cell>
          <cell r="BI219">
            <v>541.51554131773696</v>
          </cell>
          <cell r="BJ219">
            <v>552.750094023217</v>
          </cell>
          <cell r="BK219">
            <v>572.87489596266937</v>
          </cell>
          <cell r="BL219">
            <v>572.87489596266937</v>
          </cell>
          <cell r="BM219">
            <v>601.69623681679388</v>
          </cell>
          <cell r="BN219">
            <v>629.94564039412739</v>
          </cell>
          <cell r="BO219">
            <v>660.45861189909647</v>
          </cell>
          <cell r="BR219" t="str">
            <v xml:space="preserve">Total Current Liabilities </v>
          </cell>
          <cell r="BS219">
            <v>220.982</v>
          </cell>
          <cell r="BT219">
            <v>244.93099999999998</v>
          </cell>
          <cell r="BU219">
            <v>291.09399999999999</v>
          </cell>
          <cell r="BV219">
            <v>292.5</v>
          </cell>
          <cell r="BW219">
            <v>466.92400000000004</v>
          </cell>
          <cell r="BX219">
            <v>452.80499999999995</v>
          </cell>
          <cell r="BY219">
            <v>509.94499999999999</v>
          </cell>
          <cell r="BZ219">
            <v>503.041</v>
          </cell>
          <cell r="CA219">
            <v>472.91199999999998</v>
          </cell>
          <cell r="CB219">
            <v>498.11599999999999</v>
          </cell>
          <cell r="CC219">
            <v>536.56999999999994</v>
          </cell>
          <cell r="CD219">
            <v>572.87489596266937</v>
          </cell>
          <cell r="CE219">
            <v>601.69623681679388</v>
          </cell>
          <cell r="CF219">
            <v>629.94564039412739</v>
          </cell>
          <cell r="CG219">
            <v>660.45861189909647</v>
          </cell>
        </row>
        <row r="221">
          <cell r="A221" t="str">
            <v>Long term debt, net of current portion</v>
          </cell>
          <cell r="C221">
            <v>0</v>
          </cell>
          <cell r="D221">
            <v>0</v>
          </cell>
          <cell r="E221" t="str">
            <v>ND</v>
          </cell>
          <cell r="F221" t="str">
            <v>ND</v>
          </cell>
          <cell r="G221">
            <v>0</v>
          </cell>
          <cell r="H221">
            <v>402.75</v>
          </cell>
          <cell r="I221">
            <v>402.75</v>
          </cell>
          <cell r="J221">
            <v>397.202</v>
          </cell>
          <cell r="K221">
            <v>391.625</v>
          </cell>
          <cell r="L221">
            <v>385.06700000000001</v>
          </cell>
          <cell r="M221">
            <v>379.709</v>
          </cell>
          <cell r="N221">
            <v>379.709</v>
          </cell>
          <cell r="O221">
            <v>369.18799999999999</v>
          </cell>
          <cell r="P221">
            <v>358.66500000000002</v>
          </cell>
          <cell r="Q221">
            <v>348.14400000000001</v>
          </cell>
          <cell r="R221">
            <v>337.62200000000001</v>
          </cell>
          <cell r="S221">
            <v>337.62200000000001</v>
          </cell>
          <cell r="T221">
            <v>327.09899999999999</v>
          </cell>
          <cell r="U221">
            <v>62.325000000000003</v>
          </cell>
          <cell r="V221">
            <v>1254.048</v>
          </cell>
          <cell r="W221">
            <v>1207.8810000000001</v>
          </cell>
          <cell r="X221">
            <v>1207.8810000000001</v>
          </cell>
          <cell r="Y221">
            <v>1109.2840000000001</v>
          </cell>
          <cell r="Z221">
            <v>1106.7</v>
          </cell>
          <cell r="AA221">
            <v>1104.116</v>
          </cell>
          <cell r="AB221">
            <v>1066.548</v>
          </cell>
          <cell r="AC221">
            <v>1066.548</v>
          </cell>
          <cell r="AD221">
            <v>1063.962</v>
          </cell>
          <cell r="AE221">
            <v>833.17499999999995</v>
          </cell>
          <cell r="AF221">
            <v>822.40099999999995</v>
          </cell>
          <cell r="AG221">
            <v>811.62300000000005</v>
          </cell>
          <cell r="AH221">
            <v>811.62300000000005</v>
          </cell>
          <cell r="AI221">
            <v>785.85599999999999</v>
          </cell>
          <cell r="AJ221">
            <v>775.072</v>
          </cell>
          <cell r="AK221">
            <v>753.28499999999997</v>
          </cell>
          <cell r="AL221">
            <v>788.01</v>
          </cell>
          <cell r="AM221">
            <v>788.01</v>
          </cell>
          <cell r="AN221">
            <v>785.85599999999999</v>
          </cell>
          <cell r="AO221">
            <v>775.072</v>
          </cell>
          <cell r="AP221">
            <v>753.28499999999997</v>
          </cell>
          <cell r="AQ221">
            <v>788.01</v>
          </cell>
          <cell r="AR221">
            <v>788.01</v>
          </cell>
          <cell r="AS221">
            <v>783.06500000000005</v>
          </cell>
          <cell r="AT221">
            <v>778.11900000000003</v>
          </cell>
          <cell r="AU221">
            <v>773.173</v>
          </cell>
          <cell r="AV221">
            <v>800</v>
          </cell>
          <cell r="AW221">
            <v>800</v>
          </cell>
          <cell r="AX221">
            <v>800</v>
          </cell>
          <cell r="AY221">
            <v>800</v>
          </cell>
          <cell r="AZ221">
            <v>1578.8489999999999</v>
          </cell>
          <cell r="BA221">
            <v>1579.404</v>
          </cell>
          <cell r="BB221">
            <v>1579.404</v>
          </cell>
          <cell r="BC221">
            <v>1579.96</v>
          </cell>
          <cell r="BD221">
            <v>1580.5150000000001</v>
          </cell>
          <cell r="BE221">
            <v>2074.4780000000001</v>
          </cell>
          <cell r="BF221">
            <v>2075.201</v>
          </cell>
          <cell r="BG221">
            <v>2075.201</v>
          </cell>
          <cell r="BH221">
            <v>2075.924</v>
          </cell>
          <cell r="BI221">
            <v>2075.924</v>
          </cell>
          <cell r="BJ221">
            <v>2075.924</v>
          </cell>
          <cell r="BK221">
            <v>2075.924</v>
          </cell>
          <cell r="BL221">
            <v>2075.924</v>
          </cell>
          <cell r="BM221">
            <v>2075.924</v>
          </cell>
          <cell r="BN221">
            <v>2075.924</v>
          </cell>
          <cell r="BO221">
            <v>2075.924</v>
          </cell>
          <cell r="BR221" t="str">
            <v>Long term debt, net of current portion</v>
          </cell>
          <cell r="BS221">
            <v>0</v>
          </cell>
          <cell r="BT221">
            <v>402.75</v>
          </cell>
          <cell r="BU221">
            <v>379.709</v>
          </cell>
          <cell r="BV221">
            <v>337.62200000000001</v>
          </cell>
          <cell r="BW221">
            <v>1207.8810000000001</v>
          </cell>
          <cell r="BX221">
            <v>1066.548</v>
          </cell>
          <cell r="BY221">
            <v>811.62300000000005</v>
          </cell>
          <cell r="BZ221">
            <v>788.01</v>
          </cell>
          <cell r="CA221">
            <v>800</v>
          </cell>
          <cell r="CB221">
            <v>1579.404</v>
          </cell>
          <cell r="CC221">
            <v>2075.201</v>
          </cell>
          <cell r="CD221">
            <v>2075.924</v>
          </cell>
          <cell r="CE221">
            <v>2075.924</v>
          </cell>
          <cell r="CF221">
            <v>2075.924</v>
          </cell>
          <cell r="CG221">
            <v>2075.924</v>
          </cell>
          <cell r="CI221" t="str">
            <v>mstag:longTermDebt</v>
          </cell>
          <cell r="CJ221">
            <v>6</v>
          </cell>
          <cell r="CK221" t="str">
            <v>ISO4217:USD</v>
          </cell>
          <cell r="CL221" t="b">
            <v>0</v>
          </cell>
          <cell r="CO221">
            <v>-284.68799999999999</v>
          </cell>
        </row>
        <row r="222">
          <cell r="A222" t="str">
            <v>Deferred tax liabilities</v>
          </cell>
          <cell r="C222">
            <v>66.081000000000003</v>
          </cell>
          <cell r="D222">
            <v>66.081000000000003</v>
          </cell>
          <cell r="E222" t="str">
            <v>ND</v>
          </cell>
          <cell r="F222" t="str">
            <v>ND</v>
          </cell>
          <cell r="G222">
            <v>59.487000000000002</v>
          </cell>
          <cell r="H222">
            <v>56.976999999999997</v>
          </cell>
          <cell r="I222">
            <v>56.976999999999997</v>
          </cell>
          <cell r="J222">
            <v>54.472000000000001</v>
          </cell>
          <cell r="K222">
            <v>54.883000000000003</v>
          </cell>
          <cell r="L222">
            <v>52.316000000000003</v>
          </cell>
          <cell r="M222">
            <v>49.363999999999997</v>
          </cell>
          <cell r="N222">
            <v>49.363999999999997</v>
          </cell>
          <cell r="O222">
            <v>46.895000000000003</v>
          </cell>
          <cell r="P222">
            <v>45.834000000000003</v>
          </cell>
          <cell r="Q222">
            <v>43.023000000000003</v>
          </cell>
          <cell r="R222">
            <v>40.08</v>
          </cell>
          <cell r="S222">
            <v>40.08</v>
          </cell>
          <cell r="T222">
            <v>38.442999999999998</v>
          </cell>
          <cell r="U222">
            <v>36.712000000000003</v>
          </cell>
          <cell r="V222">
            <v>223.73599999999999</v>
          </cell>
          <cell r="W222">
            <v>240.94399999999999</v>
          </cell>
          <cell r="X222">
            <v>240.94399999999999</v>
          </cell>
          <cell r="Y222">
            <v>246.89699999999999</v>
          </cell>
          <cell r="Z222">
            <v>241.53800000000001</v>
          </cell>
          <cell r="AA222">
            <v>236.37200000000001</v>
          </cell>
          <cell r="AB222">
            <v>240.45599999999999</v>
          </cell>
          <cell r="AC222">
            <v>240.45599999999999</v>
          </cell>
          <cell r="AD222">
            <v>235.429</v>
          </cell>
          <cell r="AE222">
            <v>230.232</v>
          </cell>
          <cell r="AF222">
            <v>226.79599999999999</v>
          </cell>
          <cell r="AG222">
            <v>234.245</v>
          </cell>
          <cell r="AH222">
            <v>234.245</v>
          </cell>
          <cell r="AI222">
            <v>234.5</v>
          </cell>
          <cell r="AJ222">
            <v>235.066</v>
          </cell>
          <cell r="AK222">
            <v>229.87700000000001</v>
          </cell>
          <cell r="AL222">
            <v>221.054</v>
          </cell>
          <cell r="AM222">
            <v>221.054</v>
          </cell>
          <cell r="AN222">
            <v>234.5</v>
          </cell>
          <cell r="AO222">
            <v>235.066</v>
          </cell>
          <cell r="AP222">
            <v>229.87700000000001</v>
          </cell>
          <cell r="AQ222">
            <v>234.649</v>
          </cell>
          <cell r="AR222">
            <v>234.649</v>
          </cell>
          <cell r="AS222">
            <v>159.14099999999999</v>
          </cell>
          <cell r="AT222">
            <v>172.24100000000001</v>
          </cell>
          <cell r="AU222">
            <v>171.68100000000001</v>
          </cell>
          <cell r="AV222">
            <v>137.83799999999999</v>
          </cell>
          <cell r="AW222">
            <v>137.83799999999999</v>
          </cell>
          <cell r="AX222">
            <v>136.79300000000001</v>
          </cell>
          <cell r="AY222">
            <v>128.36600000000001</v>
          </cell>
          <cell r="AZ222">
            <v>123.011</v>
          </cell>
          <cell r="BA222">
            <v>110.937</v>
          </cell>
          <cell r="BB222">
            <v>110.937</v>
          </cell>
          <cell r="BC222">
            <v>106</v>
          </cell>
          <cell r="BD222">
            <v>105.006</v>
          </cell>
          <cell r="BE222">
            <v>102.499</v>
          </cell>
          <cell r="BF222">
            <v>94.066999999999993</v>
          </cell>
          <cell r="BG222">
            <v>94.066999999999993</v>
          </cell>
          <cell r="BH222">
            <v>91.844999999999999</v>
          </cell>
          <cell r="BI222">
            <v>91.844999999999999</v>
          </cell>
          <cell r="BJ222">
            <v>91.844999999999999</v>
          </cell>
          <cell r="BK222">
            <v>91.844999999999999</v>
          </cell>
          <cell r="BL222">
            <v>91.844999999999999</v>
          </cell>
          <cell r="BM222">
            <v>91.844999999999999</v>
          </cell>
          <cell r="BN222">
            <v>91.844999999999999</v>
          </cell>
          <cell r="BO222">
            <v>91.844999999999999</v>
          </cell>
          <cell r="BR222" t="str">
            <v>Deferred tax liabilities</v>
          </cell>
          <cell r="BS222">
            <v>66.081000000000003</v>
          </cell>
          <cell r="BT222">
            <v>56.976999999999997</v>
          </cell>
          <cell r="BU222">
            <v>49.363999999999997</v>
          </cell>
          <cell r="BV222">
            <v>40.08</v>
          </cell>
          <cell r="BW222">
            <v>240.94399999999999</v>
          </cell>
          <cell r="BX222">
            <v>240.45599999999999</v>
          </cell>
          <cell r="BY222">
            <v>234.245</v>
          </cell>
          <cell r="BZ222">
            <v>234.649</v>
          </cell>
          <cell r="CA222">
            <v>137.83799999999999</v>
          </cell>
          <cell r="CB222">
            <v>110.937</v>
          </cell>
          <cell r="CC222">
            <v>94.066999999999993</v>
          </cell>
          <cell r="CD222">
            <v>91.844999999999999</v>
          </cell>
          <cell r="CE222">
            <v>91.844999999999999</v>
          </cell>
          <cell r="CF222">
            <v>91.844999999999999</v>
          </cell>
          <cell r="CG222">
            <v>91.844999999999999</v>
          </cell>
          <cell r="CI222" t="str">
            <v>mstag:deferredTaxLiabilitiesNonCurrent</v>
          </cell>
          <cell r="CJ222">
            <v>6</v>
          </cell>
          <cell r="CK222" t="str">
            <v>ISO4217:USD</v>
          </cell>
          <cell r="CL222" t="b">
            <v>0</v>
          </cell>
          <cell r="CO222">
            <v>-247.72499999999999</v>
          </cell>
        </row>
        <row r="223">
          <cell r="A223" t="str">
            <v>Other non-current liabilities</v>
          </cell>
          <cell r="C223">
            <v>0</v>
          </cell>
          <cell r="D223">
            <v>0</v>
          </cell>
          <cell r="E223" t="str">
            <v>ND</v>
          </cell>
          <cell r="F223" t="str">
            <v>ND</v>
          </cell>
          <cell r="G223">
            <v>0</v>
          </cell>
          <cell r="H223">
            <v>0</v>
          </cell>
          <cell r="I223">
            <v>0</v>
          </cell>
          <cell r="J223">
            <v>0</v>
          </cell>
          <cell r="K223">
            <v>0</v>
          </cell>
          <cell r="L223">
            <v>0</v>
          </cell>
          <cell r="M223">
            <v>8.4990000000000006</v>
          </cell>
          <cell r="N223">
            <v>8.4990000000000006</v>
          </cell>
          <cell r="O223">
            <v>9.2880000000000003</v>
          </cell>
          <cell r="P223">
            <v>10.401999999999999</v>
          </cell>
          <cell r="Q223">
            <v>10.395</v>
          </cell>
          <cell r="R223">
            <v>23.010999999999999</v>
          </cell>
          <cell r="S223">
            <v>23.010999999999999</v>
          </cell>
          <cell r="T223">
            <v>22.260999999999999</v>
          </cell>
          <cell r="U223">
            <v>23.286000000000001</v>
          </cell>
          <cell r="V223">
            <v>27.146999999999998</v>
          </cell>
          <cell r="W223">
            <v>27.3</v>
          </cell>
          <cell r="X223">
            <v>27.3</v>
          </cell>
          <cell r="Y223">
            <v>26.263000000000002</v>
          </cell>
          <cell r="Z223">
            <v>28.738</v>
          </cell>
          <cell r="AA223">
            <v>27.884</v>
          </cell>
          <cell r="AB223">
            <v>27.754999999999999</v>
          </cell>
          <cell r="AC223">
            <v>27.754999999999999</v>
          </cell>
          <cell r="AD223">
            <v>27.861000000000001</v>
          </cell>
          <cell r="AE223">
            <v>37.997</v>
          </cell>
          <cell r="AF223">
            <v>42.426000000000002</v>
          </cell>
          <cell r="AG223">
            <v>38.594999999999999</v>
          </cell>
          <cell r="AH223">
            <v>38.594999999999999</v>
          </cell>
          <cell r="AI223">
            <v>39.914999999999999</v>
          </cell>
          <cell r="AJ223">
            <v>42.665999999999997</v>
          </cell>
          <cell r="AK223">
            <v>44.326999999999998</v>
          </cell>
          <cell r="AL223">
            <v>46.067999999999998</v>
          </cell>
          <cell r="AM223">
            <v>46.067999999999998</v>
          </cell>
          <cell r="AN223">
            <v>39.914999999999999</v>
          </cell>
          <cell r="AO223">
            <v>42.665999999999997</v>
          </cell>
          <cell r="AP223">
            <v>44.326999999999998</v>
          </cell>
          <cell r="AQ223">
            <v>46.067999999999998</v>
          </cell>
          <cell r="AR223">
            <v>46.067999999999998</v>
          </cell>
          <cell r="AS223">
            <v>41.23</v>
          </cell>
          <cell r="AT223">
            <v>40.706000000000003</v>
          </cell>
          <cell r="AU223">
            <v>40.252000000000002</v>
          </cell>
          <cell r="AV223">
            <v>50.591999999999999</v>
          </cell>
          <cell r="AW223">
            <v>50.591999999999999</v>
          </cell>
          <cell r="AX223">
            <v>52.274000000000001</v>
          </cell>
          <cell r="AY223">
            <v>54.915999999999997</v>
          </cell>
          <cell r="AZ223">
            <v>54.862000000000002</v>
          </cell>
          <cell r="BA223">
            <v>57.042999999999999</v>
          </cell>
          <cell r="BB223">
            <v>57.042999999999999</v>
          </cell>
          <cell r="BC223">
            <v>61.55</v>
          </cell>
          <cell r="BD223">
            <v>60.607999999999997</v>
          </cell>
          <cell r="BE223">
            <v>61.811</v>
          </cell>
          <cell r="BF223">
            <v>59.134999999999998</v>
          </cell>
          <cell r="BG223">
            <v>59.134999999999998</v>
          </cell>
          <cell r="BH223">
            <v>62.183</v>
          </cell>
          <cell r="BI223">
            <v>62.183</v>
          </cell>
          <cell r="BJ223">
            <v>62.183</v>
          </cell>
          <cell r="BK223">
            <v>62.183</v>
          </cell>
          <cell r="BL223">
            <v>62.183</v>
          </cell>
          <cell r="BM223">
            <v>62.183</v>
          </cell>
          <cell r="BN223">
            <v>62.183</v>
          </cell>
          <cell r="BO223">
            <v>62.183</v>
          </cell>
          <cell r="BR223" t="str">
            <v>Other non-current liabilities</v>
          </cell>
          <cell r="BS223">
            <v>0</v>
          </cell>
          <cell r="BT223">
            <v>0</v>
          </cell>
          <cell r="BU223">
            <v>8.4990000000000006</v>
          </cell>
          <cell r="BV223">
            <v>23.010999999999999</v>
          </cell>
          <cell r="BW223">
            <v>27.3</v>
          </cell>
          <cell r="BX223">
            <v>27.754999999999999</v>
          </cell>
          <cell r="BY223">
            <v>38.594999999999999</v>
          </cell>
          <cell r="BZ223">
            <v>46.067999999999998</v>
          </cell>
          <cell r="CA223">
            <v>50.591999999999999</v>
          </cell>
          <cell r="CB223">
            <v>57.042999999999999</v>
          </cell>
          <cell r="CC223">
            <v>59.134999999999998</v>
          </cell>
          <cell r="CD223">
            <v>62.183</v>
          </cell>
          <cell r="CE223">
            <v>62.183</v>
          </cell>
          <cell r="CF223">
            <v>62.183</v>
          </cell>
          <cell r="CG223">
            <v>62.183</v>
          </cell>
          <cell r="CI223" t="str">
            <v>mstag:otherLiabilitiesOperatingNonCurrent</v>
          </cell>
          <cell r="CJ223">
            <v>6</v>
          </cell>
          <cell r="CK223" t="str">
            <v>ISO4217:USD</v>
          </cell>
          <cell r="CL223" t="b">
            <v>0</v>
          </cell>
          <cell r="CO223">
            <v>-18.105</v>
          </cell>
        </row>
        <row r="225">
          <cell r="A225" t="str">
            <v>Total Liabilities</v>
          </cell>
          <cell r="C225">
            <v>287.06299999999999</v>
          </cell>
          <cell r="D225">
            <v>287.06299999999999</v>
          </cell>
          <cell r="E225" t="str">
            <v>ND</v>
          </cell>
          <cell r="F225" t="str">
            <v>ND</v>
          </cell>
          <cell r="G225">
            <v>880.76400000000001</v>
          </cell>
          <cell r="H225">
            <v>704.6579999999999</v>
          </cell>
          <cell r="I225">
            <v>704.6579999999999</v>
          </cell>
          <cell r="J225">
            <v>740.09699999999998</v>
          </cell>
          <cell r="K225">
            <v>751.91599999999994</v>
          </cell>
          <cell r="L225">
            <v>720.10200000000009</v>
          </cell>
          <cell r="M225">
            <v>728.66599999999994</v>
          </cell>
          <cell r="N225">
            <v>728.66599999999994</v>
          </cell>
          <cell r="O225">
            <v>716.88</v>
          </cell>
          <cell r="P225">
            <v>723.42399999999998</v>
          </cell>
          <cell r="Q225">
            <v>713.48500000000001</v>
          </cell>
          <cell r="R225">
            <v>693.21299999999997</v>
          </cell>
          <cell r="S225">
            <v>693.21299999999997</v>
          </cell>
          <cell r="T225">
            <v>650.21299999999997</v>
          </cell>
          <cell r="U225">
            <v>371.49700000000001</v>
          </cell>
          <cell r="V225">
            <v>1914.2550000000001</v>
          </cell>
          <cell r="W225">
            <v>1943.049</v>
          </cell>
          <cell r="X225">
            <v>1943.049</v>
          </cell>
          <cell r="Y225">
            <v>1760.461</v>
          </cell>
          <cell r="Z225">
            <v>1800.5420000000001</v>
          </cell>
          <cell r="AA225">
            <v>1802.2660000000001</v>
          </cell>
          <cell r="AB225">
            <v>1787.5639999999999</v>
          </cell>
          <cell r="AC225">
            <v>1787.5639999999999</v>
          </cell>
          <cell r="AD225">
            <v>1748.4430000000002</v>
          </cell>
          <cell r="AE225">
            <v>1585.2339999999999</v>
          </cell>
          <cell r="AF225">
            <v>1585.1279999999997</v>
          </cell>
          <cell r="AG225">
            <v>1594.4079999999999</v>
          </cell>
          <cell r="AH225">
            <v>1594.4079999999999</v>
          </cell>
          <cell r="AI225">
            <v>1543.1219999999998</v>
          </cell>
          <cell r="AJ225">
            <v>1549.27</v>
          </cell>
          <cell r="AK225">
            <v>1559.442</v>
          </cell>
          <cell r="AL225">
            <v>1558.173</v>
          </cell>
          <cell r="AM225">
            <v>1558.173</v>
          </cell>
          <cell r="AN225">
            <v>1543.1219999999998</v>
          </cell>
          <cell r="AO225">
            <v>1549.27</v>
          </cell>
          <cell r="AP225">
            <v>1559.442</v>
          </cell>
          <cell r="AQ225">
            <v>1571.768</v>
          </cell>
          <cell r="AR225">
            <v>1558.173</v>
          </cell>
          <cell r="AS225">
            <v>1530.087</v>
          </cell>
          <cell r="AT225">
            <v>1466.557</v>
          </cell>
          <cell r="AU225">
            <v>1483.7449999999999</v>
          </cell>
          <cell r="AV225">
            <v>1461.3419999999999</v>
          </cell>
          <cell r="AW225">
            <v>1461.3419999999999</v>
          </cell>
          <cell r="AX225">
            <v>1440.827</v>
          </cell>
          <cell r="AY225">
            <v>1441.9139999999998</v>
          </cell>
          <cell r="AZ225">
            <v>2247.6860000000001</v>
          </cell>
          <cell r="BA225">
            <v>2245.5</v>
          </cell>
          <cell r="BB225">
            <v>2245.5</v>
          </cell>
          <cell r="BC225">
            <v>2215.9809999999998</v>
          </cell>
          <cell r="BD225">
            <v>2255.8330000000001</v>
          </cell>
          <cell r="BE225">
            <v>2755.5650000000001</v>
          </cell>
          <cell r="BF225">
            <v>2764.973</v>
          </cell>
          <cell r="BG225">
            <v>2764.973</v>
          </cell>
          <cell r="BH225">
            <v>2726.2999999999997</v>
          </cell>
          <cell r="BI225">
            <v>2771.4675413177365</v>
          </cell>
          <cell r="BJ225">
            <v>2782.7020940232169</v>
          </cell>
          <cell r="BK225">
            <v>2802.8268959626694</v>
          </cell>
          <cell r="BL225">
            <v>2802.8268959626694</v>
          </cell>
          <cell r="BM225">
            <v>2831.6482368167935</v>
          </cell>
          <cell r="BN225">
            <v>2859.8976403941269</v>
          </cell>
          <cell r="BO225">
            <v>2890.4106118990962</v>
          </cell>
          <cell r="BR225" t="str">
            <v>Total Liabilities</v>
          </cell>
          <cell r="BS225">
            <v>287.06299999999999</v>
          </cell>
          <cell r="BT225">
            <v>704.6579999999999</v>
          </cell>
          <cell r="BU225">
            <v>728.66599999999994</v>
          </cell>
          <cell r="BV225">
            <v>693.21299999999997</v>
          </cell>
          <cell r="BW225">
            <v>1943.049</v>
          </cell>
          <cell r="BX225">
            <v>1787.5639999999999</v>
          </cell>
          <cell r="BY225">
            <v>1594.4079999999999</v>
          </cell>
          <cell r="BZ225">
            <v>1558.173</v>
          </cell>
          <cell r="CA225">
            <v>1461.3419999999999</v>
          </cell>
          <cell r="CB225">
            <v>2245.5</v>
          </cell>
          <cell r="CC225">
            <v>2764.973</v>
          </cell>
          <cell r="CD225">
            <v>2802.8268959626694</v>
          </cell>
          <cell r="CE225">
            <v>2831.6482368167935</v>
          </cell>
          <cell r="CF225">
            <v>2859.8976403941269</v>
          </cell>
          <cell r="CG225">
            <v>2890.4106118990962</v>
          </cell>
        </row>
        <row r="227">
          <cell r="A227" t="str">
            <v>Stockholders' Equity</v>
          </cell>
        </row>
        <row r="228">
          <cell r="A228" t="str">
            <v>Common stock</v>
          </cell>
          <cell r="C228">
            <v>2.9000000000000001E-2</v>
          </cell>
          <cell r="D228">
            <v>2.9000000000000001E-2</v>
          </cell>
          <cell r="E228" t="str">
            <v>ND</v>
          </cell>
          <cell r="F228" t="str">
            <v>ND</v>
          </cell>
          <cell r="G228">
            <v>2.9000000000000001E-2</v>
          </cell>
          <cell r="H228">
            <v>1</v>
          </cell>
          <cell r="I228">
            <v>1</v>
          </cell>
          <cell r="J228">
            <v>1</v>
          </cell>
          <cell r="K228">
            <v>1.0009999999999999</v>
          </cell>
          <cell r="L228">
            <v>1.0009999999999999</v>
          </cell>
          <cell r="M228">
            <v>1.0009999999999999</v>
          </cell>
          <cell r="N228">
            <v>1.0009999999999999</v>
          </cell>
          <cell r="O228">
            <v>1.0009999999999999</v>
          </cell>
          <cell r="P228">
            <v>1.002</v>
          </cell>
          <cell r="Q228">
            <v>1.002</v>
          </cell>
          <cell r="R228">
            <v>1.054</v>
          </cell>
          <cell r="S228">
            <v>1.054</v>
          </cell>
          <cell r="T228">
            <v>1.0569999999999999</v>
          </cell>
          <cell r="U228">
            <v>1.0569999999999999</v>
          </cell>
          <cell r="V228">
            <v>1.1930000000000001</v>
          </cell>
          <cell r="W228">
            <v>1.2050000000000001</v>
          </cell>
          <cell r="X228">
            <v>1.2050000000000001</v>
          </cell>
          <cell r="Y228">
            <v>1.212</v>
          </cell>
          <cell r="Z228">
            <v>1.216</v>
          </cell>
          <cell r="AA228">
            <v>1.2170000000000001</v>
          </cell>
          <cell r="AB228">
            <v>1.2270000000000001</v>
          </cell>
          <cell r="AC228">
            <v>1.2270000000000001</v>
          </cell>
          <cell r="AD228">
            <v>1.2310000000000001</v>
          </cell>
          <cell r="AE228">
            <v>1.2330000000000001</v>
          </cell>
          <cell r="AF228">
            <v>1.236</v>
          </cell>
          <cell r="AG228">
            <v>1.24</v>
          </cell>
          <cell r="AH228">
            <v>1.24</v>
          </cell>
          <cell r="AI228">
            <v>1.2490000000000001</v>
          </cell>
          <cell r="AJ228">
            <v>1.2509999999999999</v>
          </cell>
          <cell r="AK228">
            <v>1.2529999999999999</v>
          </cell>
          <cell r="AL228">
            <v>1.256</v>
          </cell>
          <cell r="AM228">
            <v>1.256</v>
          </cell>
          <cell r="AN228">
            <v>1.2490000000000001</v>
          </cell>
          <cell r="AO228">
            <v>1.2509999999999999</v>
          </cell>
          <cell r="AP228">
            <v>1.2529999999999999</v>
          </cell>
          <cell r="AQ228">
            <v>1.256</v>
          </cell>
          <cell r="AR228">
            <v>1.256</v>
          </cell>
          <cell r="AS228">
            <v>1.2609999999999999</v>
          </cell>
          <cell r="AT228">
            <v>1.264</v>
          </cell>
          <cell r="AU228">
            <v>1.266</v>
          </cell>
          <cell r="AV228">
            <v>1.266</v>
          </cell>
          <cell r="AW228">
            <v>1.266</v>
          </cell>
          <cell r="AX228">
            <v>1.272</v>
          </cell>
          <cell r="AY228">
            <v>1.28</v>
          </cell>
          <cell r="AZ228">
            <v>1.2809999999999999</v>
          </cell>
          <cell r="BA228">
            <v>1.282</v>
          </cell>
          <cell r="BB228">
            <v>1.282</v>
          </cell>
          <cell r="BC228">
            <v>1.288</v>
          </cell>
          <cell r="BD228">
            <v>1.2889999999999999</v>
          </cell>
          <cell r="BE228">
            <v>1.29</v>
          </cell>
          <cell r="BF228">
            <v>1.29</v>
          </cell>
          <cell r="BG228">
            <v>1.29</v>
          </cell>
          <cell r="BH228">
            <v>1.294</v>
          </cell>
          <cell r="BI228">
            <v>1.294</v>
          </cell>
          <cell r="BJ228">
            <v>1.294</v>
          </cell>
          <cell r="BK228">
            <v>1.294</v>
          </cell>
          <cell r="BL228">
            <v>1.294</v>
          </cell>
          <cell r="BM228">
            <v>1.294</v>
          </cell>
          <cell r="BN228">
            <v>1.294</v>
          </cell>
          <cell r="BO228">
            <v>1.294</v>
          </cell>
          <cell r="BR228" t="str">
            <v>Common stock</v>
          </cell>
          <cell r="BS228">
            <v>2.9000000000000001E-2</v>
          </cell>
          <cell r="BT228">
            <v>1</v>
          </cell>
          <cell r="BU228">
            <v>1.0009999999999999</v>
          </cell>
          <cell r="BV228">
            <v>1.054</v>
          </cell>
          <cell r="BW228">
            <v>1.2050000000000001</v>
          </cell>
          <cell r="BX228">
            <v>1.2270000000000001</v>
          </cell>
          <cell r="BY228">
            <v>1.24</v>
          </cell>
          <cell r="BZ228">
            <v>1.256</v>
          </cell>
          <cell r="CA228">
            <v>1.266</v>
          </cell>
          <cell r="CB228">
            <v>1.282</v>
          </cell>
          <cell r="CC228">
            <v>1.29</v>
          </cell>
          <cell r="CD228">
            <v>1.294</v>
          </cell>
          <cell r="CE228">
            <v>1.294</v>
          </cell>
          <cell r="CF228">
            <v>1.294</v>
          </cell>
          <cell r="CG228">
            <v>1.294</v>
          </cell>
          <cell r="CI228" t="str">
            <v>mstag:commonStock</v>
          </cell>
          <cell r="CJ228">
            <v>6</v>
          </cell>
          <cell r="CK228" t="str">
            <v>ISO4217:USD</v>
          </cell>
          <cell r="CL228" t="b">
            <v>0</v>
          </cell>
        </row>
        <row r="229">
          <cell r="A229" t="str">
            <v xml:space="preserve"> Treasury shares</v>
          </cell>
          <cell r="C229">
            <v>0</v>
          </cell>
          <cell r="D229">
            <v>0</v>
          </cell>
          <cell r="E229" t="str">
            <v>ND</v>
          </cell>
          <cell r="F229" t="str">
            <v>ND</v>
          </cell>
          <cell r="G229">
            <v>0</v>
          </cell>
          <cell r="H229">
            <v>0</v>
          </cell>
          <cell r="I229">
            <v>0</v>
          </cell>
          <cell r="J229">
            <v>0</v>
          </cell>
          <cell r="K229">
            <v>-0.55700000000000005</v>
          </cell>
          <cell r="L229">
            <v>-0.58599999999999997</v>
          </cell>
          <cell r="M229">
            <v>-0.68100000000000005</v>
          </cell>
          <cell r="N229">
            <v>-0.68100000000000005</v>
          </cell>
          <cell r="O229">
            <v>-0.79100000000000004</v>
          </cell>
          <cell r="P229">
            <v>-1.286</v>
          </cell>
          <cell r="Q229">
            <v>-1.395</v>
          </cell>
          <cell r="R229">
            <v>-19.167999999999999</v>
          </cell>
          <cell r="S229">
            <v>-19.167999999999999</v>
          </cell>
          <cell r="T229">
            <v>-21.614000000000001</v>
          </cell>
          <cell r="U229">
            <v>-21.617999999999999</v>
          </cell>
          <cell r="V229">
            <v>-23.375</v>
          </cell>
          <cell r="W229">
            <v>-33.319000000000003</v>
          </cell>
          <cell r="X229">
            <v>-33.319000000000003</v>
          </cell>
          <cell r="Y229">
            <v>-38.097000000000001</v>
          </cell>
          <cell r="Z229">
            <v>-38.115000000000002</v>
          </cell>
          <cell r="AA229">
            <v>-38.142000000000003</v>
          </cell>
          <cell r="AB229">
            <v>-49.826999999999998</v>
          </cell>
          <cell r="AC229">
            <v>-49.826999999999998</v>
          </cell>
          <cell r="AD229">
            <v>-52.136000000000003</v>
          </cell>
          <cell r="AE229">
            <v>-52.42</v>
          </cell>
          <cell r="AF229">
            <v>-52.860999999999997</v>
          </cell>
          <cell r="AG229">
            <v>-120.926</v>
          </cell>
          <cell r="AH229">
            <v>-120.926</v>
          </cell>
          <cell r="AI229">
            <v>-130.32300000000001</v>
          </cell>
          <cell r="AJ229">
            <v>-130.84700000000001</v>
          </cell>
          <cell r="AK229">
            <v>-236.136</v>
          </cell>
          <cell r="AL229">
            <v>-268.39100000000002</v>
          </cell>
          <cell r="AM229">
            <v>-268.39100000000002</v>
          </cell>
          <cell r="AN229">
            <v>-130.32300000000001</v>
          </cell>
          <cell r="AO229">
            <v>-130.84700000000001</v>
          </cell>
          <cell r="AP229">
            <v>-236.136</v>
          </cell>
          <cell r="AQ229">
            <v>-268.39100000000002</v>
          </cell>
          <cell r="AR229">
            <v>-268.39100000000002</v>
          </cell>
          <cell r="AS229">
            <v>-345.55</v>
          </cell>
          <cell r="AT229">
            <v>-377.62599999999998</v>
          </cell>
          <cell r="AU229">
            <v>-588.11900000000003</v>
          </cell>
          <cell r="AV229">
            <v>-588.37800000000004</v>
          </cell>
          <cell r="AW229">
            <v>-588.37800000000004</v>
          </cell>
          <cell r="AX229">
            <v>-598.73500000000001</v>
          </cell>
          <cell r="AY229">
            <v>-785.78700000000003</v>
          </cell>
          <cell r="AZ229">
            <v>-1139.6130000000001</v>
          </cell>
          <cell r="BA229">
            <v>-1395.6949999999999</v>
          </cell>
          <cell r="BB229">
            <v>-1395.6949999999999</v>
          </cell>
          <cell r="BC229">
            <v>-1742.4169999999999</v>
          </cell>
          <cell r="BD229">
            <v>-1865.7190000000001</v>
          </cell>
          <cell r="BE229">
            <v>-1895.027</v>
          </cell>
          <cell r="BF229">
            <v>-2170.739</v>
          </cell>
          <cell r="BG229">
            <v>-2170.739</v>
          </cell>
          <cell r="BH229">
            <v>-2271.1120000000001</v>
          </cell>
          <cell r="BI229">
            <v>-2371.1120000000001</v>
          </cell>
          <cell r="BJ229">
            <v>-2471.1120000000001</v>
          </cell>
          <cell r="BK229">
            <v>-2571.1120000000001</v>
          </cell>
          <cell r="BL229">
            <v>-2571.1120000000001</v>
          </cell>
          <cell r="BM229">
            <v>-2871.1120000000001</v>
          </cell>
          <cell r="BN229">
            <v>-3171.1120000000001</v>
          </cell>
          <cell r="BO229">
            <v>-3471.1120000000001</v>
          </cell>
          <cell r="BR229" t="str">
            <v xml:space="preserve"> Treasury shares</v>
          </cell>
          <cell r="BS229">
            <v>0</v>
          </cell>
          <cell r="BT229">
            <v>0</v>
          </cell>
          <cell r="BU229">
            <v>-0.68100000000000005</v>
          </cell>
          <cell r="BV229">
            <v>-19.167999999999999</v>
          </cell>
          <cell r="BW229">
            <v>-33.319000000000003</v>
          </cell>
          <cell r="BX229">
            <v>-49.826999999999998</v>
          </cell>
          <cell r="BY229">
            <v>-120.926</v>
          </cell>
          <cell r="BZ229">
            <v>-268.39100000000002</v>
          </cell>
          <cell r="CA229">
            <v>-588.37800000000004</v>
          </cell>
          <cell r="CB229">
            <v>-1395.6949999999999</v>
          </cell>
          <cell r="CC229">
            <v>-2170.739</v>
          </cell>
          <cell r="CD229">
            <v>-2571.1120000000001</v>
          </cell>
          <cell r="CE229">
            <v>-2871.1120000000001</v>
          </cell>
          <cell r="CF229">
            <v>-3171.1120000000001</v>
          </cell>
          <cell r="CG229">
            <v>-3471.1120000000001</v>
          </cell>
          <cell r="CI229" t="str">
            <v>mstag:treasuryStockAndInvestmentInOwnShares</v>
          </cell>
          <cell r="CJ229">
            <v>6</v>
          </cell>
          <cell r="CK229" t="str">
            <v>ISO4217:USD</v>
          </cell>
          <cell r="CL229" t="b">
            <v>1</v>
          </cell>
        </row>
        <row r="230">
          <cell r="A230" t="str">
            <v>Add'l Paid in Capital</v>
          </cell>
          <cell r="C230">
            <v>649.88400000000001</v>
          </cell>
          <cell r="D230">
            <v>649.88400000000001</v>
          </cell>
          <cell r="E230" t="str">
            <v>ND</v>
          </cell>
          <cell r="F230" t="str">
            <v>ND</v>
          </cell>
          <cell r="G230">
            <v>0</v>
          </cell>
          <cell r="H230">
            <v>265.09800000000001</v>
          </cell>
          <cell r="I230">
            <v>265.09800000000001</v>
          </cell>
          <cell r="J230">
            <v>269.952</v>
          </cell>
          <cell r="K230">
            <v>277.173</v>
          </cell>
          <cell r="L230">
            <v>282.57</v>
          </cell>
          <cell r="M230">
            <v>291.20400000000001</v>
          </cell>
          <cell r="N230">
            <v>291.20400000000001</v>
          </cell>
          <cell r="O230">
            <v>302.29199999999997</v>
          </cell>
          <cell r="P230">
            <v>310.77</v>
          </cell>
          <cell r="Q230">
            <v>318.452</v>
          </cell>
          <cell r="R230">
            <v>448.74700000000001</v>
          </cell>
          <cell r="S230">
            <v>448.74700000000001</v>
          </cell>
          <cell r="T230">
            <v>461.03500000000003</v>
          </cell>
          <cell r="U230">
            <v>465.38400000000001</v>
          </cell>
          <cell r="V230">
            <v>914.83900000000006</v>
          </cell>
          <cell r="W230">
            <v>938.01400000000001</v>
          </cell>
          <cell r="X230">
            <v>938.01400000000001</v>
          </cell>
          <cell r="Y230">
            <v>963.09100000000001</v>
          </cell>
          <cell r="Z230">
            <v>976.66700000000003</v>
          </cell>
          <cell r="AA230">
            <v>984.25300000000004</v>
          </cell>
          <cell r="AB230">
            <v>995.66499999999996</v>
          </cell>
          <cell r="AC230">
            <v>995.66499999999996</v>
          </cell>
          <cell r="AD230">
            <v>1011.0359999999999</v>
          </cell>
          <cell r="AE230">
            <v>1020.046</v>
          </cell>
          <cell r="AF230">
            <v>1028.798</v>
          </cell>
          <cell r="AG230">
            <v>1000.014</v>
          </cell>
          <cell r="AH230">
            <v>1000.014</v>
          </cell>
          <cell r="AI230">
            <v>1016.899</v>
          </cell>
          <cell r="AJ230">
            <v>1024.51</v>
          </cell>
          <cell r="AK230">
            <v>1036.732</v>
          </cell>
          <cell r="AL230">
            <v>1073.893</v>
          </cell>
          <cell r="AM230">
            <v>1073.893</v>
          </cell>
          <cell r="AN230">
            <v>1016.899</v>
          </cell>
          <cell r="AO230">
            <v>1024.51</v>
          </cell>
          <cell r="AP230">
            <v>1036.732</v>
          </cell>
          <cell r="AQ230">
            <v>1073.1569999999999</v>
          </cell>
          <cell r="AR230">
            <v>1073.1569999999999</v>
          </cell>
          <cell r="AS230">
            <v>1057.386</v>
          </cell>
          <cell r="AT230">
            <v>1097.549</v>
          </cell>
          <cell r="AU230">
            <v>1017.3049999999999</v>
          </cell>
          <cell r="AV230">
            <v>1022.221</v>
          </cell>
          <cell r="AW230">
            <v>1022.221</v>
          </cell>
          <cell r="AX230">
            <v>1038.635</v>
          </cell>
          <cell r="AY230">
            <v>1161.4100000000001</v>
          </cell>
          <cell r="AZ230">
            <v>1166.894</v>
          </cell>
          <cell r="BA230">
            <v>1173.183</v>
          </cell>
          <cell r="BB230">
            <v>1173.183</v>
          </cell>
          <cell r="BC230">
            <v>1195.74</v>
          </cell>
          <cell r="BD230">
            <v>1205.5889999999999</v>
          </cell>
          <cell r="BE230">
            <v>1215.6610000000001</v>
          </cell>
          <cell r="BF230">
            <v>1225.5650000000001</v>
          </cell>
          <cell r="BG230">
            <v>1225.5650000000001</v>
          </cell>
          <cell r="BH230">
            <v>1237.106</v>
          </cell>
          <cell r="BI230">
            <v>1246.4232047685236</v>
          </cell>
          <cell r="BJ230">
            <v>1255.7321994747347</v>
          </cell>
          <cell r="BK230">
            <v>1265.1549221890116</v>
          </cell>
          <cell r="BL230">
            <v>1265.1549221890116</v>
          </cell>
          <cell r="BM230">
            <v>1304.6286171067654</v>
          </cell>
          <cell r="BN230">
            <v>1346.7051633048752</v>
          </cell>
          <cell r="BO230">
            <v>1391.6485492612785</v>
          </cell>
          <cell r="BR230" t="str">
            <v>Add'l Paid in Capital</v>
          </cell>
          <cell r="BS230">
            <v>649.88400000000001</v>
          </cell>
          <cell r="BT230">
            <v>265.09800000000001</v>
          </cell>
          <cell r="BU230">
            <v>291.20400000000001</v>
          </cell>
          <cell r="BV230">
            <v>448.74700000000001</v>
          </cell>
          <cell r="BW230">
            <v>938.01400000000001</v>
          </cell>
          <cell r="BX230">
            <v>995.66499999999996</v>
          </cell>
          <cell r="BY230">
            <v>1000.014</v>
          </cell>
          <cell r="BZ230">
            <v>1073.1569999999999</v>
          </cell>
          <cell r="CA230">
            <v>1022.221</v>
          </cell>
          <cell r="CB230">
            <v>1173.183</v>
          </cell>
          <cell r="CC230">
            <v>1225.5650000000001</v>
          </cell>
          <cell r="CD230">
            <v>1265.1549221890116</v>
          </cell>
          <cell r="CE230">
            <v>1304.6286171067654</v>
          </cell>
          <cell r="CF230">
            <v>1346.7051633048752</v>
          </cell>
          <cell r="CG230">
            <v>1391.6485492612785</v>
          </cell>
          <cell r="CI230" t="str">
            <v>mstag:additionalPaidInCapital</v>
          </cell>
          <cell r="CJ230">
            <v>6</v>
          </cell>
          <cell r="CK230" t="str">
            <v>ISO4217:USD</v>
          </cell>
          <cell r="CL230" t="b">
            <v>0</v>
          </cell>
        </row>
        <row r="231">
          <cell r="A231" t="str">
            <v>Retained Earnings</v>
          </cell>
          <cell r="C231">
            <v>176.12100000000001</v>
          </cell>
          <cell r="D231">
            <v>176.12100000000001</v>
          </cell>
          <cell r="E231" t="str">
            <v>ND</v>
          </cell>
          <cell r="F231" t="str">
            <v>ND</v>
          </cell>
          <cell r="G231">
            <v>-84.123000000000005</v>
          </cell>
          <cell r="H231">
            <v>-65.884</v>
          </cell>
          <cell r="I231">
            <v>-65.884</v>
          </cell>
          <cell r="J231">
            <v>-48.122</v>
          </cell>
          <cell r="K231">
            <v>-29.491</v>
          </cell>
          <cell r="L231">
            <v>-10.613</v>
          </cell>
          <cell r="M231">
            <v>2.2120000000000002</v>
          </cell>
          <cell r="N231">
            <v>2.2120000000000002</v>
          </cell>
          <cell r="O231">
            <v>18.936</v>
          </cell>
          <cell r="P231">
            <v>38.554000000000002</v>
          </cell>
          <cell r="Q231">
            <v>59.478000000000002</v>
          </cell>
          <cell r="R231">
            <v>84.013000000000005</v>
          </cell>
          <cell r="S231">
            <v>84.013000000000005</v>
          </cell>
          <cell r="T231">
            <v>111.53100000000001</v>
          </cell>
          <cell r="U231">
            <v>135.59800000000001</v>
          </cell>
          <cell r="V231">
            <v>145.917</v>
          </cell>
          <cell r="W231">
            <v>176.18299999999999</v>
          </cell>
          <cell r="X231">
            <v>176.18299999999999</v>
          </cell>
          <cell r="Y231">
            <v>223.52799999999999</v>
          </cell>
          <cell r="Z231">
            <v>269.18799999999999</v>
          </cell>
          <cell r="AA231">
            <v>318.97500000000002</v>
          </cell>
          <cell r="AB231">
            <v>363.46100000000001</v>
          </cell>
          <cell r="AC231">
            <v>363.46100000000001</v>
          </cell>
          <cell r="AD231">
            <v>407.42700000000002</v>
          </cell>
          <cell r="AE231">
            <v>444.97300000000001</v>
          </cell>
          <cell r="AF231">
            <v>493.24700000000001</v>
          </cell>
          <cell r="AG231">
            <v>547.69899999999996</v>
          </cell>
          <cell r="AH231">
            <v>547.69899999999996</v>
          </cell>
          <cell r="AI231">
            <v>606.63599999999997</v>
          </cell>
          <cell r="AJ231">
            <v>667.68899999999996</v>
          </cell>
          <cell r="AK231">
            <v>722.99900000000002</v>
          </cell>
          <cell r="AL231">
            <v>770.25599999999997</v>
          </cell>
          <cell r="AM231">
            <v>770.25599999999997</v>
          </cell>
          <cell r="AN231">
            <v>606.63599999999997</v>
          </cell>
          <cell r="AO231">
            <v>667.68899999999996</v>
          </cell>
          <cell r="AP231">
            <v>722.99900000000002</v>
          </cell>
          <cell r="AQ231">
            <v>758.97500000000002</v>
          </cell>
          <cell r="AR231">
            <v>758.97500000000002</v>
          </cell>
          <cell r="AS231">
            <v>850.65499999999997</v>
          </cell>
          <cell r="AT231">
            <v>947.03399999999999</v>
          </cell>
          <cell r="AU231">
            <v>978.35799999999995</v>
          </cell>
          <cell r="AV231">
            <v>1022.6950000000001</v>
          </cell>
          <cell r="AW231">
            <v>1022.6950000000001</v>
          </cell>
          <cell r="AX231">
            <v>1046.098</v>
          </cell>
          <cell r="AY231">
            <v>1081.671</v>
          </cell>
          <cell r="AZ231">
            <v>1121.8579999999999</v>
          </cell>
          <cell r="BA231">
            <v>1158.462</v>
          </cell>
          <cell r="BB231">
            <v>1158.462</v>
          </cell>
          <cell r="BC231">
            <v>1196.7829999999999</v>
          </cell>
          <cell r="BD231">
            <v>1242.1510000000001</v>
          </cell>
          <cell r="BE231">
            <v>1280.4970000000001</v>
          </cell>
          <cell r="BF231">
            <v>1322.2239999999999</v>
          </cell>
          <cell r="BG231">
            <v>1322.2239999999999</v>
          </cell>
          <cell r="BH231">
            <v>1369.4059999999999</v>
          </cell>
          <cell r="BI231">
            <v>1420.6473416091956</v>
          </cell>
          <cell r="BJ231">
            <v>1470.7296424643548</v>
          </cell>
          <cell r="BK231">
            <v>1522.5425038073897</v>
          </cell>
          <cell r="BL231">
            <v>1522.5425038073897</v>
          </cell>
          <cell r="BM231">
            <v>1755.086244789826</v>
          </cell>
          <cell r="BN231">
            <v>2016.3736938436462</v>
          </cell>
          <cell r="BO231">
            <v>2309.8239538051448</v>
          </cell>
          <cell r="BR231" t="str">
            <v>Retained Earnings</v>
          </cell>
          <cell r="BS231">
            <v>176.12100000000001</v>
          </cell>
          <cell r="BT231">
            <v>-65.884</v>
          </cell>
          <cell r="BU231">
            <v>2.2120000000000002</v>
          </cell>
          <cell r="BV231">
            <v>84.013000000000005</v>
          </cell>
          <cell r="BW231">
            <v>176.18299999999999</v>
          </cell>
          <cell r="BX231">
            <v>363.46100000000001</v>
          </cell>
          <cell r="BY231">
            <v>547.69899999999996</v>
          </cell>
          <cell r="BZ231">
            <v>758.97500000000002</v>
          </cell>
          <cell r="CA231">
            <v>1022.6950000000001</v>
          </cell>
          <cell r="CB231">
            <v>1158.462</v>
          </cell>
          <cell r="CC231">
            <v>1322.2239999999999</v>
          </cell>
          <cell r="CD231">
            <v>1522.5425038073897</v>
          </cell>
          <cell r="CE231">
            <v>1755.086244789826</v>
          </cell>
          <cell r="CF231">
            <v>2016.3736938436462</v>
          </cell>
          <cell r="CG231">
            <v>2309.8239538051448</v>
          </cell>
          <cell r="CI231" t="str">
            <v>mstag:retainedEarnings</v>
          </cell>
          <cell r="CJ231">
            <v>6</v>
          </cell>
          <cell r="CK231" t="str">
            <v>ISO4217:USD</v>
          </cell>
          <cell r="CL231" t="b">
            <v>0</v>
          </cell>
        </row>
        <row r="232">
          <cell r="A232" t="str">
            <v>Accumulated Other Comprehensive Loss</v>
          </cell>
          <cell r="C232">
            <v>-0.32200000000000001</v>
          </cell>
          <cell r="D232">
            <v>-0.32200000000000001</v>
          </cell>
          <cell r="E232" t="str">
            <v>ND</v>
          </cell>
          <cell r="F232" t="str">
            <v>ND</v>
          </cell>
          <cell r="G232">
            <v>-1.8280000000000001</v>
          </cell>
          <cell r="H232">
            <v>-0.193</v>
          </cell>
          <cell r="I232">
            <v>-0.193</v>
          </cell>
          <cell r="J232">
            <v>-0.66100000000000003</v>
          </cell>
          <cell r="K232">
            <v>2.7349999999999999</v>
          </cell>
          <cell r="L232">
            <v>0.98499999999999999</v>
          </cell>
          <cell r="M232">
            <v>-7.3540000000000001</v>
          </cell>
          <cell r="N232">
            <v>-7.3540000000000001</v>
          </cell>
          <cell r="O232">
            <v>-8.26</v>
          </cell>
          <cell r="P232">
            <v>-8.6029999999999998</v>
          </cell>
          <cell r="Q232">
            <v>-8.4570000000000007</v>
          </cell>
          <cell r="R232">
            <v>-7.59</v>
          </cell>
          <cell r="S232">
            <v>-7.59</v>
          </cell>
          <cell r="T232">
            <v>-6.3479999999999999</v>
          </cell>
          <cell r="U232">
            <v>-3.9870000000000001</v>
          </cell>
          <cell r="V232">
            <v>-4.3739999999999997</v>
          </cell>
          <cell r="W232">
            <v>-1.966</v>
          </cell>
          <cell r="X232">
            <v>-1.966</v>
          </cell>
          <cell r="Y232">
            <v>0.28899999999999998</v>
          </cell>
          <cell r="Z232">
            <v>8.8999999999999996E-2</v>
          </cell>
          <cell r="AA232">
            <v>-4.3550000000000004</v>
          </cell>
          <cell r="AB232">
            <v>-5.0940000000000003</v>
          </cell>
          <cell r="AC232">
            <v>-5.0940000000000003</v>
          </cell>
          <cell r="AD232">
            <v>-2.9540000000000002</v>
          </cell>
          <cell r="AE232">
            <v>-4.1760000000000002</v>
          </cell>
          <cell r="AF232">
            <v>-2.3570000000000002</v>
          </cell>
          <cell r="AG232">
            <v>-2.7959999999999998</v>
          </cell>
          <cell r="AH232">
            <v>-2.7959999999999998</v>
          </cell>
          <cell r="AI232">
            <v>-5.7229999999999999</v>
          </cell>
          <cell r="AJ232">
            <v>-6.7750000000000004</v>
          </cell>
          <cell r="AK232">
            <v>-2.7010000000000001</v>
          </cell>
          <cell r="AL232">
            <v>-0.65</v>
          </cell>
          <cell r="AM232">
            <v>-0.65</v>
          </cell>
          <cell r="AN232">
            <v>-5.7229999999999999</v>
          </cell>
          <cell r="AO232">
            <v>-6.7750000000000004</v>
          </cell>
          <cell r="AP232">
            <v>-2.7010000000000001</v>
          </cell>
          <cell r="AQ232">
            <v>-0.65</v>
          </cell>
          <cell r="AR232">
            <v>-0.65</v>
          </cell>
          <cell r="AS232">
            <v>-2.1000000000000001E-2</v>
          </cell>
          <cell r="AT232">
            <v>-1.5429999999999999</v>
          </cell>
          <cell r="AU232">
            <v>-12.276</v>
          </cell>
          <cell r="AV232">
            <v>-24.971</v>
          </cell>
          <cell r="AW232">
            <v>-24.971</v>
          </cell>
          <cell r="AX232">
            <v>-31.57</v>
          </cell>
          <cell r="AY232">
            <v>-24.86</v>
          </cell>
          <cell r="AZ232">
            <v>-31.315000000000001</v>
          </cell>
          <cell r="BA232">
            <v>-35.744999999999997</v>
          </cell>
          <cell r="BB232">
            <v>-35.744999999999997</v>
          </cell>
          <cell r="BC232">
            <v>-35.738</v>
          </cell>
          <cell r="BD232">
            <v>-48.156999999999996</v>
          </cell>
          <cell r="BE232">
            <v>-50.902000000000001</v>
          </cell>
          <cell r="BF232">
            <v>-60.734999999999999</v>
          </cell>
          <cell r="BG232">
            <v>-60.734999999999999</v>
          </cell>
          <cell r="BH232">
            <v>-57.856000000000002</v>
          </cell>
          <cell r="BI232">
            <v>-57.856000000000002</v>
          </cell>
          <cell r="BJ232">
            <v>-57.856000000000002</v>
          </cell>
          <cell r="BK232">
            <v>-57.856000000000002</v>
          </cell>
          <cell r="BL232">
            <v>-57.856000000000002</v>
          </cell>
          <cell r="BM232">
            <v>-57.856000000000002</v>
          </cell>
          <cell r="BN232">
            <v>-57.856000000000002</v>
          </cell>
          <cell r="BO232">
            <v>-57.856000000000002</v>
          </cell>
          <cell r="BR232" t="str">
            <v>Accumulated Other Comprehensive Loss</v>
          </cell>
          <cell r="BS232">
            <v>-0.32200000000000001</v>
          </cell>
          <cell r="BT232">
            <v>-0.193</v>
          </cell>
          <cell r="BU232">
            <v>-7.3540000000000001</v>
          </cell>
          <cell r="BV232">
            <v>-7.59</v>
          </cell>
          <cell r="BW232">
            <v>-1.966</v>
          </cell>
          <cell r="BX232">
            <v>-5.0940000000000003</v>
          </cell>
          <cell r="BY232">
            <v>-2.7959999999999998</v>
          </cell>
          <cell r="BZ232">
            <v>-0.65</v>
          </cell>
          <cell r="CA232">
            <v>-24.971</v>
          </cell>
          <cell r="CB232">
            <v>-35.744999999999997</v>
          </cell>
          <cell r="CC232">
            <v>-60.734999999999999</v>
          </cell>
          <cell r="CD232">
            <v>-57.856000000000002</v>
          </cell>
          <cell r="CE232">
            <v>-57.856000000000002</v>
          </cell>
          <cell r="CF232">
            <v>-57.856000000000002</v>
          </cell>
          <cell r="CG232">
            <v>-57.856000000000002</v>
          </cell>
          <cell r="CI232" t="str">
            <v>mstag:accumulatedOtherComprehensiveIncomeLossAndReserves</v>
          </cell>
          <cell r="CJ232">
            <v>6</v>
          </cell>
          <cell r="CK232" t="str">
            <v>ISO4217:USD</v>
          </cell>
          <cell r="CL232" t="b">
            <v>0</v>
          </cell>
        </row>
        <row r="234">
          <cell r="A234" t="str">
            <v xml:space="preserve">Total Stockholders’ Equity </v>
          </cell>
          <cell r="C234">
            <v>825.71199999999999</v>
          </cell>
          <cell r="D234">
            <v>825.71199999999999</v>
          </cell>
          <cell r="E234" t="str">
            <v>ND</v>
          </cell>
          <cell r="F234" t="str">
            <v>ND</v>
          </cell>
          <cell r="G234">
            <v>-85.922000000000011</v>
          </cell>
          <cell r="H234">
            <v>200.02099999999999</v>
          </cell>
          <cell r="I234">
            <v>200.02099999999999</v>
          </cell>
          <cell r="J234">
            <v>222.16899999999998</v>
          </cell>
          <cell r="K234">
            <v>250.86100000000005</v>
          </cell>
          <cell r="L234">
            <v>273.35700000000003</v>
          </cell>
          <cell r="M234">
            <v>286.38200000000001</v>
          </cell>
          <cell r="N234">
            <v>286.38200000000001</v>
          </cell>
          <cell r="O234">
            <v>313.17799999999994</v>
          </cell>
          <cell r="P234">
            <v>340.43699999999995</v>
          </cell>
          <cell r="Q234">
            <v>369.08000000000004</v>
          </cell>
          <cell r="R234">
            <v>507.0560000000001</v>
          </cell>
          <cell r="S234">
            <v>507.0560000000001</v>
          </cell>
          <cell r="T234">
            <v>545.66100000000006</v>
          </cell>
          <cell r="U234">
            <v>576.43400000000008</v>
          </cell>
          <cell r="V234">
            <v>1034.2</v>
          </cell>
          <cell r="W234">
            <v>1080.1170000000002</v>
          </cell>
          <cell r="X234">
            <v>1080.1170000000002</v>
          </cell>
          <cell r="Y234">
            <v>1150.0229999999999</v>
          </cell>
          <cell r="Z234">
            <v>1209.0450000000001</v>
          </cell>
          <cell r="AA234">
            <v>1261.9480000000001</v>
          </cell>
          <cell r="AB234">
            <v>1305.4319999999998</v>
          </cell>
          <cell r="AC234">
            <v>1305.4319999999998</v>
          </cell>
          <cell r="AD234">
            <v>1364.604</v>
          </cell>
          <cell r="AE234">
            <v>1409.6560000000002</v>
          </cell>
          <cell r="AF234">
            <v>1468.0630000000001</v>
          </cell>
          <cell r="AG234">
            <v>1425.231</v>
          </cell>
          <cell r="AH234">
            <v>1425.231</v>
          </cell>
          <cell r="AI234">
            <v>1488.7380000000001</v>
          </cell>
          <cell r="AJ234">
            <v>1555.828</v>
          </cell>
          <cell r="AK234">
            <v>1522.1469999999999</v>
          </cell>
          <cell r="AL234">
            <v>1576.364</v>
          </cell>
          <cell r="AM234">
            <v>1576.364</v>
          </cell>
          <cell r="AN234">
            <v>1488.7380000000001</v>
          </cell>
          <cell r="AO234">
            <v>1555.828</v>
          </cell>
          <cell r="AP234">
            <v>1522.1469999999999</v>
          </cell>
          <cell r="AQ234">
            <v>1564.3469999999998</v>
          </cell>
          <cell r="AR234">
            <v>1564.3469999999998</v>
          </cell>
          <cell r="AS234">
            <v>1563.731</v>
          </cell>
          <cell r="AT234">
            <v>1666.6780000000001</v>
          </cell>
          <cell r="AU234">
            <v>1396.5339999999999</v>
          </cell>
          <cell r="AV234">
            <v>1432.8330000000001</v>
          </cell>
          <cell r="AW234">
            <v>1432.8330000000001</v>
          </cell>
          <cell r="AX234">
            <v>1455.7</v>
          </cell>
          <cell r="AY234">
            <v>1433.7140000000002</v>
          </cell>
          <cell r="AZ234">
            <v>1119.1049999999998</v>
          </cell>
          <cell r="BA234">
            <v>901.48699999999997</v>
          </cell>
          <cell r="BB234">
            <v>901.48699999999997</v>
          </cell>
          <cell r="BC234">
            <v>615.65599999999995</v>
          </cell>
          <cell r="BD234">
            <v>535.15299999999991</v>
          </cell>
          <cell r="BE234">
            <v>551.51900000000001</v>
          </cell>
          <cell r="BF234">
            <v>317.6049999999999</v>
          </cell>
          <cell r="BG234">
            <v>317.6049999999999</v>
          </cell>
          <cell r="BH234">
            <v>278.83799999999974</v>
          </cell>
          <cell r="BI234">
            <v>239.39654637771901</v>
          </cell>
          <cell r="BJ234">
            <v>198.78784193908928</v>
          </cell>
          <cell r="BK234">
            <v>160.0234259964011</v>
          </cell>
          <cell r="BL234">
            <v>160.0234259964011</v>
          </cell>
          <cell r="BM234">
            <v>132.0408618965912</v>
          </cell>
          <cell r="BN234">
            <v>135.40485714852116</v>
          </cell>
          <cell r="BO234">
            <v>173.79850306642288</v>
          </cell>
          <cell r="BR234" t="str">
            <v xml:space="preserve">Total Stockholders’ Equity </v>
          </cell>
          <cell r="BS234">
            <v>825.71199999999999</v>
          </cell>
          <cell r="BT234">
            <v>200.02099999999999</v>
          </cell>
          <cell r="BU234">
            <v>286.38200000000001</v>
          </cell>
          <cell r="BV234">
            <v>507.0560000000001</v>
          </cell>
          <cell r="BW234">
            <v>1080.1170000000002</v>
          </cell>
          <cell r="BX234">
            <v>1305.4319999999998</v>
          </cell>
          <cell r="BY234">
            <v>1425.231</v>
          </cell>
          <cell r="BZ234">
            <v>1564.3469999999998</v>
          </cell>
          <cell r="CA234">
            <v>1432.8330000000001</v>
          </cell>
          <cell r="CB234">
            <v>901.48699999999997</v>
          </cell>
          <cell r="CC234">
            <v>317.6049999999999</v>
          </cell>
          <cell r="CD234">
            <v>160.0234259964011</v>
          </cell>
          <cell r="CE234">
            <v>132.0408618965912</v>
          </cell>
          <cell r="CF234">
            <v>135.40485714852116</v>
          </cell>
          <cell r="CG234">
            <v>173.79850306642288</v>
          </cell>
        </row>
        <row r="237">
          <cell r="A237" t="str">
            <v>Total Liabilities &amp; Stockholders' Equity</v>
          </cell>
          <cell r="C237">
            <v>1112.7750000000001</v>
          </cell>
          <cell r="D237">
            <v>1112.7750000000001</v>
          </cell>
          <cell r="E237" t="str">
            <v>ND</v>
          </cell>
          <cell r="F237" t="str">
            <v>ND</v>
          </cell>
          <cell r="G237">
            <v>794.84199999999998</v>
          </cell>
          <cell r="H237">
            <v>904.67899999999986</v>
          </cell>
          <cell r="I237">
            <v>904.67899999999986</v>
          </cell>
          <cell r="J237">
            <v>962.26599999999996</v>
          </cell>
          <cell r="K237">
            <v>1002.777</v>
          </cell>
          <cell r="L237">
            <v>993.45900000000006</v>
          </cell>
          <cell r="M237">
            <v>1015.048</v>
          </cell>
          <cell r="N237">
            <v>1015.048</v>
          </cell>
          <cell r="O237">
            <v>1030.058</v>
          </cell>
          <cell r="P237">
            <v>1063.8609999999999</v>
          </cell>
          <cell r="Q237">
            <v>1082.5650000000001</v>
          </cell>
          <cell r="R237">
            <v>1200.269</v>
          </cell>
          <cell r="S237">
            <v>1200.269</v>
          </cell>
          <cell r="T237">
            <v>1195.874</v>
          </cell>
          <cell r="U237">
            <v>947.93100000000004</v>
          </cell>
          <cell r="V237">
            <v>2948.4549999999999</v>
          </cell>
          <cell r="W237">
            <v>3023.1660000000002</v>
          </cell>
          <cell r="X237">
            <v>3023.1660000000002</v>
          </cell>
          <cell r="Y237">
            <v>2910.4839999999999</v>
          </cell>
          <cell r="Z237">
            <v>3009.5870000000004</v>
          </cell>
          <cell r="AA237">
            <v>3064.2139999999999</v>
          </cell>
          <cell r="AB237">
            <v>3092.9959999999996</v>
          </cell>
          <cell r="AC237">
            <v>3092.9959999999996</v>
          </cell>
          <cell r="AD237">
            <v>3113.0470000000005</v>
          </cell>
          <cell r="AE237">
            <v>2994.8900000000003</v>
          </cell>
          <cell r="AF237">
            <v>3053.1909999999998</v>
          </cell>
          <cell r="AG237">
            <v>3019.6390000000001</v>
          </cell>
          <cell r="AH237">
            <v>3019.6390000000001</v>
          </cell>
          <cell r="AI237">
            <v>3031.8599999999997</v>
          </cell>
          <cell r="AJ237">
            <v>3105.098</v>
          </cell>
          <cell r="AK237">
            <v>3081.5889999999999</v>
          </cell>
          <cell r="AL237">
            <v>3134.5370000000003</v>
          </cell>
          <cell r="AM237">
            <v>3134.5370000000003</v>
          </cell>
          <cell r="AN237">
            <v>3031.8599999999997</v>
          </cell>
          <cell r="AO237">
            <v>3105.098</v>
          </cell>
          <cell r="AP237">
            <v>3081.5889999999999</v>
          </cell>
          <cell r="AQ237">
            <v>3136.1149999999998</v>
          </cell>
          <cell r="AR237">
            <v>3136.1149999999998</v>
          </cell>
          <cell r="AS237">
            <v>3093.8180000000002</v>
          </cell>
          <cell r="AT237">
            <v>3133.2350000000001</v>
          </cell>
          <cell r="AU237">
            <v>2880.2789999999995</v>
          </cell>
          <cell r="AV237">
            <v>2894.1750000000002</v>
          </cell>
          <cell r="AW237">
            <v>2894.1750000000002</v>
          </cell>
          <cell r="AX237">
            <v>2896.527</v>
          </cell>
          <cell r="AY237">
            <v>2875.6279999999997</v>
          </cell>
          <cell r="AZ237">
            <v>3366.7910000000002</v>
          </cell>
          <cell r="BA237">
            <v>3146.9870000000001</v>
          </cell>
          <cell r="BB237">
            <v>3146.9870000000001</v>
          </cell>
          <cell r="BC237">
            <v>2831.6369999999997</v>
          </cell>
          <cell r="BD237">
            <v>2790.9859999999999</v>
          </cell>
          <cell r="BE237">
            <v>3307.0839999999998</v>
          </cell>
          <cell r="BF237">
            <v>3082.578</v>
          </cell>
          <cell r="BG237">
            <v>3082.578</v>
          </cell>
          <cell r="BH237">
            <v>3005.1379999999995</v>
          </cell>
          <cell r="BI237">
            <v>3010.8640876954555</v>
          </cell>
          <cell r="BJ237">
            <v>2981.4899359623059</v>
          </cell>
          <cell r="BK237">
            <v>2962.8503219590702</v>
          </cell>
          <cell r="BL237">
            <v>2962.8503219590702</v>
          </cell>
          <cell r="BM237">
            <v>2963.6890987133847</v>
          </cell>
          <cell r="BN237">
            <v>2995.3024975426479</v>
          </cell>
          <cell r="BO237">
            <v>3064.2091149655189</v>
          </cell>
          <cell r="BR237" t="str">
            <v>Total Liabilities &amp; Stockholders' Equity</v>
          </cell>
          <cell r="BS237">
            <v>1112.7750000000001</v>
          </cell>
          <cell r="BT237">
            <v>904.67899999999986</v>
          </cell>
          <cell r="BU237">
            <v>1015.048</v>
          </cell>
          <cell r="BV237">
            <v>1200.269</v>
          </cell>
          <cell r="BW237">
            <v>3023.1660000000002</v>
          </cell>
          <cell r="BX237">
            <v>3092.9959999999996</v>
          </cell>
          <cell r="BY237">
            <v>3019.6390000000001</v>
          </cell>
          <cell r="BZ237">
            <v>3136.1149999999998</v>
          </cell>
          <cell r="CA237">
            <v>2894.1750000000002</v>
          </cell>
          <cell r="CB237">
            <v>3146.9870000000001</v>
          </cell>
          <cell r="CC237">
            <v>3082.578</v>
          </cell>
          <cell r="CD237">
            <v>2962.8503219590702</v>
          </cell>
          <cell r="CE237">
            <v>2963.6890987133847</v>
          </cell>
          <cell r="CF237">
            <v>2995.3024975426479</v>
          </cell>
          <cell r="CG237">
            <v>3064.2091149655189</v>
          </cell>
        </row>
        <row r="239">
          <cell r="A239" t="str">
            <v>Out-of-Balance</v>
          </cell>
          <cell r="C239">
            <v>0</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3.0000000000000001E-3</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1.2E-2</v>
          </cell>
          <cell r="AT239">
            <v>8.7999999999999995E-2</v>
          </cell>
          <cell r="AU239">
            <v>-1.6E-2</v>
          </cell>
          <cell r="AV239">
            <v>3.2000000000000001E-2</v>
          </cell>
          <cell r="AW239">
            <v>3.2000000000000001E-2</v>
          </cell>
          <cell r="AX239">
            <v>4.2999999999999997E-2</v>
          </cell>
          <cell r="AY239">
            <v>2.3E-2</v>
          </cell>
          <cell r="AZ239">
            <v>-2.5999999999999999E-2</v>
          </cell>
          <cell r="BA239">
            <v>2.9000000000000001E-2</v>
          </cell>
          <cell r="BB239">
            <v>2.9000000000000001E-2</v>
          </cell>
          <cell r="BC239">
            <v>2.5999999999999999E-2</v>
          </cell>
          <cell r="BD239">
            <v>-3.7999999999999999E-2</v>
          </cell>
          <cell r="BE239">
            <v>2.1999999999999999E-2</v>
          </cell>
          <cell r="BF239">
            <v>-3.7999999999999999E-2</v>
          </cell>
          <cell r="BG239">
            <v>-3.7999999999999999E-2</v>
          </cell>
          <cell r="BH239">
            <v>-3.7999999999999999E-2</v>
          </cell>
          <cell r="BI239">
            <v>-3.7999999999999999E-2</v>
          </cell>
          <cell r="BJ239">
            <v>-3.7999999999999999E-2</v>
          </cell>
          <cell r="BK239">
            <v>-3.7999999999999999E-2</v>
          </cell>
          <cell r="BL239">
            <v>-3.7999999999999999E-2</v>
          </cell>
          <cell r="BM239">
            <v>3.9809999999999998E-2</v>
          </cell>
          <cell r="BN239">
            <v>3.9809999999999998E-2</v>
          </cell>
          <cell r="BO239">
            <v>3.9809999999999998E-2</v>
          </cell>
        </row>
        <row r="240">
          <cell r="A240" t="str">
            <v>Fiscal Year Ending Dec 31</v>
          </cell>
          <cell r="C240" t="str">
            <v>4Q06</v>
          </cell>
          <cell r="D240">
            <v>2006</v>
          </cell>
          <cell r="E240" t="str">
            <v>1Q07</v>
          </cell>
          <cell r="F240" t="str">
            <v>2Q07</v>
          </cell>
          <cell r="G240" t="str">
            <v>3Q07</v>
          </cell>
          <cell r="H240" t="str">
            <v>4Q07</v>
          </cell>
          <cell r="I240">
            <v>2007</v>
          </cell>
          <cell r="J240" t="str">
            <v>1Q08</v>
          </cell>
          <cell r="K240" t="str">
            <v>2Q08</v>
          </cell>
          <cell r="L240" t="str">
            <v>3Q08</v>
          </cell>
          <cell r="M240" t="str">
            <v>4Q08</v>
          </cell>
          <cell r="N240">
            <v>2008</v>
          </cell>
          <cell r="O240" t="str">
            <v>1Q09</v>
          </cell>
          <cell r="P240" t="str">
            <v>2Q09</v>
          </cell>
          <cell r="Q240" t="str">
            <v>3Q09</v>
          </cell>
          <cell r="R240" t="str">
            <v>4Q09</v>
          </cell>
          <cell r="S240">
            <v>2009</v>
          </cell>
          <cell r="T240" t="str">
            <v>1Q10</v>
          </cell>
          <cell r="U240" t="str">
            <v>2Q10</v>
          </cell>
          <cell r="V240" t="str">
            <v>3Q10</v>
          </cell>
          <cell r="W240" t="str">
            <v>4Q10</v>
          </cell>
          <cell r="X240">
            <v>2010</v>
          </cell>
          <cell r="Y240" t="str">
            <v>1Q11</v>
          </cell>
          <cell r="Z240" t="str">
            <v>2Q11</v>
          </cell>
          <cell r="AA240" t="str">
            <v>3Q11</v>
          </cell>
          <cell r="AB240" t="str">
            <v>4Q11</v>
          </cell>
          <cell r="AC240">
            <v>2011</v>
          </cell>
          <cell r="AD240" t="str">
            <v>1Q12</v>
          </cell>
          <cell r="AE240" t="str">
            <v>2Q12</v>
          </cell>
          <cell r="AF240" t="str">
            <v>3Q12</v>
          </cell>
          <cell r="AG240" t="str">
            <v>4Q12</v>
          </cell>
          <cell r="AH240">
            <v>2012</v>
          </cell>
          <cell r="AI240" t="str">
            <v>1Q13</v>
          </cell>
          <cell r="AJ240" t="str">
            <v>2Q13</v>
          </cell>
          <cell r="AK240" t="str">
            <v>3Q13</v>
          </cell>
          <cell r="AL240" t="str">
            <v>4Q13</v>
          </cell>
          <cell r="AM240">
            <v>2013</v>
          </cell>
          <cell r="AN240" t="str">
            <v>1Q13R</v>
          </cell>
          <cell r="AO240" t="str">
            <v>2Q13R</v>
          </cell>
          <cell r="AP240" t="str">
            <v>3Q13R</v>
          </cell>
          <cell r="AQ240" t="str">
            <v>4Q13R</v>
          </cell>
          <cell r="AR240" t="str">
            <v>2013R</v>
          </cell>
          <cell r="AS240" t="str">
            <v>1Q14</v>
          </cell>
          <cell r="AT240" t="str">
            <v>2Q14</v>
          </cell>
          <cell r="AU240" t="str">
            <v>3Q14</v>
          </cell>
          <cell r="AV240" t="str">
            <v>4Q14</v>
          </cell>
          <cell r="AW240">
            <v>2014</v>
          </cell>
          <cell r="AX240" t="str">
            <v>1Q15</v>
          </cell>
          <cell r="AY240" t="str">
            <v>2Q15</v>
          </cell>
          <cell r="AZ240" t="str">
            <v>3Q15</v>
          </cell>
          <cell r="BA240" t="str">
            <v>4Q15</v>
          </cell>
          <cell r="BB240">
            <v>2015</v>
          </cell>
          <cell r="BC240" t="str">
            <v>1Q16</v>
          </cell>
          <cell r="BD240" t="str">
            <v>2Q16</v>
          </cell>
          <cell r="BE240" t="str">
            <v>3Q16</v>
          </cell>
          <cell r="BF240" t="str">
            <v>4Q16</v>
          </cell>
          <cell r="BG240">
            <v>2016</v>
          </cell>
          <cell r="BH240" t="str">
            <v>1Q17</v>
          </cell>
          <cell r="BI240" t="str">
            <v>2Q17E</v>
          </cell>
          <cell r="BJ240" t="str">
            <v>3Q17E</v>
          </cell>
          <cell r="BK240" t="str">
            <v>4Q17E</v>
          </cell>
          <cell r="BL240" t="str">
            <v>2017E</v>
          </cell>
          <cell r="BM240" t="str">
            <v>2018E</v>
          </cell>
          <cell r="BN240" t="str">
            <v>2019E</v>
          </cell>
          <cell r="BO240" t="str">
            <v>2020E</v>
          </cell>
          <cell r="BR240" t="str">
            <v>Revenue by segment</v>
          </cell>
          <cell r="BS240">
            <v>2006</v>
          </cell>
          <cell r="BT240">
            <v>2007</v>
          </cell>
          <cell r="BU240">
            <v>2008</v>
          </cell>
          <cell r="BV240">
            <v>2009</v>
          </cell>
          <cell r="BW240">
            <v>2010</v>
          </cell>
          <cell r="BX240">
            <v>2011</v>
          </cell>
          <cell r="BY240">
            <v>2012</v>
          </cell>
          <cell r="BZ240" t="str">
            <v>2013R</v>
          </cell>
          <cell r="CA240">
            <v>2014</v>
          </cell>
          <cell r="CB240">
            <v>2015</v>
          </cell>
          <cell r="CC240">
            <v>2016</v>
          </cell>
          <cell r="CD240" t="str">
            <v>2017E</v>
          </cell>
          <cell r="CE240" t="str">
            <v>2018E</v>
          </cell>
          <cell r="CF240" t="str">
            <v>2019E</v>
          </cell>
          <cell r="CG240" t="str">
            <v>2020E</v>
          </cell>
        </row>
        <row r="241">
          <cell r="A241" t="str">
            <v xml:space="preserve">    Equity index subscriptions</v>
          </cell>
        </row>
        <row r="242">
          <cell r="A242" t="str">
            <v>Revenue</v>
          </cell>
          <cell r="D242">
            <v>117.752</v>
          </cell>
          <cell r="E242">
            <v>33.154000000000003</v>
          </cell>
          <cell r="F242">
            <v>33.189</v>
          </cell>
          <cell r="G242">
            <v>33.405000000000001</v>
          </cell>
          <cell r="H242">
            <v>37.341000000000001</v>
          </cell>
          <cell r="I242">
            <v>137.089</v>
          </cell>
          <cell r="J242">
            <v>38.808999999999997</v>
          </cell>
          <cell r="K242">
            <v>41.804000000000002</v>
          </cell>
          <cell r="L242">
            <v>43.665999999999997</v>
          </cell>
          <cell r="M242">
            <v>45.537999999999997</v>
          </cell>
          <cell r="N242">
            <v>169.81700000000001</v>
          </cell>
          <cell r="O242">
            <v>45.267000000000003</v>
          </cell>
          <cell r="P242">
            <v>47.281999999999996</v>
          </cell>
          <cell r="Q242">
            <v>47.417999999999999</v>
          </cell>
          <cell r="R242">
            <v>48.384999999999998</v>
          </cell>
          <cell r="S242">
            <v>188.352</v>
          </cell>
          <cell r="T242">
            <v>50.174999999999997</v>
          </cell>
          <cell r="U242">
            <v>54.222000000000001</v>
          </cell>
          <cell r="V242">
            <v>58.984000000000002</v>
          </cell>
          <cell r="W242">
            <v>61.143000000000001</v>
          </cell>
          <cell r="X242">
            <v>224.524</v>
          </cell>
          <cell r="Y242">
            <v>62.158999999999999</v>
          </cell>
          <cell r="Z242">
            <v>66.275000000000006</v>
          </cell>
          <cell r="AA242">
            <v>66.278999999999996</v>
          </cell>
          <cell r="AB242">
            <v>69.677000000000007</v>
          </cell>
          <cell r="AC242">
            <v>264.39</v>
          </cell>
          <cell r="AD242">
            <v>71.638999999999996</v>
          </cell>
          <cell r="AE242">
            <v>75.828999999999994</v>
          </cell>
          <cell r="AF242">
            <v>73.894000000000005</v>
          </cell>
          <cell r="AG242">
            <v>79.268000000000001</v>
          </cell>
          <cell r="AH242">
            <v>300.63</v>
          </cell>
          <cell r="AI242">
            <v>84.888000000000005</v>
          </cell>
          <cell r="AJ242">
            <v>95.2</v>
          </cell>
          <cell r="AK242">
            <v>92.814999999999998</v>
          </cell>
          <cell r="AL242">
            <v>93.771000000000001</v>
          </cell>
          <cell r="AM242">
            <v>366.67400000000004</v>
          </cell>
          <cell r="AN242">
            <v>70.3</v>
          </cell>
          <cell r="AO242">
            <v>71.3</v>
          </cell>
          <cell r="AP242">
            <v>74.599999999999994</v>
          </cell>
          <cell r="AQ242">
            <v>76</v>
          </cell>
          <cell r="AR242">
            <v>292.2</v>
          </cell>
          <cell r="AS242">
            <v>76.900000000000006</v>
          </cell>
          <cell r="AT242">
            <v>79.400000000000006</v>
          </cell>
          <cell r="AU242">
            <v>81.3</v>
          </cell>
          <cell r="AV242">
            <v>82.5</v>
          </cell>
          <cell r="AW242">
            <v>320.10000000000002</v>
          </cell>
          <cell r="AX242">
            <v>85.1</v>
          </cell>
          <cell r="AY242">
            <v>87.5</v>
          </cell>
          <cell r="AZ242">
            <v>89.1</v>
          </cell>
          <cell r="BA242">
            <v>91.406999999999996</v>
          </cell>
          <cell r="BB242">
            <v>353.10699999999997</v>
          </cell>
          <cell r="BC242">
            <v>93.644999999999996</v>
          </cell>
          <cell r="BD242">
            <v>97.138999999999996</v>
          </cell>
          <cell r="BE242">
            <v>98.625</v>
          </cell>
          <cell r="BF242">
            <v>99.938999999999993</v>
          </cell>
          <cell r="BG242">
            <v>389.34799999999996</v>
          </cell>
          <cell r="BH242">
            <v>102.178</v>
          </cell>
          <cell r="BI242">
            <v>106.46247100781248</v>
          </cell>
          <cell r="BJ242">
            <v>108.388372921875</v>
          </cell>
          <cell r="BK242">
            <v>110.14994669531249</v>
          </cell>
          <cell r="BL242">
            <v>427.17879062499998</v>
          </cell>
          <cell r="BM242">
            <v>472.18087643745707</v>
          </cell>
          <cell r="BN242">
            <v>523.80387203859141</v>
          </cell>
          <cell r="BO242">
            <v>582.59677974827457</v>
          </cell>
          <cell r="BR242" t="str">
            <v xml:space="preserve">    Equity index subscriptions</v>
          </cell>
          <cell r="BS242">
            <v>117.752</v>
          </cell>
          <cell r="BT242">
            <v>137.089</v>
          </cell>
          <cell r="BU242">
            <v>169.81700000000001</v>
          </cell>
          <cell r="BV242">
            <v>188.352</v>
          </cell>
          <cell r="BW242">
            <v>224.524</v>
          </cell>
          <cell r="BX242">
            <v>264.39</v>
          </cell>
          <cell r="BY242">
            <v>300.63</v>
          </cell>
          <cell r="BZ242">
            <v>292.2</v>
          </cell>
          <cell r="CA242">
            <v>320.10000000000002</v>
          </cell>
          <cell r="CB242">
            <v>353.10699999999997</v>
          </cell>
          <cell r="CC242">
            <v>389.34799999999996</v>
          </cell>
          <cell r="CD242">
            <v>427.17879062499998</v>
          </cell>
          <cell r="CE242">
            <v>472.18087643745707</v>
          </cell>
          <cell r="CF242">
            <v>523.80387203859141</v>
          </cell>
          <cell r="CG242">
            <v>582.59677974827457</v>
          </cell>
        </row>
        <row r="243">
          <cell r="A243" t="str">
            <v>YoY Change</v>
          </cell>
          <cell r="I243">
            <v>0.16421801752836473</v>
          </cell>
          <cell r="J243">
            <v>0.17056765397840357</v>
          </cell>
          <cell r="K243">
            <v>0.25957395522612914</v>
          </cell>
          <cell r="L243">
            <v>0.30716958539140826</v>
          </cell>
          <cell r="M243">
            <v>0.21951742052971257</v>
          </cell>
          <cell r="N243">
            <v>0.23873542005558446</v>
          </cell>
          <cell r="O243">
            <v>0.16640469994073559</v>
          </cell>
          <cell r="P243">
            <v>0.13104009185723831</v>
          </cell>
          <cell r="Q243">
            <v>8.5924975953831417E-2</v>
          </cell>
          <cell r="R243">
            <v>6.2519214721770799E-2</v>
          </cell>
          <cell r="S243">
            <v>0.10914690519794834</v>
          </cell>
          <cell r="T243">
            <v>0.1084233547617468</v>
          </cell>
          <cell r="U243">
            <v>0.14677890106171487</v>
          </cell>
          <cell r="AA243">
            <v>0.12367760748677603</v>
          </cell>
          <cell r="AB243">
            <v>0.13957444024663501</v>
          </cell>
          <cell r="AD243">
            <v>0.15251210605061205</v>
          </cell>
          <cell r="AE243">
            <v>0.14415692191625773</v>
          </cell>
          <cell r="AF243">
            <v>0.11489310339624925</v>
          </cell>
          <cell r="AG243">
            <v>0.13764943955681197</v>
          </cell>
          <cell r="AH243">
            <v>0.13707023714966526</v>
          </cell>
          <cell r="AI243">
            <v>0.18494116333282173</v>
          </cell>
          <cell r="AJ243">
            <v>0.25545635574780112</v>
          </cell>
          <cell r="AK243">
            <v>0.25605597206809749</v>
          </cell>
          <cell r="AL243">
            <v>0.1829615986274411</v>
          </cell>
          <cell r="AM243">
            <v>0.21968532747896097</v>
          </cell>
          <cell r="AN243">
            <v>-0.17184996701536148</v>
          </cell>
          <cell r="AO243">
            <v>-0.25105042016806733</v>
          </cell>
          <cell r="AP243">
            <v>-0.19625060604428168</v>
          </cell>
          <cell r="AQ243">
            <v>-0.18951488199976541</v>
          </cell>
          <cell r="AR243">
            <v>-0.20310684695397008</v>
          </cell>
          <cell r="AS243">
            <v>-9.4100461784940137E-2</v>
          </cell>
          <cell r="AT243">
            <v>-0.16596638655462181</v>
          </cell>
          <cell r="AU243">
            <v>-0.12406399827614067</v>
          </cell>
          <cell r="AV243">
            <v>-0.1201970758550085</v>
          </cell>
          <cell r="AW243">
            <v>-0.12701745965080702</v>
          </cell>
          <cell r="AX243">
            <v>0.10663198959687881</v>
          </cell>
          <cell r="AY243">
            <v>0.10201511335012592</v>
          </cell>
          <cell r="AZ243">
            <v>9.5940959409594129E-2</v>
          </cell>
          <cell r="BA243">
            <v>0.10796363636363626</v>
          </cell>
          <cell r="BB243">
            <v>0.10311465167135259</v>
          </cell>
          <cell r="BC243">
            <v>0.10041128084606354</v>
          </cell>
          <cell r="BD243">
            <v>0.11016000000000004</v>
          </cell>
          <cell r="BE243">
            <v>0.10690235690235705</v>
          </cell>
          <cell r="BF243">
            <v>9.3340772588532461E-2</v>
          </cell>
          <cell r="BG243">
            <v>0.10263461217138148</v>
          </cell>
          <cell r="BH243">
            <v>9.1120721875166844E-2</v>
          </cell>
          <cell r="BI243">
            <v>9.5980718432478129E-2</v>
          </cell>
          <cell r="BJ243">
            <v>9.8994909220532445E-2</v>
          </cell>
          <cell r="BK243">
            <v>0.10217179174609003</v>
          </cell>
          <cell r="BL243">
            <v>9.7164466300071028E-2</v>
          </cell>
          <cell r="BM243">
            <v>0.10534719138704229</v>
          </cell>
          <cell r="BN243">
            <v>0.10932885717571428</v>
          </cell>
          <cell r="BO243">
            <v>0.11224221669241796</v>
          </cell>
          <cell r="BR243" t="str">
            <v>YoY Change</v>
          </cell>
          <cell r="BT243">
            <v>0.16421801752836473</v>
          </cell>
          <cell r="BU243">
            <v>0.23873542005558446</v>
          </cell>
          <cell r="BV243">
            <v>0.10914690519794834</v>
          </cell>
          <cell r="BW243">
            <v>0.19204468229697591</v>
          </cell>
          <cell r="BX243">
            <v>0.17755785573034499</v>
          </cell>
          <cell r="BY243">
            <v>0.13707023714966526</v>
          </cell>
          <cell r="BZ243">
            <v>-2.8041113661311234E-2</v>
          </cell>
          <cell r="CA243">
            <v>9.5482546201232088E-2</v>
          </cell>
          <cell r="CB243">
            <v>0.10311465167135259</v>
          </cell>
          <cell r="CC243">
            <v>0.10263461217138148</v>
          </cell>
          <cell r="CD243">
            <v>9.7164466300071028E-2</v>
          </cell>
          <cell r="CE243">
            <v>0.10534719138704229</v>
          </cell>
          <cell r="CF243">
            <v>0.10932885717571428</v>
          </cell>
          <cell r="CG243">
            <v>0.11224221669241796</v>
          </cell>
        </row>
        <row r="244">
          <cell r="A244" t="str">
            <v>BULL</v>
          </cell>
        </row>
        <row r="245">
          <cell r="A245" t="str">
            <v>BASE</v>
          </cell>
        </row>
        <row r="246">
          <cell r="A246" t="str">
            <v>BEAR</v>
          </cell>
        </row>
        <row r="248">
          <cell r="A248" t="str">
            <v xml:space="preserve">    Equity index asset based fees</v>
          </cell>
        </row>
        <row r="249">
          <cell r="A249" t="str">
            <v>Revenue</v>
          </cell>
          <cell r="D249">
            <v>39.020000000000003</v>
          </cell>
          <cell r="E249">
            <v>13.047000000000001</v>
          </cell>
          <cell r="F249">
            <v>14.644</v>
          </cell>
          <cell r="G249">
            <v>16.530999999999999</v>
          </cell>
          <cell r="H249">
            <v>18.681000000000001</v>
          </cell>
          <cell r="I249">
            <v>62.903000000000006</v>
          </cell>
          <cell r="J249">
            <v>19.588000000000001</v>
          </cell>
          <cell r="K249">
            <v>18.306999999999999</v>
          </cell>
          <cell r="L249">
            <v>18.312000000000001</v>
          </cell>
          <cell r="M249">
            <v>13.472</v>
          </cell>
          <cell r="N249">
            <v>69.678999999999988</v>
          </cell>
          <cell r="O249">
            <v>13.182</v>
          </cell>
          <cell r="P249">
            <v>15.22</v>
          </cell>
          <cell r="Q249">
            <v>20.151</v>
          </cell>
          <cell r="R249">
            <v>22.760999999999999</v>
          </cell>
          <cell r="S249">
            <v>71.313999999999993</v>
          </cell>
          <cell r="T249">
            <v>24.984999999999999</v>
          </cell>
          <cell r="U249">
            <v>25.696000000000002</v>
          </cell>
          <cell r="V249">
            <v>25.134</v>
          </cell>
          <cell r="W249">
            <v>30.045000000000002</v>
          </cell>
          <cell r="X249">
            <v>105.86</v>
          </cell>
          <cell r="Y249">
            <v>37.869</v>
          </cell>
          <cell r="Z249">
            <v>36.286999999999999</v>
          </cell>
          <cell r="AA249">
            <v>35.03</v>
          </cell>
          <cell r="AB249">
            <v>31.056999999999999</v>
          </cell>
          <cell r="AC249">
            <v>140.24299999999999</v>
          </cell>
          <cell r="AD249">
            <v>34.609000000000002</v>
          </cell>
          <cell r="AE249">
            <v>34.094000000000001</v>
          </cell>
          <cell r="AF249">
            <v>34.042000000000002</v>
          </cell>
          <cell r="AG249">
            <v>38.137999999999998</v>
          </cell>
          <cell r="AH249">
            <v>140.88300000000001</v>
          </cell>
          <cell r="AI249">
            <v>36.515000000000001</v>
          </cell>
          <cell r="AJ249">
            <v>36.97</v>
          </cell>
          <cell r="AK249">
            <v>36.801000000000002</v>
          </cell>
          <cell r="AL249">
            <v>39.200000000000003</v>
          </cell>
          <cell r="AM249">
            <v>149.48599999999999</v>
          </cell>
          <cell r="AN249">
            <v>36.515000000000001</v>
          </cell>
          <cell r="AO249">
            <v>36.97</v>
          </cell>
          <cell r="AP249">
            <v>36.801000000000002</v>
          </cell>
          <cell r="AQ249">
            <v>39.200000000000003</v>
          </cell>
          <cell r="AR249">
            <v>149.48599999999999</v>
          </cell>
          <cell r="AS249">
            <v>40.9</v>
          </cell>
          <cell r="AT249">
            <v>44.094999999999999</v>
          </cell>
          <cell r="AU249">
            <v>46.656999999999996</v>
          </cell>
          <cell r="AV249">
            <v>45.453000000000003</v>
          </cell>
          <cell r="AW249">
            <v>177.10499999999999</v>
          </cell>
          <cell r="AX249">
            <v>45.88</v>
          </cell>
          <cell r="AY249">
            <v>51.16</v>
          </cell>
          <cell r="AZ249">
            <v>50.735999999999997</v>
          </cell>
          <cell r="BA249">
            <v>50.198</v>
          </cell>
          <cell r="BB249">
            <v>197.97399999999999</v>
          </cell>
          <cell r="BC249">
            <v>48.698999999999998</v>
          </cell>
          <cell r="BD249">
            <v>49.634</v>
          </cell>
          <cell r="BE249">
            <v>56.122</v>
          </cell>
          <cell r="BF249">
            <v>55.774000000000001</v>
          </cell>
          <cell r="BG249">
            <v>210.20699999999999</v>
          </cell>
          <cell r="BH249">
            <v>57.508000000000003</v>
          </cell>
          <cell r="BI249">
            <v>59.651463787500006</v>
          </cell>
          <cell r="BJ249">
            <v>63.398514487062513</v>
          </cell>
          <cell r="BK249">
            <v>63.13117788628594</v>
          </cell>
          <cell r="BL249">
            <v>243.68115616084845</v>
          </cell>
          <cell r="BM249">
            <v>257.83818232203743</v>
          </cell>
          <cell r="BN249">
            <v>270.90280917992874</v>
          </cell>
          <cell r="BO249">
            <v>283.27955379446206</v>
          </cell>
          <cell r="BR249" t="str">
            <v xml:space="preserve">    Equity index asset based fees</v>
          </cell>
          <cell r="BS249">
            <v>39.020000000000003</v>
          </cell>
          <cell r="BT249">
            <v>62.903000000000006</v>
          </cell>
          <cell r="BU249">
            <v>69.678999999999988</v>
          </cell>
          <cell r="BV249">
            <v>71.313999999999993</v>
          </cell>
          <cell r="BW249">
            <v>105.86</v>
          </cell>
          <cell r="BX249">
            <v>140.24299999999999</v>
          </cell>
          <cell r="BY249">
            <v>140.88300000000001</v>
          </cell>
          <cell r="BZ249">
            <v>149.48599999999999</v>
          </cell>
          <cell r="CA249">
            <v>177.10499999999999</v>
          </cell>
          <cell r="CB249">
            <v>197.97399999999999</v>
          </cell>
          <cell r="CC249">
            <v>210.20699999999999</v>
          </cell>
          <cell r="CD249">
            <v>243.68115616084845</v>
          </cell>
          <cell r="CE249">
            <v>257.83818232203743</v>
          </cell>
          <cell r="CF249">
            <v>270.90280917992874</v>
          </cell>
          <cell r="CG249">
            <v>283.27955379446206</v>
          </cell>
        </row>
        <row r="250">
          <cell r="A250" t="str">
            <v>YoY Change</v>
          </cell>
          <cell r="I250">
            <v>0.61207073295745773</v>
          </cell>
          <cell r="J250">
            <v>0.50134130451444769</v>
          </cell>
          <cell r="K250">
            <v>0.25013657470636419</v>
          </cell>
          <cell r="L250">
            <v>0.10773697900913448</v>
          </cell>
          <cell r="M250">
            <v>-0.27883946255553782</v>
          </cell>
          <cell r="N250">
            <v>0.10772141233327481</v>
          </cell>
          <cell r="O250">
            <v>-0.32703696140494176</v>
          </cell>
          <cell r="P250">
            <v>-0.16862402359753093</v>
          </cell>
          <cell r="Q250">
            <v>0.10042595019659228</v>
          </cell>
          <cell r="R250">
            <v>0.68950415676959631</v>
          </cell>
          <cell r="S250">
            <v>2.3464745475681337E-2</v>
          </cell>
          <cell r="T250">
            <v>0.89538764982551955</v>
          </cell>
          <cell r="U250">
            <v>0.68830486202365315</v>
          </cell>
          <cell r="V250">
            <v>0.24728301324996282</v>
          </cell>
          <cell r="W250">
            <v>0.32002108870436285</v>
          </cell>
          <cell r="X250">
            <v>0.48442101130212878</v>
          </cell>
          <cell r="Y250">
            <v>0.51566940164098463</v>
          </cell>
          <cell r="Z250">
            <v>0.41216531755915309</v>
          </cell>
          <cell r="AA250">
            <v>0.3937296092941831</v>
          </cell>
          <cell r="AB250">
            <v>3.3682809119653712E-2</v>
          </cell>
          <cell r="AC250">
            <v>0.3247969015681087</v>
          </cell>
          <cell r="AD250">
            <v>-8.6086244685626756E-2</v>
          </cell>
          <cell r="AE250">
            <v>-6.0434866481108851E-2</v>
          </cell>
          <cell r="AF250">
            <v>-2.8204396231801265E-2</v>
          </cell>
          <cell r="AG250">
            <v>0.22800012879544074</v>
          </cell>
          <cell r="AH250">
            <v>4.5635076260490681E-3</v>
          </cell>
          <cell r="AI250">
            <v>5.5072380016758515E-2</v>
          </cell>
          <cell r="AJ250">
            <v>8.4355018478324606E-2</v>
          </cell>
          <cell r="AK250">
            <v>8.104694201280771E-2</v>
          </cell>
          <cell r="AL250">
            <v>2.7846242592689752E-2</v>
          </cell>
          <cell r="AM250">
            <v>6.1064855234485238E-2</v>
          </cell>
          <cell r="AN250">
            <v>0</v>
          </cell>
          <cell r="AO250">
            <v>0</v>
          </cell>
          <cell r="AP250">
            <v>0</v>
          </cell>
          <cell r="AQ250">
            <v>0</v>
          </cell>
          <cell r="AR250">
            <v>0</v>
          </cell>
          <cell r="AS250">
            <v>0.12008763521840327</v>
          </cell>
          <cell r="AT250">
            <v>0.1927238301325398</v>
          </cell>
          <cell r="AU250">
            <v>0.26781880927148705</v>
          </cell>
          <cell r="AV250">
            <v>0.15951530612244902</v>
          </cell>
          <cell r="AW250">
            <v>0.18475977683528888</v>
          </cell>
          <cell r="AX250">
            <v>0.12176039119804405</v>
          </cell>
          <cell r="AY250">
            <v>0.1602222474203423</v>
          </cell>
          <cell r="AZ250">
            <v>8.7425252373706019E-2</v>
          </cell>
          <cell r="BA250">
            <v>0.10439354938067891</v>
          </cell>
          <cell r="BB250">
            <v>0.11783405324524998</v>
          </cell>
          <cell r="BC250">
            <v>6.1442894507410584E-2</v>
          </cell>
          <cell r="BD250">
            <v>-2.9827990617669942E-2</v>
          </cell>
          <cell r="BE250">
            <v>0.1061573636076949</v>
          </cell>
          <cell r="BF250">
            <v>0.11108012271405232</v>
          </cell>
          <cell r="BG250">
            <v>6.1790942244941194E-2</v>
          </cell>
          <cell r="BH250">
            <v>0.18088667118421342</v>
          </cell>
          <cell r="BI250">
            <v>0.20182664680460993</v>
          </cell>
          <cell r="BJ250">
            <v>0.12965529537547682</v>
          </cell>
          <cell r="BK250">
            <v>0.13191052975016926</v>
          </cell>
          <cell r="BL250">
            <v>0.15924377475939644</v>
          </cell>
          <cell r="BM250">
            <v>5.809651589080711E-2</v>
          </cell>
          <cell r="BN250">
            <v>5.0669868753471681E-2</v>
          </cell>
          <cell r="BO250">
            <v>4.5687029425792725E-2</v>
          </cell>
          <cell r="BR250" t="str">
            <v>YoY Change</v>
          </cell>
          <cell r="BT250">
            <v>0.61207073295745773</v>
          </cell>
          <cell r="BU250">
            <v>0.10772141233327481</v>
          </cell>
          <cell r="BV250">
            <v>2.3464745475681337E-2</v>
          </cell>
          <cell r="BW250">
            <v>0.48442101130212878</v>
          </cell>
          <cell r="BX250">
            <v>0.3247969015681087</v>
          </cell>
          <cell r="BY250">
            <v>4.5635076260490681E-3</v>
          </cell>
          <cell r="BZ250">
            <v>6.1064855234485238E-2</v>
          </cell>
          <cell r="CA250">
            <v>0.18475977683528888</v>
          </cell>
          <cell r="CB250">
            <v>0.11783405324524998</v>
          </cell>
          <cell r="CC250">
            <v>6.1790942244941194E-2</v>
          </cell>
          <cell r="CD250">
            <v>0.15924377475939644</v>
          </cell>
          <cell r="CE250">
            <v>5.809651589080711E-2</v>
          </cell>
          <cell r="CF250">
            <v>5.0669868753471681E-2</v>
          </cell>
          <cell r="CG250">
            <v>4.5687029425792725E-2</v>
          </cell>
        </row>
        <row r="256">
          <cell r="A256" t="str">
            <v xml:space="preserve"> Portfolio management analytics</v>
          </cell>
        </row>
        <row r="257">
          <cell r="A257" t="str">
            <v>Revenue</v>
          </cell>
          <cell r="D257">
            <v>110.00700000000001</v>
          </cell>
          <cell r="E257">
            <v>29.364000000000001</v>
          </cell>
          <cell r="F257">
            <v>30.207000000000001</v>
          </cell>
          <cell r="G257">
            <v>29.452000000000002</v>
          </cell>
          <cell r="H257">
            <v>31.625</v>
          </cell>
          <cell r="I257">
            <v>120.648</v>
          </cell>
          <cell r="J257">
            <v>32.341999999999999</v>
          </cell>
          <cell r="K257">
            <v>33.902000000000001</v>
          </cell>
          <cell r="L257">
            <v>33.658999999999999</v>
          </cell>
          <cell r="M257">
            <v>32.494999999999997</v>
          </cell>
          <cell r="N257">
            <v>132.398</v>
          </cell>
          <cell r="O257">
            <v>32.14</v>
          </cell>
          <cell r="P257">
            <v>31.582000000000001</v>
          </cell>
          <cell r="Q257">
            <v>30.425000000000001</v>
          </cell>
          <cell r="R257">
            <v>30.399000000000001</v>
          </cell>
          <cell r="S257">
            <v>124.54600000000001</v>
          </cell>
          <cell r="T257">
            <v>29.983000000000001</v>
          </cell>
          <cell r="U257">
            <v>29.041</v>
          </cell>
          <cell r="V257">
            <v>30.423999999999999</v>
          </cell>
          <cell r="W257">
            <v>30.992999999999999</v>
          </cell>
          <cell r="X257">
            <v>120.441</v>
          </cell>
          <cell r="Y257">
            <v>29.283999999999999</v>
          </cell>
          <cell r="Z257">
            <v>29.193000000000001</v>
          </cell>
          <cell r="AA257">
            <v>30.263000000000002</v>
          </cell>
          <cell r="AB257">
            <v>30.149000000000001</v>
          </cell>
          <cell r="AC257">
            <v>118.88900000000001</v>
          </cell>
          <cell r="AD257">
            <v>29.062999999999999</v>
          </cell>
          <cell r="AE257">
            <v>29.326000000000001</v>
          </cell>
          <cell r="AF257">
            <v>29.138000000000002</v>
          </cell>
          <cell r="AG257">
            <v>28.606000000000002</v>
          </cell>
          <cell r="AH257">
            <v>116.13300000000001</v>
          </cell>
          <cell r="AI257">
            <v>27.646000000000001</v>
          </cell>
          <cell r="AJ257">
            <v>26.088999999999999</v>
          </cell>
          <cell r="AK257">
            <v>26.213000000000001</v>
          </cell>
          <cell r="AL257">
            <v>25.513000000000002</v>
          </cell>
          <cell r="AM257">
            <v>105.46100000000001</v>
          </cell>
          <cell r="AN257">
            <v>27.646000000000001</v>
          </cell>
          <cell r="AO257">
            <v>26.088999999999999</v>
          </cell>
          <cell r="AP257">
            <v>26.213000000000001</v>
          </cell>
          <cell r="AQ257">
            <v>25.513000000000002</v>
          </cell>
          <cell r="AR257">
            <v>105.46100000000001</v>
          </cell>
          <cell r="AS257">
            <v>25.864999999999998</v>
          </cell>
          <cell r="AT257">
            <v>26.303000000000001</v>
          </cell>
          <cell r="AU257">
            <v>26.268999999999998</v>
          </cell>
          <cell r="AV257">
            <v>25.952000000000002</v>
          </cell>
          <cell r="AW257">
            <v>104.389</v>
          </cell>
          <cell r="AX257">
            <v>26.369</v>
          </cell>
          <cell r="AY257">
            <v>26.652999999999999</v>
          </cell>
          <cell r="AZ257">
            <v>27.1</v>
          </cell>
          <cell r="BR257" t="str">
            <v xml:space="preserve"> Portfolio management analytics</v>
          </cell>
          <cell r="BS257">
            <v>110.00700000000001</v>
          </cell>
          <cell r="BT257">
            <v>120.648</v>
          </cell>
          <cell r="BU257">
            <v>132.398</v>
          </cell>
          <cell r="BV257">
            <v>124.54600000000001</v>
          </cell>
          <cell r="BW257">
            <v>120.441</v>
          </cell>
          <cell r="BX257">
            <v>118.88900000000001</v>
          </cell>
          <cell r="BY257">
            <v>116.13300000000001</v>
          </cell>
          <cell r="BZ257">
            <v>105.46100000000001</v>
          </cell>
          <cell r="CA257">
            <v>104.389</v>
          </cell>
          <cell r="CB257">
            <v>0</v>
          </cell>
          <cell r="CC257">
            <v>0</v>
          </cell>
          <cell r="CD257">
            <v>0</v>
          </cell>
          <cell r="CE257">
            <v>0</v>
          </cell>
          <cell r="CF257">
            <v>0</v>
          </cell>
          <cell r="CG257">
            <v>0</v>
          </cell>
        </row>
        <row r="258">
          <cell r="A258" t="str">
            <v>YoY Change</v>
          </cell>
          <cell r="I258">
            <v>9.6730208077667745E-2</v>
          </cell>
          <cell r="J258">
            <v>0.1014167007219724</v>
          </cell>
          <cell r="K258">
            <v>0.12232264044757835</v>
          </cell>
          <cell r="L258">
            <v>0.1428425913350535</v>
          </cell>
          <cell r="M258">
            <v>2.7509881422924876E-2</v>
          </cell>
          <cell r="N258">
            <v>9.7390756581128501E-2</v>
          </cell>
          <cell r="O258">
            <v>-6.2457485622410269E-3</v>
          </cell>
          <cell r="P258">
            <v>-6.8432540853047064E-2</v>
          </cell>
          <cell r="Q258">
            <v>-9.6081285837368857E-2</v>
          </cell>
          <cell r="R258">
            <v>-6.450223111247877E-2</v>
          </cell>
          <cell r="S258">
            <v>-5.9306031813169291E-2</v>
          </cell>
          <cell r="T258">
            <v>-6.7112632233976344E-2</v>
          </cell>
          <cell r="U258">
            <v>-8.0457222468494738E-2</v>
          </cell>
          <cell r="AA258">
            <v>-5.2918748356559631E-3</v>
          </cell>
          <cell r="AB258">
            <v>-2.7231955602877944E-2</v>
          </cell>
          <cell r="AD258">
            <v>-7.5467832263351742E-3</v>
          </cell>
          <cell r="AE258">
            <v>4.5558866851642676E-3</v>
          </cell>
          <cell r="AF258">
            <v>-3.717410699534085E-2</v>
          </cell>
          <cell r="AG258">
            <v>-5.1179143586851938E-2</v>
          </cell>
          <cell r="AH258">
            <v>-2.3181286746461027E-2</v>
          </cell>
          <cell r="AI258">
            <v>-4.8756150431820466E-2</v>
          </cell>
          <cell r="AJ258">
            <v>-0.11037986769419639</v>
          </cell>
          <cell r="AK258">
            <v>-0.10038437778845499</v>
          </cell>
          <cell r="AL258">
            <v>-0.10812416975459693</v>
          </cell>
          <cell r="AM258">
            <v>-9.1894638044311194E-2</v>
          </cell>
          <cell r="AN258">
            <v>0</v>
          </cell>
          <cell r="AO258">
            <v>0</v>
          </cell>
          <cell r="AP258">
            <v>0</v>
          </cell>
          <cell r="AQ258">
            <v>0</v>
          </cell>
          <cell r="AR258">
            <v>0</v>
          </cell>
          <cell r="AS258">
            <v>-6.4421616147001481E-2</v>
          </cell>
          <cell r="AT258">
            <v>8.202690789221645E-3</v>
          </cell>
          <cell r="AU258">
            <v>2.1363445618585164E-3</v>
          </cell>
          <cell r="AV258">
            <v>1.7206914122212202E-2</v>
          </cell>
          <cell r="AW258">
            <v>-1.0164895079697867E-2</v>
          </cell>
          <cell r="AX258">
            <v>1.9485791610284187E-2</v>
          </cell>
          <cell r="AY258">
            <v>1.3306466942934136E-2</v>
          </cell>
          <cell r="AZ258">
            <v>3.1634245688834772E-2</v>
          </cell>
          <cell r="BR258" t="str">
            <v>YoY Change</v>
          </cell>
          <cell r="BT258">
            <v>9.6730208077667745E-2</v>
          </cell>
          <cell r="BU258">
            <v>9.7390756581128501E-2</v>
          </cell>
          <cell r="BV258">
            <v>-5.9306031813169291E-2</v>
          </cell>
          <cell r="BW258">
            <v>-3.2959709665505099E-2</v>
          </cell>
          <cell r="BX258">
            <v>-1.2885977366511314E-2</v>
          </cell>
          <cell r="BY258">
            <v>-2.3181286746461027E-2</v>
          </cell>
          <cell r="BZ258">
            <v>-9.1894638044311194E-2</v>
          </cell>
          <cell r="CA258">
            <v>-1.0164895079697867E-2</v>
          </cell>
          <cell r="CB258">
            <v>-1</v>
          </cell>
          <cell r="CC258" t="e">
            <v>#DIV/0!</v>
          </cell>
          <cell r="CD258" t="e">
            <v>#DIV/0!</v>
          </cell>
          <cell r="CE258" t="e">
            <v>#DIV/0!</v>
          </cell>
          <cell r="CF258" t="e">
            <v>#DIV/0!</v>
          </cell>
          <cell r="CG258" t="e">
            <v>#DIV/0!</v>
          </cell>
        </row>
        <row r="259">
          <cell r="A259" t="str">
            <v>BULL</v>
          </cell>
        </row>
        <row r="260">
          <cell r="A260" t="str">
            <v>BASE</v>
          </cell>
        </row>
        <row r="261">
          <cell r="A261" t="str">
            <v>BEAR</v>
          </cell>
        </row>
        <row r="263">
          <cell r="A263" t="str">
            <v xml:space="preserve"> Risk Management analytics</v>
          </cell>
        </row>
        <row r="264">
          <cell r="A264" t="str">
            <v>Revenue</v>
          </cell>
          <cell r="D264">
            <v>16.873000000000001</v>
          </cell>
          <cell r="E264">
            <v>4.2830000000000004</v>
          </cell>
          <cell r="F264">
            <v>4.4180000000000001</v>
          </cell>
          <cell r="G264">
            <v>6.6689999999999996</v>
          </cell>
          <cell r="H264">
            <v>7.7</v>
          </cell>
          <cell r="I264">
            <v>23.07</v>
          </cell>
          <cell r="J264">
            <v>7.8920000000000003</v>
          </cell>
          <cell r="K264">
            <v>8.5980000000000008</v>
          </cell>
          <cell r="L264">
            <v>8.923</v>
          </cell>
          <cell r="M264">
            <v>9.3840000000000003</v>
          </cell>
          <cell r="N264">
            <v>34.797000000000004</v>
          </cell>
          <cell r="O264">
            <v>9.6229999999999993</v>
          </cell>
          <cell r="P264">
            <v>9.5719999999999992</v>
          </cell>
          <cell r="Q264">
            <v>7.819</v>
          </cell>
          <cell r="R264">
            <v>10.581</v>
          </cell>
          <cell r="S264">
            <v>37.594999999999999</v>
          </cell>
          <cell r="T264">
            <v>10.845000000000001</v>
          </cell>
          <cell r="U264">
            <v>11.106999999999999</v>
          </cell>
          <cell r="V264">
            <v>54.593000000000004</v>
          </cell>
          <cell r="W264">
            <v>57.98</v>
          </cell>
          <cell r="X264">
            <v>134.52500000000001</v>
          </cell>
          <cell r="Y264">
            <v>58.866</v>
          </cell>
          <cell r="Z264">
            <v>60.805999999999997</v>
          </cell>
          <cell r="AA264">
            <v>61.860999999999997</v>
          </cell>
          <cell r="AB264">
            <v>62.036999999999999</v>
          </cell>
          <cell r="AC264">
            <v>243.57</v>
          </cell>
          <cell r="AD264">
            <v>64.076999999999998</v>
          </cell>
          <cell r="AE264">
            <v>64.546999999999997</v>
          </cell>
          <cell r="AF264">
            <v>64.998000000000005</v>
          </cell>
          <cell r="AG264">
            <v>66.653999999999996</v>
          </cell>
          <cell r="AH264">
            <v>260.27600000000001</v>
          </cell>
          <cell r="AI264">
            <v>67.274000000000001</v>
          </cell>
          <cell r="AJ264">
            <v>67.099000000000004</v>
          </cell>
          <cell r="AK264">
            <v>69.665999999999997</v>
          </cell>
          <cell r="AL264">
            <v>75.313999999999993</v>
          </cell>
          <cell r="AM264">
            <v>279.35299999999995</v>
          </cell>
          <cell r="AN264">
            <v>70.42</v>
          </cell>
          <cell r="AO264">
            <v>70.164000000000001</v>
          </cell>
          <cell r="AP264">
            <v>72.778999999999996</v>
          </cell>
          <cell r="AQ264">
            <v>78.38</v>
          </cell>
          <cell r="AR264">
            <v>291.74299999999999</v>
          </cell>
          <cell r="AS264">
            <v>75.58</v>
          </cell>
          <cell r="AT264">
            <v>77.665999999999997</v>
          </cell>
          <cell r="AU264">
            <v>76.977999999999994</v>
          </cell>
          <cell r="AV264">
            <v>79.471999999999994</v>
          </cell>
          <cell r="AW264">
            <v>309.69599999999997</v>
          </cell>
          <cell r="AX264">
            <v>80.475999999999999</v>
          </cell>
          <cell r="AY264">
            <v>80.917000000000002</v>
          </cell>
          <cell r="AZ264">
            <v>81.241</v>
          </cell>
          <cell r="BR264" t="str">
            <v xml:space="preserve"> Risk Management analytics</v>
          </cell>
          <cell r="BS264">
            <v>16.873000000000001</v>
          </cell>
          <cell r="BT264">
            <v>23.07</v>
          </cell>
          <cell r="BU264">
            <v>34.797000000000004</v>
          </cell>
          <cell r="BV264">
            <v>37.594999999999999</v>
          </cell>
          <cell r="BW264">
            <v>134.52500000000001</v>
          </cell>
          <cell r="BX264">
            <v>243.57</v>
          </cell>
          <cell r="BY264">
            <v>260.27600000000001</v>
          </cell>
          <cell r="BZ264">
            <v>291.74299999999999</v>
          </cell>
          <cell r="CA264">
            <v>309.69599999999997</v>
          </cell>
          <cell r="CB264">
            <v>0</v>
          </cell>
          <cell r="CC264">
            <v>0</v>
          </cell>
          <cell r="CD264">
            <v>0</v>
          </cell>
          <cell r="CE264">
            <v>0</v>
          </cell>
          <cell r="CF264">
            <v>0</v>
          </cell>
          <cell r="CG264">
            <v>0</v>
          </cell>
        </row>
        <row r="265">
          <cell r="A265" t="str">
            <v>YoY Change</v>
          </cell>
          <cell r="I265">
            <v>0.36727315830024287</v>
          </cell>
          <cell r="J265">
            <v>0.84263366798972683</v>
          </cell>
          <cell r="K265">
            <v>0.94612947034857409</v>
          </cell>
          <cell r="L265">
            <v>0.33798170640275904</v>
          </cell>
          <cell r="M265">
            <v>0.21870129870129862</v>
          </cell>
          <cell r="N265">
            <v>0.50832249674902497</v>
          </cell>
          <cell r="O265">
            <v>0.21933603649265065</v>
          </cell>
          <cell r="P265">
            <v>0.11328215864154445</v>
          </cell>
          <cell r="Q265">
            <v>-0.12372520452762525</v>
          </cell>
          <cell r="R265">
            <v>0.12755754475703318</v>
          </cell>
          <cell r="S265">
            <v>8.0409230680805743E-2</v>
          </cell>
          <cell r="T265">
            <v>0.12698742595864099</v>
          </cell>
          <cell r="U265">
            <v>0.16036356038445465</v>
          </cell>
          <cell r="AA265">
            <v>0.13313062114190455</v>
          </cell>
          <cell r="AB265">
            <v>6.9972404277337086E-2</v>
          </cell>
          <cell r="AD265">
            <v>8.852308633166861E-2</v>
          </cell>
          <cell r="AE265">
            <v>6.1523533861789881E-2</v>
          </cell>
          <cell r="AF265">
            <v>5.0710463781704185E-2</v>
          </cell>
          <cell r="AG265">
            <v>7.4423328013927037E-2</v>
          </cell>
          <cell r="AH265">
            <v>6.8588085560619128E-2</v>
          </cell>
          <cell r="AI265">
            <v>4.9893097367230022E-2</v>
          </cell>
          <cell r="AJ265">
            <v>3.9537081506499261E-2</v>
          </cell>
          <cell r="AK265">
            <v>7.1817594387519446E-2</v>
          </cell>
          <cell r="AL265">
            <v>0.12992468569028115</v>
          </cell>
          <cell r="AM265">
            <v>7.3295271173676957E-2</v>
          </cell>
          <cell r="AN265">
            <v>4.6763980140916317E-2</v>
          </cell>
          <cell r="AO265">
            <v>4.5678773156082819E-2</v>
          </cell>
          <cell r="AP265">
            <v>4.4684638130508381E-2</v>
          </cell>
          <cell r="AQ265">
            <v>4.0709562631117802E-2</v>
          </cell>
          <cell r="AR265">
            <v>4.4352485922829032E-2</v>
          </cell>
          <cell r="AS265">
            <v>0.12346523173885893</v>
          </cell>
          <cell r="AT265">
            <v>0.15748371808819783</v>
          </cell>
          <cell r="AU265">
            <v>0.10495794218126497</v>
          </cell>
          <cell r="AV265">
            <v>5.5208858910693825E-2</v>
          </cell>
          <cell r="AW265">
            <v>0.10861884425798185</v>
          </cell>
          <cell r="AX265">
            <v>6.4779042074623039E-2</v>
          </cell>
          <cell r="AY265">
            <v>4.1858728401102274E-2</v>
          </cell>
          <cell r="AZ265">
            <v>5.5379459066226877E-2</v>
          </cell>
          <cell r="BR265" t="str">
            <v>YoY Change</v>
          </cell>
          <cell r="BT265">
            <v>0.36727315830024287</v>
          </cell>
          <cell r="BU265">
            <v>0.50832249674902497</v>
          </cell>
          <cell r="BV265">
            <v>8.0409230680805743E-2</v>
          </cell>
          <cell r="BW265">
            <v>2.5782683867535581</v>
          </cell>
          <cell r="BX265">
            <v>0.81059282661215382</v>
          </cell>
          <cell r="BY265">
            <v>6.8588085560619128E-2</v>
          </cell>
          <cell r="BZ265">
            <v>0.12089858457944636</v>
          </cell>
          <cell r="CA265">
            <v>6.1537037735266864E-2</v>
          </cell>
          <cell r="CB265">
            <v>-1</v>
          </cell>
          <cell r="CC265" t="e">
            <v>#DIV/0!</v>
          </cell>
          <cell r="CD265" t="e">
            <v>#DIV/0!</v>
          </cell>
          <cell r="CE265" t="e">
            <v>#DIV/0!</v>
          </cell>
          <cell r="CF265" t="e">
            <v>#DIV/0!</v>
          </cell>
          <cell r="CG265" t="e">
            <v>#DIV/0!</v>
          </cell>
        </row>
        <row r="266">
          <cell r="A266" t="str">
            <v>BULL</v>
          </cell>
        </row>
        <row r="267">
          <cell r="A267" t="str">
            <v>BASE</v>
          </cell>
        </row>
        <row r="268">
          <cell r="A268" t="str">
            <v>BEAR</v>
          </cell>
        </row>
        <row r="270">
          <cell r="A270" t="str">
            <v>Energy &amp; Governance</v>
          </cell>
        </row>
        <row r="271">
          <cell r="A271" t="str">
            <v>Revenue</v>
          </cell>
          <cell r="D271">
            <v>27.045999999999999</v>
          </cell>
          <cell r="E271">
            <v>7.2210000000000001</v>
          </cell>
          <cell r="F271">
            <v>6.2939999999999996</v>
          </cell>
          <cell r="G271">
            <v>6.35</v>
          </cell>
          <cell r="H271">
            <v>6.3109999999999999</v>
          </cell>
          <cell r="I271">
            <v>26.176000000000002</v>
          </cell>
          <cell r="J271">
            <v>6.32</v>
          </cell>
          <cell r="K271">
            <v>5.5839999999999996</v>
          </cell>
          <cell r="L271">
            <v>5.8390000000000004</v>
          </cell>
          <cell r="M271">
            <v>6.5270000000000001</v>
          </cell>
          <cell r="N271">
            <v>24.270000000000003</v>
          </cell>
          <cell r="O271">
            <v>5.7030000000000003</v>
          </cell>
          <cell r="P271">
            <v>5.7190000000000003</v>
          </cell>
          <cell r="Q271">
            <v>3.0550000000000002</v>
          </cell>
          <cell r="R271">
            <v>6.6639999999999997</v>
          </cell>
          <cell r="S271">
            <v>21.140999999999998</v>
          </cell>
          <cell r="T271">
            <v>5.6920000000000002</v>
          </cell>
          <cell r="U271">
            <v>5.1040000000000001</v>
          </cell>
          <cell r="V271">
            <v>33.597999999999999</v>
          </cell>
          <cell r="W271">
            <v>33.157000000000004</v>
          </cell>
          <cell r="X271">
            <v>77.551000000000002</v>
          </cell>
          <cell r="Y271">
            <v>35.119999999999997</v>
          </cell>
          <cell r="Z271">
            <v>33.921999999999997</v>
          </cell>
          <cell r="AA271">
            <v>31.593</v>
          </cell>
          <cell r="AB271">
            <v>33.213999999999999</v>
          </cell>
          <cell r="AC271">
            <v>133.84899999999999</v>
          </cell>
          <cell r="AD271">
            <v>29.664000000000001</v>
          </cell>
          <cell r="AE271">
            <v>34.768999999999998</v>
          </cell>
          <cell r="AF271">
            <v>33.372</v>
          </cell>
          <cell r="AG271">
            <v>34.414000000000001</v>
          </cell>
          <cell r="AH271">
            <v>132.21899999999999</v>
          </cell>
          <cell r="AI271">
            <v>35.585999999999999</v>
          </cell>
          <cell r="AJ271">
            <v>32.54</v>
          </cell>
          <cell r="AK271">
            <v>32.743000000000002</v>
          </cell>
          <cell r="AL271">
            <v>33.823999999999998</v>
          </cell>
          <cell r="AM271">
            <v>134.69299999999998</v>
          </cell>
          <cell r="BR271" t="str">
            <v>Energy &amp; Governance</v>
          </cell>
          <cell r="BS271">
            <v>27.045999999999999</v>
          </cell>
          <cell r="BT271">
            <v>26.176000000000002</v>
          </cell>
          <cell r="BU271">
            <v>24.270000000000003</v>
          </cell>
          <cell r="BV271">
            <v>21.140999999999998</v>
          </cell>
          <cell r="BW271">
            <v>77.551000000000002</v>
          </cell>
          <cell r="BX271">
            <v>133.84899999999999</v>
          </cell>
          <cell r="BY271">
            <v>132.21899999999999</v>
          </cell>
          <cell r="BZ271">
            <v>0</v>
          </cell>
        </row>
        <row r="272">
          <cell r="A272" t="str">
            <v>YoY Change</v>
          </cell>
          <cell r="I272">
            <v>-3.2167418472232367E-2</v>
          </cell>
          <cell r="J272">
            <v>-0.12477496191663207</v>
          </cell>
          <cell r="K272">
            <v>-0.11280584683825867</v>
          </cell>
          <cell r="L272">
            <v>-8.0472440944881818E-2</v>
          </cell>
          <cell r="M272">
            <v>3.4225954682300719E-2</v>
          </cell>
          <cell r="N272">
            <v>-7.2814792176039034E-2</v>
          </cell>
          <cell r="O272">
            <v>-9.7626582278480978E-2</v>
          </cell>
          <cell r="P272">
            <v>2.4176217765043084E-2</v>
          </cell>
          <cell r="Q272">
            <v>-0.47679397157047443</v>
          </cell>
          <cell r="R272">
            <v>2.0989734947142624E-2</v>
          </cell>
          <cell r="S272">
            <v>-0.12892459826946867</v>
          </cell>
          <cell r="T272">
            <v>-1.9288093985622146E-3</v>
          </cell>
          <cell r="U272">
            <v>-0.1075362825668823</v>
          </cell>
          <cell r="AA272">
            <v>-5.9676171200666706E-2</v>
          </cell>
          <cell r="AB272">
            <v>1.7190940072984162E-3</v>
          </cell>
          <cell r="AD272">
            <v>-0.15535307517084274</v>
          </cell>
          <cell r="AE272">
            <v>2.4969046636401204E-2</v>
          </cell>
          <cell r="AF272">
            <v>5.630994207577622E-2</v>
          </cell>
          <cell r="AG272">
            <v>3.6129343048112439E-2</v>
          </cell>
          <cell r="AH272">
            <v>-1.2177901964153581E-2</v>
          </cell>
          <cell r="AI272">
            <v>0.19963592233009697</v>
          </cell>
          <cell r="AJ272">
            <v>-6.4108832580747177E-2</v>
          </cell>
          <cell r="AK272">
            <v>-1.8848136162051943E-2</v>
          </cell>
          <cell r="AL272">
            <v>-1.7144185505898912E-2</v>
          </cell>
          <cell r="AM272">
            <v>1.87113803613701E-2</v>
          </cell>
          <cell r="BR272" t="str">
            <v>YoY Change</v>
          </cell>
          <cell r="BT272">
            <v>-3.2167418472232367E-2</v>
          </cell>
          <cell r="BU272">
            <v>-7.2814792176039034E-2</v>
          </cell>
          <cell r="BV272">
            <v>-0.12892459826946867</v>
          </cell>
          <cell r="BW272">
            <v>2.6682749160399228</v>
          </cell>
          <cell r="BX272">
            <v>0.72594808577581182</v>
          </cell>
          <cell r="BY272">
            <v>-1.2177901964153581E-2</v>
          </cell>
          <cell r="BZ272">
            <v>-1</v>
          </cell>
        </row>
        <row r="273">
          <cell r="A273" t="str">
            <v>BULL</v>
          </cell>
        </row>
        <row r="274">
          <cell r="A274" t="str">
            <v>BASE</v>
          </cell>
        </row>
        <row r="275">
          <cell r="A275" t="str">
            <v>BEAR</v>
          </cell>
        </row>
        <row r="276">
          <cell r="A276" t="str">
            <v>Fiscal Year Ending Dec 31</v>
          </cell>
          <cell r="C276" t="str">
            <v>4Q06</v>
          </cell>
          <cell r="D276">
            <v>2006</v>
          </cell>
          <cell r="E276" t="str">
            <v>1Q07</v>
          </cell>
          <cell r="F276" t="str">
            <v>2Q07</v>
          </cell>
          <cell r="G276" t="str">
            <v>3Q07</v>
          </cell>
          <cell r="H276" t="str">
            <v>4Q07</v>
          </cell>
          <cell r="I276">
            <v>2007</v>
          </cell>
          <cell r="J276" t="str">
            <v>1Q08</v>
          </cell>
          <cell r="K276" t="str">
            <v>2Q08</v>
          </cell>
          <cell r="L276" t="str">
            <v>3Q08</v>
          </cell>
          <cell r="M276" t="str">
            <v>4Q08</v>
          </cell>
          <cell r="N276">
            <v>2008</v>
          </cell>
          <cell r="O276" t="str">
            <v>1Q09</v>
          </cell>
          <cell r="P276" t="str">
            <v>2Q09</v>
          </cell>
          <cell r="Q276" t="str">
            <v>3Q09</v>
          </cell>
          <cell r="R276" t="str">
            <v>4Q09</v>
          </cell>
          <cell r="S276">
            <v>2009</v>
          </cell>
          <cell r="T276" t="str">
            <v>1Q10</v>
          </cell>
          <cell r="U276" t="str">
            <v>2Q10</v>
          </cell>
          <cell r="V276" t="str">
            <v>3Q10</v>
          </cell>
          <cell r="W276" t="str">
            <v>4Q10</v>
          </cell>
          <cell r="X276">
            <v>2010</v>
          </cell>
          <cell r="Y276" t="str">
            <v>1Q11</v>
          </cell>
          <cell r="Z276" t="str">
            <v>2Q11</v>
          </cell>
          <cell r="AA276" t="str">
            <v>3Q11</v>
          </cell>
          <cell r="AB276" t="str">
            <v>4Q11</v>
          </cell>
          <cell r="AC276">
            <v>2011</v>
          </cell>
          <cell r="AD276" t="str">
            <v>1Q12</v>
          </cell>
          <cell r="AE276" t="str">
            <v>2Q12</v>
          </cell>
          <cell r="AF276" t="str">
            <v>3Q12</v>
          </cell>
          <cell r="AG276" t="str">
            <v>4Q12</v>
          </cell>
          <cell r="AH276">
            <v>2012</v>
          </cell>
          <cell r="AI276" t="str">
            <v>1Q13</v>
          </cell>
          <cell r="AJ276" t="str">
            <v>2Q13</v>
          </cell>
          <cell r="AK276" t="str">
            <v>3Q13</v>
          </cell>
          <cell r="AL276" t="str">
            <v>4Q13</v>
          </cell>
          <cell r="AM276">
            <v>2013</v>
          </cell>
          <cell r="AN276" t="str">
            <v>1Q13R</v>
          </cell>
          <cell r="AO276" t="str">
            <v>2Q13R</v>
          </cell>
          <cell r="AP276" t="str">
            <v>3Q13R</v>
          </cell>
          <cell r="AQ276" t="str">
            <v>4Q13R</v>
          </cell>
          <cell r="AR276" t="str">
            <v>2013R</v>
          </cell>
          <cell r="AS276" t="str">
            <v>1Q14</v>
          </cell>
          <cell r="AT276" t="str">
            <v>2Q14</v>
          </cell>
          <cell r="AU276" t="str">
            <v>3Q14</v>
          </cell>
          <cell r="AV276" t="str">
            <v>4Q14</v>
          </cell>
          <cell r="AW276">
            <v>2014</v>
          </cell>
          <cell r="AX276" t="str">
            <v>1Q15</v>
          </cell>
          <cell r="AY276" t="str">
            <v>2Q15</v>
          </cell>
          <cell r="AZ276" t="str">
            <v>3Q15</v>
          </cell>
          <cell r="BA276" t="str">
            <v>4Q15</v>
          </cell>
          <cell r="BB276">
            <v>2015</v>
          </cell>
          <cell r="BC276" t="str">
            <v>1Q16</v>
          </cell>
          <cell r="BD276" t="str">
            <v>2Q16</v>
          </cell>
          <cell r="BE276" t="str">
            <v>3Q16</v>
          </cell>
          <cell r="BF276" t="str">
            <v>4Q16</v>
          </cell>
          <cell r="BG276">
            <v>2016</v>
          </cell>
          <cell r="BH276" t="str">
            <v>1Q17</v>
          </cell>
          <cell r="BI276" t="str">
            <v>2Q17E</v>
          </cell>
          <cell r="BJ276" t="str">
            <v>3Q17E</v>
          </cell>
          <cell r="BK276" t="str">
            <v>4Q17E</v>
          </cell>
          <cell r="BL276" t="str">
            <v>2017E</v>
          </cell>
          <cell r="BM276" t="str">
            <v>2018E</v>
          </cell>
          <cell r="BN276" t="str">
            <v>2019E</v>
          </cell>
          <cell r="BO276" t="str">
            <v>2020E</v>
          </cell>
        </row>
        <row r="277">
          <cell r="A277" t="str">
            <v>Run Rates (next 12 months subscription)</v>
          </cell>
        </row>
        <row r="278">
          <cell r="A278" t="str">
            <v>Subscription based fees</v>
          </cell>
          <cell r="O278" t="str">
            <v>mxb</v>
          </cell>
          <cell r="P278" t="str">
            <v>mxb</v>
          </cell>
        </row>
        <row r="279">
          <cell r="A279" t="str">
            <v>Index</v>
          </cell>
          <cell r="D279" t="str">
            <v>ND</v>
          </cell>
          <cell r="E279">
            <v>124.13500000000001</v>
          </cell>
          <cell r="F279">
            <v>129.62700000000001</v>
          </cell>
          <cell r="G279">
            <v>136.99</v>
          </cell>
          <cell r="H279">
            <v>141.56</v>
          </cell>
          <cell r="I279">
            <v>141.56</v>
          </cell>
          <cell r="J279">
            <v>151.94499999999999</v>
          </cell>
          <cell r="K279">
            <v>161.14699999999999</v>
          </cell>
          <cell r="L279">
            <v>169.28399999999999</v>
          </cell>
          <cell r="M279">
            <v>170.99199999999999</v>
          </cell>
          <cell r="N279">
            <v>170.99199999999999</v>
          </cell>
          <cell r="O279">
            <v>174.24199999999999</v>
          </cell>
          <cell r="P279">
            <v>178.63399999999999</v>
          </cell>
          <cell r="Q279">
            <v>193.26400000000001</v>
          </cell>
          <cell r="R279">
            <v>202.785</v>
          </cell>
          <cell r="S279">
            <v>202.785</v>
          </cell>
          <cell r="T279">
            <v>212.572</v>
          </cell>
          <cell r="U279">
            <v>221.17400000000001</v>
          </cell>
          <cell r="V279">
            <v>229.32300000000001</v>
          </cell>
          <cell r="W279">
            <v>236.15700000000001</v>
          </cell>
          <cell r="X279">
            <v>236.15700000000001</v>
          </cell>
          <cell r="Y279">
            <v>247.87</v>
          </cell>
          <cell r="Z279">
            <v>257.47000000000003</v>
          </cell>
          <cell r="AA279">
            <v>264.72199999999998</v>
          </cell>
          <cell r="AB279">
            <v>269.77999999999997</v>
          </cell>
          <cell r="AC279">
            <v>269.77999999999997</v>
          </cell>
          <cell r="AD279">
            <v>278.541</v>
          </cell>
          <cell r="AE279">
            <v>285.60399999999998</v>
          </cell>
          <cell r="AF279">
            <v>292.78699999999998</v>
          </cell>
          <cell r="AG279">
            <v>338.00599999999997</v>
          </cell>
          <cell r="AH279">
            <v>338.00599999999997</v>
          </cell>
          <cell r="AI279">
            <v>344.267</v>
          </cell>
          <cell r="AJ279">
            <v>350.83300000000003</v>
          </cell>
          <cell r="AK279">
            <v>360.04199999999997</v>
          </cell>
          <cell r="AL279">
            <v>371.51100000000002</v>
          </cell>
          <cell r="AM279">
            <v>371.51100000000002</v>
          </cell>
          <cell r="AN279">
            <v>285.2</v>
          </cell>
          <cell r="AO279">
            <v>289.89999999999998</v>
          </cell>
          <cell r="AP279">
            <v>296</v>
          </cell>
          <cell r="AQ279">
            <v>305.10000000000002</v>
          </cell>
          <cell r="AR279">
            <v>305.10000000000002</v>
          </cell>
          <cell r="AS279">
            <v>312.5</v>
          </cell>
          <cell r="AT279">
            <v>320.39999999999998</v>
          </cell>
          <cell r="AU279">
            <v>326</v>
          </cell>
          <cell r="AV279">
            <v>335.3</v>
          </cell>
          <cell r="AW279">
            <v>335.3</v>
          </cell>
          <cell r="AX279">
            <v>344.5</v>
          </cell>
          <cell r="AY279">
            <v>353</v>
          </cell>
          <cell r="AZ279">
            <v>361.2</v>
          </cell>
          <cell r="BA279">
            <v>368.85500000000002</v>
          </cell>
          <cell r="BB279">
            <v>368.85500000000002</v>
          </cell>
          <cell r="BC279">
            <v>378.62200000000001</v>
          </cell>
          <cell r="BD279">
            <v>387.67899999999997</v>
          </cell>
          <cell r="BE279">
            <v>395.601</v>
          </cell>
          <cell r="BF279">
            <v>406.72899999999998</v>
          </cell>
          <cell r="BG279">
            <v>406.72899999999998</v>
          </cell>
          <cell r="BH279">
            <v>417.76499999999999</v>
          </cell>
          <cell r="BI279">
            <v>428.51507225</v>
          </cell>
          <cell r="BJ279">
            <v>437.92178900000005</v>
          </cell>
          <cell r="BK279">
            <v>451.00557175000006</v>
          </cell>
          <cell r="BL279">
            <v>451.00557175000006</v>
          </cell>
          <cell r="BM279">
            <v>501.81880959525006</v>
          </cell>
          <cell r="BN279">
            <v>559.6974593322052</v>
          </cell>
          <cell r="BO279">
            <v>625.56154334607038</v>
          </cell>
        </row>
        <row r="280">
          <cell r="A280" t="str">
            <v>Risk management analytics</v>
          </cell>
          <cell r="D280" t="str">
            <v>ND</v>
          </cell>
          <cell r="E280">
            <v>23.440999999999999</v>
          </cell>
          <cell r="F280">
            <v>24.111999999999998</v>
          </cell>
          <cell r="G280">
            <v>27.920999999999999</v>
          </cell>
          <cell r="H280">
            <v>29.242999999999999</v>
          </cell>
          <cell r="I280">
            <v>29.242999999999999</v>
          </cell>
          <cell r="J280">
            <v>30.344000000000001</v>
          </cell>
          <cell r="K280">
            <v>33.255000000000003</v>
          </cell>
          <cell r="L280">
            <v>34.076000000000001</v>
          </cell>
          <cell r="M280">
            <v>35.104999999999997</v>
          </cell>
          <cell r="N280">
            <v>35.104999999999997</v>
          </cell>
          <cell r="O280">
            <v>35.308999999999997</v>
          </cell>
          <cell r="P280">
            <v>37.194000000000003</v>
          </cell>
          <cell r="Q280">
            <v>191.715</v>
          </cell>
          <cell r="R280">
            <v>197.99700000000001</v>
          </cell>
          <cell r="S280">
            <v>197.99700000000001</v>
          </cell>
          <cell r="T280">
            <v>196.523</v>
          </cell>
          <cell r="U280">
            <v>200.161</v>
          </cell>
          <cell r="V280">
            <v>229.09899999999999</v>
          </cell>
          <cell r="W280">
            <v>233.50399999999999</v>
          </cell>
          <cell r="X280">
            <v>233.50399999999999</v>
          </cell>
          <cell r="Y280">
            <v>243.85300000000001</v>
          </cell>
          <cell r="Z280">
            <v>249.048</v>
          </cell>
          <cell r="AA280">
            <v>251.804</v>
          </cell>
          <cell r="AB280">
            <v>250.96700000000001</v>
          </cell>
          <cell r="AC280">
            <v>250.96700000000001</v>
          </cell>
          <cell r="AD280">
            <v>257.97300000000001</v>
          </cell>
          <cell r="AE280">
            <v>258.995</v>
          </cell>
          <cell r="AF280">
            <v>261.77600000000001</v>
          </cell>
          <cell r="AG280">
            <v>262.108</v>
          </cell>
          <cell r="AH280">
            <v>262.108</v>
          </cell>
          <cell r="AI280">
            <v>274.524</v>
          </cell>
          <cell r="AJ280">
            <v>281.02199999999999</v>
          </cell>
          <cell r="AK280">
            <v>288.452</v>
          </cell>
          <cell r="AL280">
            <v>290.65499999999997</v>
          </cell>
          <cell r="AM280">
            <v>290.65499999999997</v>
          </cell>
          <cell r="AN280">
            <v>287.55399999999997</v>
          </cell>
          <cell r="AO280">
            <v>293.81599999999997</v>
          </cell>
          <cell r="AP280">
            <v>300.94499999999999</v>
          </cell>
          <cell r="AQ280">
            <v>301.95699999999999</v>
          </cell>
          <cell r="AR280">
            <v>301.95699999999999</v>
          </cell>
          <cell r="AS280">
            <v>307.45999999999998</v>
          </cell>
          <cell r="AT280">
            <v>309.61900000000003</v>
          </cell>
          <cell r="AU280">
            <v>311.01900000000001</v>
          </cell>
          <cell r="AV280">
            <v>310.339</v>
          </cell>
          <cell r="AW280">
            <v>310.339</v>
          </cell>
          <cell r="AX280">
            <v>309.28399999999999</v>
          </cell>
          <cell r="AY280">
            <v>315.90100000000001</v>
          </cell>
          <cell r="AZ280">
            <v>319.637</v>
          </cell>
          <cell r="BA280">
            <v>0</v>
          </cell>
          <cell r="BB280">
            <v>323.02784700000001</v>
          </cell>
        </row>
        <row r="281">
          <cell r="A281" t="str">
            <v>Portfolio management analytics</v>
          </cell>
          <cell r="D281" t="str">
            <v>ND</v>
          </cell>
          <cell r="E281">
            <v>111.604</v>
          </cell>
          <cell r="F281">
            <v>116.24299999999999</v>
          </cell>
          <cell r="G281">
            <v>121.47499999999999</v>
          </cell>
          <cell r="H281">
            <v>124.66800000000001</v>
          </cell>
          <cell r="I281">
            <v>124.66800000000001</v>
          </cell>
          <cell r="J281">
            <v>132.45699999999999</v>
          </cell>
          <cell r="K281">
            <v>134.50899999999999</v>
          </cell>
          <cell r="L281">
            <v>134.172</v>
          </cell>
          <cell r="M281">
            <v>129.16800000000001</v>
          </cell>
          <cell r="N281">
            <v>129.16800000000001</v>
          </cell>
          <cell r="O281">
            <v>126.789</v>
          </cell>
          <cell r="P281">
            <v>126.34399999999999</v>
          </cell>
          <cell r="Q281">
            <v>125.01900000000001</v>
          </cell>
          <cell r="R281">
            <v>122.19199999999999</v>
          </cell>
          <cell r="S281">
            <v>122.19199999999999</v>
          </cell>
          <cell r="T281">
            <v>121.53</v>
          </cell>
          <cell r="U281">
            <v>121.52500000000001</v>
          </cell>
          <cell r="V281">
            <v>122.32299999999999</v>
          </cell>
          <cell r="W281">
            <v>115.158</v>
          </cell>
          <cell r="X281">
            <v>115.158</v>
          </cell>
          <cell r="Y281">
            <v>116.839</v>
          </cell>
          <cell r="Z281">
            <v>118.452</v>
          </cell>
          <cell r="AA281">
            <v>119.22</v>
          </cell>
          <cell r="AB281">
            <v>118.354</v>
          </cell>
          <cell r="AC281">
            <v>118.354</v>
          </cell>
          <cell r="AD281">
            <v>117.751</v>
          </cell>
          <cell r="AE281">
            <v>117.15300000000001</v>
          </cell>
          <cell r="AF281">
            <v>115.958</v>
          </cell>
          <cell r="AG281">
            <v>109.836</v>
          </cell>
          <cell r="AH281">
            <v>109.836</v>
          </cell>
          <cell r="AI281">
            <v>106.09099999999999</v>
          </cell>
          <cell r="AJ281">
            <v>104.524</v>
          </cell>
          <cell r="AK281">
            <v>104.938</v>
          </cell>
          <cell r="AL281">
            <v>103.125</v>
          </cell>
          <cell r="AM281">
            <v>103.125</v>
          </cell>
          <cell r="AN281">
            <v>106.09099999999999</v>
          </cell>
          <cell r="AO281">
            <v>104.524</v>
          </cell>
          <cell r="AP281">
            <v>104.938</v>
          </cell>
          <cell r="AQ281">
            <v>103.125</v>
          </cell>
          <cell r="AR281">
            <v>103.125</v>
          </cell>
          <cell r="AS281">
            <v>103.53100000000001</v>
          </cell>
          <cell r="AT281">
            <v>106.486</v>
          </cell>
          <cell r="AU281">
            <v>106.99299999999999</v>
          </cell>
          <cell r="AV281">
            <v>107.33799999999999</v>
          </cell>
          <cell r="AW281">
            <v>107.33799999999999</v>
          </cell>
          <cell r="AX281">
            <v>108.364</v>
          </cell>
          <cell r="AY281">
            <v>109.532</v>
          </cell>
          <cell r="AZ281">
            <v>110.7</v>
          </cell>
          <cell r="BA281">
            <v>0</v>
          </cell>
          <cell r="BB281">
            <v>112.6394265</v>
          </cell>
        </row>
        <row r="282">
          <cell r="A282" t="str">
            <v>Analytics</v>
          </cell>
          <cell r="AS282">
            <v>410.99099999999999</v>
          </cell>
          <cell r="AT282">
            <v>416.10500000000002</v>
          </cell>
          <cell r="AU282">
            <v>418.012</v>
          </cell>
          <cell r="AV282">
            <v>417.67700000000002</v>
          </cell>
          <cell r="AW282">
            <v>417.67700000000002</v>
          </cell>
          <cell r="AX282">
            <v>417.64800000000002</v>
          </cell>
          <cell r="AY282">
            <v>425.43299999999999</v>
          </cell>
          <cell r="AZ282">
            <v>430.33699999999999</v>
          </cell>
          <cell r="BA282">
            <v>436.67099999999999</v>
          </cell>
          <cell r="BB282">
            <v>436.67099999999999</v>
          </cell>
          <cell r="BC282">
            <v>447.024</v>
          </cell>
          <cell r="BD282">
            <v>449.06200000000001</v>
          </cell>
          <cell r="BE282">
            <v>452.32299999999998</v>
          </cell>
          <cell r="BF282">
            <v>451.53300000000002</v>
          </cell>
          <cell r="BG282">
            <v>451.53300000000002</v>
          </cell>
          <cell r="BH282">
            <v>457.24900000000002</v>
          </cell>
          <cell r="BI282">
            <v>459.80912025000003</v>
          </cell>
          <cell r="BJ282">
            <v>463.02249825000001</v>
          </cell>
          <cell r="BK282">
            <v>467.41620875000001</v>
          </cell>
          <cell r="BL282">
            <v>467.41620875000001</v>
          </cell>
          <cell r="BM282">
            <v>484.37004333624998</v>
          </cell>
          <cell r="BN282">
            <v>503.97681924597873</v>
          </cell>
          <cell r="BO282">
            <v>526.28588829190278</v>
          </cell>
        </row>
        <row r="283">
          <cell r="A283" t="str">
            <v>ESG</v>
          </cell>
          <cell r="AN283">
            <v>19.899999999999999</v>
          </cell>
          <cell r="AO283">
            <v>20.6</v>
          </cell>
          <cell r="AP283">
            <v>21.8</v>
          </cell>
          <cell r="AQ283">
            <v>22.9</v>
          </cell>
          <cell r="AR283">
            <v>22.9</v>
          </cell>
          <cell r="AS283">
            <v>24.3</v>
          </cell>
          <cell r="AT283">
            <v>25.2</v>
          </cell>
          <cell r="AU283">
            <v>33.5</v>
          </cell>
          <cell r="AV283">
            <v>34.5</v>
          </cell>
          <cell r="AW283">
            <v>34.5</v>
          </cell>
          <cell r="AX283">
            <v>35.299999999999997</v>
          </cell>
          <cell r="AY283">
            <v>37.200000000000003</v>
          </cell>
          <cell r="AZ283">
            <v>38.799999999999997</v>
          </cell>
          <cell r="BA283">
            <v>40.290999999999997</v>
          </cell>
          <cell r="BB283">
            <v>40.299999999999997</v>
          </cell>
          <cell r="BD283">
            <v>43.615224999999995</v>
          </cell>
          <cell r="BE283">
            <v>45.504374999999996</v>
          </cell>
          <cell r="BF283">
            <v>47.301449999999996</v>
          </cell>
          <cell r="BG283">
            <v>47.301449999999996</v>
          </cell>
          <cell r="BH283">
            <v>49.110708249999995</v>
          </cell>
          <cell r="BI283">
            <v>0</v>
          </cell>
          <cell r="BJ283">
            <v>0</v>
          </cell>
          <cell r="BK283">
            <v>0</v>
          </cell>
          <cell r="BL283">
            <v>0</v>
          </cell>
          <cell r="BM283">
            <v>0</v>
          </cell>
          <cell r="BN283">
            <v>0</v>
          </cell>
          <cell r="BO283">
            <v>0</v>
          </cell>
        </row>
        <row r="284">
          <cell r="A284" t="str">
            <v>Real Estate</v>
          </cell>
          <cell r="AN284">
            <v>39.1</v>
          </cell>
          <cell r="AO284">
            <v>40.299999999999997</v>
          </cell>
          <cell r="AP284">
            <v>42.2</v>
          </cell>
          <cell r="AQ284">
            <v>43.5</v>
          </cell>
          <cell r="AR284">
            <v>43.5</v>
          </cell>
          <cell r="AS284">
            <v>45.6</v>
          </cell>
          <cell r="AT284">
            <v>48.2</v>
          </cell>
          <cell r="AU284">
            <v>45.9</v>
          </cell>
          <cell r="AV284">
            <v>44.7</v>
          </cell>
          <cell r="AW284">
            <v>44.7</v>
          </cell>
          <cell r="AX284">
            <v>42.8</v>
          </cell>
          <cell r="AY284">
            <v>45.9</v>
          </cell>
          <cell r="AZ284">
            <v>44</v>
          </cell>
          <cell r="BA284">
            <v>42.386000000000003</v>
          </cell>
          <cell r="BB284">
            <v>42.4</v>
          </cell>
          <cell r="BD284">
            <v>45.183799999999998</v>
          </cell>
          <cell r="BE284">
            <v>44.714799999999997</v>
          </cell>
          <cell r="BF284">
            <v>45.653399999999998</v>
          </cell>
          <cell r="BG284">
            <v>45.653399999999998</v>
          </cell>
          <cell r="BH284">
            <v>46.985548100000003</v>
          </cell>
          <cell r="BI284">
            <v>48.729646299999999</v>
          </cell>
          <cell r="BJ284">
            <v>48.275964299999998</v>
          </cell>
          <cell r="BK284">
            <v>49.324204649999999</v>
          </cell>
          <cell r="BL284">
            <v>49.324204649999999</v>
          </cell>
          <cell r="BM284">
            <v>48.729646299999999</v>
          </cell>
          <cell r="BN284">
            <v>48.275964299999998</v>
          </cell>
          <cell r="BO284">
            <v>49.324204649999999</v>
          </cell>
        </row>
        <row r="285">
          <cell r="A285" t="str">
            <v>All Other</v>
          </cell>
          <cell r="AS285">
            <v>69.900000000000006</v>
          </cell>
          <cell r="AT285">
            <v>73.400000000000006</v>
          </cell>
          <cell r="AU285">
            <v>79.400000000000006</v>
          </cell>
          <cell r="AV285">
            <v>79.2</v>
          </cell>
          <cell r="AW285">
            <v>79.2</v>
          </cell>
          <cell r="AX285">
            <v>78.099999999999994</v>
          </cell>
          <cell r="AY285">
            <v>83.1</v>
          </cell>
          <cell r="AZ285">
            <v>82.8</v>
          </cell>
          <cell r="BA285">
            <v>82.676999999999992</v>
          </cell>
          <cell r="BB285">
            <v>82.699999999999989</v>
          </cell>
          <cell r="BC285">
            <v>86.99</v>
          </cell>
          <cell r="BD285">
            <v>86.924000000000007</v>
          </cell>
          <cell r="BE285">
            <v>86.738</v>
          </cell>
          <cell r="BF285">
            <v>88.073999999999998</v>
          </cell>
          <cell r="BG285">
            <v>88.073999999999998</v>
          </cell>
          <cell r="BH285">
            <v>91.239000000000004</v>
          </cell>
          <cell r="BI285">
            <v>93.765764500000003</v>
          </cell>
          <cell r="BJ285">
            <v>95.998545000000007</v>
          </cell>
          <cell r="BK285">
            <v>100.23186050000001</v>
          </cell>
          <cell r="BL285">
            <v>100.23186050000001</v>
          </cell>
          <cell r="BM285">
            <v>111.89934765712502</v>
          </cell>
          <cell r="BN285">
            <v>123.93820106495529</v>
          </cell>
          <cell r="BO285">
            <v>136.41705937520587</v>
          </cell>
        </row>
        <row r="286">
          <cell r="A286" t="str">
            <v>Subscription based fees totals</v>
          </cell>
          <cell r="B286">
            <v>0</v>
          </cell>
          <cell r="C286">
            <v>0</v>
          </cell>
          <cell r="D286">
            <v>0</v>
          </cell>
          <cell r="E286">
            <v>259.18</v>
          </cell>
          <cell r="F286">
            <v>269.98199999999997</v>
          </cell>
          <cell r="G286">
            <v>286.38599999999997</v>
          </cell>
          <cell r="H286">
            <v>295.471</v>
          </cell>
          <cell r="I286">
            <v>295.471</v>
          </cell>
          <cell r="J286">
            <v>314.74599999999998</v>
          </cell>
          <cell r="K286">
            <v>328.91099999999994</v>
          </cell>
          <cell r="L286">
            <v>337.53199999999998</v>
          </cell>
          <cell r="M286">
            <v>335.26499999999999</v>
          </cell>
          <cell r="N286">
            <v>335.26499999999999</v>
          </cell>
          <cell r="O286">
            <v>336.34</v>
          </cell>
          <cell r="P286">
            <v>342.17199999999997</v>
          </cell>
          <cell r="Q286">
            <v>509.99800000000005</v>
          </cell>
          <cell r="R286">
            <v>522.97400000000005</v>
          </cell>
          <cell r="S286">
            <v>522.97400000000005</v>
          </cell>
          <cell r="T286">
            <v>530.625</v>
          </cell>
          <cell r="U286">
            <v>542.86</v>
          </cell>
          <cell r="V286">
            <v>580.745</v>
          </cell>
          <cell r="W286">
            <v>584.81899999999996</v>
          </cell>
          <cell r="X286">
            <v>584.81899999999996</v>
          </cell>
          <cell r="Y286">
            <v>608.56200000000001</v>
          </cell>
          <cell r="Z286">
            <v>624.97</v>
          </cell>
          <cell r="AA286">
            <v>635.74599999999998</v>
          </cell>
          <cell r="AB286">
            <v>639.101</v>
          </cell>
          <cell r="AC286">
            <v>639.101</v>
          </cell>
          <cell r="AD286">
            <v>654.26499999999999</v>
          </cell>
          <cell r="AE286">
            <v>661.75199999999995</v>
          </cell>
          <cell r="AF286">
            <v>670.52099999999996</v>
          </cell>
          <cell r="AG286">
            <v>709.95</v>
          </cell>
          <cell r="AH286">
            <v>709.95</v>
          </cell>
          <cell r="AI286">
            <v>724.88199999999995</v>
          </cell>
          <cell r="AJ286">
            <v>736.37900000000002</v>
          </cell>
          <cell r="AK286">
            <v>753.4319999999999</v>
          </cell>
          <cell r="AL286">
            <v>765.29099999999994</v>
          </cell>
          <cell r="AM286">
            <v>765.29099999999994</v>
          </cell>
          <cell r="AN286">
            <v>737.84499999999991</v>
          </cell>
          <cell r="AO286">
            <v>749.13999999999987</v>
          </cell>
          <cell r="AP286">
            <v>765.88299999999992</v>
          </cell>
          <cell r="AQ286">
            <v>776.58199999999999</v>
          </cell>
          <cell r="AR286">
            <v>776.58199999999999</v>
          </cell>
          <cell r="AS286">
            <v>793.39099999999996</v>
          </cell>
          <cell r="AT286">
            <v>809.90499999999997</v>
          </cell>
          <cell r="AU286">
            <v>823.41199999999992</v>
          </cell>
          <cell r="AV286">
            <v>832.17700000000013</v>
          </cell>
          <cell r="AW286">
            <v>832.17700000000013</v>
          </cell>
          <cell r="AX286">
            <v>840.24800000000005</v>
          </cell>
          <cell r="AY286">
            <v>861.53300000000002</v>
          </cell>
          <cell r="AZ286">
            <v>874.33699999999999</v>
          </cell>
          <cell r="BA286">
            <v>888.20300000000009</v>
          </cell>
          <cell r="BB286">
            <v>888.22600000000011</v>
          </cell>
          <cell r="BC286">
            <v>912.63599999999997</v>
          </cell>
          <cell r="BD286">
            <v>923.66499999999996</v>
          </cell>
          <cell r="BE286">
            <v>934.66200000000003</v>
          </cell>
          <cell r="BF286">
            <v>946.3359999999999</v>
          </cell>
          <cell r="BG286">
            <v>946.3359999999999</v>
          </cell>
          <cell r="BH286">
            <v>966.25300000000004</v>
          </cell>
          <cell r="BI286">
            <v>982.08995700000003</v>
          </cell>
          <cell r="BJ286">
            <v>996.94283225000015</v>
          </cell>
          <cell r="BK286">
            <v>1018.6536410000001</v>
          </cell>
          <cell r="BL286">
            <v>1018.6536410000001</v>
          </cell>
          <cell r="BM286">
            <v>1098.0882005886251</v>
          </cell>
          <cell r="BN286">
            <v>1187.6124796431393</v>
          </cell>
          <cell r="BO286">
            <v>1288.2644910131789</v>
          </cell>
        </row>
        <row r="287">
          <cell r="AS287">
            <v>7.5281393788668494E-2</v>
          </cell>
          <cell r="AT287">
            <v>8.1113009584323548E-2</v>
          </cell>
          <cell r="AU287">
            <v>7.5114606277982388E-2</v>
          </cell>
          <cell r="AV287">
            <v>7.1589349225194665E-2</v>
          </cell>
          <cell r="AW287">
            <v>7.1589349225194665E-2</v>
          </cell>
          <cell r="AX287">
            <v>5.9059152422954231E-2</v>
          </cell>
          <cell r="AY287">
            <v>6.3745747958093846E-2</v>
          </cell>
          <cell r="AZ287">
            <v>6.1846317517840532E-2</v>
          </cell>
          <cell r="BA287">
            <v>6.7324619642215477E-2</v>
          </cell>
          <cell r="BB287">
            <v>6.7352257993191333E-2</v>
          </cell>
          <cell r="BC287">
            <v>8.6150755491235742E-2</v>
          </cell>
          <cell r="BD287">
            <v>7.2117957176335512E-2</v>
          </cell>
          <cell r="BE287">
            <v>6.899513574285443E-2</v>
          </cell>
          <cell r="BF287">
            <v>6.5450127954983062E-2</v>
          </cell>
          <cell r="BG287">
            <v>6.5422538858353363E-2</v>
          </cell>
          <cell r="BH287">
            <v>5.8749600059607721E-2</v>
          </cell>
          <cell r="BI287">
            <v>6.3253405726102052E-2</v>
          </cell>
          <cell r="BJ287">
            <v>6.6634604006582165E-2</v>
          </cell>
          <cell r="BK287">
            <v>7.6418566978325053E-2</v>
          </cell>
          <cell r="BL287">
            <v>7.6418566978325053E-2</v>
          </cell>
          <cell r="BM287">
            <v>7.7979949603522725E-2</v>
          </cell>
          <cell r="BN287">
            <v>8.1527402813840633E-2</v>
          </cell>
          <cell r="BO287">
            <v>8.4751560879761101E-2</v>
          </cell>
        </row>
        <row r="288">
          <cell r="A288" t="str">
            <v>Asset based fees</v>
          </cell>
        </row>
        <row r="289">
          <cell r="A289" t="str">
            <v xml:space="preserve">  Equity indices</v>
          </cell>
          <cell r="D289" t="str">
            <v>ND</v>
          </cell>
          <cell r="E289">
            <v>52.956000000000003</v>
          </cell>
          <cell r="F289">
            <v>62.185000000000002</v>
          </cell>
          <cell r="G289">
            <v>63.201000000000001</v>
          </cell>
          <cell r="H289">
            <v>76.466999999999999</v>
          </cell>
          <cell r="I289">
            <v>76.466999999999999</v>
          </cell>
          <cell r="J289">
            <v>72.927000000000007</v>
          </cell>
          <cell r="K289">
            <v>79.358000000000004</v>
          </cell>
          <cell r="L289">
            <v>70.171999999999997</v>
          </cell>
          <cell r="M289">
            <v>51.595999999999997</v>
          </cell>
          <cell r="N289">
            <v>51.595999999999997</v>
          </cell>
          <cell r="O289">
            <v>50.573999999999998</v>
          </cell>
          <cell r="P289">
            <v>68.891999999999996</v>
          </cell>
          <cell r="Q289">
            <v>81.248999999999995</v>
          </cell>
          <cell r="R289">
            <v>95.200999999999993</v>
          </cell>
          <cell r="S289">
            <v>95.200999999999993</v>
          </cell>
          <cell r="T289">
            <v>100.254</v>
          </cell>
          <cell r="U289">
            <v>94.495999999999995</v>
          </cell>
          <cell r="V289">
            <v>108.15</v>
          </cell>
          <cell r="W289">
            <v>117.866</v>
          </cell>
          <cell r="X289">
            <v>117.866</v>
          </cell>
          <cell r="Y289">
            <v>134.25700000000001</v>
          </cell>
          <cell r="Z289">
            <v>140.14400000000001</v>
          </cell>
          <cell r="AA289">
            <v>117.928</v>
          </cell>
          <cell r="AB289">
            <v>119.706</v>
          </cell>
          <cell r="AC289">
            <v>119.706</v>
          </cell>
          <cell r="AD289">
            <v>136.96199999999999</v>
          </cell>
          <cell r="AE289">
            <v>129.04499999999999</v>
          </cell>
          <cell r="AF289">
            <v>114.57599999999999</v>
          </cell>
          <cell r="AG289">
            <v>127.072</v>
          </cell>
          <cell r="AH289">
            <v>127.072</v>
          </cell>
          <cell r="AI289">
            <v>134.18600000000001</v>
          </cell>
          <cell r="AJ289">
            <v>131.71600000000001</v>
          </cell>
          <cell r="AK289">
            <v>146.97900000000001</v>
          </cell>
          <cell r="AL289">
            <v>158.30500000000001</v>
          </cell>
          <cell r="AM289">
            <v>158.30500000000001</v>
          </cell>
          <cell r="AN289">
            <v>134.18600000000001</v>
          </cell>
          <cell r="AO289">
            <v>131.71600000000001</v>
          </cell>
          <cell r="AP289">
            <v>146.97900000000001</v>
          </cell>
          <cell r="AQ289">
            <v>158.30500000000001</v>
          </cell>
          <cell r="AR289">
            <v>158.30500000000001</v>
          </cell>
          <cell r="AS289">
            <v>161.88200000000001</v>
          </cell>
          <cell r="AT289">
            <v>176.554</v>
          </cell>
          <cell r="AU289">
            <v>177.774</v>
          </cell>
          <cell r="AV289">
            <v>174.55799999999999</v>
          </cell>
          <cell r="AW289">
            <v>174.55799999999999</v>
          </cell>
          <cell r="AX289">
            <v>190.58099999999999</v>
          </cell>
          <cell r="AY289">
            <v>201.221</v>
          </cell>
          <cell r="AZ289">
            <v>187.81800000000001</v>
          </cell>
          <cell r="BA289">
            <v>201.047</v>
          </cell>
          <cell r="BB289">
            <v>201.047</v>
          </cell>
          <cell r="BC289">
            <v>199.33</v>
          </cell>
          <cell r="BD289">
            <v>195.298</v>
          </cell>
          <cell r="BE289">
            <v>212.22399999999999</v>
          </cell>
          <cell r="BF289">
            <v>216.982</v>
          </cell>
          <cell r="BG289">
            <v>216.982</v>
          </cell>
          <cell r="BH289">
            <v>240.834</v>
          </cell>
        </row>
        <row r="290">
          <cell r="A290" t="str">
            <v xml:space="preserve">  Hedge fund indices</v>
          </cell>
          <cell r="D290" t="str">
            <v>ND</v>
          </cell>
          <cell r="E290">
            <v>6.88</v>
          </cell>
          <cell r="F290">
            <v>6.2169999999999996</v>
          </cell>
          <cell r="G290">
            <v>7.2380000000000004</v>
          </cell>
          <cell r="H290">
            <v>5.0629999999999997</v>
          </cell>
          <cell r="I290">
            <v>5.0629999999999997</v>
          </cell>
          <cell r="J290">
            <v>4.4710000000000001</v>
          </cell>
          <cell r="K290">
            <v>2.6840000000000002</v>
          </cell>
          <cell r="L290">
            <v>2.681</v>
          </cell>
          <cell r="M290">
            <v>1.38</v>
          </cell>
          <cell r="N290">
            <v>1.38</v>
          </cell>
          <cell r="O290">
            <v>1</v>
          </cell>
          <cell r="P290">
            <v>1</v>
          </cell>
          <cell r="Q290" t="str">
            <v xml:space="preserve">ND  </v>
          </cell>
          <cell r="R290" t="str">
            <v>ND</v>
          </cell>
          <cell r="S290" t="str">
            <v>ND</v>
          </cell>
          <cell r="T290" t="str">
            <v>ND</v>
          </cell>
          <cell r="U290" t="str">
            <v>ND</v>
          </cell>
          <cell r="V290" t="str">
            <v>ND</v>
          </cell>
          <cell r="W290" t="str">
            <v>ND</v>
          </cell>
        </row>
        <row r="291">
          <cell r="A291" t="str">
            <v>Asset based fees totals</v>
          </cell>
          <cell r="D291" t="str">
            <v>ND</v>
          </cell>
          <cell r="E291">
            <v>59.836000000000006</v>
          </cell>
          <cell r="F291">
            <v>68.402000000000001</v>
          </cell>
          <cell r="G291">
            <v>70.439000000000007</v>
          </cell>
          <cell r="H291">
            <v>81.53</v>
          </cell>
          <cell r="I291">
            <v>81.53</v>
          </cell>
          <cell r="J291">
            <v>77.39800000000001</v>
          </cell>
          <cell r="K291">
            <v>82.042000000000002</v>
          </cell>
          <cell r="L291">
            <v>72.852999999999994</v>
          </cell>
          <cell r="M291">
            <v>52.975999999999999</v>
          </cell>
          <cell r="N291">
            <v>52.975999999999999</v>
          </cell>
          <cell r="O291">
            <v>51.573999999999998</v>
          </cell>
          <cell r="P291">
            <v>69.891999999999996</v>
          </cell>
          <cell r="Q291">
            <v>81.248999999999995</v>
          </cell>
          <cell r="R291">
            <v>95.200999999999993</v>
          </cell>
          <cell r="S291">
            <v>95.200999999999993</v>
          </cell>
          <cell r="T291">
            <v>100.254</v>
          </cell>
          <cell r="U291">
            <v>94.495999999999995</v>
          </cell>
          <cell r="V291">
            <v>108.15</v>
          </cell>
          <cell r="W291">
            <v>117.866</v>
          </cell>
        </row>
        <row r="292">
          <cell r="A292" t="str">
            <v>Total Run Rate</v>
          </cell>
          <cell r="D292" t="str">
            <v>ND</v>
          </cell>
          <cell r="E292">
            <v>319.01600000000002</v>
          </cell>
          <cell r="F292">
            <v>338.38399999999996</v>
          </cell>
          <cell r="G292">
            <v>356.82499999999999</v>
          </cell>
          <cell r="H292">
            <v>377.00099999999998</v>
          </cell>
          <cell r="I292">
            <v>377.00099999999998</v>
          </cell>
          <cell r="J292">
            <v>392.14400000000001</v>
          </cell>
          <cell r="K292">
            <v>410.95299999999997</v>
          </cell>
          <cell r="L292">
            <v>410.38499999999999</v>
          </cell>
          <cell r="M292">
            <v>388.24099999999999</v>
          </cell>
          <cell r="N292">
            <v>388.24099999999999</v>
          </cell>
          <cell r="O292">
            <v>387.91399999999999</v>
          </cell>
          <cell r="P292">
            <v>412.06399999999996</v>
          </cell>
          <cell r="Q292">
            <v>591.24700000000007</v>
          </cell>
          <cell r="R292">
            <v>618.17500000000007</v>
          </cell>
          <cell r="S292">
            <v>618.17500000000007</v>
          </cell>
          <cell r="T292">
            <v>630.87900000000002</v>
          </cell>
          <cell r="U292">
            <v>637.35599999999999</v>
          </cell>
          <cell r="V292">
            <v>688.89499999999998</v>
          </cell>
          <cell r="W292">
            <v>702.68499999999995</v>
          </cell>
          <cell r="X292">
            <v>702.68499999999995</v>
          </cell>
          <cell r="Y292">
            <v>742.81899999999996</v>
          </cell>
          <cell r="Z292">
            <v>765.11400000000003</v>
          </cell>
          <cell r="AA292">
            <v>753.67399999999998</v>
          </cell>
          <cell r="AB292">
            <v>758.80700000000002</v>
          </cell>
          <cell r="AC292">
            <v>758.80700000000002</v>
          </cell>
          <cell r="AD292">
            <v>791.22699999999998</v>
          </cell>
          <cell r="AE292">
            <v>790.79699999999991</v>
          </cell>
          <cell r="AF292">
            <v>785.09699999999998</v>
          </cell>
          <cell r="AG292">
            <v>837.02200000000005</v>
          </cell>
          <cell r="AH292">
            <v>837.02200000000005</v>
          </cell>
          <cell r="AI292">
            <v>859.06799999999998</v>
          </cell>
          <cell r="AJ292">
            <v>868.09500000000003</v>
          </cell>
          <cell r="AK292">
            <v>900.41099999999994</v>
          </cell>
          <cell r="AL292">
            <v>923.596</v>
          </cell>
          <cell r="AM292">
            <v>923.596</v>
          </cell>
          <cell r="AN292">
            <v>872.03099999999995</v>
          </cell>
          <cell r="AO292">
            <v>880.85599999999988</v>
          </cell>
          <cell r="AP292">
            <v>912.86199999999997</v>
          </cell>
          <cell r="AQ292">
            <v>934.88699999999994</v>
          </cell>
          <cell r="AR292">
            <v>934.88699999999994</v>
          </cell>
          <cell r="AS292">
            <v>955.27299999999991</v>
          </cell>
          <cell r="AT292">
            <v>986.45899999999995</v>
          </cell>
          <cell r="AU292">
            <v>1001.1859999999999</v>
          </cell>
          <cell r="AV292">
            <v>1006.7350000000001</v>
          </cell>
          <cell r="AW292">
            <v>1006.7350000000001</v>
          </cell>
          <cell r="AX292">
            <v>1030.829</v>
          </cell>
          <cell r="AY292">
            <v>1062.7539999999999</v>
          </cell>
          <cell r="AZ292">
            <v>1062.155</v>
          </cell>
          <cell r="BA292">
            <v>1089.25</v>
          </cell>
          <cell r="BB292">
            <v>1089.2730000000001</v>
          </cell>
          <cell r="BC292">
            <v>1111.9659999999999</v>
          </cell>
          <cell r="BD292">
            <v>1118.963</v>
          </cell>
          <cell r="BE292">
            <v>1146.886</v>
          </cell>
          <cell r="BF292">
            <v>1163.318</v>
          </cell>
          <cell r="BG292">
            <v>1163.318</v>
          </cell>
          <cell r="BH292">
            <v>1207.087</v>
          </cell>
        </row>
        <row r="293">
          <cell r="AS293">
            <v>9.5457615612289048E-2</v>
          </cell>
          <cell r="AT293">
            <v>0.11988679193875051</v>
          </cell>
          <cell r="AU293">
            <v>9.6755040740002185E-2</v>
          </cell>
          <cell r="AV293">
            <v>7.6852068752694347E-2</v>
          </cell>
          <cell r="AW293">
            <v>7.6852068752694347E-2</v>
          </cell>
          <cell r="AX293">
            <v>7.9093620357740813E-2</v>
          </cell>
          <cell r="AY293">
            <v>7.734229197564213E-2</v>
          </cell>
          <cell r="AZ293">
            <v>6.0896776423162269E-2</v>
          </cell>
          <cell r="BA293">
            <v>8.1962979334184061E-2</v>
          </cell>
          <cell r="BB293">
            <v>8.1985825465489937E-2</v>
          </cell>
          <cell r="BC293">
            <v>7.871043596949634E-2</v>
          </cell>
          <cell r="BD293">
            <v>5.2889944427402913E-2</v>
          </cell>
          <cell r="BE293">
            <v>7.9772726202861133E-2</v>
          </cell>
          <cell r="BF293">
            <v>6.7999081937112571E-2</v>
          </cell>
          <cell r="BG293">
            <v>6.7976531135904184E-2</v>
          </cell>
          <cell r="BH293">
            <v>8.5543083151823129E-2</v>
          </cell>
        </row>
        <row r="294">
          <cell r="A294" t="str">
            <v>Growth in Run Rates y/y</v>
          </cell>
        </row>
        <row r="295">
          <cell r="A295" t="str">
            <v>Subscription based fees</v>
          </cell>
          <cell r="S295" t="str">
            <v>MSCI only</v>
          </cell>
        </row>
        <row r="296">
          <cell r="A296" t="str">
            <v xml:space="preserve">  Equity indices</v>
          </cell>
          <cell r="D296" t="str">
            <v>ND</v>
          </cell>
          <cell r="E296" t="str">
            <v>ND</v>
          </cell>
          <cell r="F296" t="str">
            <v>ND</v>
          </cell>
          <cell r="G296" t="str">
            <v>ND</v>
          </cell>
          <cell r="H296" t="str">
            <v>ND</v>
          </cell>
          <cell r="I296" t="str">
            <v>ND</v>
          </cell>
          <cell r="J296">
            <v>0.22403028960406002</v>
          </cell>
          <cell r="K296">
            <v>0.24315921837271537</v>
          </cell>
          <cell r="L296">
            <v>0.23573983502445417</v>
          </cell>
          <cell r="M296">
            <v>0.20791183950268421</v>
          </cell>
          <cell r="N296">
            <v>0.20791183950268421</v>
          </cell>
          <cell r="O296">
            <v>0.14674388759090462</v>
          </cell>
          <cell r="P296">
            <v>0.10851582716401786</v>
          </cell>
          <cell r="Q296">
            <v>0.14165544292431664</v>
          </cell>
          <cell r="R296">
            <v>0.1859326752128756</v>
          </cell>
          <cell r="S296">
            <v>8.6999999999999994E-2</v>
          </cell>
          <cell r="T296">
            <v>0.21998140517211695</v>
          </cell>
          <cell r="U296">
            <v>0.23814055554933566</v>
          </cell>
          <cell r="V296">
            <v>0.1865789800480171</v>
          </cell>
          <cell r="W296">
            <v>0.16456838523559436</v>
          </cell>
          <cell r="X296">
            <v>0.16456838523559436</v>
          </cell>
          <cell r="Y296">
            <v>0.16605197297856722</v>
          </cell>
          <cell r="Z296">
            <v>0.16410608841907282</v>
          </cell>
          <cell r="AA296">
            <v>0.15436305996345756</v>
          </cell>
          <cell r="AB296">
            <v>0.14237562299656559</v>
          </cell>
          <cell r="AC296">
            <v>0.14237562299656559</v>
          </cell>
          <cell r="AD296">
            <v>0.12373824988905469</v>
          </cell>
          <cell r="AE296">
            <v>0.10927098302714855</v>
          </cell>
          <cell r="AF296">
            <v>0.10601687808342342</v>
          </cell>
          <cell r="AG296">
            <v>0.25289495144191565</v>
          </cell>
          <cell r="AH296">
            <v>0.25289495144191565</v>
          </cell>
          <cell r="AI296">
            <v>0.23596526184655042</v>
          </cell>
          <cell r="AJ296">
            <v>0.22838965840814573</v>
          </cell>
          <cell r="AK296">
            <v>0.22970623695724202</v>
          </cell>
          <cell r="AL296">
            <v>9.9125459311373287E-2</v>
          </cell>
          <cell r="AM296">
            <v>9.9125459311373287E-2</v>
          </cell>
          <cell r="AN296">
            <v>0.23596526184655042</v>
          </cell>
          <cell r="AO296">
            <v>0.22838965840814573</v>
          </cell>
          <cell r="AP296">
            <v>0.22970623695724202</v>
          </cell>
          <cell r="AQ296">
            <v>9.9125459311373287E-2</v>
          </cell>
          <cell r="AR296">
            <v>9.9125459311373287E-2</v>
          </cell>
          <cell r="AS296">
            <v>-9.2274310346330046E-2</v>
          </cell>
          <cell r="AT296">
            <v>-8.6744975529668089E-2</v>
          </cell>
          <cell r="AU296">
            <v>-9.455008026841305E-2</v>
          </cell>
          <cell r="AV296">
            <v>-9.7469523109679157E-2</v>
          </cell>
          <cell r="AW296">
            <v>-9.7469523109679157E-2</v>
          </cell>
          <cell r="AX296">
            <v>0.10240000000000005</v>
          </cell>
          <cell r="AY296">
            <v>0.10174781523096144</v>
          </cell>
          <cell r="AZ296">
            <v>0.10797546012269943</v>
          </cell>
          <cell r="BA296">
            <v>0.10007456009543692</v>
          </cell>
          <cell r="BB296">
            <v>0.10007456009543692</v>
          </cell>
          <cell r="BC296">
            <v>9.904789550072568E-2</v>
          </cell>
          <cell r="BD296">
            <v>9.8240793201133103E-2</v>
          </cell>
          <cell r="BE296">
            <v>9.5240863787375396E-2</v>
          </cell>
          <cell r="BF296">
            <v>0.10267991487169748</v>
          </cell>
          <cell r="BG296">
            <v>0.10267991487169748</v>
          </cell>
          <cell r="BH296">
            <v>0.10338279339288259</v>
          </cell>
          <cell r="BI296">
            <v>0.10533475439732354</v>
          </cell>
          <cell r="BJ296">
            <v>0.10697846820407442</v>
          </cell>
          <cell r="BK296">
            <v>0.10886012984075411</v>
          </cell>
          <cell r="BL296">
            <v>0.10886012984075411</v>
          </cell>
          <cell r="BM296">
            <v>0.11266654123159392</v>
          </cell>
          <cell r="BN296">
            <v>0.11533774468047153</v>
          </cell>
          <cell r="BO296">
            <v>0.1176780114250473</v>
          </cell>
        </row>
        <row r="297">
          <cell r="A297" t="str">
            <v xml:space="preserve">  Equity portfolio analytics</v>
          </cell>
          <cell r="D297" t="str">
            <v>ND</v>
          </cell>
          <cell r="E297" t="str">
            <v>ND</v>
          </cell>
          <cell r="F297" t="str">
            <v>ND</v>
          </cell>
          <cell r="G297" t="str">
            <v>ND</v>
          </cell>
          <cell r="H297" t="str">
            <v>ND</v>
          </cell>
          <cell r="I297" t="str">
            <v>ND</v>
          </cell>
          <cell r="J297">
            <v>0.1868481416436687</v>
          </cell>
          <cell r="K297">
            <v>0.1571363436938138</v>
          </cell>
          <cell r="L297">
            <v>0.10452356451944844</v>
          </cell>
          <cell r="M297">
            <v>3.6095870632399718E-2</v>
          </cell>
          <cell r="N297">
            <v>3.6095870632399718E-2</v>
          </cell>
          <cell r="O297">
            <v>-4.2791245460790939E-2</v>
          </cell>
          <cell r="P297">
            <v>-6.0702257841482643E-2</v>
          </cell>
          <cell r="Q297">
            <v>-6.8218406224845651E-2</v>
          </cell>
          <cell r="R297">
            <v>-5.4007184441967171E-2</v>
          </cell>
          <cell r="S297">
            <v>-8.3000000000000004E-2</v>
          </cell>
          <cell r="T297">
            <v>-4.1478361687528054E-2</v>
          </cell>
          <cell r="U297">
            <v>-3.8141898309377531E-2</v>
          </cell>
          <cell r="V297">
            <v>-2.1564722162231487E-2</v>
          </cell>
          <cell r="W297">
            <v>-5.7565143380908679E-2</v>
          </cell>
          <cell r="X297">
            <v>-5.7565143380908679E-2</v>
          </cell>
          <cell r="Y297">
            <v>-3.8599522751583959E-2</v>
          </cell>
          <cell r="Z297">
            <v>-2.5286977988068338E-2</v>
          </cell>
          <cell r="AA297">
            <v>-2.5367265354839241E-2</v>
          </cell>
          <cell r="AB297">
            <v>2.7753173900206596E-2</v>
          </cell>
          <cell r="AC297">
            <v>2.7753173900206596E-2</v>
          </cell>
          <cell r="AD297">
            <v>7.8056128518730894E-3</v>
          </cell>
          <cell r="AE297">
            <v>-1.0966467429844973E-2</v>
          </cell>
          <cell r="AF297">
            <v>-2.7361181009897706E-2</v>
          </cell>
          <cell r="AG297">
            <v>-7.1970529090694013E-2</v>
          </cell>
          <cell r="AH297">
            <v>-7.1970529090694013E-2</v>
          </cell>
          <cell r="AI297">
            <v>-9.9022513609226315E-2</v>
          </cell>
          <cell r="AJ297">
            <v>-0.10779920275195687</v>
          </cell>
          <cell r="AK297">
            <v>-9.5034409010158805E-2</v>
          </cell>
          <cell r="AL297">
            <v>-6.1100185731454149E-2</v>
          </cell>
          <cell r="AM297">
            <v>-6.1100185731454149E-2</v>
          </cell>
          <cell r="AN297">
            <v>-9.9022513609226315E-2</v>
          </cell>
          <cell r="AO297">
            <v>-0.10779920275195687</v>
          </cell>
          <cell r="AP297">
            <v>-9.5034409010158805E-2</v>
          </cell>
          <cell r="AQ297">
            <v>-6.1100185731454149E-2</v>
          </cell>
          <cell r="AR297">
            <v>-6.1100185731454149E-2</v>
          </cell>
          <cell r="AS297">
            <v>-2.4130227823283668E-2</v>
          </cell>
          <cell r="AT297">
            <v>1.8770808618116419E-2</v>
          </cell>
          <cell r="AU297">
            <v>1.9582991861861299E-2</v>
          </cell>
          <cell r="AV297">
            <v>4.0853333333333186E-2</v>
          </cell>
          <cell r="AW297">
            <v>4.0853333333333186E-2</v>
          </cell>
          <cell r="AX297">
            <v>4.6681670224377303E-2</v>
          </cell>
          <cell r="AY297">
            <v>2.8604699209285656E-2</v>
          </cell>
          <cell r="AZ297">
            <v>3.4647126447524768E-2</v>
          </cell>
        </row>
        <row r="298">
          <cell r="A298" t="str">
            <v xml:space="preserve">  Multi-asset class analytics</v>
          </cell>
          <cell r="D298" t="str">
            <v>ND</v>
          </cell>
          <cell r="E298" t="str">
            <v>ND</v>
          </cell>
          <cell r="F298" t="str">
            <v>ND</v>
          </cell>
          <cell r="G298" t="str">
            <v>ND</v>
          </cell>
          <cell r="H298" t="str">
            <v>ND</v>
          </cell>
          <cell r="I298" t="str">
            <v>ND</v>
          </cell>
          <cell r="J298">
            <v>0.29448402371912463</v>
          </cell>
          <cell r="K298">
            <v>0.37918878566688807</v>
          </cell>
          <cell r="L298">
            <v>0.22044339386125134</v>
          </cell>
          <cell r="M298">
            <v>0.20045822931983714</v>
          </cell>
          <cell r="N298">
            <v>0.20045822931983714</v>
          </cell>
          <cell r="O298">
            <v>0.16362378064856298</v>
          </cell>
          <cell r="P298">
            <v>0.11844835363103301</v>
          </cell>
          <cell r="Q298">
            <v>4.6261004812771453</v>
          </cell>
          <cell r="R298">
            <v>4.6401367326591663</v>
          </cell>
          <cell r="S298">
            <v>0.151</v>
          </cell>
          <cell r="T298">
            <v>4.5658047523294343</v>
          </cell>
          <cell r="U298">
            <v>4.3815400333387098</v>
          </cell>
          <cell r="V298">
            <v>0.19499778316772276</v>
          </cell>
          <cell r="W298">
            <v>0.17933099996464574</v>
          </cell>
          <cell r="X298">
            <v>0.17933099996464574</v>
          </cell>
          <cell r="Y298">
            <v>0.24083695038239816</v>
          </cell>
          <cell r="Z298">
            <v>0.24423838809758136</v>
          </cell>
          <cell r="AA298">
            <v>9.9105626825084503E-2</v>
          </cell>
          <cell r="AB298">
            <v>7.4786727422228472E-2</v>
          </cell>
          <cell r="AC298">
            <v>7.4786727422228472E-2</v>
          </cell>
          <cell r="AD298">
            <v>5.7903737087507734E-2</v>
          </cell>
          <cell r="AE298">
            <v>3.9940091869840266E-2</v>
          </cell>
          <cell r="AF298">
            <v>3.9602230306111208E-2</v>
          </cell>
          <cell r="AG298">
            <v>4.4392290619882369E-2</v>
          </cell>
          <cell r="AH298">
            <v>4.4392290619882369E-2</v>
          </cell>
          <cell r="AI298">
            <v>6.4157876987126494E-2</v>
          </cell>
          <cell r="AJ298">
            <v>8.5047973899109897E-2</v>
          </cell>
          <cell r="AK298">
            <v>0.10190391785343178</v>
          </cell>
          <cell r="AL298">
            <v>0.10891311978268492</v>
          </cell>
          <cell r="AM298">
            <v>0.10891311978268492</v>
          </cell>
          <cell r="AN298">
            <v>6.4157876987126494E-2</v>
          </cell>
          <cell r="AO298">
            <v>8.5047973899109897E-2</v>
          </cell>
          <cell r="AP298">
            <v>0.10190391785343178</v>
          </cell>
          <cell r="AQ298">
            <v>0.10891311978268492</v>
          </cell>
          <cell r="AR298">
            <v>0.10891311978268492</v>
          </cell>
          <cell r="AS298">
            <v>0.11997493843889773</v>
          </cell>
          <cell r="AT298">
            <v>0.10176071624285665</v>
          </cell>
          <cell r="AU298">
            <v>7.8234853632493495E-2</v>
          </cell>
          <cell r="AV298">
            <v>6.7722901721972928E-2</v>
          </cell>
          <cell r="AW298">
            <v>6.7722901721972928E-2</v>
          </cell>
          <cell r="AX298">
            <v>5.9324790216614964E-3</v>
          </cell>
          <cell r="AY298">
            <v>2.0289452520678486E-2</v>
          </cell>
          <cell r="AZ298">
            <v>2.7708918104681679E-2</v>
          </cell>
        </row>
        <row r="299">
          <cell r="A299" t="str">
            <v xml:space="preserve">  Analytics</v>
          </cell>
          <cell r="AX299">
            <v>1.6197434980328218E-2</v>
          </cell>
          <cell r="AY299">
            <v>2.2417418680381163E-2</v>
          </cell>
          <cell r="AZ299">
            <v>2.9484799479440715E-2</v>
          </cell>
          <cell r="BA299">
            <v>4.5475331416381382E-2</v>
          </cell>
          <cell r="BB299">
            <v>4.5475331416381382E-2</v>
          </cell>
          <cell r="BC299">
            <v>7.0336742903114535E-2</v>
          </cell>
          <cell r="BD299">
            <v>5.5541060519517904E-2</v>
          </cell>
          <cell r="BE299">
            <v>5.1090192105257115E-2</v>
          </cell>
          <cell r="BF299">
            <v>3.4034776754123808E-2</v>
          </cell>
          <cell r="BG299">
            <v>3.4034776754123808E-2</v>
          </cell>
          <cell r="BH299">
            <v>2.2873492250975458E-2</v>
          </cell>
          <cell r="BI299">
            <v>2.3932375150869989E-2</v>
          </cell>
          <cell r="BJ299">
            <v>2.3654552720069555E-2</v>
          </cell>
          <cell r="BK299">
            <v>3.5176185904463253E-2</v>
          </cell>
          <cell r="BL299">
            <v>3.5176185904463253E-2</v>
          </cell>
          <cell r="BM299">
            <v>3.627138783139161E-2</v>
          </cell>
          <cell r="BN299">
            <v>4.0478919329281826E-2</v>
          </cell>
          <cell r="BO299">
            <v>4.4266061838521775E-2</v>
          </cell>
        </row>
        <row r="300">
          <cell r="A300" t="str">
            <v xml:space="preserve">  Other</v>
          </cell>
          <cell r="D300" t="str">
            <v>ND</v>
          </cell>
          <cell r="E300" t="str">
            <v>ND</v>
          </cell>
          <cell r="F300" t="str">
            <v>ND</v>
          </cell>
          <cell r="G300" t="str">
            <v>ND</v>
          </cell>
          <cell r="H300" t="str">
            <v>ND</v>
          </cell>
          <cell r="I300" t="str">
            <v>ND</v>
          </cell>
          <cell r="J300">
            <v>0.17199295420231486</v>
          </cell>
          <cell r="K300">
            <v>0.21378746936467041</v>
          </cell>
          <cell r="L300">
            <v>0.12842315135166826</v>
          </cell>
          <cell r="M300">
            <v>9.6948435237777186E-2</v>
          </cell>
          <cell r="N300">
            <v>9.6948435237777186E-2</v>
          </cell>
          <cell r="O300">
            <v>7.3161567364465885E-2</v>
          </cell>
          <cell r="P300">
            <v>6.7149883510225106E-2</v>
          </cell>
          <cell r="Q300">
            <v>-0.23577404770565913</v>
          </cell>
          <cell r="R300">
            <v>-0.22001116807959797</v>
          </cell>
          <cell r="S300">
            <v>-2.3E-2</v>
          </cell>
          <cell r="T300">
            <v>-0.22707947781723603</v>
          </cell>
          <cell r="U300">
            <v>-0.25557927420919846</v>
          </cell>
          <cell r="V300">
            <v>3.1551747586019419E-2</v>
          </cell>
          <cell r="W300">
            <v>-5.0113895216400417E-3</v>
          </cell>
          <cell r="X300">
            <v>-5.0113895216400417E-3</v>
          </cell>
          <cell r="Y300">
            <v>-2.6273215556849694E-2</v>
          </cell>
          <cell r="Z300">
            <v>-1.7596454640250281E-2</v>
          </cell>
          <cell r="AA300">
            <v>1.1404087013843212E-2</v>
          </cell>
          <cell r="AB300">
            <v>-2.3547880690737766E-2</v>
          </cell>
          <cell r="AC300">
            <v>-2.3547880690737766E-2</v>
          </cell>
          <cell r="AD300">
            <v>-8.0414700604771738E-3</v>
          </cell>
          <cell r="AE300">
            <v>-1.5589757197824072E-2</v>
          </cell>
          <cell r="AF300">
            <v>-8.4924721371309464E-2</v>
          </cell>
          <cell r="AG300">
            <v>-0.12057877813504825</v>
          </cell>
          <cell r="AH300">
            <v>-0.12057877813504825</v>
          </cell>
          <cell r="AI300">
            <v>-0.12702666488007508</v>
          </cell>
          <cell r="AJ300">
            <v>-0.13781252105937059</v>
          </cell>
          <cell r="AK300">
            <v>-0.11018518518518505</v>
          </cell>
          <cell r="AL300">
            <v>-0.13909201706276664</v>
          </cell>
          <cell r="AM300">
            <v>-0.13909201706276664</v>
          </cell>
          <cell r="AN300">
            <v>-0.12702666488007508</v>
          </cell>
          <cell r="AO300">
            <v>-0.13781252105937059</v>
          </cell>
          <cell r="AP300">
            <v>-0.11018518518518505</v>
          </cell>
          <cell r="AQ300">
            <v>-0.13909201706276664</v>
          </cell>
          <cell r="AR300">
            <v>-0.13909201706276664</v>
          </cell>
          <cell r="AX300">
            <v>0.11731044349070086</v>
          </cell>
          <cell r="AY300">
            <v>0.1321525885558581</v>
          </cell>
          <cell r="AZ300">
            <v>4.2821158690176109E-2</v>
          </cell>
          <cell r="BA300">
            <v>4.3901515151514969E-2</v>
          </cell>
          <cell r="BB300">
            <v>4.4191919191919116E-2</v>
          </cell>
          <cell r="BC300">
            <v>0.11382842509603064</v>
          </cell>
          <cell r="BD300">
            <v>4.6016847172081876E-2</v>
          </cell>
          <cell r="BE300">
            <v>4.7560386473429972E-2</v>
          </cell>
          <cell r="BF300">
            <v>6.5278130556261083E-2</v>
          </cell>
          <cell r="BG300">
            <v>6.4981862152358127E-2</v>
          </cell>
          <cell r="BH300">
            <v>4.8844694792504972E-2</v>
          </cell>
          <cell r="BI300">
            <v>7.8709729188716437E-2</v>
          </cell>
          <cell r="BJ300">
            <v>0.10676456685651048</v>
          </cell>
          <cell r="BK300">
            <v>0.13804142539228392</v>
          </cell>
          <cell r="BL300">
            <v>0.13804142539228392</v>
          </cell>
          <cell r="BM300">
            <v>0.11640497441554531</v>
          </cell>
          <cell r="BN300">
            <v>0.1075864485351512</v>
          </cell>
          <cell r="BO300">
            <v>0.10068613392016612</v>
          </cell>
        </row>
        <row r="301">
          <cell r="A301" t="str">
            <v>Subscription based fees total</v>
          </cell>
          <cell r="J301">
            <v>0.21439154255729598</v>
          </cell>
          <cell r="K301">
            <v>0.21827010689601511</v>
          </cell>
          <cell r="L301">
            <v>0.17859113224808487</v>
          </cell>
          <cell r="M301">
            <v>0.13467988398184594</v>
          </cell>
          <cell r="N301">
            <v>0.13467988398184594</v>
          </cell>
          <cell r="O301">
            <v>6.8607702719017949E-2</v>
          </cell>
          <cell r="P301">
            <v>4.0317897546752857E-2</v>
          </cell>
          <cell r="Q301">
            <v>0.51096192361020609</v>
          </cell>
          <cell r="R301">
            <v>0.55988248102247495</v>
          </cell>
          <cell r="S301">
            <v>2.9000000000000001E-2</v>
          </cell>
          <cell r="T301">
            <v>0.57764464529939952</v>
          </cell>
          <cell r="U301">
            <v>0.58651204657306866</v>
          </cell>
          <cell r="V301">
            <v>0.13872015184373265</v>
          </cell>
          <cell r="W301">
            <v>0.11825635691258052</v>
          </cell>
          <cell r="X301">
            <v>0.11825635691258052</v>
          </cell>
          <cell r="Y301">
            <v>0.14687773851590102</v>
          </cell>
          <cell r="Z301">
            <v>0.15125446708175216</v>
          </cell>
          <cell r="AA301">
            <v>9.4707659988463089E-2</v>
          </cell>
          <cell r="AB301">
            <v>9.2818461780482586E-2</v>
          </cell>
          <cell r="AC301">
            <v>9.2818461780482586E-2</v>
          </cell>
          <cell r="AD301">
            <v>7.5099989812048795E-2</v>
          </cell>
          <cell r="AE301">
            <v>5.8854024993199472E-2</v>
          </cell>
          <cell r="AF301">
            <v>5.4699518361106536E-2</v>
          </cell>
          <cell r="AG301">
            <v>0.11085728233878545</v>
          </cell>
          <cell r="AH301">
            <v>0.11085728233878545</v>
          </cell>
          <cell r="AI301">
            <v>0.10793332976699044</v>
          </cell>
          <cell r="AJ301">
            <v>0.11277185410848789</v>
          </cell>
          <cell r="AK301">
            <v>0.12365160822703536</v>
          </cell>
          <cell r="AL301">
            <v>7.7950559898584348E-2</v>
          </cell>
          <cell r="AM301">
            <v>7.7950559898584348E-2</v>
          </cell>
          <cell r="AN301">
            <v>0.10793332976699044</v>
          </cell>
          <cell r="AO301">
            <v>0.11277185410848789</v>
          </cell>
          <cell r="AP301">
            <v>0.12365160822703536</v>
          </cell>
          <cell r="AQ301">
            <v>7.7950559898584348E-2</v>
          </cell>
          <cell r="AR301">
            <v>7.7950559898584348E-2</v>
          </cell>
          <cell r="AS301">
            <v>9.4510554821336523E-2</v>
          </cell>
          <cell r="AT301">
            <v>9.984804020755611E-2</v>
          </cell>
          <cell r="AU301">
            <v>9.2881640280741973E-2</v>
          </cell>
          <cell r="AV301">
            <v>8.7399433679476335E-2</v>
          </cell>
          <cell r="AW301">
            <v>8.7399433679476335E-2</v>
          </cell>
          <cell r="AX301">
            <v>5.9059152422954231E-2</v>
          </cell>
          <cell r="AY301">
            <v>6.3745747958093846E-2</v>
          </cell>
          <cell r="AZ301">
            <v>6.1846317517840532E-2</v>
          </cell>
          <cell r="BA301">
            <v>6.7324619642215477E-2</v>
          </cell>
          <cell r="BB301">
            <v>6.7352257993191333E-2</v>
          </cell>
          <cell r="BC301">
            <v>8.6150755491235742E-2</v>
          </cell>
          <cell r="BD301">
            <v>7.2117957176335512E-2</v>
          </cell>
          <cell r="BE301">
            <v>6.899513574285443E-2</v>
          </cell>
          <cell r="BF301">
            <v>6.5450127954983062E-2</v>
          </cell>
          <cell r="BG301">
            <v>6.5422538858353363E-2</v>
          </cell>
          <cell r="BH301">
            <v>5.8749600059607721E-2</v>
          </cell>
          <cell r="BI301">
            <v>6.3253405726102052E-2</v>
          </cell>
          <cell r="BJ301">
            <v>6.6634604006582165E-2</v>
          </cell>
          <cell r="BK301">
            <v>7.6418566978325053E-2</v>
          </cell>
          <cell r="BL301">
            <v>7.6418566978325053E-2</v>
          </cell>
          <cell r="BM301">
            <v>7.7979949603522725E-2</v>
          </cell>
          <cell r="BN301">
            <v>8.1527402813840633E-2</v>
          </cell>
          <cell r="BO301">
            <v>8.4751560879761101E-2</v>
          </cell>
        </row>
        <row r="302">
          <cell r="A302" t="str">
            <v>Asset based fees</v>
          </cell>
        </row>
        <row r="303">
          <cell r="A303" t="str">
            <v xml:space="preserve">  Equity indices</v>
          </cell>
          <cell r="D303" t="str">
            <v>ND</v>
          </cell>
          <cell r="E303" t="str">
            <v>ND</v>
          </cell>
          <cell r="F303" t="str">
            <v>ND</v>
          </cell>
          <cell r="G303" t="str">
            <v>ND</v>
          </cell>
          <cell r="H303" t="str">
            <v>ND</v>
          </cell>
          <cell r="I303" t="str">
            <v>ND</v>
          </cell>
          <cell r="J303">
            <v>0.37712440516655343</v>
          </cell>
          <cell r="K303">
            <v>0.27615984562193452</v>
          </cell>
          <cell r="L303">
            <v>0.11029888767582796</v>
          </cell>
          <cell r="M303">
            <v>-0.32525141564334947</v>
          </cell>
          <cell r="N303">
            <v>-0.32525141564334947</v>
          </cell>
          <cell r="O303">
            <v>-0.30651199144349839</v>
          </cell>
          <cell r="P303">
            <v>-0.13188336399606859</v>
          </cell>
          <cell r="Q303">
            <v>0.15785498489425986</v>
          </cell>
          <cell r="R303">
            <v>0.84512365299635639</v>
          </cell>
          <cell r="S303">
            <v>0.79900000000000004</v>
          </cell>
          <cell r="T303">
            <v>0.98232293273223403</v>
          </cell>
          <cell r="U303">
            <v>0.3716541833594611</v>
          </cell>
          <cell r="V303">
            <v>0.3310933057637635</v>
          </cell>
          <cell r="W303">
            <v>0.2380752303022029</v>
          </cell>
          <cell r="X303">
            <v>0.2380752303022029</v>
          </cell>
          <cell r="Y303">
            <v>0.33916851197957176</v>
          </cell>
          <cell r="Z303">
            <v>0.48306806637317989</v>
          </cell>
          <cell r="AA303">
            <v>9.0411465557096449E-2</v>
          </cell>
          <cell r="AB303">
            <v>1.5610948025724047E-2</v>
          </cell>
          <cell r="AC303">
            <v>1.5610948025724047E-2</v>
          </cell>
          <cell r="AD303">
            <v>2.0147925247845366E-2</v>
          </cell>
          <cell r="AE303">
            <v>-7.9197111542413601E-2</v>
          </cell>
          <cell r="AF303">
            <v>-2.8424123193813156E-2</v>
          </cell>
          <cell r="AG303">
            <v>6.153409185838643E-2</v>
          </cell>
          <cell r="AH303">
            <v>6.153409185838643E-2</v>
          </cell>
          <cell r="AI303">
            <v>-2.0268395613381673E-2</v>
          </cell>
          <cell r="AJ303">
            <v>2.0698206052152557E-2</v>
          </cell>
          <cell r="AK303">
            <v>0.28280791788856319</v>
          </cell>
          <cell r="AL303">
            <v>0.24578978846638133</v>
          </cell>
          <cell r="AM303">
            <v>0.24578978846638133</v>
          </cell>
          <cell r="AN303">
            <v>-2.0268395613381673E-2</v>
          </cell>
          <cell r="AO303">
            <v>2.0698206052152557E-2</v>
          </cell>
          <cell r="AP303">
            <v>0.28280791788856319</v>
          </cell>
          <cell r="AQ303">
            <v>0.24578978846638133</v>
          </cell>
          <cell r="AR303">
            <v>0.24578978846638133</v>
          </cell>
          <cell r="AS303">
            <v>0.20640007154248585</v>
          </cell>
          <cell r="AT303">
            <v>0.34041422454371517</v>
          </cell>
          <cell r="AU303">
            <v>0.20951972730798274</v>
          </cell>
          <cell r="AV303">
            <v>0.1026688986450206</v>
          </cell>
          <cell r="AW303">
            <v>0.1026688986450206</v>
          </cell>
          <cell r="AX303">
            <v>0.17728345337962215</v>
          </cell>
          <cell r="AY303">
            <v>0.13971362869150505</v>
          </cell>
          <cell r="AZ303">
            <v>5.6498700597387819E-2</v>
          </cell>
          <cell r="BA303">
            <v>0.15174898887475807</v>
          </cell>
          <cell r="BB303">
            <v>0.15174898887475807</v>
          </cell>
          <cell r="BC303">
            <v>4.5906989678929255E-2</v>
          </cell>
          <cell r="BD303">
            <v>-2.9435297508709324E-2</v>
          </cell>
          <cell r="BE303">
            <v>0.1299449467037237</v>
          </cell>
          <cell r="BF303">
            <v>7.9260073515148299E-2</v>
          </cell>
          <cell r="BG303">
            <v>7.9260073515148299E-2</v>
          </cell>
          <cell r="BH303">
            <v>0.20821752872121602</v>
          </cell>
        </row>
        <row r="304">
          <cell r="A304" t="str">
            <v xml:space="preserve">  Hedge fund indices</v>
          </cell>
          <cell r="D304" t="str">
            <v>ND</v>
          </cell>
          <cell r="E304" t="str">
            <v>ND</v>
          </cell>
          <cell r="F304" t="str">
            <v>ND</v>
          </cell>
          <cell r="G304" t="str">
            <v>ND</v>
          </cell>
          <cell r="H304" t="str">
            <v>ND</v>
          </cell>
          <cell r="I304" t="str">
            <v>ND</v>
          </cell>
          <cell r="J304">
            <v>-0.35014534883720927</v>
          </cell>
          <cell r="K304">
            <v>-0.56828052115168082</v>
          </cell>
          <cell r="L304">
            <v>-0.62959381044487428</v>
          </cell>
          <cell r="M304">
            <v>-0.72743432747382974</v>
          </cell>
          <cell r="N304">
            <v>-0.72743432747382974</v>
          </cell>
          <cell r="O304" t="str">
            <v>NA</v>
          </cell>
          <cell r="P304" t="str">
            <v>NA</v>
          </cell>
          <cell r="Q304" t="str">
            <v>NA</v>
          </cell>
          <cell r="R304" t="str">
            <v>NA</v>
          </cell>
          <cell r="S304" t="str">
            <v>NA</v>
          </cell>
          <cell r="T304" t="str">
            <v>NA</v>
          </cell>
          <cell r="U304" t="str">
            <v>NA</v>
          </cell>
          <cell r="V304" t="str">
            <v>NA</v>
          </cell>
          <cell r="W304" t="str">
            <v>NA</v>
          </cell>
          <cell r="Y304" t="str">
            <v>NA</v>
          </cell>
          <cell r="Z304" t="str">
            <v>NA</v>
          </cell>
          <cell r="AA304" t="str">
            <v>NA</v>
          </cell>
          <cell r="AB304" t="str">
            <v>NA</v>
          </cell>
          <cell r="AC304">
            <v>1.5610948025724047E-2</v>
          </cell>
          <cell r="AD304" t="str">
            <v>NA</v>
          </cell>
          <cell r="AE304" t="str">
            <v>NA</v>
          </cell>
          <cell r="AF304" t="str">
            <v>NA</v>
          </cell>
          <cell r="AG304" t="str">
            <v>NA</v>
          </cell>
          <cell r="AH304">
            <v>6.153409185838643E-2</v>
          </cell>
          <cell r="AI304" t="str">
            <v>NA</v>
          </cell>
          <cell r="AJ304" t="str">
            <v>NA</v>
          </cell>
          <cell r="AK304" t="str">
            <v>NA</v>
          </cell>
          <cell r="AL304" t="str">
            <v>NA</v>
          </cell>
          <cell r="AM304">
            <v>0.24578978846638133</v>
          </cell>
          <cell r="AN304" t="str">
            <v>NA</v>
          </cell>
          <cell r="AO304" t="str">
            <v>NA</v>
          </cell>
          <cell r="AP304" t="str">
            <v>NA</v>
          </cell>
          <cell r="AQ304" t="str">
            <v>NA</v>
          </cell>
          <cell r="AR304">
            <v>0</v>
          </cell>
          <cell r="AS304" t="str">
            <v>NA</v>
          </cell>
          <cell r="AT304" t="str">
            <v>NA</v>
          </cell>
          <cell r="AU304" t="str">
            <v>NA</v>
          </cell>
          <cell r="AV304" t="str">
            <v>NA</v>
          </cell>
          <cell r="AX304" t="str">
            <v>NA</v>
          </cell>
          <cell r="AY304" t="str">
            <v>NA</v>
          </cell>
          <cell r="AZ304" t="str">
            <v>NA</v>
          </cell>
          <cell r="BA304" t="str">
            <v>NA</v>
          </cell>
          <cell r="BB304" t="str">
            <v>NA</v>
          </cell>
          <cell r="BC304" t="str">
            <v>NA</v>
          </cell>
          <cell r="BD304" t="str">
            <v>NA</v>
          </cell>
          <cell r="BE304" t="str">
            <v>NA</v>
          </cell>
          <cell r="BF304" t="str">
            <v>NA</v>
          </cell>
          <cell r="BG304" t="str">
            <v>NA</v>
          </cell>
          <cell r="BH304" t="str">
            <v>NA</v>
          </cell>
        </row>
        <row r="305">
          <cell r="A305" t="str">
            <v>Total run rate</v>
          </cell>
          <cell r="D305" t="str">
            <v>ND</v>
          </cell>
          <cell r="E305" t="str">
            <v>ND</v>
          </cell>
          <cell r="F305" t="str">
            <v>ND</v>
          </cell>
          <cell r="G305" t="str">
            <v>ND</v>
          </cell>
          <cell r="H305" t="str">
            <v>ND</v>
          </cell>
          <cell r="I305" t="str">
            <v>ND</v>
          </cell>
          <cell r="J305">
            <v>0.29350223945450904</v>
          </cell>
          <cell r="K305">
            <v>0.19940937399491254</v>
          </cell>
          <cell r="L305">
            <v>3.4270787489884658E-2</v>
          </cell>
          <cell r="M305">
            <v>-0.35022691033975228</v>
          </cell>
          <cell r="N305">
            <v>2.9814244524550393E-2</v>
          </cell>
          <cell r="O305">
            <v>-0.33365203235225727</v>
          </cell>
          <cell r="P305">
            <v>-0.14809487823310019</v>
          </cell>
          <cell r="Q305">
            <v>0.11524576887705384</v>
          </cell>
          <cell r="R305">
            <v>0.79705904560555707</v>
          </cell>
          <cell r="S305">
            <v>0.129</v>
          </cell>
          <cell r="T305">
            <v>0.62633728094371444</v>
          </cell>
          <cell r="U305">
            <v>0.54674031218451513</v>
          </cell>
          <cell r="V305">
            <v>0.16515601770495225</v>
          </cell>
          <cell r="W305">
            <v>0.13670886075949351</v>
          </cell>
          <cell r="X305">
            <v>0.13670886075949351</v>
          </cell>
          <cell r="Y305">
            <v>0.17743497564509192</v>
          </cell>
          <cell r="Z305">
            <v>0.20044998399638514</v>
          </cell>
          <cell r="AA305">
            <v>9.403319809259747E-2</v>
          </cell>
          <cell r="AB305">
            <v>7.9867935134519952E-2</v>
          </cell>
          <cell r="AC305">
            <v>7.9867935134519952E-2</v>
          </cell>
          <cell r="AD305">
            <v>6.5167961508792782E-2</v>
          </cell>
          <cell r="AE305">
            <v>3.3567546796947845E-2</v>
          </cell>
          <cell r="AF305">
            <v>4.1693092769552909E-2</v>
          </cell>
          <cell r="AG305">
            <v>0.10307627631268557</v>
          </cell>
          <cell r="AH305">
            <v>0.10307627631268557</v>
          </cell>
          <cell r="AI305">
            <v>8.5741512865460834E-2</v>
          </cell>
          <cell r="AJ305">
            <v>9.7746956551428621E-2</v>
          </cell>
          <cell r="AK305">
            <v>0.14687866594828414</v>
          </cell>
          <cell r="AL305">
            <v>0.10343097314049077</v>
          </cell>
          <cell r="AM305">
            <v>0.10343097314049077</v>
          </cell>
          <cell r="AN305">
            <v>8.5741512865460834E-2</v>
          </cell>
          <cell r="AO305">
            <v>9.7746956551428621E-2</v>
          </cell>
          <cell r="AP305">
            <v>0.14687866594828414</v>
          </cell>
          <cell r="AQ305">
            <v>0.10343097314049077</v>
          </cell>
          <cell r="AR305">
            <v>0.10343097314049077</v>
          </cell>
          <cell r="AS305">
            <v>0.11198764242178716</v>
          </cell>
          <cell r="AT305">
            <v>0.13634913229542844</v>
          </cell>
          <cell r="AU305">
            <v>0.11192111158126683</v>
          </cell>
          <cell r="AV305">
            <v>9.0016630648032336E-2</v>
          </cell>
          <cell r="AW305">
            <v>9.0016630648032336E-2</v>
          </cell>
          <cell r="AX305">
            <v>7.9093620357740813E-2</v>
          </cell>
          <cell r="AY305">
            <v>7.734229197564213E-2</v>
          </cell>
          <cell r="AZ305">
            <v>6.0896776423162269E-2</v>
          </cell>
          <cell r="BA305">
            <v>8.1962979334184061E-2</v>
          </cell>
          <cell r="BB305">
            <v>8.1985825465489937E-2</v>
          </cell>
          <cell r="BC305">
            <v>7.871043596949634E-2</v>
          </cell>
          <cell r="BD305">
            <v>5.2889944427402913E-2</v>
          </cell>
          <cell r="BE305">
            <v>7.9772726202861133E-2</v>
          </cell>
          <cell r="BF305">
            <v>6.7999081937112571E-2</v>
          </cell>
          <cell r="BG305">
            <v>6.7976531135904184E-2</v>
          </cell>
          <cell r="BH305">
            <v>8.5543083151823129E-2</v>
          </cell>
        </row>
        <row r="307">
          <cell r="A307" t="str">
            <v>Subscription run rate growth organic ex-FX</v>
          </cell>
        </row>
        <row r="308">
          <cell r="A308" t="str">
            <v>Index</v>
          </cell>
          <cell r="AN308">
            <v>0.09</v>
          </cell>
          <cell r="AO308">
            <v>0.08</v>
          </cell>
          <cell r="AP308">
            <v>0.08</v>
          </cell>
          <cell r="AQ308">
            <v>0.09</v>
          </cell>
          <cell r="AS308">
            <v>0.1</v>
          </cell>
          <cell r="AT308">
            <v>0.11</v>
          </cell>
          <cell r="AU308">
            <v>0.1</v>
          </cell>
          <cell r="AV308">
            <v>0.1</v>
          </cell>
          <cell r="AX308">
            <v>0.1</v>
          </cell>
          <cell r="AY308">
            <v>0.1</v>
          </cell>
          <cell r="AZ308">
            <v>0.11</v>
          </cell>
          <cell r="BA308">
            <v>0.1</v>
          </cell>
          <cell r="BC308">
            <v>0.1</v>
          </cell>
          <cell r="BD308">
            <v>0.1</v>
          </cell>
          <cell r="BE308">
            <v>0.11</v>
          </cell>
          <cell r="BF308">
            <v>0.1</v>
          </cell>
          <cell r="BH308">
            <v>0.1</v>
          </cell>
        </row>
        <row r="309">
          <cell r="A309" t="str">
            <v>Analytics</v>
          </cell>
          <cell r="AN309">
            <v>-4.0000000000000001E-3</v>
          </cell>
          <cell r="AO309">
            <v>2E-3</v>
          </cell>
          <cell r="AP309">
            <v>0.02</v>
          </cell>
          <cell r="AQ309">
            <v>0.03</v>
          </cell>
          <cell r="AS309">
            <v>0.04</v>
          </cell>
          <cell r="AT309">
            <v>0.04</v>
          </cell>
          <cell r="AU309">
            <v>0.04</v>
          </cell>
          <cell r="AV309">
            <v>0.06</v>
          </cell>
          <cell r="AX309">
            <v>0.06</v>
          </cell>
          <cell r="AY309">
            <v>0.06</v>
          </cell>
          <cell r="AZ309">
            <v>0.05</v>
          </cell>
          <cell r="BA309">
            <v>0.06</v>
          </cell>
          <cell r="BC309">
            <v>0.06</v>
          </cell>
          <cell r="BD309">
            <v>0.05</v>
          </cell>
          <cell r="BE309">
            <v>0.05</v>
          </cell>
          <cell r="BF309">
            <v>0.04</v>
          </cell>
          <cell r="BH309">
            <v>0.03</v>
          </cell>
        </row>
        <row r="310">
          <cell r="A310" t="str">
            <v>All Other</v>
          </cell>
          <cell r="AQ310">
            <v>0.12</v>
          </cell>
          <cell r="AS310">
            <v>0.14000000000000001</v>
          </cell>
          <cell r="AT310">
            <v>0.14000000000000001</v>
          </cell>
          <cell r="AU310">
            <v>0.15</v>
          </cell>
          <cell r="AV310">
            <v>0.15</v>
          </cell>
          <cell r="AX310">
            <v>0.14000000000000001</v>
          </cell>
          <cell r="AY310">
            <v>0.13</v>
          </cell>
          <cell r="AZ310">
            <v>0.11</v>
          </cell>
          <cell r="BA310">
            <v>0.1</v>
          </cell>
          <cell r="BC310">
            <v>0.12</v>
          </cell>
          <cell r="BD310">
            <v>0.1</v>
          </cell>
          <cell r="BE310">
            <v>0.11</v>
          </cell>
          <cell r="BF310">
            <v>0.15</v>
          </cell>
          <cell r="BH310">
            <v>0.13</v>
          </cell>
        </row>
        <row r="311">
          <cell r="A311" t="str">
            <v>Total Subscription</v>
          </cell>
          <cell r="AN311">
            <v>0.04</v>
          </cell>
          <cell r="AO311">
            <v>0.04</v>
          </cell>
          <cell r="AP311">
            <v>0.05</v>
          </cell>
          <cell r="AQ311">
            <v>0.06</v>
          </cell>
          <cell r="AS311">
            <v>7.0000000000000007E-2</v>
          </cell>
          <cell r="AT311">
            <v>7.0000000000000007E-2</v>
          </cell>
          <cell r="AU311">
            <v>0.08</v>
          </cell>
          <cell r="AV311">
            <v>0.08</v>
          </cell>
          <cell r="AX311">
            <v>0.08</v>
          </cell>
          <cell r="AY311">
            <v>0.08</v>
          </cell>
          <cell r="AZ311">
            <v>0.08</v>
          </cell>
          <cell r="BA311">
            <v>7.9000000000000001E-2</v>
          </cell>
          <cell r="BC311">
            <v>0.09</v>
          </cell>
          <cell r="BD311">
            <v>0.08</v>
          </cell>
          <cell r="BE311">
            <v>7.0000000000000007E-2</v>
          </cell>
          <cell r="BF311">
            <v>7.0000000000000007E-2</v>
          </cell>
          <cell r="BH311">
            <v>7.0000000000000007E-2</v>
          </cell>
        </row>
        <row r="313">
          <cell r="A313" t="str">
            <v>Subscription based fee - % Americas</v>
          </cell>
          <cell r="C313">
            <v>0.43</v>
          </cell>
          <cell r="D313">
            <v>0.43</v>
          </cell>
          <cell r="E313">
            <v>0.43</v>
          </cell>
          <cell r="F313">
            <v>0.44</v>
          </cell>
          <cell r="G313">
            <v>0.44</v>
          </cell>
          <cell r="H313">
            <v>0.43</v>
          </cell>
          <cell r="I313">
            <v>0.43</v>
          </cell>
          <cell r="J313">
            <v>0.44</v>
          </cell>
          <cell r="K313">
            <v>0.44</v>
          </cell>
          <cell r="L313">
            <v>0.44</v>
          </cell>
          <cell r="M313">
            <v>0.45</v>
          </cell>
          <cell r="N313">
            <v>0.45</v>
          </cell>
          <cell r="O313">
            <v>0.45</v>
          </cell>
          <cell r="P313">
            <v>0.439</v>
          </cell>
          <cell r="Q313">
            <v>0.51</v>
          </cell>
          <cell r="R313">
            <v>0.51</v>
          </cell>
          <cell r="S313">
            <v>0.51</v>
          </cell>
          <cell r="T313">
            <v>0.52</v>
          </cell>
          <cell r="U313">
            <v>0.52</v>
          </cell>
          <cell r="V313">
            <v>0.53</v>
          </cell>
          <cell r="W313">
            <v>0.53</v>
          </cell>
          <cell r="X313">
            <v>0.53</v>
          </cell>
          <cell r="Y313">
            <v>0.52</v>
          </cell>
          <cell r="Z313">
            <v>0.52</v>
          </cell>
          <cell r="AA313">
            <v>0.53</v>
          </cell>
          <cell r="AB313">
            <v>0.52</v>
          </cell>
          <cell r="AC313">
            <v>0.52</v>
          </cell>
          <cell r="AD313">
            <v>0.53</v>
          </cell>
          <cell r="AE313">
            <v>0.53</v>
          </cell>
          <cell r="AF313">
            <v>0.53</v>
          </cell>
          <cell r="AG313">
            <v>0.54500000000000004</v>
          </cell>
          <cell r="AH313">
            <v>0.54500000000000004</v>
          </cell>
          <cell r="AI313">
            <v>0.54500000000000004</v>
          </cell>
          <cell r="AJ313">
            <v>0.54500000000000004</v>
          </cell>
          <cell r="AK313">
            <v>0.54500000000000004</v>
          </cell>
          <cell r="AL313">
            <v>0.54500000000000004</v>
          </cell>
          <cell r="AM313">
            <v>0.54500000000000004</v>
          </cell>
          <cell r="AN313">
            <v>0.54500000000000004</v>
          </cell>
          <cell r="AO313">
            <v>0.54500000000000004</v>
          </cell>
          <cell r="AP313">
            <v>0.54500000000000004</v>
          </cell>
          <cell r="AQ313">
            <v>0.54500000000000004</v>
          </cell>
          <cell r="AR313">
            <v>0.54500000000000004</v>
          </cell>
          <cell r="AS313">
            <v>0.54500000000000004</v>
          </cell>
          <cell r="AT313">
            <v>0.54500000000000004</v>
          </cell>
          <cell r="AU313">
            <v>0.54500000000000004</v>
          </cell>
          <cell r="AV313">
            <v>0.54500000000000004</v>
          </cell>
          <cell r="AW313">
            <v>0.52</v>
          </cell>
          <cell r="AX313">
            <v>0.52</v>
          </cell>
          <cell r="AY313">
            <v>0.52</v>
          </cell>
          <cell r="AZ313">
            <v>0.52</v>
          </cell>
          <cell r="BA313">
            <v>0.52</v>
          </cell>
          <cell r="BB313">
            <v>0.52</v>
          </cell>
          <cell r="BC313">
            <v>0.52</v>
          </cell>
          <cell r="BD313">
            <v>0.52</v>
          </cell>
          <cell r="BE313">
            <v>0.52</v>
          </cell>
          <cell r="BF313">
            <v>0.52</v>
          </cell>
          <cell r="BG313">
            <v>0.52</v>
          </cell>
          <cell r="BH313">
            <v>0.52</v>
          </cell>
          <cell r="BI313">
            <v>0.52</v>
          </cell>
          <cell r="BJ313">
            <v>0.52</v>
          </cell>
          <cell r="BK313">
            <v>0.52</v>
          </cell>
          <cell r="BL313">
            <v>0.52</v>
          </cell>
          <cell r="BM313">
            <v>0.52</v>
          </cell>
          <cell r="BN313">
            <v>0.52</v>
          </cell>
          <cell r="BO313">
            <v>0.52</v>
          </cell>
        </row>
        <row r="314">
          <cell r="A314" t="str">
            <v>Subscription based fee - % non-Americas</v>
          </cell>
          <cell r="C314">
            <v>0.56999999999999995</v>
          </cell>
          <cell r="D314">
            <v>0.56999999999999995</v>
          </cell>
          <cell r="E314">
            <v>0.56999999999999995</v>
          </cell>
          <cell r="F314">
            <v>0.56000000000000005</v>
          </cell>
          <cell r="G314">
            <v>0.56000000000000005</v>
          </cell>
          <cell r="H314">
            <v>0.56999999999999995</v>
          </cell>
          <cell r="I314">
            <v>0.56999999999999995</v>
          </cell>
          <cell r="J314">
            <v>0.56000000000000005</v>
          </cell>
          <cell r="K314">
            <v>0.56000000000000005</v>
          </cell>
          <cell r="L314">
            <v>0.56000000000000005</v>
          </cell>
          <cell r="M314">
            <v>0.55000000000000004</v>
          </cell>
          <cell r="N314">
            <v>0.55000000000000004</v>
          </cell>
          <cell r="O314">
            <v>0.55000000000000004</v>
          </cell>
          <cell r="P314">
            <v>0.56100000000000005</v>
          </cell>
          <cell r="Q314">
            <v>0.49</v>
          </cell>
          <cell r="R314">
            <v>0.49</v>
          </cell>
          <cell r="S314">
            <v>0.49</v>
          </cell>
          <cell r="T314">
            <v>0.48</v>
          </cell>
          <cell r="U314">
            <v>0.48</v>
          </cell>
          <cell r="V314">
            <v>0.47</v>
          </cell>
          <cell r="W314">
            <v>0.47</v>
          </cell>
          <cell r="X314">
            <v>0.47</v>
          </cell>
          <cell r="Y314">
            <v>0.48</v>
          </cell>
          <cell r="Z314">
            <v>0.48</v>
          </cell>
          <cell r="AA314">
            <v>0.47</v>
          </cell>
          <cell r="AB314">
            <v>0.48</v>
          </cell>
          <cell r="AC314">
            <v>0.48</v>
          </cell>
          <cell r="AD314">
            <v>0.47</v>
          </cell>
          <cell r="AE314">
            <v>0.47</v>
          </cell>
          <cell r="AF314">
            <v>0.47</v>
          </cell>
          <cell r="AG314">
            <v>0.45499999999999996</v>
          </cell>
          <cell r="AH314">
            <v>0.45499999999999996</v>
          </cell>
          <cell r="AI314">
            <v>0.45499999999999996</v>
          </cell>
          <cell r="AJ314">
            <v>0.45499999999999996</v>
          </cell>
          <cell r="AK314">
            <v>0.45499999999999996</v>
          </cell>
          <cell r="AL314">
            <v>0.45499999999999996</v>
          </cell>
          <cell r="AM314">
            <v>0.45499999999999996</v>
          </cell>
          <cell r="AN314">
            <v>0.45499999999999996</v>
          </cell>
          <cell r="AO314">
            <v>0.45499999999999996</v>
          </cell>
          <cell r="AP314">
            <v>0.45499999999999996</v>
          </cell>
          <cell r="AQ314">
            <v>0.45499999999999996</v>
          </cell>
          <cell r="AR314">
            <v>0.45499999999999996</v>
          </cell>
          <cell r="AS314">
            <v>0.45499999999999996</v>
          </cell>
          <cell r="AT314">
            <v>0.45499999999999996</v>
          </cell>
          <cell r="AU314">
            <v>0.45499999999999996</v>
          </cell>
          <cell r="AV314">
            <v>0.45499999999999996</v>
          </cell>
          <cell r="AW314">
            <v>0.48</v>
          </cell>
          <cell r="AX314">
            <v>0.48</v>
          </cell>
          <cell r="AY314">
            <v>0.48</v>
          </cell>
          <cell r="AZ314">
            <v>0.48</v>
          </cell>
          <cell r="BA314">
            <v>0.48</v>
          </cell>
          <cell r="BB314">
            <v>0.48</v>
          </cell>
          <cell r="BC314">
            <v>0.48</v>
          </cell>
          <cell r="BD314">
            <v>0.48</v>
          </cell>
          <cell r="BE314">
            <v>0.48</v>
          </cell>
          <cell r="BF314">
            <v>0.48</v>
          </cell>
          <cell r="BG314">
            <v>0.48</v>
          </cell>
          <cell r="BH314">
            <v>0.48</v>
          </cell>
          <cell r="BI314">
            <v>0.48</v>
          </cell>
          <cell r="BJ314">
            <v>0.48</v>
          </cell>
          <cell r="BK314">
            <v>0.48</v>
          </cell>
          <cell r="BL314">
            <v>0.48</v>
          </cell>
          <cell r="BM314">
            <v>0.48</v>
          </cell>
          <cell r="BN314">
            <v>0.48</v>
          </cell>
          <cell r="BO314">
            <v>0.48</v>
          </cell>
        </row>
        <row r="316">
          <cell r="A316" t="str">
            <v>Subscription based fee - by client type</v>
          </cell>
        </row>
        <row r="317">
          <cell r="A317" t="str">
            <v xml:space="preserve">  % Asset Managers</v>
          </cell>
          <cell r="C317" t="str">
            <v>ND</v>
          </cell>
          <cell r="D317" t="str">
            <v>ND</v>
          </cell>
          <cell r="E317" t="str">
            <v>ND</v>
          </cell>
          <cell r="F317" t="str">
            <v>ND</v>
          </cell>
          <cell r="G317" t="str">
            <v>ND</v>
          </cell>
          <cell r="H317" t="str">
            <v>ND</v>
          </cell>
          <cell r="I317" t="str">
            <v>ND</v>
          </cell>
          <cell r="J317">
            <v>0.622</v>
          </cell>
          <cell r="K317">
            <v>0.622</v>
          </cell>
          <cell r="L317">
            <v>0.61799999999999999</v>
          </cell>
          <cell r="M317">
            <v>0.61599999999999999</v>
          </cell>
          <cell r="N317">
            <v>0.61599999999999999</v>
          </cell>
          <cell r="O317">
            <v>0.60799999999999998</v>
          </cell>
          <cell r="P317">
            <v>0.61399999999999999</v>
          </cell>
          <cell r="Q317">
            <v>0.57999999999999996</v>
          </cell>
          <cell r="R317">
            <v>0.56999999999999995</v>
          </cell>
          <cell r="S317">
            <v>0.56999999999999995</v>
          </cell>
          <cell r="T317">
            <v>0.56999999999999995</v>
          </cell>
          <cell r="U317">
            <v>0.56999999999999995</v>
          </cell>
          <cell r="V317">
            <v>0.56999999999999995</v>
          </cell>
          <cell r="W317">
            <v>0.56000000000000005</v>
          </cell>
          <cell r="X317">
            <v>0.56000000000000005</v>
          </cell>
          <cell r="Y317">
            <v>0.56000000000000005</v>
          </cell>
          <cell r="Z317">
            <v>0.56999999999999995</v>
          </cell>
          <cell r="AA317">
            <v>0.56000000000000005</v>
          </cell>
          <cell r="AB317">
            <v>0.56999999999999995</v>
          </cell>
          <cell r="AC317">
            <v>0.56999999999999995</v>
          </cell>
          <cell r="AD317">
            <v>0.56999999999999995</v>
          </cell>
          <cell r="AE317">
            <v>0.56999999999999995</v>
          </cell>
          <cell r="AF317">
            <v>0.56999999999999995</v>
          </cell>
          <cell r="AG317">
            <v>0.56999999999999995</v>
          </cell>
          <cell r="AH317">
            <v>0.56999999999999995</v>
          </cell>
          <cell r="AI317">
            <v>0.56999999999999995</v>
          </cell>
          <cell r="AJ317">
            <v>0.56999999999999995</v>
          </cell>
          <cell r="AK317">
            <v>0.56999999999999995</v>
          </cell>
          <cell r="AL317">
            <v>0.56999999999999995</v>
          </cell>
          <cell r="AM317">
            <v>0.56999999999999995</v>
          </cell>
          <cell r="AN317">
            <v>0.56999999999999995</v>
          </cell>
          <cell r="AO317">
            <v>0.56999999999999995</v>
          </cell>
          <cell r="AP317">
            <v>0.56999999999999995</v>
          </cell>
          <cell r="AQ317">
            <v>0.56999999999999995</v>
          </cell>
          <cell r="AR317">
            <v>0.56999999999999995</v>
          </cell>
          <cell r="AS317">
            <v>0.61</v>
          </cell>
          <cell r="AT317">
            <v>0.61</v>
          </cell>
          <cell r="AU317">
            <v>0.61</v>
          </cell>
          <cell r="AV317">
            <v>0.61</v>
          </cell>
          <cell r="AW317">
            <v>0.61</v>
          </cell>
          <cell r="AX317">
            <v>0.61</v>
          </cell>
          <cell r="AY317">
            <v>0.61</v>
          </cell>
          <cell r="AZ317">
            <v>0.61</v>
          </cell>
          <cell r="BA317">
            <v>0.61</v>
          </cell>
          <cell r="BB317">
            <v>0.61</v>
          </cell>
          <cell r="BC317">
            <v>0.61</v>
          </cell>
          <cell r="BD317">
            <v>0.61</v>
          </cell>
          <cell r="BE317">
            <v>0.61</v>
          </cell>
          <cell r="BF317">
            <v>0.61</v>
          </cell>
          <cell r="BG317">
            <v>0.61</v>
          </cell>
          <cell r="BH317">
            <v>0.61</v>
          </cell>
          <cell r="BI317">
            <v>0.61</v>
          </cell>
          <cell r="BJ317">
            <v>0.61</v>
          </cell>
          <cell r="BK317">
            <v>0.61</v>
          </cell>
          <cell r="BL317">
            <v>0.61</v>
          </cell>
          <cell r="BM317">
            <v>0.61</v>
          </cell>
          <cell r="BN317">
            <v>0.61</v>
          </cell>
          <cell r="BO317">
            <v>0.61</v>
          </cell>
        </row>
        <row r="318">
          <cell r="A318" t="str">
            <v xml:space="preserve">  % Banking &amp; Trading/ Broker Dealers</v>
          </cell>
          <cell r="C318" t="str">
            <v>ND</v>
          </cell>
          <cell r="D318" t="str">
            <v>ND</v>
          </cell>
          <cell r="E318" t="str">
            <v>ND</v>
          </cell>
          <cell r="F318" t="str">
            <v>ND</v>
          </cell>
          <cell r="G318" t="str">
            <v>ND</v>
          </cell>
          <cell r="H318" t="str">
            <v>ND</v>
          </cell>
          <cell r="I318" t="str">
            <v>ND</v>
          </cell>
          <cell r="J318">
            <v>0.123</v>
          </cell>
          <cell r="K318">
            <v>0.122</v>
          </cell>
          <cell r="L318">
            <v>0.123</v>
          </cell>
          <cell r="M318">
            <v>0.121</v>
          </cell>
          <cell r="N318">
            <v>0.121</v>
          </cell>
          <cell r="O318">
            <v>0.123</v>
          </cell>
          <cell r="P318">
            <v>0.122</v>
          </cell>
          <cell r="Q318">
            <v>0.15</v>
          </cell>
          <cell r="R318">
            <v>0.16</v>
          </cell>
          <cell r="S318">
            <v>0.16</v>
          </cell>
          <cell r="T318">
            <v>0.16</v>
          </cell>
          <cell r="U318">
            <v>0.16</v>
          </cell>
          <cell r="V318">
            <v>0.15</v>
          </cell>
          <cell r="W318">
            <v>0.16</v>
          </cell>
          <cell r="X318">
            <v>0.16</v>
          </cell>
          <cell r="Y318">
            <v>0.17</v>
          </cell>
          <cell r="Z318">
            <v>0.16</v>
          </cell>
          <cell r="AA318">
            <v>0.16500000000000001</v>
          </cell>
          <cell r="AB318">
            <v>0.16</v>
          </cell>
          <cell r="AC318">
            <v>0.16</v>
          </cell>
          <cell r="AD318">
            <v>0.16</v>
          </cell>
          <cell r="AE318">
            <v>0.16</v>
          </cell>
          <cell r="AF318">
            <v>0.16</v>
          </cell>
          <cell r="AG318">
            <v>0.16</v>
          </cell>
          <cell r="AH318">
            <v>0.16</v>
          </cell>
          <cell r="AI318">
            <v>0.16</v>
          </cell>
          <cell r="AJ318">
            <v>0.16</v>
          </cell>
          <cell r="AK318">
            <v>0.16</v>
          </cell>
          <cell r="AL318">
            <v>0.16</v>
          </cell>
          <cell r="AM318">
            <v>0.16</v>
          </cell>
          <cell r="AN318">
            <v>0.16</v>
          </cell>
          <cell r="AO318">
            <v>0.16</v>
          </cell>
          <cell r="AP318">
            <v>0.16</v>
          </cell>
          <cell r="AQ318">
            <v>0.16</v>
          </cell>
          <cell r="AR318">
            <v>0.16</v>
          </cell>
          <cell r="AS318">
            <v>0.16</v>
          </cell>
          <cell r="AT318">
            <v>0.16</v>
          </cell>
          <cell r="AU318">
            <v>0.16</v>
          </cell>
          <cell r="AV318">
            <v>0.16</v>
          </cell>
          <cell r="AW318">
            <v>0.16</v>
          </cell>
          <cell r="AX318">
            <v>0.16</v>
          </cell>
          <cell r="AY318">
            <v>0.16</v>
          </cell>
          <cell r="AZ318">
            <v>0.16</v>
          </cell>
          <cell r="BA318">
            <v>0.16</v>
          </cell>
          <cell r="BB318">
            <v>0.16</v>
          </cell>
          <cell r="BC318">
            <v>0.16</v>
          </cell>
          <cell r="BD318">
            <v>0.16</v>
          </cell>
          <cell r="BE318">
            <v>0.16</v>
          </cell>
          <cell r="BF318">
            <v>0.16</v>
          </cell>
          <cell r="BG318">
            <v>0.16</v>
          </cell>
          <cell r="BH318">
            <v>0.16</v>
          </cell>
          <cell r="BI318">
            <v>0.16</v>
          </cell>
          <cell r="BJ318">
            <v>0.16</v>
          </cell>
          <cell r="BK318">
            <v>0.16</v>
          </cell>
          <cell r="BL318">
            <v>0.16</v>
          </cell>
          <cell r="BM318">
            <v>0.16</v>
          </cell>
          <cell r="BN318">
            <v>0.16</v>
          </cell>
          <cell r="BO318">
            <v>0.16</v>
          </cell>
        </row>
        <row r="319">
          <cell r="A319" t="str">
            <v xml:space="preserve">  % Alternative Inv Mgmt/ Hedge Funds</v>
          </cell>
          <cell r="C319" t="str">
            <v>ND</v>
          </cell>
          <cell r="D319" t="str">
            <v>ND</v>
          </cell>
          <cell r="E319" t="str">
            <v>ND</v>
          </cell>
          <cell r="F319" t="str">
            <v>ND</v>
          </cell>
          <cell r="G319" t="str">
            <v>ND</v>
          </cell>
          <cell r="H319" t="str">
            <v>ND</v>
          </cell>
          <cell r="I319" t="str">
            <v>ND</v>
          </cell>
          <cell r="J319">
            <v>6.2E-2</v>
          </cell>
          <cell r="K319">
            <v>6.3E-2</v>
          </cell>
          <cell r="L319">
            <v>6.2E-2</v>
          </cell>
          <cell r="M319">
            <v>6.0999999999999999E-2</v>
          </cell>
          <cell r="N319">
            <v>6.0999999999999999E-2</v>
          </cell>
          <cell r="O319">
            <v>6.0999999999999999E-2</v>
          </cell>
          <cell r="P319">
            <v>0.06</v>
          </cell>
          <cell r="Q319">
            <v>0.11</v>
          </cell>
          <cell r="R319">
            <v>0.1</v>
          </cell>
          <cell r="S319">
            <v>0.1</v>
          </cell>
          <cell r="T319">
            <v>0.1</v>
          </cell>
          <cell r="U319">
            <v>0.1</v>
          </cell>
          <cell r="V319">
            <v>0.12</v>
          </cell>
          <cell r="W319">
            <v>0.11</v>
          </cell>
          <cell r="X319">
            <v>0.11</v>
          </cell>
          <cell r="Y319">
            <v>0.11</v>
          </cell>
          <cell r="Z319">
            <v>0.11</v>
          </cell>
          <cell r="AA319">
            <v>0.11</v>
          </cell>
          <cell r="AB319">
            <v>0.11</v>
          </cell>
          <cell r="AC319">
            <v>0.11</v>
          </cell>
          <cell r="AD319">
            <v>0.11</v>
          </cell>
          <cell r="AE319">
            <v>0.11</v>
          </cell>
          <cell r="AF319">
            <v>0.11</v>
          </cell>
          <cell r="AG319">
            <v>0.11</v>
          </cell>
          <cell r="AH319">
            <v>0.11</v>
          </cell>
          <cell r="AI319">
            <v>0.11</v>
          </cell>
          <cell r="AJ319">
            <v>0.11</v>
          </cell>
          <cell r="AK319">
            <v>0.11</v>
          </cell>
          <cell r="AL319">
            <v>0.11</v>
          </cell>
          <cell r="AM319">
            <v>0.11</v>
          </cell>
          <cell r="AN319">
            <v>0.11</v>
          </cell>
          <cell r="AO319">
            <v>0.11</v>
          </cell>
          <cell r="AP319">
            <v>0.11</v>
          </cell>
          <cell r="AQ319">
            <v>0.11</v>
          </cell>
          <cell r="AR319">
            <v>0.11</v>
          </cell>
          <cell r="AS319">
            <v>0.09</v>
          </cell>
          <cell r="AT319">
            <v>0.09</v>
          </cell>
          <cell r="AU319">
            <v>0.09</v>
          </cell>
          <cell r="AV319">
            <v>0.09</v>
          </cell>
          <cell r="AW319">
            <v>0.09</v>
          </cell>
          <cell r="AX319">
            <v>0.09</v>
          </cell>
          <cell r="AY319">
            <v>0.09</v>
          </cell>
          <cell r="AZ319">
            <v>0.09</v>
          </cell>
          <cell r="BA319">
            <v>0.09</v>
          </cell>
          <cell r="BB319">
            <v>0.09</v>
          </cell>
          <cell r="BC319">
            <v>0.09</v>
          </cell>
          <cell r="BD319">
            <v>0.09</v>
          </cell>
          <cell r="BE319">
            <v>0.09</v>
          </cell>
          <cell r="BF319">
            <v>0.09</v>
          </cell>
          <cell r="BG319">
            <v>0.09</v>
          </cell>
          <cell r="BH319">
            <v>0.09</v>
          </cell>
          <cell r="BI319">
            <v>0.09</v>
          </cell>
          <cell r="BJ319">
            <v>0.09</v>
          </cell>
          <cell r="BK319">
            <v>0.09</v>
          </cell>
          <cell r="BL319">
            <v>0.09</v>
          </cell>
          <cell r="BM319">
            <v>0.09</v>
          </cell>
          <cell r="BN319">
            <v>0.09</v>
          </cell>
          <cell r="BO319">
            <v>0.09</v>
          </cell>
        </row>
        <row r="320">
          <cell r="A320" t="str">
            <v xml:space="preserve">  % Asset Owners &amp; Consultants</v>
          </cell>
          <cell r="C320" t="str">
            <v>ND</v>
          </cell>
          <cell r="D320" t="str">
            <v>ND</v>
          </cell>
          <cell r="E320" t="str">
            <v>ND</v>
          </cell>
          <cell r="F320" t="str">
            <v>ND</v>
          </cell>
          <cell r="G320" t="str">
            <v>ND</v>
          </cell>
          <cell r="H320" t="str">
            <v>ND</v>
          </cell>
          <cell r="I320" t="str">
            <v>ND</v>
          </cell>
          <cell r="J320">
            <v>5.7000000000000002E-2</v>
          </cell>
          <cell r="K320">
            <v>5.7000000000000002E-2</v>
          </cell>
          <cell r="L320">
            <v>5.8000000000000003E-2</v>
          </cell>
          <cell r="M320">
            <v>0.06</v>
          </cell>
          <cell r="N320">
            <v>0.06</v>
          </cell>
          <cell r="O320">
            <v>6.0999999999999999E-2</v>
          </cell>
          <cell r="P320">
            <v>6.0999999999999999E-2</v>
          </cell>
          <cell r="Q320">
            <v>0.09</v>
          </cell>
          <cell r="R320">
            <v>0.09</v>
          </cell>
          <cell r="S320">
            <v>0.09</v>
          </cell>
          <cell r="T320">
            <v>0.08</v>
          </cell>
          <cell r="U320">
            <v>0.09</v>
          </cell>
          <cell r="V320">
            <v>0.09</v>
          </cell>
          <cell r="W320">
            <v>0.09</v>
          </cell>
          <cell r="X320">
            <v>0.09</v>
          </cell>
          <cell r="Y320">
            <v>0.09</v>
          </cell>
          <cell r="Z320">
            <v>0.09</v>
          </cell>
          <cell r="AA320">
            <v>0.09</v>
          </cell>
          <cell r="AB320">
            <v>0.09</v>
          </cell>
          <cell r="AC320">
            <v>0.09</v>
          </cell>
          <cell r="AD320">
            <v>0.09</v>
          </cell>
          <cell r="AE320">
            <v>0.09</v>
          </cell>
          <cell r="AF320">
            <v>0.09</v>
          </cell>
          <cell r="AG320">
            <v>0.09</v>
          </cell>
          <cell r="AH320">
            <v>0.09</v>
          </cell>
          <cell r="AI320">
            <v>0.09</v>
          </cell>
          <cell r="AJ320">
            <v>0.09</v>
          </cell>
          <cell r="AK320">
            <v>0.09</v>
          </cell>
          <cell r="AL320">
            <v>0.09</v>
          </cell>
          <cell r="AM320">
            <v>0.09</v>
          </cell>
          <cell r="AN320">
            <v>0.09</v>
          </cell>
          <cell r="AO320">
            <v>0.09</v>
          </cell>
          <cell r="AP320">
            <v>0.09</v>
          </cell>
          <cell r="AQ320">
            <v>0.09</v>
          </cell>
          <cell r="AR320">
            <v>0.09</v>
          </cell>
          <cell r="AS320">
            <v>0.09</v>
          </cell>
          <cell r="AT320">
            <v>0.09</v>
          </cell>
          <cell r="AU320">
            <v>0.09</v>
          </cell>
          <cell r="AV320">
            <v>0.09</v>
          </cell>
          <cell r="AW320">
            <v>0.09</v>
          </cell>
          <cell r="AX320">
            <v>0.09</v>
          </cell>
          <cell r="AY320">
            <v>0.09</v>
          </cell>
          <cell r="AZ320">
            <v>0.09</v>
          </cell>
          <cell r="BA320">
            <v>0.09</v>
          </cell>
          <cell r="BB320">
            <v>0.09</v>
          </cell>
          <cell r="BC320">
            <v>0.09</v>
          </cell>
          <cell r="BD320">
            <v>0.09</v>
          </cell>
          <cell r="BE320">
            <v>0.09</v>
          </cell>
          <cell r="BF320">
            <v>0.09</v>
          </cell>
          <cell r="BG320">
            <v>0.09</v>
          </cell>
          <cell r="BH320">
            <v>0.09</v>
          </cell>
          <cell r="BI320">
            <v>0.09</v>
          </cell>
          <cell r="BJ320">
            <v>0.09</v>
          </cell>
          <cell r="BK320">
            <v>0.09</v>
          </cell>
          <cell r="BL320">
            <v>0.09</v>
          </cell>
          <cell r="BM320">
            <v>0.09</v>
          </cell>
          <cell r="BN320">
            <v>0.09</v>
          </cell>
          <cell r="BO320">
            <v>0.09</v>
          </cell>
        </row>
        <row r="321">
          <cell r="A321" t="str">
            <v xml:space="preserve">  % Corporate</v>
          </cell>
          <cell r="C321" t="str">
            <v>ND</v>
          </cell>
          <cell r="D321" t="str">
            <v>ND</v>
          </cell>
          <cell r="E321" t="str">
            <v>ND</v>
          </cell>
          <cell r="F321" t="str">
            <v>ND</v>
          </cell>
          <cell r="G321" t="str">
            <v>ND</v>
          </cell>
          <cell r="H321" t="str">
            <v>ND</v>
          </cell>
          <cell r="I321" t="str">
            <v>ND</v>
          </cell>
          <cell r="J321">
            <v>0.13600000000000001</v>
          </cell>
          <cell r="K321">
            <v>0.13700000000000001</v>
          </cell>
          <cell r="L321">
            <v>0.14000000000000001</v>
          </cell>
          <cell r="M321">
            <v>0.14299999999999999</v>
          </cell>
          <cell r="N321">
            <v>0.14299999999999999</v>
          </cell>
          <cell r="O321">
            <v>0.14599999999999999</v>
          </cell>
          <cell r="P321">
            <v>0.14399999999999999</v>
          </cell>
          <cell r="Q321">
            <v>7.0000000000000007E-2</v>
          </cell>
          <cell r="R321">
            <v>0.02</v>
          </cell>
          <cell r="S321">
            <v>0.02</v>
          </cell>
          <cell r="T321">
            <v>0.02</v>
          </cell>
          <cell r="U321">
            <v>0.02</v>
          </cell>
          <cell r="V321">
            <v>0.02</v>
          </cell>
          <cell r="W321">
            <v>0.02</v>
          </cell>
          <cell r="X321">
            <v>0.02</v>
          </cell>
          <cell r="Y321">
            <v>0.02</v>
          </cell>
          <cell r="Z321">
            <v>0.02</v>
          </cell>
        </row>
        <row r="322">
          <cell r="A322" t="str">
            <v xml:space="preserve">  % Other</v>
          </cell>
          <cell r="R322">
            <v>0.05</v>
          </cell>
          <cell r="S322">
            <v>0.05</v>
          </cell>
          <cell r="T322">
            <v>7.0000000000000007E-2</v>
          </cell>
          <cell r="U322">
            <v>0.06</v>
          </cell>
          <cell r="V322">
            <v>0.05</v>
          </cell>
          <cell r="W322">
            <v>0.05</v>
          </cell>
          <cell r="X322">
            <v>0.05</v>
          </cell>
          <cell r="Y322">
            <v>0.05</v>
          </cell>
          <cell r="Z322">
            <v>0.05</v>
          </cell>
          <cell r="AA322">
            <v>0.08</v>
          </cell>
          <cell r="AB322">
            <v>7.0000000000000007E-2</v>
          </cell>
          <cell r="AC322">
            <v>7.0000000000000007E-2</v>
          </cell>
          <cell r="AD322">
            <v>7.0000000000000062E-2</v>
          </cell>
          <cell r="AE322">
            <v>7.0000000000000062E-2</v>
          </cell>
          <cell r="AF322">
            <v>7.0000000000000062E-2</v>
          </cell>
          <cell r="AG322">
            <v>7.0000000000000062E-2</v>
          </cell>
          <cell r="AH322">
            <v>7.0000000000000007E-2</v>
          </cell>
          <cell r="AI322">
            <v>7.0000000000000062E-2</v>
          </cell>
          <cell r="AJ322">
            <v>7.0000000000000062E-2</v>
          </cell>
          <cell r="AK322">
            <v>7.0000000000000062E-2</v>
          </cell>
          <cell r="AL322">
            <v>7.0000000000000062E-2</v>
          </cell>
          <cell r="AM322">
            <v>7.0000000000000007E-2</v>
          </cell>
          <cell r="AN322">
            <v>7.0000000000000062E-2</v>
          </cell>
          <cell r="AO322">
            <v>7.0000000000000062E-2</v>
          </cell>
          <cell r="AP322">
            <v>7.0000000000000062E-2</v>
          </cell>
          <cell r="AQ322">
            <v>7.0000000000000062E-2</v>
          </cell>
          <cell r="AR322">
            <v>7.0000000000000007E-2</v>
          </cell>
          <cell r="AS322">
            <v>5.0000000000000044E-2</v>
          </cell>
          <cell r="AT322">
            <v>5.0000000000000044E-2</v>
          </cell>
          <cell r="AU322">
            <v>5.0000000000000044E-2</v>
          </cell>
          <cell r="AV322">
            <v>5.0000000000000044E-2</v>
          </cell>
          <cell r="AW322">
            <v>5.0000000000000044E-2</v>
          </cell>
          <cell r="AX322">
            <v>5.0000000000000044E-2</v>
          </cell>
          <cell r="AY322">
            <v>5.0000000000000044E-2</v>
          </cell>
          <cell r="AZ322">
            <v>5.0000000000000044E-2</v>
          </cell>
          <cell r="BA322">
            <v>5.0000000000000044E-2</v>
          </cell>
          <cell r="BB322">
            <v>5.0000000000000044E-2</v>
          </cell>
          <cell r="BC322">
            <v>5.0000000000000044E-2</v>
          </cell>
          <cell r="BD322">
            <v>5.0000000000000044E-2</v>
          </cell>
          <cell r="BE322">
            <v>5.0000000000000044E-2</v>
          </cell>
          <cell r="BF322">
            <v>5.0000000000000044E-2</v>
          </cell>
          <cell r="BG322">
            <v>5.0000000000000044E-2</v>
          </cell>
          <cell r="BH322">
            <v>5.0000000000000044E-2</v>
          </cell>
          <cell r="BI322">
            <v>5.0000000000000044E-2</v>
          </cell>
          <cell r="BJ322">
            <v>5.0000000000000044E-2</v>
          </cell>
          <cell r="BK322">
            <v>5.0000000000000044E-2</v>
          </cell>
          <cell r="BL322">
            <v>5.0000000000000044E-2</v>
          </cell>
          <cell r="BM322">
            <v>5.0000000000000044E-2</v>
          </cell>
          <cell r="BN322">
            <v>5.0000000000000044E-2</v>
          </cell>
          <cell r="BO322">
            <v>5.0000000000000044E-2</v>
          </cell>
        </row>
        <row r="323">
          <cell r="A323" t="str">
            <v>Retention Rates:</v>
          </cell>
        </row>
        <row r="324">
          <cell r="A324" t="str">
            <v>Aggregate Retention Rate</v>
          </cell>
          <cell r="O324" t="str">
            <v>FQ Feb</v>
          </cell>
          <cell r="P324" t="str">
            <v>FQ May</v>
          </cell>
          <cell r="Q324" t="str">
            <v>FQ Aug</v>
          </cell>
          <cell r="R324" t="str">
            <v>FQ Nov</v>
          </cell>
        </row>
        <row r="325">
          <cell r="A325" t="str">
            <v>Equity indices</v>
          </cell>
          <cell r="C325">
            <v>0.86399999999999999</v>
          </cell>
          <cell r="D325">
            <v>0.93899999999999995</v>
          </cell>
          <cell r="E325">
            <v>0.97299999999999998</v>
          </cell>
          <cell r="F325">
            <v>0.94699999999999995</v>
          </cell>
          <cell r="G325">
            <v>0.95799999999999996</v>
          </cell>
          <cell r="H325">
            <v>0.94199999999999995</v>
          </cell>
          <cell r="I325">
            <v>0.95499999999999996</v>
          </cell>
          <cell r="J325">
            <v>0.98</v>
          </cell>
          <cell r="K325">
            <v>0.94299999999999995</v>
          </cell>
          <cell r="L325">
            <v>0.95599999999999996</v>
          </cell>
          <cell r="M325">
            <v>0.89300000000000002</v>
          </cell>
          <cell r="N325">
            <v>0.94299999999999995</v>
          </cell>
          <cell r="O325">
            <v>0.93799999999999994</v>
          </cell>
          <cell r="P325">
            <v>0.92800000000000005</v>
          </cell>
          <cell r="Q325">
            <v>0.90500000000000003</v>
          </cell>
          <cell r="R325">
            <v>0.88500000000000001</v>
          </cell>
          <cell r="S325">
            <v>0.91399999999999992</v>
          </cell>
          <cell r="T325">
            <v>0.94399999999999995</v>
          </cell>
          <cell r="U325">
            <v>0.90200000000000002</v>
          </cell>
          <cell r="V325">
            <v>0.92400000000000004</v>
          </cell>
          <cell r="W325">
            <v>0.89800000000000002</v>
          </cell>
          <cell r="X325">
            <v>0.91700000000000004</v>
          </cell>
          <cell r="Y325">
            <v>0.95</v>
          </cell>
          <cell r="Z325">
            <v>0.92800000000000005</v>
          </cell>
          <cell r="AA325">
            <v>0.95199999999999996</v>
          </cell>
          <cell r="AB325">
            <v>0.89300000000000002</v>
          </cell>
          <cell r="AC325">
            <v>0.93074999999999997</v>
          </cell>
          <cell r="AD325">
            <v>0.94499999999999995</v>
          </cell>
          <cell r="AE325">
            <v>0.94899999999999995</v>
          </cell>
          <cell r="AF325">
            <v>0.94</v>
          </cell>
          <cell r="AG325">
            <v>0.90400000000000003</v>
          </cell>
          <cell r="AH325">
            <v>0.93449999999999989</v>
          </cell>
          <cell r="AI325">
            <v>0.95</v>
          </cell>
          <cell r="AJ325">
            <v>0.94</v>
          </cell>
          <cell r="AK325">
            <v>0.94699999999999995</v>
          </cell>
          <cell r="AL325">
            <v>0.90700000000000003</v>
          </cell>
          <cell r="AM325">
            <v>0.93599999999999994</v>
          </cell>
          <cell r="AN325">
            <v>0.95599999999999996</v>
          </cell>
          <cell r="AO325">
            <v>0.94899999999999995</v>
          </cell>
          <cell r="AP325">
            <v>0.94399999999999995</v>
          </cell>
          <cell r="AQ325">
            <v>0.92100000000000004</v>
          </cell>
          <cell r="AR325">
            <v>0.94199999999999995</v>
          </cell>
          <cell r="AS325">
            <v>0.95399999999999996</v>
          </cell>
          <cell r="AT325">
            <v>0.95299999999999996</v>
          </cell>
          <cell r="AU325">
            <v>0.95299999999999996</v>
          </cell>
          <cell r="AV325">
            <v>0.95199999999999996</v>
          </cell>
          <cell r="AW325">
            <v>0.95299999999999996</v>
          </cell>
          <cell r="AX325">
            <v>0.97199999999999998</v>
          </cell>
          <cell r="AY325">
            <v>0.95399999999999996</v>
          </cell>
          <cell r="AZ325">
            <v>0.95399999999999996</v>
          </cell>
          <cell r="BA325">
            <v>0.92700000000000005</v>
          </cell>
          <cell r="BB325">
            <v>0.95199999999999996</v>
          </cell>
          <cell r="BC325">
            <v>0.96299999999999997</v>
          </cell>
          <cell r="BD325">
            <v>0.95599999999999996</v>
          </cell>
          <cell r="BE325">
            <v>0.95799999999999996</v>
          </cell>
          <cell r="BF325">
            <v>0.93400000000000005</v>
          </cell>
          <cell r="BG325">
            <v>0.95299999999999996</v>
          </cell>
          <cell r="BH325">
            <v>0.96899999999999997</v>
          </cell>
          <cell r="BI325">
            <v>0.96099999999999997</v>
          </cell>
          <cell r="BJ325">
            <v>0.96299999999999997</v>
          </cell>
          <cell r="BK325">
            <v>0.93900000000000006</v>
          </cell>
          <cell r="BL325">
            <v>0.95799999999999996</v>
          </cell>
          <cell r="BM325">
            <v>0.96299999999999997</v>
          </cell>
          <cell r="BN325">
            <v>0.96737499999999987</v>
          </cell>
          <cell r="BO325">
            <v>0.97175</v>
          </cell>
        </row>
        <row r="326">
          <cell r="A326" t="str">
            <v>Risk management analytics</v>
          </cell>
          <cell r="C326">
            <v>0.88700000000000001</v>
          </cell>
          <cell r="D326">
            <v>0.874</v>
          </cell>
          <cell r="E326">
            <v>0.92700000000000005</v>
          </cell>
          <cell r="F326">
            <v>0.78900000000000003</v>
          </cell>
          <cell r="G326">
            <v>0.95399999999999996</v>
          </cell>
          <cell r="H326">
            <v>0.92100000000000004</v>
          </cell>
          <cell r="I326">
            <v>0.89800000000000002</v>
          </cell>
          <cell r="J326">
            <v>0.98599999999999999</v>
          </cell>
          <cell r="K326">
            <v>0.76900000000000002</v>
          </cell>
          <cell r="L326">
            <v>0.91100000000000003</v>
          </cell>
          <cell r="M326">
            <v>0.85099999999999998</v>
          </cell>
          <cell r="N326">
            <v>0.879</v>
          </cell>
          <cell r="O326">
            <v>0.85499999999999998</v>
          </cell>
          <cell r="P326">
            <v>0.79500000000000004</v>
          </cell>
          <cell r="Q326">
            <v>0.80400000000000005</v>
          </cell>
          <cell r="R326">
            <v>0.80200000000000005</v>
          </cell>
          <cell r="S326">
            <v>0.81399999999999995</v>
          </cell>
          <cell r="T326">
            <v>0.83399999999999996</v>
          </cell>
          <cell r="U326">
            <v>0.92</v>
          </cell>
          <cell r="V326">
            <v>0.877</v>
          </cell>
          <cell r="W326">
            <v>0.85599999999999998</v>
          </cell>
          <cell r="X326">
            <v>0.87175000000000002</v>
          </cell>
          <cell r="Y326">
            <v>0.94199999999999995</v>
          </cell>
          <cell r="Z326">
            <v>0.92200000000000004</v>
          </cell>
          <cell r="AA326">
            <v>0.92100000000000004</v>
          </cell>
          <cell r="AB326">
            <v>0.80800000000000005</v>
          </cell>
          <cell r="AC326">
            <v>0.89824999999999999</v>
          </cell>
          <cell r="AD326">
            <v>0.93899999999999995</v>
          </cell>
          <cell r="AE326">
            <v>0.9</v>
          </cell>
          <cell r="AF326">
            <v>0.88500000000000001</v>
          </cell>
          <cell r="AG326">
            <v>0.84399999999999997</v>
          </cell>
          <cell r="AH326">
            <v>0.89200000000000002</v>
          </cell>
          <cell r="AI326">
            <v>0.93500000000000005</v>
          </cell>
          <cell r="AJ326">
            <v>0.92500000000000004</v>
          </cell>
          <cell r="AK326">
            <v>0.92300000000000004</v>
          </cell>
          <cell r="AL326">
            <v>0.872</v>
          </cell>
          <cell r="AM326">
            <v>0.91375000000000006</v>
          </cell>
          <cell r="AN326">
            <v>0.93400000000000005</v>
          </cell>
          <cell r="AO326">
            <v>0.92200000000000004</v>
          </cell>
          <cell r="AP326">
            <v>0.91700000000000004</v>
          </cell>
          <cell r="AQ326">
            <v>0.85699999999999998</v>
          </cell>
          <cell r="AR326">
            <v>0.90749999999999997</v>
          </cell>
          <cell r="AS326">
            <v>0.91</v>
          </cell>
          <cell r="AT326">
            <v>0.91600000000000004</v>
          </cell>
          <cell r="AU326">
            <v>0.94399999999999995</v>
          </cell>
          <cell r="AV326">
            <v>0.88600000000000001</v>
          </cell>
          <cell r="AW326">
            <v>0.91400000000000003</v>
          </cell>
          <cell r="AX326">
            <v>0.93100000000000005</v>
          </cell>
          <cell r="AY326">
            <v>0.94099999999999995</v>
          </cell>
          <cell r="AZ326">
            <v>0.95299999999999996</v>
          </cell>
          <cell r="BB326">
            <v>0.92924999999999991</v>
          </cell>
        </row>
        <row r="327">
          <cell r="A327" t="str">
            <v>Portfolio management analytics</v>
          </cell>
          <cell r="C327">
            <v>0.77300000000000002</v>
          </cell>
          <cell r="D327">
            <v>0.88600000000000001</v>
          </cell>
          <cell r="E327">
            <v>0.95299999999999996</v>
          </cell>
          <cell r="F327">
            <v>0.95799999999999996</v>
          </cell>
          <cell r="G327">
            <v>0.88500000000000001</v>
          </cell>
          <cell r="H327">
            <v>0.85299999999999998</v>
          </cell>
          <cell r="I327">
            <v>0.91200000000000003</v>
          </cell>
          <cell r="J327">
            <v>0.95199999999999996</v>
          </cell>
          <cell r="K327">
            <v>0.88900000000000001</v>
          </cell>
          <cell r="L327">
            <v>0.877</v>
          </cell>
          <cell r="M327">
            <v>0.69599999999999995</v>
          </cell>
          <cell r="N327">
            <v>0.85299999999999998</v>
          </cell>
          <cell r="O327">
            <v>0.86499999999999999</v>
          </cell>
          <cell r="P327">
            <v>0.82199999999999995</v>
          </cell>
          <cell r="Q327">
            <v>0.69099999999999995</v>
          </cell>
          <cell r="R327">
            <v>0.77700000000000002</v>
          </cell>
          <cell r="S327">
            <v>0.78874999999999995</v>
          </cell>
          <cell r="T327">
            <v>0.88900000000000001</v>
          </cell>
          <cell r="U327">
            <v>0.84499999999999997</v>
          </cell>
          <cell r="V327">
            <v>0.82199999999999995</v>
          </cell>
          <cell r="W327">
            <v>0.61099999999999999</v>
          </cell>
          <cell r="X327">
            <v>0.79174999999999995</v>
          </cell>
          <cell r="Y327">
            <v>0.88600000000000001</v>
          </cell>
          <cell r="Z327">
            <v>0.91400000000000003</v>
          </cell>
          <cell r="AA327">
            <v>0.86599999999999999</v>
          </cell>
          <cell r="AB327">
            <v>0.872</v>
          </cell>
          <cell r="AC327">
            <v>0.88449999999999995</v>
          </cell>
          <cell r="AD327">
            <v>0.91900000000000004</v>
          </cell>
          <cell r="AE327">
            <v>0.84199999999999997</v>
          </cell>
          <cell r="AF327">
            <v>0.84899999999999998</v>
          </cell>
          <cell r="AG327">
            <v>0.78</v>
          </cell>
          <cell r="AH327">
            <v>0.84750000000000014</v>
          </cell>
          <cell r="AI327">
            <v>0.81699999999999995</v>
          </cell>
          <cell r="AJ327">
            <v>0.87</v>
          </cell>
          <cell r="AK327">
            <v>0.89100000000000001</v>
          </cell>
          <cell r="AL327">
            <v>0.88900000000000001</v>
          </cell>
          <cell r="AM327">
            <v>0.86674999999999991</v>
          </cell>
          <cell r="AN327">
            <v>0.81699999999999995</v>
          </cell>
          <cell r="AO327">
            <v>0.87</v>
          </cell>
          <cell r="AP327">
            <v>0.89100000000000001</v>
          </cell>
          <cell r="AQ327">
            <v>0.88900000000000001</v>
          </cell>
          <cell r="AR327">
            <v>0.86674999999999991</v>
          </cell>
          <cell r="AS327">
            <v>0.90600000000000003</v>
          </cell>
          <cell r="AT327">
            <v>0.94799999999999995</v>
          </cell>
          <cell r="AU327">
            <v>0.93600000000000005</v>
          </cell>
          <cell r="AV327">
            <v>0.93200000000000005</v>
          </cell>
          <cell r="AW327">
            <v>0.93049999999999999</v>
          </cell>
          <cell r="AX327">
            <v>0.92200000000000004</v>
          </cell>
          <cell r="AY327">
            <v>0.92900000000000005</v>
          </cell>
          <cell r="AZ327">
            <v>0.95399999999999996</v>
          </cell>
          <cell r="BB327">
            <v>0.9355</v>
          </cell>
        </row>
        <row r="328">
          <cell r="A328" t="str">
            <v>Analytics</v>
          </cell>
          <cell r="AN328">
            <v>0.90100000000000002</v>
          </cell>
          <cell r="AO328">
            <v>0.90700000000000003</v>
          </cell>
          <cell r="AP328">
            <v>0.91</v>
          </cell>
          <cell r="AQ328">
            <v>0.86599999999999999</v>
          </cell>
          <cell r="AR328">
            <v>0.89600000000000002</v>
          </cell>
          <cell r="AS328">
            <v>0.90900000000000003</v>
          </cell>
          <cell r="AT328">
            <v>0.92400000000000004</v>
          </cell>
          <cell r="AU328">
            <v>0.94199999999999995</v>
          </cell>
          <cell r="AV328">
            <v>0.89700000000000002</v>
          </cell>
          <cell r="AW328">
            <v>0.91800000000000004</v>
          </cell>
          <cell r="AX328">
            <v>0.92900000000000005</v>
          </cell>
          <cell r="AY328">
            <v>0.93799999999999994</v>
          </cell>
          <cell r="AZ328">
            <v>0.95299999999999996</v>
          </cell>
          <cell r="BA328">
            <v>0.89900000000000002</v>
          </cell>
          <cell r="BB328">
            <v>0.93</v>
          </cell>
          <cell r="BC328">
            <v>0.94599999999999995</v>
          </cell>
          <cell r="BD328">
            <v>0.91700000000000004</v>
          </cell>
          <cell r="BE328">
            <v>0.90400000000000003</v>
          </cell>
          <cell r="BF328">
            <v>0.874</v>
          </cell>
          <cell r="BG328">
            <v>0.91</v>
          </cell>
          <cell r="BH328">
            <v>0.93300000000000005</v>
          </cell>
          <cell r="BI328">
            <v>0.91700000000000004</v>
          </cell>
          <cell r="BJ328">
            <v>0.90400000000000003</v>
          </cell>
          <cell r="BK328">
            <v>0.874</v>
          </cell>
          <cell r="BL328">
            <v>0</v>
          </cell>
          <cell r="BM328">
            <v>0</v>
          </cell>
          <cell r="BN328">
            <v>0</v>
          </cell>
          <cell r="BO328">
            <v>0</v>
          </cell>
        </row>
        <row r="329">
          <cell r="A329" t="str">
            <v>ESG</v>
          </cell>
          <cell r="AN329">
            <v>0.92100000000000004</v>
          </cell>
          <cell r="AO329">
            <v>0.88500000000000001</v>
          </cell>
          <cell r="AP329">
            <v>0.90900000000000003</v>
          </cell>
          <cell r="AQ329">
            <v>0.86699999999999999</v>
          </cell>
          <cell r="AR329">
            <v>0.89600000000000002</v>
          </cell>
          <cell r="AS329">
            <v>0.94499999999999995</v>
          </cell>
          <cell r="AT329">
            <v>0.95799999999999996</v>
          </cell>
          <cell r="AU329">
            <v>0.95499999999999996</v>
          </cell>
          <cell r="AV329">
            <v>0.879</v>
          </cell>
          <cell r="AW329">
            <v>0.92100000000000004</v>
          </cell>
          <cell r="AX329">
            <v>0.94</v>
          </cell>
          <cell r="AY329">
            <v>0.93799999999999994</v>
          </cell>
          <cell r="AZ329">
            <v>0.91700000000000004</v>
          </cell>
          <cell r="BB329">
            <v>0.91774999999999995</v>
          </cell>
          <cell r="BD329">
            <v>0.94299999999999995</v>
          </cell>
          <cell r="BE329">
            <v>0.92200000000000004</v>
          </cell>
          <cell r="BF329">
            <v>0.88100000000000001</v>
          </cell>
          <cell r="BG329">
            <v>0.92149999999999999</v>
          </cell>
          <cell r="BH329">
            <v>0.94</v>
          </cell>
          <cell r="BI329">
            <v>0.94799999999999995</v>
          </cell>
          <cell r="BJ329">
            <v>0.92700000000000005</v>
          </cell>
          <cell r="BK329">
            <v>0.88600000000000001</v>
          </cell>
          <cell r="BL329">
            <v>0.92525000000000002</v>
          </cell>
          <cell r="BM329">
            <v>0.92899999999999994</v>
          </cell>
          <cell r="BN329">
            <v>0.92899999999999994</v>
          </cell>
          <cell r="BO329">
            <v>0.92899999999999994</v>
          </cell>
        </row>
        <row r="330">
          <cell r="A330" t="str">
            <v>Real Estate</v>
          </cell>
          <cell r="AN330">
            <v>0.91900000000000004</v>
          </cell>
          <cell r="AO330">
            <v>0.91</v>
          </cell>
          <cell r="AP330">
            <v>0.98699999999999999</v>
          </cell>
          <cell r="AQ330">
            <v>0.82199999999999995</v>
          </cell>
          <cell r="AR330">
            <v>0.91</v>
          </cell>
          <cell r="AS330">
            <v>0.91300000000000003</v>
          </cell>
          <cell r="AT330">
            <v>0.84699999999999998</v>
          </cell>
          <cell r="AU330">
            <v>0.93600000000000005</v>
          </cell>
          <cell r="AV330">
            <v>0.81100000000000005</v>
          </cell>
          <cell r="AW330">
            <v>0.877</v>
          </cell>
          <cell r="AX330">
            <v>0.88100000000000001</v>
          </cell>
          <cell r="AY330">
            <v>0.88200000000000001</v>
          </cell>
          <cell r="AZ330">
            <v>0.87</v>
          </cell>
          <cell r="BB330">
            <v>0.86099999999999999</v>
          </cell>
          <cell r="BD330">
            <v>0.88700000000000001</v>
          </cell>
          <cell r="BE330">
            <v>0.875</v>
          </cell>
          <cell r="BF330">
            <v>0.81600000000000006</v>
          </cell>
          <cell r="BG330">
            <v>0.86474999999999991</v>
          </cell>
          <cell r="BH330">
            <v>0.88600000000000001</v>
          </cell>
          <cell r="BI330">
            <v>0.89200000000000002</v>
          </cell>
          <cell r="BJ330">
            <v>0.88</v>
          </cell>
          <cell r="BK330">
            <v>0.82100000000000006</v>
          </cell>
          <cell r="BL330">
            <v>0.86975000000000002</v>
          </cell>
          <cell r="BM330">
            <v>0.86975000000000002</v>
          </cell>
          <cell r="BN330">
            <v>0.86975000000000002</v>
          </cell>
          <cell r="BO330">
            <v>0.86975000000000002</v>
          </cell>
        </row>
        <row r="331">
          <cell r="A331" t="str">
            <v>All Other</v>
          </cell>
          <cell r="AN331">
            <v>0.92</v>
          </cell>
          <cell r="AO331">
            <v>0.90200000000000002</v>
          </cell>
          <cell r="AP331">
            <v>0.96199999999999997</v>
          </cell>
          <cell r="AQ331">
            <v>0.83699999999999997</v>
          </cell>
          <cell r="AR331">
            <v>0.90500000000000003</v>
          </cell>
          <cell r="AS331">
            <v>0.92400000000000004</v>
          </cell>
          <cell r="AT331">
            <v>0.88500000000000001</v>
          </cell>
          <cell r="AU331">
            <v>0.94299999999999995</v>
          </cell>
          <cell r="AV331">
            <v>0.83899999999999997</v>
          </cell>
          <cell r="AW331">
            <v>0.89500000000000002</v>
          </cell>
          <cell r="AX331">
            <v>0.90700000000000003</v>
          </cell>
          <cell r="AY331">
            <v>0.90700000000000003</v>
          </cell>
          <cell r="AZ331">
            <v>0.89100000000000001</v>
          </cell>
          <cell r="BA331">
            <v>0.83899999999999997</v>
          </cell>
          <cell r="BB331">
            <v>0.88600000000000001</v>
          </cell>
          <cell r="BC331">
            <v>0.92200000000000004</v>
          </cell>
          <cell r="BD331">
            <v>0.89200000000000002</v>
          </cell>
          <cell r="BE331">
            <v>0.90800000000000003</v>
          </cell>
          <cell r="BF331">
            <v>0.878</v>
          </cell>
          <cell r="BG331">
            <v>0.9</v>
          </cell>
          <cell r="BH331">
            <v>0.92400000000000004</v>
          </cell>
          <cell r="BI331">
            <v>0.89700000000000002</v>
          </cell>
          <cell r="BJ331">
            <v>0.91300000000000003</v>
          </cell>
          <cell r="BK331">
            <v>0.88300000000000001</v>
          </cell>
          <cell r="BL331">
            <v>0.90425</v>
          </cell>
          <cell r="BM331">
            <v>0.90425</v>
          </cell>
          <cell r="BN331">
            <v>0.90425</v>
          </cell>
          <cell r="BO331">
            <v>0.90425</v>
          </cell>
        </row>
        <row r="332">
          <cell r="A332" t="str">
            <v xml:space="preserve">  Total aggregate retention</v>
          </cell>
          <cell r="C332">
            <v>0.82099999999999995</v>
          </cell>
          <cell r="D332">
            <v>0.90600000000000003</v>
          </cell>
          <cell r="E332">
            <v>0.94799999999999995</v>
          </cell>
          <cell r="F332">
            <v>0.93500000000000005</v>
          </cell>
          <cell r="G332">
            <v>0.92300000000000004</v>
          </cell>
          <cell r="H332">
            <v>0.89900000000000002</v>
          </cell>
          <cell r="I332">
            <v>0.91800000000000004</v>
          </cell>
          <cell r="J332">
            <v>0.96599999999999997</v>
          </cell>
          <cell r="K332">
            <v>0.90600000000000003</v>
          </cell>
          <cell r="L332">
            <v>0.91600000000000004</v>
          </cell>
          <cell r="M332">
            <v>0.80600000000000005</v>
          </cell>
          <cell r="N332">
            <v>0.89900000000000002</v>
          </cell>
          <cell r="O332">
            <v>0.85599999999999998</v>
          </cell>
          <cell r="P332">
            <v>0.85099999999999998</v>
          </cell>
          <cell r="Q332">
            <v>0.81899999999999995</v>
          </cell>
          <cell r="R332">
            <v>0.82</v>
          </cell>
          <cell r="S332">
            <v>0.83649999999999991</v>
          </cell>
          <cell r="T332">
            <v>0.88100000000000001</v>
          </cell>
          <cell r="U332">
            <v>0.88800000000000001</v>
          </cell>
          <cell r="V332">
            <v>0.88100000000000001</v>
          </cell>
          <cell r="W332">
            <v>0.81799999999999995</v>
          </cell>
          <cell r="X332">
            <v>0.8670000000000001</v>
          </cell>
          <cell r="Y332">
            <v>0.91800000000000004</v>
          </cell>
          <cell r="Z332">
            <v>0.91900000000000004</v>
          </cell>
          <cell r="AA332">
            <v>0.91300000000000003</v>
          </cell>
          <cell r="AB332">
            <v>0.84499999999999997</v>
          </cell>
          <cell r="AC332">
            <v>0.89874999999999994</v>
          </cell>
          <cell r="AD332">
            <v>0.93</v>
          </cell>
          <cell r="AE332">
            <v>0.91</v>
          </cell>
          <cell r="AF332">
            <v>0.9</v>
          </cell>
          <cell r="AG332">
            <v>0.84899999999999998</v>
          </cell>
          <cell r="AH332">
            <v>0.8972500000000001</v>
          </cell>
          <cell r="AI332">
            <v>0.92100000000000004</v>
          </cell>
          <cell r="AJ332">
            <v>0.92300000000000004</v>
          </cell>
          <cell r="AK332">
            <v>0.92200000000000004</v>
          </cell>
          <cell r="AL332">
            <v>0.88700000000000001</v>
          </cell>
          <cell r="AM332">
            <v>0.91325000000000001</v>
          </cell>
          <cell r="AN332">
            <v>0.92400000000000004</v>
          </cell>
          <cell r="AO332">
            <v>0.92300000000000004</v>
          </cell>
          <cell r="AP332">
            <v>0.92700000000000005</v>
          </cell>
          <cell r="AQ332">
            <v>0.88500000000000001</v>
          </cell>
          <cell r="AR332">
            <v>0.91474999999999995</v>
          </cell>
          <cell r="AS332">
            <v>0.92800000000000005</v>
          </cell>
          <cell r="AT332">
            <v>0.93200000000000005</v>
          </cell>
          <cell r="AU332">
            <v>0.94599999999999995</v>
          </cell>
          <cell r="AV332">
            <v>0.91300000000000003</v>
          </cell>
          <cell r="AW332">
            <v>0.92975000000000008</v>
          </cell>
          <cell r="AX332">
            <v>0.94399999999999995</v>
          </cell>
          <cell r="AY332">
            <v>0.94199999999999995</v>
          </cell>
          <cell r="AZ332">
            <v>0.94799999999999995</v>
          </cell>
          <cell r="BA332">
            <v>0.90400000000000003</v>
          </cell>
          <cell r="BB332">
            <v>0.93400000000000005</v>
          </cell>
          <cell r="BC332">
            <v>0.95099999999999996</v>
          </cell>
          <cell r="BD332">
            <v>0.93100000000000005</v>
          </cell>
          <cell r="BE332">
            <v>0.92700000000000005</v>
          </cell>
          <cell r="BF332">
            <v>0.89900000000000002</v>
          </cell>
          <cell r="BG332">
            <v>0.92700000000000005</v>
          </cell>
          <cell r="BH332">
            <v>0.94699999999999995</v>
          </cell>
          <cell r="BI332">
            <v>0.93320489685387753</v>
          </cell>
          <cell r="BJ332">
            <v>0.92930142196076826</v>
          </cell>
          <cell r="BK332">
            <v>0.90152899114998564</v>
          </cell>
          <cell r="BL332">
            <v>0.92767469894759969</v>
          </cell>
          <cell r="BM332">
            <v>0.92952370636295134</v>
          </cell>
          <cell r="BN332">
            <v>0.93152459917996833</v>
          </cell>
          <cell r="BO332">
            <v>0.93379660475109283</v>
          </cell>
        </row>
        <row r="334">
          <cell r="A334" t="str">
            <v>Core Retention Rate</v>
          </cell>
        </row>
        <row r="335">
          <cell r="A335" t="str">
            <v>Equity indices</v>
          </cell>
          <cell r="C335">
            <v>0.86799999999999999</v>
          </cell>
          <cell r="D335">
            <v>0.94299999999999995</v>
          </cell>
          <cell r="E335">
            <v>0.98099999999999998</v>
          </cell>
          <cell r="F335">
            <v>0.95499999999999996</v>
          </cell>
          <cell r="G335">
            <v>0.96</v>
          </cell>
          <cell r="H335">
            <v>0.94399999999999995</v>
          </cell>
          <cell r="I335">
            <v>0.96</v>
          </cell>
          <cell r="J335">
            <v>0.98099999999999998</v>
          </cell>
          <cell r="K335">
            <v>0.94499999999999995</v>
          </cell>
          <cell r="L335">
            <v>0.96</v>
          </cell>
          <cell r="M335">
            <v>0.89500000000000002</v>
          </cell>
          <cell r="N335">
            <v>0.94499999999999995</v>
          </cell>
          <cell r="O335">
            <v>0.94</v>
          </cell>
          <cell r="P335">
            <v>0.93100000000000005</v>
          </cell>
          <cell r="Q335">
            <v>0.91200000000000003</v>
          </cell>
          <cell r="R335">
            <v>0.89100000000000001</v>
          </cell>
          <cell r="S335">
            <v>0.91849999999999998</v>
          </cell>
          <cell r="T335">
            <v>0.95099999999999996</v>
          </cell>
          <cell r="U335">
            <v>0.90700000000000003</v>
          </cell>
          <cell r="V335">
            <v>0.92600000000000005</v>
          </cell>
          <cell r="W335">
            <v>0.90100000000000002</v>
          </cell>
          <cell r="X335">
            <v>0.92125000000000012</v>
          </cell>
          <cell r="Y335">
            <v>0.95199999999999996</v>
          </cell>
          <cell r="Z335">
            <v>0.92800000000000005</v>
          </cell>
          <cell r="AA335">
            <v>0.95199999999999996</v>
          </cell>
          <cell r="AB335">
            <v>0.89300000000000002</v>
          </cell>
          <cell r="AC335">
            <v>0.93124999999999991</v>
          </cell>
          <cell r="AD335">
            <v>0.94599999999999995</v>
          </cell>
          <cell r="AE335">
            <v>0.95</v>
          </cell>
          <cell r="AF335">
            <v>0.94</v>
          </cell>
          <cell r="AG335">
            <v>0.90500000000000003</v>
          </cell>
          <cell r="AH335">
            <v>0.93524999999999991</v>
          </cell>
          <cell r="AI335">
            <v>0.95</v>
          </cell>
          <cell r="AJ335">
            <v>0.94099999999999995</v>
          </cell>
          <cell r="AK335">
            <v>0.94799999999999995</v>
          </cell>
          <cell r="AL335">
            <v>0.90900000000000003</v>
          </cell>
          <cell r="AN335">
            <v>0.95</v>
          </cell>
          <cell r="AO335">
            <v>0.94099999999999995</v>
          </cell>
          <cell r="AP335">
            <v>0.94799999999999995</v>
          </cell>
          <cell r="AQ335">
            <v>0.90900000000000003</v>
          </cell>
          <cell r="AR335">
            <v>0.93700000000000006</v>
          </cell>
          <cell r="AS335">
            <v>0.94899999999999995</v>
          </cell>
          <cell r="AT335">
            <v>0.94099999999999995</v>
          </cell>
          <cell r="AU335">
            <v>0.95199999999999996</v>
          </cell>
          <cell r="AV335">
            <v>0.93200000000000005</v>
          </cell>
          <cell r="AX335">
            <v>0.95899999999999996</v>
          </cell>
          <cell r="AY335">
            <v>0.94499999999999995</v>
          </cell>
          <cell r="AZ335">
            <v>0.95399999999999996</v>
          </cell>
        </row>
        <row r="336">
          <cell r="A336" t="str">
            <v>Risk management analytics</v>
          </cell>
          <cell r="C336">
            <v>0.91100000000000003</v>
          </cell>
          <cell r="D336">
            <v>0.88700000000000001</v>
          </cell>
          <cell r="E336">
            <v>0.92700000000000005</v>
          </cell>
          <cell r="F336">
            <v>0.94199999999999995</v>
          </cell>
          <cell r="G336">
            <v>0.95399999999999996</v>
          </cell>
          <cell r="H336">
            <v>0.93300000000000005</v>
          </cell>
          <cell r="I336">
            <v>0.93899999999999995</v>
          </cell>
          <cell r="J336">
            <v>0.98599999999999999</v>
          </cell>
          <cell r="K336">
            <v>0.76900000000000002</v>
          </cell>
          <cell r="L336">
            <v>0.93700000000000006</v>
          </cell>
          <cell r="M336">
            <v>0.86799999999999999</v>
          </cell>
          <cell r="N336">
            <v>0.89</v>
          </cell>
          <cell r="O336">
            <v>0.85499999999999998</v>
          </cell>
          <cell r="P336">
            <v>0.81399999999999995</v>
          </cell>
          <cell r="Q336">
            <v>0.81</v>
          </cell>
          <cell r="R336">
            <v>0.81200000000000006</v>
          </cell>
          <cell r="S336">
            <v>0.82275000000000009</v>
          </cell>
          <cell r="T336">
            <v>0.85199999999999998</v>
          </cell>
          <cell r="U336">
            <v>0.92500000000000004</v>
          </cell>
          <cell r="V336">
            <v>0.9</v>
          </cell>
          <cell r="W336">
            <v>0.85599999999999998</v>
          </cell>
          <cell r="X336">
            <v>0.88324999999999998</v>
          </cell>
          <cell r="Y336">
            <v>0.94199999999999995</v>
          </cell>
          <cell r="Z336">
            <v>0.92700000000000005</v>
          </cell>
          <cell r="AA336">
            <v>0.92100000000000004</v>
          </cell>
          <cell r="AB336">
            <v>0.81</v>
          </cell>
          <cell r="AC336">
            <v>0.9</v>
          </cell>
          <cell r="AD336">
            <v>0.94</v>
          </cell>
          <cell r="AE336">
            <v>0.92</v>
          </cell>
          <cell r="AF336">
            <v>0.89300000000000002</v>
          </cell>
          <cell r="AG336">
            <v>0.84399999999999997</v>
          </cell>
          <cell r="AH336">
            <v>0.89924999999999999</v>
          </cell>
          <cell r="AI336">
            <v>0.93899999999999995</v>
          </cell>
          <cell r="AJ336">
            <v>0.93100000000000005</v>
          </cell>
          <cell r="AK336">
            <v>0.92300000000000004</v>
          </cell>
          <cell r="AL336">
            <v>0.873</v>
          </cell>
          <cell r="AN336">
            <v>0.93700000000000006</v>
          </cell>
          <cell r="AO336">
            <v>0.92800000000000005</v>
          </cell>
          <cell r="AP336">
            <v>0.91700000000000004</v>
          </cell>
          <cell r="AQ336">
            <v>0.85799999999999998</v>
          </cell>
          <cell r="AR336">
            <v>0.91</v>
          </cell>
          <cell r="AS336">
            <v>0.91</v>
          </cell>
          <cell r="AT336">
            <v>0.91600000000000004</v>
          </cell>
          <cell r="AU336">
            <v>0.94</v>
          </cell>
          <cell r="AV336">
            <v>0.89200000000000002</v>
          </cell>
          <cell r="AX336">
            <v>0.93100000000000005</v>
          </cell>
          <cell r="AY336">
            <v>0.94099999999999995</v>
          </cell>
          <cell r="AZ336">
            <v>0.95299999999999996</v>
          </cell>
        </row>
        <row r="337">
          <cell r="A337" t="str">
            <v>Portfolio management analytics</v>
          </cell>
          <cell r="C337">
            <v>0.79300000000000004</v>
          </cell>
          <cell r="D337">
            <v>0.89800000000000002</v>
          </cell>
          <cell r="E337">
            <v>0.96199999999999997</v>
          </cell>
          <cell r="F337">
            <v>0.96599999999999997</v>
          </cell>
          <cell r="G337">
            <v>0.94099999999999995</v>
          </cell>
          <cell r="H337">
            <v>0.86699999999999999</v>
          </cell>
          <cell r="I337">
            <v>0.93400000000000005</v>
          </cell>
          <cell r="J337">
            <v>0.96799999999999997</v>
          </cell>
          <cell r="K337">
            <v>0.91800000000000004</v>
          </cell>
          <cell r="L337">
            <v>0.92</v>
          </cell>
          <cell r="M337">
            <v>0.80500000000000005</v>
          </cell>
          <cell r="N337">
            <v>0.90300000000000002</v>
          </cell>
          <cell r="O337">
            <v>0.878</v>
          </cell>
          <cell r="P337">
            <v>0.83699999999999997</v>
          </cell>
          <cell r="Q337">
            <v>0.70499999999999996</v>
          </cell>
          <cell r="R337">
            <v>0.78400000000000003</v>
          </cell>
          <cell r="S337">
            <v>0.80099999999999993</v>
          </cell>
          <cell r="T337">
            <v>0.90900000000000003</v>
          </cell>
          <cell r="U337">
            <v>0.86699999999999999</v>
          </cell>
          <cell r="V337">
            <v>0.86</v>
          </cell>
          <cell r="W337">
            <v>0.64100000000000001</v>
          </cell>
          <cell r="X337">
            <v>0.81925000000000003</v>
          </cell>
          <cell r="Y337">
            <v>0.89900000000000002</v>
          </cell>
          <cell r="Z337">
            <v>0.93200000000000005</v>
          </cell>
          <cell r="AA337">
            <v>0.88300000000000001</v>
          </cell>
          <cell r="AB337">
            <v>0.88300000000000001</v>
          </cell>
          <cell r="AC337">
            <v>0.89924999999999999</v>
          </cell>
          <cell r="AD337">
            <v>0.92200000000000004</v>
          </cell>
          <cell r="AE337">
            <v>0.89600000000000002</v>
          </cell>
          <cell r="AF337">
            <v>0.86499999999999999</v>
          </cell>
          <cell r="AG337">
            <v>0.83599999999999997</v>
          </cell>
          <cell r="AH337">
            <v>0.87974999999999992</v>
          </cell>
          <cell r="AI337">
            <v>0.82799999999999996</v>
          </cell>
          <cell r="AJ337">
            <v>0.875</v>
          </cell>
          <cell r="AK337">
            <v>0.90300000000000002</v>
          </cell>
          <cell r="AL337">
            <v>0.90100000000000002</v>
          </cell>
          <cell r="AN337">
            <v>0.82799999999999996</v>
          </cell>
          <cell r="AO337">
            <v>0.875</v>
          </cell>
          <cell r="AP337">
            <v>0.90300000000000002</v>
          </cell>
          <cell r="AQ337">
            <v>0.90100000000000002</v>
          </cell>
          <cell r="AR337">
            <v>0.877</v>
          </cell>
          <cell r="AS337">
            <v>0.93400000000000005</v>
          </cell>
          <cell r="AT337">
            <v>0.95799999999999996</v>
          </cell>
          <cell r="AU337">
            <v>0.94799999999999995</v>
          </cell>
          <cell r="AV337">
            <v>0.93400000000000005</v>
          </cell>
          <cell r="AX337">
            <v>0.92200000000000004</v>
          </cell>
          <cell r="AY337">
            <v>0.92900000000000005</v>
          </cell>
          <cell r="AZ337">
            <v>0.95399999999999996</v>
          </cell>
        </row>
        <row r="338">
          <cell r="A338" t="str">
            <v>ESG</v>
          </cell>
          <cell r="AU338">
            <v>0.95499999999999996</v>
          </cell>
          <cell r="AZ338">
            <v>0.91700000000000004</v>
          </cell>
        </row>
        <row r="339">
          <cell r="A339" t="str">
            <v>Real Estate</v>
          </cell>
          <cell r="AU339">
            <v>0.93599999999999994</v>
          </cell>
          <cell r="AZ339">
            <v>0.87</v>
          </cell>
        </row>
        <row r="340">
          <cell r="A340" t="str">
            <v xml:space="preserve">  Total core retention</v>
          </cell>
          <cell r="C340">
            <v>0.83499999999999996</v>
          </cell>
          <cell r="D340">
            <v>0.91500000000000004</v>
          </cell>
          <cell r="E340">
            <v>0.95499999999999996</v>
          </cell>
          <cell r="F340">
            <v>0.95499999999999996</v>
          </cell>
          <cell r="G340">
            <v>0.94899999999999995</v>
          </cell>
          <cell r="H340">
            <v>0.90500000000000003</v>
          </cell>
          <cell r="I340">
            <v>0.93300000000000005</v>
          </cell>
          <cell r="J340">
            <v>0.97199999999999998</v>
          </cell>
          <cell r="K340">
            <v>0.92</v>
          </cell>
          <cell r="L340">
            <v>0.94099999999999995</v>
          </cell>
          <cell r="M340">
            <v>0.85299999999999998</v>
          </cell>
          <cell r="N340">
            <v>0.92100000000000004</v>
          </cell>
          <cell r="O340">
            <v>0.85899999999999999</v>
          </cell>
          <cell r="P340">
            <v>0.86099999999999999</v>
          </cell>
          <cell r="Q340">
            <v>0.82599999999999996</v>
          </cell>
          <cell r="R340">
            <v>0.82599999999999996</v>
          </cell>
          <cell r="S340">
            <v>0.84299999999999997</v>
          </cell>
          <cell r="T340">
            <v>0.89200000000000002</v>
          </cell>
          <cell r="U340">
            <v>0.89500000000000002</v>
          </cell>
          <cell r="V340">
            <v>0.89600000000000002</v>
          </cell>
          <cell r="W340">
            <v>0.82</v>
          </cell>
          <cell r="X340">
            <v>0.87574999999999992</v>
          </cell>
          <cell r="Y340">
            <v>0.92100000000000004</v>
          </cell>
          <cell r="Z340">
            <v>0.92400000000000004</v>
          </cell>
          <cell r="AA340">
            <v>0.91600000000000004</v>
          </cell>
          <cell r="AB340">
            <v>0.84799999999999998</v>
          </cell>
          <cell r="AC340">
            <v>0.90225</v>
          </cell>
          <cell r="AD340">
            <v>0.93100000000000005</v>
          </cell>
          <cell r="AE340">
            <v>0.92600000000000005</v>
          </cell>
          <cell r="AF340">
            <v>0.90600000000000003</v>
          </cell>
          <cell r="AG340">
            <v>0.85899999999999999</v>
          </cell>
          <cell r="AH340">
            <v>0.90550000000000008</v>
          </cell>
          <cell r="AI340">
            <v>0.92400000000000004</v>
          </cell>
          <cell r="AJ340">
            <v>0.92600000000000005</v>
          </cell>
          <cell r="AK340">
            <v>0.92400000000000004</v>
          </cell>
          <cell r="AL340">
            <v>0.89</v>
          </cell>
          <cell r="AN340">
            <v>0.92700000000000005</v>
          </cell>
          <cell r="AO340">
            <v>0.92600000000000005</v>
          </cell>
          <cell r="AP340">
            <v>0.92900000000000005</v>
          </cell>
          <cell r="AQ340">
            <v>0.88800000000000001</v>
          </cell>
          <cell r="AR340">
            <v>0.91800000000000004</v>
          </cell>
          <cell r="AS340">
            <v>0.93200000000000005</v>
          </cell>
          <cell r="AT340">
            <v>0.93300000000000005</v>
          </cell>
          <cell r="AU340">
            <v>0.94899999999999995</v>
          </cell>
          <cell r="AV340">
            <v>0.91700000000000004</v>
          </cell>
          <cell r="AX340">
            <v>0.94399999999999995</v>
          </cell>
          <cell r="AY340">
            <v>0.94199999999999995</v>
          </cell>
          <cell r="AZ340">
            <v>0.94799999999999995</v>
          </cell>
        </row>
        <row r="343">
          <cell r="A343" t="str">
            <v>Client Count</v>
          </cell>
          <cell r="C343">
            <v>2709</v>
          </cell>
          <cell r="D343">
            <v>2709</v>
          </cell>
          <cell r="E343">
            <v>2769</v>
          </cell>
          <cell r="F343">
            <v>2837</v>
          </cell>
          <cell r="G343">
            <v>2895</v>
          </cell>
          <cell r="H343">
            <v>2926</v>
          </cell>
          <cell r="I343">
            <v>2926</v>
          </cell>
          <cell r="J343">
            <v>2980</v>
          </cell>
          <cell r="K343">
            <v>3032</v>
          </cell>
          <cell r="L343">
            <v>3097</v>
          </cell>
          <cell r="M343">
            <v>3091</v>
          </cell>
          <cell r="N343">
            <v>3091</v>
          </cell>
          <cell r="O343">
            <v>3074</v>
          </cell>
          <cell r="P343">
            <v>3080</v>
          </cell>
          <cell r="Q343">
            <v>3097</v>
          </cell>
          <cell r="R343">
            <v>3123</v>
          </cell>
          <cell r="S343">
            <v>3123</v>
          </cell>
          <cell r="T343">
            <v>3153</v>
          </cell>
          <cell r="U343">
            <v>3203</v>
          </cell>
          <cell r="V343">
            <v>5800</v>
          </cell>
          <cell r="W343">
            <v>5800</v>
          </cell>
          <cell r="X343">
            <v>5800</v>
          </cell>
        </row>
        <row r="344">
          <cell r="A344" t="str">
            <v>ETF Assets linked to MSCI Indices (in bn)</v>
          </cell>
          <cell r="C344">
            <v>112.2</v>
          </cell>
          <cell r="D344">
            <v>112.2</v>
          </cell>
          <cell r="E344">
            <v>135.4</v>
          </cell>
          <cell r="F344">
            <v>150.19999999999999</v>
          </cell>
          <cell r="G344">
            <v>156.5</v>
          </cell>
          <cell r="H344">
            <v>191.7</v>
          </cell>
          <cell r="I344">
            <v>191.7</v>
          </cell>
          <cell r="J344">
            <v>179.2</v>
          </cell>
          <cell r="K344">
            <v>199.6</v>
          </cell>
          <cell r="L344">
            <v>166.3</v>
          </cell>
          <cell r="M344">
            <v>119</v>
          </cell>
          <cell r="N344">
            <v>119</v>
          </cell>
          <cell r="O344">
            <v>107.8</v>
          </cell>
          <cell r="P344">
            <v>175.9</v>
          </cell>
          <cell r="Q344">
            <v>199.2</v>
          </cell>
          <cell r="R344">
            <v>234.2</v>
          </cell>
          <cell r="S344">
            <v>234.2</v>
          </cell>
          <cell r="T344">
            <v>255.4</v>
          </cell>
          <cell r="U344">
            <v>236.8</v>
          </cell>
          <cell r="V344">
            <v>290.7</v>
          </cell>
          <cell r="W344">
            <v>333.3</v>
          </cell>
          <cell r="X344">
            <v>333.3</v>
          </cell>
          <cell r="Y344">
            <v>350.1</v>
          </cell>
          <cell r="Z344">
            <v>360.5</v>
          </cell>
          <cell r="AA344">
            <v>290.10000000000002</v>
          </cell>
          <cell r="AB344">
            <v>301.60000000000002</v>
          </cell>
          <cell r="AC344">
            <v>301.60000000000002</v>
          </cell>
          <cell r="AD344">
            <v>354.69999999999987</v>
          </cell>
          <cell r="AE344">
            <v>327.39999999999998</v>
          </cell>
          <cell r="AF344">
            <v>363.7</v>
          </cell>
          <cell r="AG344">
            <v>402.3</v>
          </cell>
          <cell r="AH344">
            <v>402.3</v>
          </cell>
          <cell r="AI344">
            <v>357.29999999999984</v>
          </cell>
          <cell r="AJ344">
            <v>269.69999999999987</v>
          </cell>
          <cell r="AK344">
            <v>302.59999999999985</v>
          </cell>
          <cell r="AL344">
            <v>332.89999999999981</v>
          </cell>
          <cell r="AM344">
            <v>332.89999999999981</v>
          </cell>
          <cell r="AN344">
            <v>357.29999999999984</v>
          </cell>
          <cell r="AO344">
            <v>269.69999999999987</v>
          </cell>
          <cell r="AP344">
            <v>302.59999999999985</v>
          </cell>
          <cell r="AQ344">
            <v>332.89999999999981</v>
          </cell>
          <cell r="AR344">
            <v>332.89999999999981</v>
          </cell>
          <cell r="AS344">
            <v>340.79999999999984</v>
          </cell>
          <cell r="AT344">
            <v>378.69999999999982</v>
          </cell>
          <cell r="AU344">
            <v>377.89999999999981</v>
          </cell>
          <cell r="AV344">
            <v>373.29999999999978</v>
          </cell>
          <cell r="AW344">
            <v>373.29999999999978</v>
          </cell>
          <cell r="AX344">
            <v>417.99999999999977</v>
          </cell>
          <cell r="AY344">
            <v>435.39999999999981</v>
          </cell>
          <cell r="AZ344">
            <v>390.19999999999982</v>
          </cell>
          <cell r="BA344">
            <v>433.4</v>
          </cell>
          <cell r="BB344">
            <v>433.4</v>
          </cell>
          <cell r="BC344">
            <v>438.3</v>
          </cell>
          <cell r="BD344">
            <v>439.7</v>
          </cell>
          <cell r="BE344">
            <v>474.9</v>
          </cell>
          <cell r="BF344">
            <v>481.4</v>
          </cell>
          <cell r="BG344">
            <v>481.4</v>
          </cell>
          <cell r="BH344">
            <v>555.69999999999993</v>
          </cell>
          <cell r="BI344">
            <v>567.73500000000001</v>
          </cell>
          <cell r="BJ344">
            <v>579.7700000000001</v>
          </cell>
          <cell r="BK344">
            <v>591.80500000000018</v>
          </cell>
          <cell r="BL344">
            <v>591.80500000000018</v>
          </cell>
          <cell r="BM344">
            <v>650.98549999999977</v>
          </cell>
          <cell r="BN344">
            <v>716.08404999999971</v>
          </cell>
          <cell r="BO344">
            <v>781.18259999999964</v>
          </cell>
        </row>
        <row r="345">
          <cell r="A345" t="str">
            <v xml:space="preserve">  % change y/y</v>
          </cell>
          <cell r="D345" t="str">
            <v>ND</v>
          </cell>
          <cell r="E345" t="str">
            <v>ND</v>
          </cell>
          <cell r="F345" t="str">
            <v>ND</v>
          </cell>
          <cell r="G345" t="str">
            <v>ND</v>
          </cell>
          <cell r="H345">
            <v>0.70855614973262027</v>
          </cell>
          <cell r="I345">
            <v>0.70855614973262027</v>
          </cell>
          <cell r="J345">
            <v>0.32348596750369252</v>
          </cell>
          <cell r="K345">
            <v>0.32889480692410133</v>
          </cell>
          <cell r="L345">
            <v>6.2619808306709324E-2</v>
          </cell>
          <cell r="M345">
            <v>-0.37923839332290032</v>
          </cell>
          <cell r="N345">
            <v>-0.37923839332290032</v>
          </cell>
          <cell r="O345">
            <v>-0.3984375</v>
          </cell>
          <cell r="P345">
            <v>-0.11873747494989972</v>
          </cell>
          <cell r="Q345">
            <v>0.19783523752254939</v>
          </cell>
          <cell r="R345">
            <v>0.96806722689075619</v>
          </cell>
          <cell r="S345">
            <v>0.96806722689075619</v>
          </cell>
          <cell r="T345">
            <v>1.3692022263450836</v>
          </cell>
          <cell r="U345">
            <v>0.34621944286526429</v>
          </cell>
          <cell r="V345">
            <v>0.4593373493975903</v>
          </cell>
          <cell r="W345">
            <v>0.42314261315115287</v>
          </cell>
          <cell r="X345">
            <v>0.42314261315115287</v>
          </cell>
          <cell r="Y345">
            <v>0.37079091620986704</v>
          </cell>
          <cell r="Z345">
            <v>0.52238175675675658</v>
          </cell>
          <cell r="AA345">
            <v>-2.0639834881319707E-3</v>
          </cell>
          <cell r="AB345">
            <v>-9.51095109510951E-2</v>
          </cell>
          <cell r="AC345">
            <v>-9.51095109510951E-2</v>
          </cell>
          <cell r="AD345">
            <v>1.3139103113395834E-2</v>
          </cell>
          <cell r="AE345">
            <v>-9.181692094313465E-2</v>
          </cell>
          <cell r="AF345">
            <v>0.25370561875215425</v>
          </cell>
          <cell r="AG345">
            <v>0.33388594164456231</v>
          </cell>
          <cell r="AH345">
            <v>0.33388594164456231</v>
          </cell>
          <cell r="AI345">
            <v>7.3301381449111247E-3</v>
          </cell>
          <cell r="AJ345">
            <v>-0.17623701893708033</v>
          </cell>
          <cell r="AK345">
            <v>-0.16799560076986564</v>
          </cell>
          <cell r="AL345">
            <v>-0.17250807854834749</v>
          </cell>
          <cell r="AM345">
            <v>-0.17250807854834749</v>
          </cell>
          <cell r="AN345">
            <v>7.3301381449111247E-3</v>
          </cell>
          <cell r="AO345">
            <v>-0.17623701893708033</v>
          </cell>
          <cell r="AP345">
            <v>-0.16799560076986564</v>
          </cell>
          <cell r="AQ345">
            <v>-0.17250807854834749</v>
          </cell>
          <cell r="AR345">
            <v>0</v>
          </cell>
          <cell r="AS345">
            <v>-4.617968094038627E-2</v>
          </cell>
          <cell r="AT345">
            <v>0.40415276232851305</v>
          </cell>
          <cell r="AU345">
            <v>0.24884335756774623</v>
          </cell>
          <cell r="AV345">
            <v>0.12135776509462293</v>
          </cell>
          <cell r="AW345">
            <v>0.12135776509462293</v>
          </cell>
          <cell r="AX345">
            <v>0.22652582159624401</v>
          </cell>
          <cell r="AY345">
            <v>0.14972273567467664</v>
          </cell>
          <cell r="AZ345">
            <v>3.2548293199259115E-2</v>
          </cell>
          <cell r="BA345">
            <v>0.16099651754621003</v>
          </cell>
          <cell r="BB345">
            <v>0.16099651754621003</v>
          </cell>
          <cell r="BC345">
            <v>4.8564593301436032E-2</v>
          </cell>
          <cell r="BD345">
            <v>9.8759761139186608E-3</v>
          </cell>
          <cell r="BE345">
            <v>0.21706817016914459</v>
          </cell>
          <cell r="BF345">
            <v>0.11075219197046615</v>
          </cell>
          <cell r="BG345">
            <v>0.11075219197046615</v>
          </cell>
          <cell r="BH345">
            <v>0.26785306867442382</v>
          </cell>
          <cell r="BI345">
            <v>0.29118717307254949</v>
          </cell>
          <cell r="BJ345">
            <v>0.22082543693409162</v>
          </cell>
          <cell r="BK345">
            <v>0.22934150394682229</v>
          </cell>
          <cell r="BL345">
            <v>0.22934150394682229</v>
          </cell>
          <cell r="BM345">
            <v>9.9999999999999201E-2</v>
          </cell>
          <cell r="BN345">
            <v>9.9999999999999867E-2</v>
          </cell>
          <cell r="BO345">
            <v>9.0909090909090828E-2</v>
          </cell>
        </row>
        <row r="346">
          <cell r="A346" t="str">
            <v xml:space="preserve">  % change sequentially</v>
          </cell>
          <cell r="D346" t="str">
            <v>ND</v>
          </cell>
          <cell r="E346">
            <v>0.20677361853832443</v>
          </cell>
          <cell r="F346">
            <v>0.10930576070901021</v>
          </cell>
          <cell r="G346">
            <v>4.1944074567243694E-2</v>
          </cell>
          <cell r="H346">
            <v>0.22492012779552706</v>
          </cell>
          <cell r="I346">
            <v>0.22492012779552706</v>
          </cell>
          <cell r="J346">
            <v>-6.5206051121544095E-2</v>
          </cell>
          <cell r="K346">
            <v>0.11383928571428581</v>
          </cell>
          <cell r="L346">
            <v>-0.16683366733466931</v>
          </cell>
          <cell r="M346">
            <v>-0.28442573662056525</v>
          </cell>
          <cell r="N346">
            <v>-0.28442573662056525</v>
          </cell>
          <cell r="O346">
            <v>-9.4117647058823528E-2</v>
          </cell>
          <cell r="P346">
            <v>0.63172541743970334</v>
          </cell>
          <cell r="Q346">
            <v>0.13246162592382027</v>
          </cell>
          <cell r="R346">
            <v>0.17570281124497988</v>
          </cell>
          <cell r="S346">
            <v>0.17570281124497988</v>
          </cell>
          <cell r="T346">
            <v>9.052092228864228E-2</v>
          </cell>
          <cell r="U346">
            <v>-7.2826938136256847E-2</v>
          </cell>
          <cell r="V346">
            <v>0.2276182432432432</v>
          </cell>
          <cell r="W346">
            <v>0.1465428276573788</v>
          </cell>
          <cell r="X346">
            <v>0.1465428276573788</v>
          </cell>
          <cell r="Y346">
            <v>5.0405040504050369E-2</v>
          </cell>
          <cell r="Z346">
            <v>2.9705798343330425E-2</v>
          </cell>
          <cell r="AA346">
            <v>-0.19528432732316225</v>
          </cell>
          <cell r="AB346">
            <v>3.9641502930024108E-2</v>
          </cell>
          <cell r="AC346">
            <v>3.9641502930024108E-2</v>
          </cell>
          <cell r="AD346">
            <v>0.17606100795755908</v>
          </cell>
          <cell r="AE346">
            <v>-7.6966450521567253E-2</v>
          </cell>
          <cell r="AF346">
            <v>0.11087354917532077</v>
          </cell>
          <cell r="AG346">
            <v>0.10613142700027511</v>
          </cell>
          <cell r="AH346">
            <v>0.10613142700027511</v>
          </cell>
          <cell r="AI346">
            <v>-0.11185682326621971</v>
          </cell>
          <cell r="AJ346">
            <v>-0.24517212426532331</v>
          </cell>
          <cell r="AK346">
            <v>0.12198739340007414</v>
          </cell>
          <cell r="AL346">
            <v>0.10013218770654309</v>
          </cell>
          <cell r="AM346">
            <v>0.10013218770654309</v>
          </cell>
          <cell r="AN346">
            <v>-0.11185682326621971</v>
          </cell>
          <cell r="AO346">
            <v>-0.24517212426532331</v>
          </cell>
          <cell r="AP346">
            <v>0.12198739340007414</v>
          </cell>
          <cell r="AQ346">
            <v>0.10013218770654309</v>
          </cell>
          <cell r="AR346">
            <v>0</v>
          </cell>
          <cell r="AS346">
            <v>2.3730850105136758E-2</v>
          </cell>
          <cell r="AT346">
            <v>0.11120892018779349</v>
          </cell>
          <cell r="AU346">
            <v>-2.1124900977026462E-3</v>
          </cell>
          <cell r="AV346">
            <v>-1.217253241598315E-2</v>
          </cell>
          <cell r="AW346">
            <v>0.12135776509462293</v>
          </cell>
          <cell r="AX346">
            <v>0.11974283418162335</v>
          </cell>
          <cell r="AY346">
            <v>4.1626794258373234E-2</v>
          </cell>
          <cell r="AZ346">
            <v>-0.10381258612769872</v>
          </cell>
          <cell r="BA346">
            <v>0.11071245515120487</v>
          </cell>
          <cell r="BB346">
            <v>0.16099651754621003</v>
          </cell>
          <cell r="BC346">
            <v>1.1305952930318552E-2</v>
          </cell>
          <cell r="BD346">
            <v>3.1941592516540052E-3</v>
          </cell>
          <cell r="BE346">
            <v>8.0054582670002317E-2</v>
          </cell>
          <cell r="BF346">
            <v>1.3687092019372571E-2</v>
          </cell>
          <cell r="BG346">
            <v>0.11075219197046615</v>
          </cell>
          <cell r="BH346">
            <v>0.15434150394682167</v>
          </cell>
          <cell r="BI346">
            <v>2.1657369084038258E-2</v>
          </cell>
          <cell r="BJ346">
            <v>2.1198270319779722E-2</v>
          </cell>
          <cell r="BK346">
            <v>2.0758231712575848E-2</v>
          </cell>
          <cell r="BL346">
            <v>0.22934150394682229</v>
          </cell>
          <cell r="BM346">
            <v>9.9999999999999201E-2</v>
          </cell>
          <cell r="BN346">
            <v>9.9999999999999867E-2</v>
          </cell>
          <cell r="BO346">
            <v>9.0909090909090828E-2</v>
          </cell>
        </row>
        <row r="347">
          <cell r="A347" t="str">
            <v>Full-time employees</v>
          </cell>
          <cell r="C347" t="str">
            <v>ND</v>
          </cell>
          <cell r="D347" t="str">
            <v>ND</v>
          </cell>
          <cell r="E347" t="str">
            <v>ND</v>
          </cell>
          <cell r="F347">
            <v>643</v>
          </cell>
          <cell r="G347">
            <v>628</v>
          </cell>
          <cell r="H347">
            <v>637</v>
          </cell>
          <cell r="I347">
            <v>637</v>
          </cell>
          <cell r="J347">
            <v>652</v>
          </cell>
          <cell r="K347">
            <v>686</v>
          </cell>
          <cell r="L347">
            <v>724</v>
          </cell>
          <cell r="M347">
            <v>766</v>
          </cell>
          <cell r="N347">
            <v>766</v>
          </cell>
          <cell r="Q347">
            <v>1983</v>
          </cell>
          <cell r="R347">
            <v>2043</v>
          </cell>
          <cell r="S347">
            <v>2099</v>
          </cell>
          <cell r="T347">
            <v>2056</v>
          </cell>
          <cell r="U347">
            <v>2054</v>
          </cell>
          <cell r="V347">
            <v>2063</v>
          </cell>
          <cell r="W347">
            <v>2077</v>
          </cell>
          <cell r="X347">
            <v>2077</v>
          </cell>
          <cell r="Y347">
            <v>2049</v>
          </cell>
          <cell r="Z347">
            <v>2133</v>
          </cell>
          <cell r="AA347">
            <v>2277</v>
          </cell>
          <cell r="AB347">
            <v>2429</v>
          </cell>
          <cell r="AC347">
            <v>2429</v>
          </cell>
          <cell r="AD347">
            <v>2465</v>
          </cell>
          <cell r="AE347">
            <v>2384</v>
          </cell>
          <cell r="AF347">
            <v>2416</v>
          </cell>
          <cell r="AG347">
            <v>2759</v>
          </cell>
          <cell r="AH347">
            <v>2759</v>
          </cell>
          <cell r="AI347">
            <v>2844</v>
          </cell>
          <cell r="AJ347">
            <v>2957</v>
          </cell>
          <cell r="AK347">
            <v>3123</v>
          </cell>
          <cell r="AL347">
            <v>3261</v>
          </cell>
          <cell r="AM347">
            <v>3261</v>
          </cell>
          <cell r="AN347">
            <v>2233</v>
          </cell>
          <cell r="AO347">
            <v>2346</v>
          </cell>
          <cell r="AP347">
            <v>2480</v>
          </cell>
          <cell r="AQ347">
            <v>2580</v>
          </cell>
          <cell r="AR347">
            <v>2580</v>
          </cell>
          <cell r="AS347">
            <v>2623</v>
          </cell>
          <cell r="AT347">
            <v>2762</v>
          </cell>
          <cell r="AU347">
            <v>2876</v>
          </cell>
          <cell r="AV347">
            <v>2926</v>
          </cell>
          <cell r="AW347">
            <v>2926</v>
          </cell>
          <cell r="AX347">
            <v>2889</v>
          </cell>
          <cell r="AY347">
            <v>2779</v>
          </cell>
          <cell r="AZ347">
            <v>2743</v>
          </cell>
          <cell r="BA347">
            <v>2754</v>
          </cell>
          <cell r="BB347">
            <v>2754</v>
          </cell>
          <cell r="BC347">
            <v>2746</v>
          </cell>
          <cell r="BD347">
            <v>2750</v>
          </cell>
          <cell r="BE347">
            <v>2802</v>
          </cell>
          <cell r="BF347">
            <v>2862</v>
          </cell>
          <cell r="BG347">
            <v>2862</v>
          </cell>
          <cell r="BH347">
            <v>2897</v>
          </cell>
          <cell r="BI347">
            <v>2932.5526631409271</v>
          </cell>
          <cell r="BJ347">
            <v>2968.5416368984961</v>
          </cell>
          <cell r="BK347">
            <v>3004.9722757788786</v>
          </cell>
          <cell r="BL347">
            <v>3004.9722757788786</v>
          </cell>
          <cell r="BM347">
            <v>3155.2208895678227</v>
          </cell>
          <cell r="BN347">
            <v>3312.9819340462141</v>
          </cell>
          <cell r="BO347">
            <v>3478.6310307485251</v>
          </cell>
        </row>
        <row r="348">
          <cell r="A348" t="str">
            <v xml:space="preserve">  % FT EEs in low cost/emerging market centers</v>
          </cell>
          <cell r="D348" t="str">
            <v>ND</v>
          </cell>
          <cell r="E348" t="str">
            <v>ND</v>
          </cell>
          <cell r="F348" t="str">
            <v>ND</v>
          </cell>
          <cell r="G348" t="str">
            <v>ND</v>
          </cell>
          <cell r="H348" t="str">
            <v>ND</v>
          </cell>
          <cell r="I348" t="str">
            <v>ND</v>
          </cell>
          <cell r="J348" t="str">
            <v>ND</v>
          </cell>
          <cell r="K348">
            <v>0.23</v>
          </cell>
          <cell r="L348">
            <v>0.26</v>
          </cell>
          <cell r="M348" t="str">
            <v>ND</v>
          </cell>
          <cell r="N348" t="str">
            <v>ND</v>
          </cell>
          <cell r="Q348">
            <v>0.22</v>
          </cell>
          <cell r="R348">
            <v>0.23</v>
          </cell>
          <cell r="S348">
            <v>0.3</v>
          </cell>
          <cell r="T348">
            <v>0.25</v>
          </cell>
          <cell r="U348">
            <v>0.26</v>
          </cell>
          <cell r="V348">
            <v>0.28000000000000003</v>
          </cell>
          <cell r="W348">
            <v>0.3</v>
          </cell>
          <cell r="X348">
            <v>0.3</v>
          </cell>
          <cell r="Y348">
            <v>0.32</v>
          </cell>
          <cell r="Z348">
            <v>0.35</v>
          </cell>
          <cell r="AA348">
            <v>0.38</v>
          </cell>
          <cell r="AB348">
            <v>0.39</v>
          </cell>
          <cell r="AC348">
            <v>0.39</v>
          </cell>
          <cell r="AD348">
            <v>0.4</v>
          </cell>
          <cell r="AE348">
            <v>0.42</v>
          </cell>
          <cell r="AF348">
            <v>0.44</v>
          </cell>
          <cell r="AG348">
            <v>0.41</v>
          </cell>
          <cell r="AH348">
            <v>0.41</v>
          </cell>
          <cell r="AI348">
            <v>0.41</v>
          </cell>
          <cell r="AJ348">
            <v>0.44</v>
          </cell>
          <cell r="AK348">
            <v>0.45</v>
          </cell>
          <cell r="AL348">
            <v>0.47</v>
          </cell>
          <cell r="AN348">
            <v>0.4</v>
          </cell>
          <cell r="AO348">
            <v>0.43</v>
          </cell>
          <cell r="AP348">
            <v>0.45</v>
          </cell>
          <cell r="AQ348">
            <v>0.46</v>
          </cell>
          <cell r="AS348">
            <v>0.47</v>
          </cell>
          <cell r="AT348">
            <v>0.49</v>
          </cell>
          <cell r="AU348">
            <v>0.5</v>
          </cell>
          <cell r="AV348">
            <v>0.51</v>
          </cell>
          <cell r="AX348">
            <v>0.51</v>
          </cell>
          <cell r="AY348">
            <v>0.51</v>
          </cell>
          <cell r="AZ348">
            <v>0.52</v>
          </cell>
          <cell r="BA348">
            <v>0.52800000000000002</v>
          </cell>
          <cell r="BC348">
            <v>0.53</v>
          </cell>
          <cell r="BD348">
            <v>0.54</v>
          </cell>
          <cell r="BE348">
            <v>0.55600000000000005</v>
          </cell>
          <cell r="BF348">
            <v>0.56000000000000005</v>
          </cell>
          <cell r="BH348">
            <v>0.56000000000000005</v>
          </cell>
        </row>
        <row r="349">
          <cell r="A349" t="str">
            <v>Net new EEs (seq)</v>
          </cell>
          <cell r="G349">
            <v>-15</v>
          </cell>
          <cell r="H349">
            <v>9</v>
          </cell>
          <cell r="J349">
            <v>15</v>
          </cell>
          <cell r="K349">
            <v>34</v>
          </cell>
          <cell r="L349">
            <v>38</v>
          </cell>
          <cell r="M349">
            <v>42</v>
          </cell>
          <cell r="N349">
            <v>129</v>
          </cell>
          <cell r="R349">
            <v>60</v>
          </cell>
          <cell r="T349">
            <v>-43</v>
          </cell>
          <cell r="U349">
            <v>-2</v>
          </cell>
          <cell r="V349">
            <v>9</v>
          </cell>
          <cell r="W349">
            <v>14</v>
          </cell>
          <cell r="X349">
            <v>-22</v>
          </cell>
          <cell r="Y349">
            <v>-28</v>
          </cell>
          <cell r="Z349">
            <v>84</v>
          </cell>
          <cell r="AA349">
            <v>144</v>
          </cell>
          <cell r="AB349">
            <v>152</v>
          </cell>
          <cell r="AC349">
            <v>352</v>
          </cell>
          <cell r="AD349">
            <v>36</v>
          </cell>
          <cell r="AE349">
            <v>-81</v>
          </cell>
          <cell r="AF349">
            <v>32</v>
          </cell>
          <cell r="AG349">
            <v>343</v>
          </cell>
          <cell r="AH349">
            <v>330</v>
          </cell>
          <cell r="AI349">
            <v>85</v>
          </cell>
          <cell r="AJ349">
            <v>113</v>
          </cell>
          <cell r="AK349">
            <v>166</v>
          </cell>
          <cell r="AL349">
            <v>138</v>
          </cell>
          <cell r="AM349">
            <v>502</v>
          </cell>
          <cell r="AO349">
            <v>113</v>
          </cell>
          <cell r="AP349">
            <v>134</v>
          </cell>
          <cell r="AQ349">
            <v>100</v>
          </cell>
          <cell r="AS349">
            <v>43</v>
          </cell>
          <cell r="AT349">
            <v>182</v>
          </cell>
          <cell r="AU349">
            <v>114</v>
          </cell>
          <cell r="AV349">
            <v>50</v>
          </cell>
          <cell r="AW349">
            <v>389</v>
          </cell>
          <cell r="AX349">
            <v>-37</v>
          </cell>
          <cell r="AY349">
            <v>-110</v>
          </cell>
          <cell r="AZ349">
            <v>-36</v>
          </cell>
          <cell r="BA349">
            <v>11</v>
          </cell>
          <cell r="BB349">
            <v>-172</v>
          </cell>
          <cell r="BC349">
            <v>-8</v>
          </cell>
          <cell r="BD349">
            <v>4</v>
          </cell>
          <cell r="BE349">
            <v>52</v>
          </cell>
          <cell r="BF349">
            <v>60</v>
          </cell>
          <cell r="BG349">
            <v>108</v>
          </cell>
          <cell r="BH349">
            <v>35</v>
          </cell>
          <cell r="BI349">
            <v>35.552663140927052</v>
          </cell>
          <cell r="BJ349">
            <v>35.988973757569056</v>
          </cell>
          <cell r="BK349">
            <v>36.430638880382503</v>
          </cell>
          <cell r="BL349">
            <v>142.97227577887861</v>
          </cell>
          <cell r="BM349">
            <v>150.24861378894411</v>
          </cell>
          <cell r="BN349">
            <v>157.76104447839134</v>
          </cell>
          <cell r="BO349">
            <v>165.649096702311</v>
          </cell>
        </row>
        <row r="350">
          <cell r="A350" t="str">
            <v>CoR Comp/EE ('000)</v>
          </cell>
          <cell r="V350">
            <v>24.873000484730973</v>
          </cell>
          <cell r="W350">
            <v>23.519017814155031</v>
          </cell>
          <cell r="X350">
            <v>69.083774675012037</v>
          </cell>
          <cell r="Y350">
            <v>24.930209858467546</v>
          </cell>
          <cell r="Z350">
            <v>22.55883731833099</v>
          </cell>
          <cell r="AA350">
            <v>22.008783487044358</v>
          </cell>
          <cell r="AB350">
            <v>20.638946068340882</v>
          </cell>
          <cell r="AC350">
            <v>82.110333470564015</v>
          </cell>
          <cell r="AD350">
            <v>21.723732251521298</v>
          </cell>
          <cell r="AE350">
            <v>23.276845637583893</v>
          </cell>
          <cell r="AF350">
            <v>20.741307947019866</v>
          </cell>
          <cell r="AG350">
            <v>20.290685030808262</v>
          </cell>
          <cell r="AH350">
            <v>77.975353388909028</v>
          </cell>
          <cell r="AI350">
            <v>21.501054852320674</v>
          </cell>
          <cell r="AJ350">
            <v>20.88873858640514</v>
          </cell>
          <cell r="AK350">
            <v>18.812359910342618</v>
          </cell>
          <cell r="AL350">
            <v>19.030052131248084</v>
          </cell>
          <cell r="AM350">
            <v>74.739343759582965</v>
          </cell>
          <cell r="AN350">
            <v>22.124496193461709</v>
          </cell>
          <cell r="AO350">
            <v>22.024296675191817</v>
          </cell>
          <cell r="AP350">
            <v>19.879032258064516</v>
          </cell>
          <cell r="AQ350">
            <v>20.211627906976744</v>
          </cell>
          <cell r="AR350">
            <v>78.495736434108522</v>
          </cell>
          <cell r="AS350">
            <v>21.457110179184141</v>
          </cell>
          <cell r="AT350">
            <v>20.517016654598116</v>
          </cell>
          <cell r="AU350">
            <v>20.704450625869264</v>
          </cell>
          <cell r="AV350">
            <v>19.596719070403282</v>
          </cell>
          <cell r="AW350">
            <v>78.549555707450438</v>
          </cell>
          <cell r="AX350">
            <v>22.589477327795084</v>
          </cell>
          <cell r="AY350">
            <v>21.390428211586901</v>
          </cell>
        </row>
        <row r="351">
          <cell r="A351" t="str">
            <v>SG&amp;A Comp/EE ('000)</v>
          </cell>
          <cell r="V351">
            <v>15.204556471158506</v>
          </cell>
          <cell r="W351">
            <v>14.207029369282619</v>
          </cell>
          <cell r="X351">
            <v>49.701011073663942</v>
          </cell>
          <cell r="Y351">
            <v>16.986334797462177</v>
          </cell>
          <cell r="Z351">
            <v>16.113455227379276</v>
          </cell>
          <cell r="AA351">
            <v>15.31576635924462</v>
          </cell>
          <cell r="AB351">
            <v>14.274186908192672</v>
          </cell>
          <cell r="AC351">
            <v>57.110333470564015</v>
          </cell>
          <cell r="AD351">
            <v>15.615415821501013</v>
          </cell>
          <cell r="AE351">
            <v>15.95008389261745</v>
          </cell>
          <cell r="AF351">
            <v>17.506622516556291</v>
          </cell>
          <cell r="AG351">
            <v>13.582819862268938</v>
          </cell>
          <cell r="AH351">
            <v>56.646611090974979</v>
          </cell>
          <cell r="AI351">
            <v>16.053445850914205</v>
          </cell>
          <cell r="AJ351">
            <v>13.49002367264119</v>
          </cell>
          <cell r="AK351">
            <v>14.247518411783542</v>
          </cell>
          <cell r="AL351">
            <v>14.076663600122663</v>
          </cell>
          <cell r="AM351">
            <v>53.954308494326895</v>
          </cell>
          <cell r="AN351">
            <v>18.069861173309448</v>
          </cell>
          <cell r="AO351">
            <v>15.324381926683717</v>
          </cell>
          <cell r="AP351">
            <v>16.344354838709677</v>
          </cell>
          <cell r="AQ351">
            <v>16.210852713178294</v>
          </cell>
          <cell r="AR351">
            <v>61.49573643410853</v>
          </cell>
          <cell r="AS351">
            <v>17.587876477316051</v>
          </cell>
          <cell r="AT351">
            <v>16.660028964518464</v>
          </cell>
          <cell r="AU351">
            <v>16.113351877607787</v>
          </cell>
          <cell r="AV351">
            <v>15.114149008885851</v>
          </cell>
          <cell r="AW351">
            <v>62.444976076555022</v>
          </cell>
          <cell r="AX351">
            <v>17.379716164762893</v>
          </cell>
          <cell r="AY351">
            <v>18.503778337531486</v>
          </cell>
        </row>
        <row r="352">
          <cell r="A352" t="str">
            <v>Growth in FTEs</v>
          </cell>
          <cell r="AD352">
            <v>0.20302586627623231</v>
          </cell>
          <cell r="AE352">
            <v>0.11767463666197853</v>
          </cell>
          <cell r="AF352">
            <v>6.1045234958278405E-2</v>
          </cell>
          <cell r="AG352">
            <v>0.1358583779333058</v>
          </cell>
          <cell r="AH352">
            <v>0.1358583779333058</v>
          </cell>
          <cell r="AI352">
            <v>0.15375253549695733</v>
          </cell>
          <cell r="AJ352">
            <v>0.24035234899328861</v>
          </cell>
          <cell r="AK352">
            <v>0.29263245033112573</v>
          </cell>
          <cell r="AL352">
            <v>0.1819499818774919</v>
          </cell>
          <cell r="AM352">
            <v>0.1819499818774919</v>
          </cell>
          <cell r="AS352">
            <v>0.17465293327362286</v>
          </cell>
          <cell r="AT352">
            <v>0.17732310315430522</v>
          </cell>
          <cell r="AU352">
            <v>0.1596774193548387</v>
          </cell>
          <cell r="AV352">
            <v>0.13410852713178301</v>
          </cell>
          <cell r="AW352">
            <v>0.13410852713178301</v>
          </cell>
          <cell r="AX352">
            <v>0.10141059855127721</v>
          </cell>
          <cell r="AY352">
            <v>6.1549601737871384E-3</v>
          </cell>
          <cell r="AZ352">
            <v>-4.6244784422809437E-2</v>
          </cell>
          <cell r="BA352">
            <v>-5.8783321941216715E-2</v>
          </cell>
          <cell r="BB352">
            <v>-5.8783321941216715E-2</v>
          </cell>
          <cell r="BC352">
            <v>-4.9498096227068245E-2</v>
          </cell>
          <cell r="BD352">
            <v>-1.0435408420295111E-2</v>
          </cell>
          <cell r="BE352">
            <v>2.1509296390813004E-2</v>
          </cell>
          <cell r="BF352">
            <v>3.9215686274509887E-2</v>
          </cell>
          <cell r="BG352">
            <v>3.9215686274509887E-2</v>
          </cell>
          <cell r="BH352">
            <v>5.4989075018208267E-2</v>
          </cell>
          <cell r="BI352">
            <v>6.6382786596700827E-2</v>
          </cell>
          <cell r="BJ352">
            <v>5.9436701248571033E-2</v>
          </cell>
          <cell r="BK352">
            <v>4.9955372389545394E-2</v>
          </cell>
          <cell r="BL352">
            <v>4.9955372389545394E-2</v>
          </cell>
          <cell r="BM352">
            <v>5.0000000000000044E-2</v>
          </cell>
          <cell r="BN352">
            <v>5.0000000000000044E-2</v>
          </cell>
          <cell r="BO352">
            <v>5.0000000000000044E-2</v>
          </cell>
        </row>
        <row r="354">
          <cell r="A354" t="str">
            <v>COGS (ex ISS)</v>
          </cell>
          <cell r="AI354">
            <v>64.861000000000004</v>
          </cell>
          <cell r="AJ354">
            <v>69.272999999999996</v>
          </cell>
          <cell r="AK354">
            <v>67.77</v>
          </cell>
          <cell r="AL354">
            <v>71.917000000000044</v>
          </cell>
          <cell r="AM354">
            <v>273.82100000000003</v>
          </cell>
          <cell r="BG354">
            <v>0</v>
          </cell>
          <cell r="BL354">
            <v>0</v>
          </cell>
          <cell r="BM354">
            <v>288.42035630211302</v>
          </cell>
          <cell r="BN354">
            <v>306.58985092688528</v>
          </cell>
          <cell r="BO354">
            <v>326.50939460576615</v>
          </cell>
        </row>
        <row r="355">
          <cell r="A355" t="str">
            <v>SG&amp;A (ex ISS)</v>
          </cell>
          <cell r="AI355">
            <v>52.654000000000003</v>
          </cell>
          <cell r="AJ355">
            <v>50.026000000000003</v>
          </cell>
          <cell r="AK355">
            <v>56.628</v>
          </cell>
          <cell r="AL355">
            <v>60.648999999999987</v>
          </cell>
          <cell r="AM355">
            <v>219.95699999999999</v>
          </cell>
          <cell r="BG355">
            <v>0</v>
          </cell>
          <cell r="BL355">
            <v>0</v>
          </cell>
          <cell r="BM355">
            <v>356.99380102833084</v>
          </cell>
          <cell r="BN355">
            <v>375.01008616065729</v>
          </cell>
          <cell r="BO355">
            <v>394.5444599448137</v>
          </cell>
        </row>
        <row r="356">
          <cell r="A356" t="str">
            <v>Base expenses</v>
          </cell>
          <cell r="AI356">
            <v>117.51500000000001</v>
          </cell>
          <cell r="AJ356">
            <v>119.29900000000001</v>
          </cell>
          <cell r="AK356">
            <v>124.398</v>
          </cell>
          <cell r="AL356">
            <v>132.56600000000003</v>
          </cell>
          <cell r="AM356">
            <v>493.77800000000002</v>
          </cell>
          <cell r="BG356">
            <v>0</v>
          </cell>
          <cell r="BL356">
            <v>0</v>
          </cell>
          <cell r="BM356">
            <v>645.41415733044391</v>
          </cell>
          <cell r="BN356">
            <v>681.59993708754257</v>
          </cell>
          <cell r="BO356">
            <v>721.0538545505799</v>
          </cell>
        </row>
        <row r="357">
          <cell r="A357" t="str">
            <v>Increase in base expenses</v>
          </cell>
          <cell r="BG357">
            <v>0</v>
          </cell>
          <cell r="BL357">
            <v>0</v>
          </cell>
          <cell r="BM357">
            <v>645.41415733044391</v>
          </cell>
          <cell r="BN357">
            <v>36.185779757098658</v>
          </cell>
          <cell r="BO357">
            <v>39.453917463037328</v>
          </cell>
        </row>
        <row r="358">
          <cell r="A358" t="str">
            <v>Prior year Investments</v>
          </cell>
          <cell r="BG358">
            <v>0</v>
          </cell>
          <cell r="BL358">
            <v>0</v>
          </cell>
          <cell r="BM358">
            <v>0</v>
          </cell>
          <cell r="BN358">
            <v>0</v>
          </cell>
          <cell r="BO358">
            <v>0</v>
          </cell>
        </row>
        <row r="359">
          <cell r="A359" t="str">
            <v>Current year Investments</v>
          </cell>
          <cell r="BG359">
            <v>0</v>
          </cell>
          <cell r="BL359">
            <v>0</v>
          </cell>
          <cell r="BM359">
            <v>0</v>
          </cell>
          <cell r="BN359">
            <v>0</v>
          </cell>
          <cell r="BO359">
            <v>0</v>
          </cell>
        </row>
        <row r="360">
          <cell r="A360" t="str">
            <v>ISS Stranded Costs (overhead)</v>
          </cell>
          <cell r="BG360">
            <v>0</v>
          </cell>
          <cell r="BL360">
            <v>0</v>
          </cell>
          <cell r="BM360">
            <v>0</v>
          </cell>
          <cell r="BN360">
            <v>0</v>
          </cell>
          <cell r="BO360">
            <v>0</v>
          </cell>
        </row>
        <row r="362">
          <cell r="A362" t="str">
            <v>Fiscal Year Ending Dec 31</v>
          </cell>
          <cell r="C362" t="str">
            <v>4Q06</v>
          </cell>
          <cell r="D362">
            <v>2006</v>
          </cell>
          <cell r="E362" t="str">
            <v>1Q07</v>
          </cell>
          <cell r="F362" t="str">
            <v>2Q07</v>
          </cell>
          <cell r="G362" t="str">
            <v>3Q07</v>
          </cell>
          <cell r="H362" t="str">
            <v>4Q07</v>
          </cell>
          <cell r="I362">
            <v>2007</v>
          </cell>
          <cell r="J362" t="str">
            <v>1Q08</v>
          </cell>
          <cell r="K362" t="str">
            <v>2Q08</v>
          </cell>
          <cell r="L362" t="str">
            <v>3Q08</v>
          </cell>
          <cell r="M362" t="str">
            <v>4Q08</v>
          </cell>
          <cell r="N362">
            <v>2008</v>
          </cell>
          <cell r="O362" t="str">
            <v>1Q09</v>
          </cell>
          <cell r="P362" t="str">
            <v>2Q09</v>
          </cell>
          <cell r="Q362" t="str">
            <v>3Q09</v>
          </cell>
          <cell r="R362" t="str">
            <v>4Q09</v>
          </cell>
          <cell r="S362">
            <v>2009</v>
          </cell>
          <cell r="T362" t="str">
            <v>1Q10</v>
          </cell>
          <cell r="U362" t="str">
            <v>2Q10</v>
          </cell>
          <cell r="V362" t="str">
            <v>3Q10</v>
          </cell>
          <cell r="W362" t="str">
            <v>4Q10</v>
          </cell>
          <cell r="X362">
            <v>2010</v>
          </cell>
          <cell r="Y362" t="str">
            <v>1Q11</v>
          </cell>
          <cell r="Z362" t="str">
            <v>2Q11</v>
          </cell>
          <cell r="AA362" t="str">
            <v>3Q11</v>
          </cell>
          <cell r="AB362" t="str">
            <v>4Q11</v>
          </cell>
          <cell r="AC362" t="str">
            <v>2011E</v>
          </cell>
          <cell r="AD362" t="str">
            <v>1Q12</v>
          </cell>
          <cell r="AE362" t="str">
            <v>2Q12</v>
          </cell>
          <cell r="AF362" t="str">
            <v>3Q12</v>
          </cell>
          <cell r="AG362" t="str">
            <v>4Q12</v>
          </cell>
          <cell r="AH362" t="str">
            <v>2012E</v>
          </cell>
          <cell r="AI362" t="str">
            <v>1Q13</v>
          </cell>
          <cell r="AJ362" t="str">
            <v>2Q13</v>
          </cell>
          <cell r="AK362" t="str">
            <v>3Q13</v>
          </cell>
          <cell r="AL362" t="str">
            <v>4Q13</v>
          </cell>
          <cell r="AM362" t="str">
            <v>2013E</v>
          </cell>
          <cell r="AN362" t="str">
            <v>1Q13R</v>
          </cell>
          <cell r="AO362" t="str">
            <v>2Q13R</v>
          </cell>
          <cell r="AP362" t="str">
            <v>3Q13R</v>
          </cell>
          <cell r="AQ362" t="str">
            <v>4Q13R</v>
          </cell>
          <cell r="AR362" t="str">
            <v>2013E</v>
          </cell>
          <cell r="AS362" t="str">
            <v>1Q14</v>
          </cell>
          <cell r="AT362" t="str">
            <v>2Q14</v>
          </cell>
          <cell r="AU362" t="str">
            <v>3Q14</v>
          </cell>
          <cell r="AV362" t="str">
            <v>4Q14</v>
          </cell>
          <cell r="AW362" t="str">
            <v>2014E</v>
          </cell>
          <cell r="AX362" t="str">
            <v>1Q15</v>
          </cell>
          <cell r="AY362" t="str">
            <v>2Q15</v>
          </cell>
          <cell r="AZ362" t="str">
            <v>3Q15</v>
          </cell>
          <cell r="BA362" t="str">
            <v>4Q15</v>
          </cell>
          <cell r="BB362">
            <v>2015</v>
          </cell>
          <cell r="BC362" t="str">
            <v>1Q16</v>
          </cell>
          <cell r="BD362" t="str">
            <v>2Q16</v>
          </cell>
          <cell r="BE362" t="str">
            <v>3Q16</v>
          </cell>
          <cell r="BF362" t="str">
            <v>4Q16</v>
          </cell>
          <cell r="BG362">
            <v>2016</v>
          </cell>
          <cell r="BH362" t="str">
            <v>1Q17</v>
          </cell>
          <cell r="BI362" t="str">
            <v>2Q17E</v>
          </cell>
          <cell r="BJ362" t="str">
            <v>3Q17E</v>
          </cell>
          <cell r="BK362" t="str">
            <v>4Q17E</v>
          </cell>
          <cell r="BL362" t="str">
            <v>2015E</v>
          </cell>
          <cell r="BM362" t="str">
            <v>2018E</v>
          </cell>
          <cell r="BN362" t="str">
            <v>2019E</v>
          </cell>
          <cell r="BO362" t="str">
            <v>2020E</v>
          </cell>
          <cell r="BR362" t="str">
            <v>Fiscal Year Ending Dec 31</v>
          </cell>
          <cell r="BS362">
            <v>2006</v>
          </cell>
          <cell r="BT362">
            <v>2007</v>
          </cell>
          <cell r="BU362">
            <v>2008</v>
          </cell>
          <cell r="BV362" t="str">
            <v>2009E</v>
          </cell>
          <cell r="BW362" t="str">
            <v>2010E</v>
          </cell>
          <cell r="BX362" t="str">
            <v>2011E</v>
          </cell>
          <cell r="BY362" t="str">
            <v>2012E</v>
          </cell>
          <cell r="BZ362" t="str">
            <v>2013E</v>
          </cell>
          <cell r="CA362" t="str">
            <v>2014E</v>
          </cell>
          <cell r="CB362">
            <v>2015</v>
          </cell>
          <cell r="CC362" t="str">
            <v>2015E</v>
          </cell>
          <cell r="CD362" t="str">
            <v>2015E</v>
          </cell>
          <cell r="CE362" t="str">
            <v>2015E</v>
          </cell>
          <cell r="CF362" t="str">
            <v>2015E</v>
          </cell>
          <cell r="CG362" t="str">
            <v>2015E</v>
          </cell>
        </row>
        <row r="364">
          <cell r="A364" t="str">
            <v>Cost of Revenue (ex new initiatives in 2014)</v>
          </cell>
          <cell r="D364">
            <v>115.426</v>
          </cell>
          <cell r="E364">
            <v>31.984000000000002</v>
          </cell>
          <cell r="F364">
            <v>30.078500000000002</v>
          </cell>
          <cell r="G364">
            <v>29.133499999999998</v>
          </cell>
          <cell r="H364">
            <v>29.834000000000003</v>
          </cell>
          <cell r="I364">
            <v>121.03</v>
          </cell>
          <cell r="J364">
            <v>30.86</v>
          </cell>
          <cell r="K364">
            <v>29.636000000000003</v>
          </cell>
          <cell r="L364">
            <v>27.8</v>
          </cell>
          <cell r="M364">
            <v>34.641999999999996</v>
          </cell>
          <cell r="N364">
            <v>122.938</v>
          </cell>
          <cell r="O364">
            <v>28.935000000000002</v>
          </cell>
          <cell r="P364">
            <v>29.269000000000002</v>
          </cell>
          <cell r="Q364">
            <v>28.247000000000003</v>
          </cell>
          <cell r="R364">
            <v>32.213999999999999</v>
          </cell>
          <cell r="S364">
            <v>118.66500000000001</v>
          </cell>
          <cell r="T364">
            <v>29.291</v>
          </cell>
          <cell r="U364">
            <v>30.462999999999997</v>
          </cell>
          <cell r="V364">
            <v>69.741</v>
          </cell>
          <cell r="W364">
            <v>69.131</v>
          </cell>
          <cell r="X364">
            <v>198.626</v>
          </cell>
          <cell r="Y364">
            <v>70.217999999999989</v>
          </cell>
          <cell r="Z364">
            <v>68.84</v>
          </cell>
          <cell r="AA364">
            <v>68.967999999999989</v>
          </cell>
          <cell r="AB364">
            <v>69.120999999999995</v>
          </cell>
          <cell r="AC364">
            <v>277.14699999999999</v>
          </cell>
          <cell r="AD364">
            <v>72.290999999999997</v>
          </cell>
          <cell r="AE364">
            <v>73.242999999999995</v>
          </cell>
          <cell r="AF364">
            <v>68.349999999999994</v>
          </cell>
          <cell r="AG364">
            <v>74.191000000000003</v>
          </cell>
          <cell r="AH364">
            <v>288.07499999999999</v>
          </cell>
          <cell r="AI364">
            <v>80.185000000000002</v>
          </cell>
          <cell r="AJ364">
            <v>83.359000000000009</v>
          </cell>
          <cell r="AK364">
            <v>80.039999999999992</v>
          </cell>
          <cell r="AL364">
            <v>84.727000000000004</v>
          </cell>
          <cell r="AM364">
            <v>328.31100000000004</v>
          </cell>
          <cell r="AN364">
            <v>65.300000000000011</v>
          </cell>
          <cell r="AO364">
            <v>69.695999999999998</v>
          </cell>
          <cell r="AP364">
            <v>68.150999999999996</v>
          </cell>
          <cell r="AQ364">
            <v>72.254000000000005</v>
          </cell>
          <cell r="AR364">
            <v>275.40100000000001</v>
          </cell>
          <cell r="AS364">
            <v>75.426999999999992</v>
          </cell>
          <cell r="AT364">
            <v>76.816000000000003</v>
          </cell>
          <cell r="AU364">
            <v>78.876000000000005</v>
          </cell>
          <cell r="AV364">
            <v>77.454999999999998</v>
          </cell>
          <cell r="AW364">
            <v>308.57400000000001</v>
          </cell>
          <cell r="AX364">
            <v>82.652999999999992</v>
          </cell>
          <cell r="AY364">
            <v>76.753</v>
          </cell>
          <cell r="AZ364">
            <v>65.593000000000004</v>
          </cell>
          <cell r="BA364">
            <v>64.804000000000002</v>
          </cell>
          <cell r="BB364">
            <v>289.803</v>
          </cell>
          <cell r="BC364">
            <v>63.171999999999997</v>
          </cell>
          <cell r="BD364">
            <v>62.13</v>
          </cell>
          <cell r="BE364">
            <v>62.985999999999997</v>
          </cell>
          <cell r="BF364">
            <v>63.819000000000003</v>
          </cell>
          <cell r="BG364">
            <v>252.10699999999997</v>
          </cell>
          <cell r="BH364">
            <v>67.521000000000001</v>
          </cell>
          <cell r="BI364">
            <v>68.384827372345839</v>
          </cell>
          <cell r="BJ364">
            <v>67.405693245232811</v>
          </cell>
          <cell r="BK364">
            <v>67.997130973482882</v>
          </cell>
          <cell r="BL364">
            <v>271.30865159106156</v>
          </cell>
          <cell r="BM364">
            <v>288.42035630211302</v>
          </cell>
          <cell r="BN364">
            <v>306.58985092688528</v>
          </cell>
          <cell r="BO364">
            <v>326.50939460576615</v>
          </cell>
        </row>
        <row r="365">
          <cell r="A365" t="str">
            <v>Compensation</v>
          </cell>
          <cell r="D365" t="str">
            <v>ND</v>
          </cell>
          <cell r="E365">
            <v>21.106000000000002</v>
          </cell>
          <cell r="F365">
            <v>18.8</v>
          </cell>
          <cell r="G365">
            <v>17.841999999999999</v>
          </cell>
          <cell r="H365">
            <v>18.373000000000001</v>
          </cell>
          <cell r="I365">
            <v>76.121000000000009</v>
          </cell>
          <cell r="J365">
            <v>18.937999999999999</v>
          </cell>
          <cell r="K365">
            <v>17.585000000000001</v>
          </cell>
          <cell r="L365">
            <v>18.222000000000001</v>
          </cell>
          <cell r="M365">
            <v>20.876999999999999</v>
          </cell>
          <cell r="N365">
            <v>75.622</v>
          </cell>
          <cell r="O365">
            <v>19.251999999999999</v>
          </cell>
          <cell r="P365">
            <v>19.538</v>
          </cell>
          <cell r="Q365">
            <v>18.727</v>
          </cell>
          <cell r="R365">
            <v>20.805</v>
          </cell>
          <cell r="S365">
            <v>78.322000000000003</v>
          </cell>
          <cell r="T365">
            <v>21.686</v>
          </cell>
          <cell r="U365">
            <v>21.638999999999999</v>
          </cell>
          <cell r="V365">
            <v>51.313000000000002</v>
          </cell>
          <cell r="W365">
            <v>48.848999999999997</v>
          </cell>
          <cell r="X365">
            <v>143.48699999999999</v>
          </cell>
          <cell r="Y365">
            <v>51.082000000000001</v>
          </cell>
          <cell r="Z365">
            <v>48.118000000000002</v>
          </cell>
          <cell r="AA365">
            <v>50.113999999999997</v>
          </cell>
          <cell r="AB365">
            <v>50.131999999999998</v>
          </cell>
          <cell r="AC365">
            <v>199.446</v>
          </cell>
          <cell r="AD365">
            <v>53.548999999999999</v>
          </cell>
          <cell r="AE365">
            <v>55.491999999999997</v>
          </cell>
          <cell r="AF365">
            <v>50.110999999999997</v>
          </cell>
          <cell r="AG365">
            <v>55.981999999999999</v>
          </cell>
          <cell r="AH365">
            <v>215.13399999999999</v>
          </cell>
          <cell r="AI365">
            <v>61.149000000000001</v>
          </cell>
          <cell r="AJ365">
            <v>61.768000000000001</v>
          </cell>
          <cell r="AK365">
            <v>58.750999999999998</v>
          </cell>
          <cell r="AL365">
            <v>62.057000000000002</v>
          </cell>
          <cell r="AM365">
            <v>243.72500000000002</v>
          </cell>
          <cell r="AN365">
            <v>49.404000000000003</v>
          </cell>
          <cell r="AO365">
            <v>51.668999999999997</v>
          </cell>
          <cell r="AP365">
            <v>49.3</v>
          </cell>
          <cell r="AQ365">
            <v>52.146000000000001</v>
          </cell>
          <cell r="AR365">
            <v>202.51900000000001</v>
          </cell>
          <cell r="AS365">
            <v>56.281999999999996</v>
          </cell>
          <cell r="AT365">
            <v>56.667999999999999</v>
          </cell>
          <cell r="AU365">
            <v>59.545999999999999</v>
          </cell>
          <cell r="AV365">
            <v>57.34</v>
          </cell>
          <cell r="AW365">
            <v>229.83599999999998</v>
          </cell>
          <cell r="AX365">
            <v>65.260999999999996</v>
          </cell>
          <cell r="AY365">
            <v>59.444000000000003</v>
          </cell>
        </row>
        <row r="366">
          <cell r="A366" t="str">
            <v>Non compensation</v>
          </cell>
          <cell r="D366" t="str">
            <v>ND</v>
          </cell>
          <cell r="E366">
            <v>10.878</v>
          </cell>
          <cell r="F366">
            <v>11.278500000000001</v>
          </cell>
          <cell r="G366">
            <v>11.291500000000001</v>
          </cell>
          <cell r="H366">
            <v>11.239000000000001</v>
          </cell>
          <cell r="I366">
            <v>44.686999999999998</v>
          </cell>
          <cell r="J366">
            <v>10.632999999999999</v>
          </cell>
          <cell r="K366">
            <v>10.164</v>
          </cell>
          <cell r="L366">
            <v>8.0030000000000001</v>
          </cell>
          <cell r="M366">
            <v>10.657999999999999</v>
          </cell>
          <cell r="N366">
            <v>39.457999999999998</v>
          </cell>
          <cell r="O366">
            <v>7.6379999999999999</v>
          </cell>
          <cell r="P366">
            <v>6.8390000000000004</v>
          </cell>
          <cell r="Q366">
            <v>7.2050000000000001</v>
          </cell>
          <cell r="R366">
            <v>9.3109999999999999</v>
          </cell>
          <cell r="S366">
            <v>30.993000000000002</v>
          </cell>
          <cell r="T366">
            <v>6.9240000000000004</v>
          </cell>
          <cell r="U366">
            <v>8.109</v>
          </cell>
          <cell r="V366">
            <v>17.803999999999998</v>
          </cell>
          <cell r="W366">
            <v>18.664999999999999</v>
          </cell>
          <cell r="X366">
            <v>51.502000000000002</v>
          </cell>
          <cell r="Y366">
            <v>18.006</v>
          </cell>
          <cell r="Z366">
            <v>19.614000000000001</v>
          </cell>
          <cell r="AA366">
            <v>18.384</v>
          </cell>
          <cell r="AB366">
            <v>18.545999999999999</v>
          </cell>
          <cell r="AC366">
            <v>74.550000000000011</v>
          </cell>
          <cell r="AD366">
            <v>18.474</v>
          </cell>
          <cell r="AE366">
            <v>17.657</v>
          </cell>
          <cell r="AF366">
            <v>17.972000000000001</v>
          </cell>
          <cell r="AG366">
            <v>17.954000000000001</v>
          </cell>
          <cell r="AH366">
            <v>72.057000000000002</v>
          </cell>
          <cell r="AI366">
            <v>19.036000000000001</v>
          </cell>
          <cell r="AJ366">
            <v>21.591000000000001</v>
          </cell>
          <cell r="AK366">
            <v>21.289000000000001</v>
          </cell>
          <cell r="AL366">
            <v>22.67</v>
          </cell>
          <cell r="AM366">
            <v>84.586000000000013</v>
          </cell>
          <cell r="AN366">
            <v>15.896000000000001</v>
          </cell>
          <cell r="AO366">
            <v>18.027000000000001</v>
          </cell>
          <cell r="AP366">
            <v>18.850999999999999</v>
          </cell>
          <cell r="AQ366">
            <v>20.108000000000001</v>
          </cell>
          <cell r="AR366">
            <v>72.882000000000005</v>
          </cell>
          <cell r="AS366">
            <v>19.145</v>
          </cell>
          <cell r="AT366">
            <v>20.148</v>
          </cell>
          <cell r="AU366">
            <v>19.329999999999998</v>
          </cell>
          <cell r="AV366">
            <v>20.114999999999998</v>
          </cell>
          <cell r="AW366">
            <v>78.738</v>
          </cell>
          <cell r="AX366">
            <v>17.391999999999999</v>
          </cell>
          <cell r="AY366">
            <v>17.309000000000001</v>
          </cell>
        </row>
        <row r="367">
          <cell r="A367" t="str">
            <v>Founders Grant/Performance Awards</v>
          </cell>
          <cell r="D367" t="str">
            <v>ND</v>
          </cell>
          <cell r="E367">
            <v>0</v>
          </cell>
          <cell r="F367">
            <v>0</v>
          </cell>
          <cell r="G367">
            <v>0</v>
          </cell>
          <cell r="H367">
            <v>0.222</v>
          </cell>
          <cell r="I367">
            <v>0.222</v>
          </cell>
          <cell r="J367">
            <v>1.2889999999999999</v>
          </cell>
          <cell r="K367">
            <v>1.887</v>
          </cell>
          <cell r="L367">
            <v>1.575</v>
          </cell>
          <cell r="M367">
            <v>3.1070000000000002</v>
          </cell>
          <cell r="N367">
            <v>7.8580000000000005</v>
          </cell>
          <cell r="O367">
            <v>2.0449999999999999</v>
          </cell>
          <cell r="P367">
            <v>2.8919999999999999</v>
          </cell>
          <cell r="Q367">
            <v>2.3149999999999999</v>
          </cell>
          <cell r="R367">
            <v>2.0979999999999999</v>
          </cell>
          <cell r="S367">
            <v>9.3499999999999979</v>
          </cell>
          <cell r="T367">
            <v>0.68100000000000005</v>
          </cell>
          <cell r="U367">
            <v>0.71499999999999997</v>
          </cell>
          <cell r="V367">
            <v>0.624</v>
          </cell>
          <cell r="W367">
            <v>1.617</v>
          </cell>
          <cell r="X367">
            <v>3.637</v>
          </cell>
          <cell r="Y367">
            <v>1.1299999999999999</v>
          </cell>
          <cell r="Z367">
            <v>1.1080000000000001</v>
          </cell>
          <cell r="AA367">
            <v>0.47</v>
          </cell>
          <cell r="AB367">
            <v>0.443</v>
          </cell>
          <cell r="AC367">
            <v>3.1510000000000002</v>
          </cell>
          <cell r="AD367">
            <v>0.26800000000000002</v>
          </cell>
          <cell r="AE367">
            <v>9.4E-2</v>
          </cell>
          <cell r="AF367">
            <v>0.26700000000000002</v>
          </cell>
          <cell r="AG367">
            <v>0.255</v>
          </cell>
          <cell r="AH367">
            <v>0.88400000000000001</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row>
        <row r="368">
          <cell r="A368" t="str">
            <v>Gross Margin</v>
          </cell>
          <cell r="D368">
            <v>0.38158123796363785</v>
          </cell>
          <cell r="E368">
            <v>0.40129534648646636</v>
          </cell>
          <cell r="F368">
            <v>0.4442976702939383</v>
          </cell>
          <cell r="G368">
            <v>0.48240237359201232</v>
          </cell>
          <cell r="H368">
            <v>0.52137711966374156</v>
          </cell>
          <cell r="I368">
            <v>0.46486682466131368</v>
          </cell>
          <cell r="J368">
            <v>0.5231546579724029</v>
          </cell>
          <cell r="K368">
            <v>0.54888499885836062</v>
          </cell>
          <cell r="L368">
            <v>0.59007328545939797</v>
          </cell>
          <cell r="M368">
            <v>0.47141309489296124</v>
          </cell>
          <cell r="N368">
            <v>0.53391263468377259</v>
          </cell>
          <cell r="O368">
            <v>0.54896184062850728</v>
          </cell>
          <cell r="P368">
            <v>0.57096788378944896</v>
          </cell>
          <cell r="Q368">
            <v>0.60003681468056191</v>
          </cell>
          <cell r="R368">
            <v>0.58599151779976877</v>
          </cell>
          <cell r="S368">
            <v>0.577414380695638</v>
          </cell>
          <cell r="T368">
            <v>0.63772077375946168</v>
          </cell>
          <cell r="U368">
            <v>0.64170450001176171</v>
          </cell>
          <cell r="V368">
            <v>0.40754867647558524</v>
          </cell>
          <cell r="W368">
            <v>0.44403876311874224</v>
          </cell>
          <cell r="X368">
            <v>0.5130939978182798</v>
          </cell>
          <cell r="Y368">
            <v>0.48043626246781312</v>
          </cell>
          <cell r="Z368">
            <v>0.49561853404062017</v>
          </cell>
          <cell r="AA368">
            <v>0.48106123308904314</v>
          </cell>
          <cell r="AB368">
            <v>0.48397139188341753</v>
          </cell>
          <cell r="AC368">
            <v>0.69238052214295942</v>
          </cell>
          <cell r="AD368">
            <v>0.46810436164577074</v>
          </cell>
          <cell r="AE368">
            <v>0.493800624775385</v>
          </cell>
          <cell r="AF368">
            <v>0.5163048093526198</v>
          </cell>
          <cell r="AG368">
            <v>0.51132261889079167</v>
          </cell>
          <cell r="AH368">
            <v>0.69680815794708373</v>
          </cell>
          <cell r="AI368">
            <v>0.48923172961162886</v>
          </cell>
          <cell r="AJ368">
            <v>0.49390443810333307</v>
          </cell>
          <cell r="AK368">
            <v>0.50701839750183231</v>
          </cell>
          <cell r="AL368">
            <v>0.49202913756407574</v>
          </cell>
          <cell r="AM368">
            <v>0.68299559607479998</v>
          </cell>
          <cell r="AN368">
            <v>0.70252602327859137</v>
          </cell>
          <cell r="AO368">
            <v>0.69481105223978634</v>
          </cell>
          <cell r="AP368">
            <v>0.70200829904547857</v>
          </cell>
          <cell r="AQ368">
            <v>0.69487331081081072</v>
          </cell>
          <cell r="AR368">
            <v>0.69848344511520866</v>
          </cell>
          <cell r="AS368">
            <v>0.68532749269920745</v>
          </cell>
          <cell r="AT368">
            <v>0.69792563754694359</v>
          </cell>
          <cell r="AU368">
            <v>0.68644879689295069</v>
          </cell>
          <cell r="AV368">
            <v>0.6916023300537919</v>
          </cell>
          <cell r="AW368">
            <v>0.69040588739897957</v>
          </cell>
          <cell r="AX368">
            <v>0.68546693051221552</v>
          </cell>
          <cell r="AY368">
            <v>0.71631800709639259</v>
          </cell>
          <cell r="AZ368">
            <v>0.75595754100983337</v>
          </cell>
          <cell r="BA368">
            <v>0.76252963615776148</v>
          </cell>
          <cell r="BB368">
            <v>0.73041832169003085</v>
          </cell>
          <cell r="BC368">
            <v>0.77343738792373795</v>
          </cell>
          <cell r="BD368">
            <v>0.78619802061969191</v>
          </cell>
          <cell r="BE368">
            <v>0.78162692895750485</v>
          </cell>
          <cell r="BF368">
            <v>0.78204786689070116</v>
          </cell>
          <cell r="BG368">
            <v>0.78089978942282046</v>
          </cell>
          <cell r="BH368">
            <v>0.77583190297702243</v>
          </cell>
          <cell r="BI368">
            <v>0.7811980206196919</v>
          </cell>
          <cell r="BJ368">
            <v>0.7841269289575048</v>
          </cell>
          <cell r="BK368">
            <v>0.78504786689070116</v>
          </cell>
          <cell r="BL368">
            <v>0.78161202324092882</v>
          </cell>
          <cell r="BM368">
            <v>0.78305117986122996</v>
          </cell>
          <cell r="BN368">
            <v>0.78455117986122991</v>
          </cell>
          <cell r="BO368">
            <v>0.78605117986122985</v>
          </cell>
        </row>
        <row r="369">
          <cell r="A369" t="str">
            <v>BULL</v>
          </cell>
        </row>
        <row r="370">
          <cell r="A370" t="str">
            <v>BASE</v>
          </cell>
          <cell r="AI370">
            <v>0.704463956185156</v>
          </cell>
          <cell r="AJ370">
            <v>0.69673369144087949</v>
          </cell>
          <cell r="AK370">
            <v>0.70355368141097419</v>
          </cell>
          <cell r="AL370">
            <v>0.6963785125641716</v>
          </cell>
          <cell r="AM370">
            <v>0.70028246040029529</v>
          </cell>
          <cell r="AX370">
            <v>0.68546693051221552</v>
          </cell>
          <cell r="AY370">
            <v>0.71631800709639259</v>
          </cell>
          <cell r="AZ370">
            <v>0.75595754100983337</v>
          </cell>
          <cell r="BA370">
            <v>0.76252963615776148</v>
          </cell>
        </row>
        <row r="371">
          <cell r="A371" t="str">
            <v>BEAR</v>
          </cell>
        </row>
        <row r="372">
          <cell r="A372" t="str">
            <v>y/y growth</v>
          </cell>
          <cell r="I372">
            <v>4.8550586522967176E-2</v>
          </cell>
          <cell r="J372">
            <v>-3.514257128564291E-2</v>
          </cell>
          <cell r="K372">
            <v>-1.4711504895523309E-2</v>
          </cell>
          <cell r="L372">
            <v>-4.5772049358985267E-2</v>
          </cell>
          <cell r="M372">
            <v>0.16115840986793573</v>
          </cell>
          <cell r="N372">
            <v>1.5764686441378073E-2</v>
          </cell>
          <cell r="O372">
            <v>-6.23784834737523E-2</v>
          </cell>
          <cell r="P372">
            <v>-1.2383587528681406E-2</v>
          </cell>
          <cell r="Q372">
            <v>1.6079136690647644E-2</v>
          </cell>
          <cell r="R372">
            <v>-7.008833208244325E-2</v>
          </cell>
          <cell r="S372">
            <v>-3.475735736712815E-2</v>
          </cell>
          <cell r="T372">
            <v>1.2303438742007788E-2</v>
          </cell>
          <cell r="U372">
            <v>4.0794014144658108E-2</v>
          </cell>
          <cell r="V372">
            <v>1.4689701561227739</v>
          </cell>
          <cell r="W372">
            <v>1.1459924256534428</v>
          </cell>
          <cell r="X372">
            <v>0.6738381157038722</v>
          </cell>
          <cell r="Y372">
            <v>1.3972551295619811</v>
          </cell>
          <cell r="Z372">
            <v>1.2597905656041757</v>
          </cell>
          <cell r="AA372">
            <v>-1.1083867452431284E-2</v>
          </cell>
          <cell r="AB372">
            <v>-1.4465290535370379E-4</v>
          </cell>
          <cell r="AC372">
            <v>0.39532085426882668</v>
          </cell>
          <cell r="AD372">
            <v>2.9522344697940905E-2</v>
          </cell>
          <cell r="AE372">
            <v>6.3959907030795904E-2</v>
          </cell>
          <cell r="AF372">
            <v>-8.9606774156130164E-3</v>
          </cell>
          <cell r="AG372">
            <v>7.3349633251833746E-2</v>
          </cell>
          <cell r="AH372">
            <v>3.9430338412467014E-2</v>
          </cell>
          <cell r="AI372">
            <v>0.10919754879583921</v>
          </cell>
          <cell r="AJ372">
            <v>0.1381155878377458</v>
          </cell>
          <cell r="AK372">
            <v>0.17103145574250189</v>
          </cell>
          <cell r="AL372">
            <v>0.14201183431952669</v>
          </cell>
          <cell r="AM372">
            <v>0.13967196042697227</v>
          </cell>
          <cell r="AS372">
            <v>0.15508422664624777</v>
          </cell>
          <cell r="AT372">
            <v>0.10215794306703407</v>
          </cell>
          <cell r="AU372">
            <v>0.15737113175155182</v>
          </cell>
          <cell r="AV372">
            <v>7.1982173997287235E-2</v>
          </cell>
          <cell r="AW372">
            <v>0.12045344788145296</v>
          </cell>
          <cell r="AX372">
            <v>9.580123828337328E-2</v>
          </cell>
          <cell r="AY372">
            <v>-8.2014163715893318E-4</v>
          </cell>
          <cell r="AZ372">
            <v>-0.16840357016075869</v>
          </cell>
          <cell r="BA372">
            <v>-0.16333354851203918</v>
          </cell>
          <cell r="BB372">
            <v>-6.0831437515798559E-2</v>
          </cell>
        </row>
        <row r="373">
          <cell r="V373">
            <v>0.25528742059907372</v>
          </cell>
          <cell r="W373">
            <v>0.26999464784250188</v>
          </cell>
        </row>
        <row r="374">
          <cell r="A374" t="str">
            <v>SG&amp;A</v>
          </cell>
          <cell r="D374">
            <v>85.82</v>
          </cell>
          <cell r="E374">
            <v>18.682000000000002</v>
          </cell>
          <cell r="F374">
            <v>25.226500000000001</v>
          </cell>
          <cell r="G374">
            <v>22.872500000000002</v>
          </cell>
          <cell r="H374">
            <v>23.932000000000002</v>
          </cell>
          <cell r="I374">
            <v>90.713000000000008</v>
          </cell>
          <cell r="J374">
            <v>31.32</v>
          </cell>
          <cell r="K374">
            <v>38.005000000000003</v>
          </cell>
          <cell r="L374">
            <v>36.686999999999998</v>
          </cell>
          <cell r="M374">
            <v>32.750999999999998</v>
          </cell>
          <cell r="N374">
            <v>138.76300000000001</v>
          </cell>
          <cell r="O374">
            <v>34.716000000000001</v>
          </cell>
          <cell r="P374">
            <v>34.052</v>
          </cell>
          <cell r="Q374">
            <v>33.524999999999999</v>
          </cell>
          <cell r="R374">
            <v>33.487000000000002</v>
          </cell>
          <cell r="S374">
            <v>135.78</v>
          </cell>
          <cell r="T374">
            <v>37.460999999999999</v>
          </cell>
          <cell r="U374">
            <v>40.177000000000007</v>
          </cell>
          <cell r="V374">
            <v>63.305999999999997</v>
          </cell>
          <cell r="W374">
            <v>49.3</v>
          </cell>
          <cell r="X374">
            <v>190.24400000000003</v>
          </cell>
          <cell r="Y374">
            <v>51.417999999999999</v>
          </cell>
          <cell r="Z374">
            <v>53.320999999999998</v>
          </cell>
          <cell r="AA374">
            <v>53.724000000000004</v>
          </cell>
          <cell r="AB374">
            <v>54.508999999999993</v>
          </cell>
          <cell r="AC374">
            <v>212.97200000000001</v>
          </cell>
          <cell r="AD374">
            <v>55.436</v>
          </cell>
          <cell r="AE374">
            <v>57.601999999999997</v>
          </cell>
          <cell r="AF374">
            <v>62.973000000000006</v>
          </cell>
          <cell r="AG374">
            <v>57.172000000000004</v>
          </cell>
          <cell r="AH374">
            <v>233.18299999999999</v>
          </cell>
          <cell r="AI374">
            <v>61.631</v>
          </cell>
          <cell r="AJ374">
            <v>57.611999999999995</v>
          </cell>
          <cell r="AK374">
            <v>65.38</v>
          </cell>
          <cell r="AL374">
            <v>70.722000000000008</v>
          </cell>
          <cell r="AM374">
            <v>255.345</v>
          </cell>
          <cell r="AN374">
            <v>55.515000000000001</v>
          </cell>
          <cell r="AO374">
            <v>52.62</v>
          </cell>
          <cell r="AP374">
            <v>59.917000000000002</v>
          </cell>
          <cell r="AQ374">
            <v>64.174999999999997</v>
          </cell>
          <cell r="AR374">
            <v>232.22699999999998</v>
          </cell>
          <cell r="AS374">
            <v>67.658000000000001</v>
          </cell>
          <cell r="AT374">
            <v>71.516000000000005</v>
          </cell>
          <cell r="AU374">
            <v>70.832999999999998</v>
          </cell>
          <cell r="AV374">
            <v>69.344999999999999</v>
          </cell>
          <cell r="AW374">
            <v>279.35199999999998</v>
          </cell>
          <cell r="AX374">
            <v>72.465000000000003</v>
          </cell>
          <cell r="AY374">
            <v>75.555999999999997</v>
          </cell>
          <cell r="AZ374">
            <v>74.317000000000007</v>
          </cell>
          <cell r="BA374">
            <v>81.174999999999997</v>
          </cell>
          <cell r="BB374">
            <v>303.51300000000003</v>
          </cell>
          <cell r="BC374">
            <v>82.507000000000005</v>
          </cell>
          <cell r="BD374">
            <v>82.438999999999993</v>
          </cell>
          <cell r="BE374">
            <v>82.123000000000005</v>
          </cell>
          <cell r="BF374">
            <v>82.036000000000001</v>
          </cell>
          <cell r="BG374">
            <v>329.10500000000002</v>
          </cell>
          <cell r="BH374">
            <v>82.995000000000005</v>
          </cell>
          <cell r="BI374">
            <v>85.539451136103949</v>
          </cell>
          <cell r="BJ374">
            <v>85.000231749776646</v>
          </cell>
          <cell r="BK374">
            <v>86.254149504937459</v>
          </cell>
          <cell r="BL374">
            <v>339.78883239081802</v>
          </cell>
          <cell r="BM374">
            <v>356.99380102833084</v>
          </cell>
          <cell r="BN374">
            <v>375.01008616065729</v>
          </cell>
          <cell r="BO374">
            <v>394.5444599448137</v>
          </cell>
        </row>
        <row r="375">
          <cell r="A375" t="str">
            <v xml:space="preserve">  Compensation</v>
          </cell>
          <cell r="D375" t="str">
            <v>ND</v>
          </cell>
          <cell r="E375">
            <v>14.269</v>
          </cell>
          <cell r="F375">
            <v>14.554</v>
          </cell>
          <cell r="G375">
            <v>13.295</v>
          </cell>
          <cell r="H375">
            <v>15.051</v>
          </cell>
          <cell r="I375">
            <v>57.169000000000004</v>
          </cell>
          <cell r="J375">
            <v>17.428999999999998</v>
          </cell>
          <cell r="K375">
            <v>19.443000000000001</v>
          </cell>
          <cell r="L375">
            <v>18.899000000000001</v>
          </cell>
          <cell r="M375">
            <v>13.058</v>
          </cell>
          <cell r="N375">
            <v>68.829000000000008</v>
          </cell>
          <cell r="O375">
            <v>19.047000000000001</v>
          </cell>
          <cell r="P375">
            <v>19.724</v>
          </cell>
          <cell r="Q375">
            <v>18.257000000000001</v>
          </cell>
          <cell r="R375">
            <v>18.548999999999999</v>
          </cell>
          <cell r="S375">
            <v>75.576999999999998</v>
          </cell>
          <cell r="T375">
            <v>21.268999999999998</v>
          </cell>
          <cell r="U375">
            <v>21.085000000000001</v>
          </cell>
          <cell r="V375">
            <v>31.367000000000001</v>
          </cell>
          <cell r="W375">
            <v>29.507999999999999</v>
          </cell>
          <cell r="X375">
            <v>103.229</v>
          </cell>
          <cell r="Y375">
            <v>34.805</v>
          </cell>
          <cell r="Z375">
            <v>34.369999999999997</v>
          </cell>
          <cell r="AA375">
            <v>34.874000000000002</v>
          </cell>
          <cell r="AB375">
            <v>34.671999999999997</v>
          </cell>
          <cell r="AC375">
            <v>138.721</v>
          </cell>
          <cell r="AD375">
            <v>38.491999999999997</v>
          </cell>
          <cell r="AE375">
            <v>38.024999999999999</v>
          </cell>
          <cell r="AF375">
            <v>42.295999999999999</v>
          </cell>
          <cell r="AG375">
            <v>37.475000000000001</v>
          </cell>
          <cell r="AH375">
            <v>156.28799999999998</v>
          </cell>
          <cell r="AI375">
            <v>45.655999999999999</v>
          </cell>
          <cell r="AJ375">
            <v>39.89</v>
          </cell>
          <cell r="AK375">
            <v>44.494999999999997</v>
          </cell>
          <cell r="AL375">
            <v>45.904000000000003</v>
          </cell>
          <cell r="AM375">
            <v>175.94499999999999</v>
          </cell>
          <cell r="AN375">
            <v>40.35</v>
          </cell>
          <cell r="AO375">
            <v>35.951000000000001</v>
          </cell>
          <cell r="AP375">
            <v>40.533999999999999</v>
          </cell>
          <cell r="AQ375">
            <v>41.823999999999998</v>
          </cell>
          <cell r="AR375">
            <v>158.65899999999999</v>
          </cell>
          <cell r="AS375">
            <v>46.133000000000003</v>
          </cell>
          <cell r="AT375">
            <v>46.015000000000001</v>
          </cell>
          <cell r="AU375">
            <v>46.341999999999999</v>
          </cell>
          <cell r="AV375">
            <v>44.223999999999997</v>
          </cell>
          <cell r="AW375">
            <v>182.714</v>
          </cell>
          <cell r="AX375">
            <v>50.21</v>
          </cell>
          <cell r="AY375">
            <v>51.421999999999997</v>
          </cell>
        </row>
        <row r="376">
          <cell r="A376" t="str">
            <v xml:space="preserve">  Non-compensation</v>
          </cell>
          <cell r="D376" t="str">
            <v>ND</v>
          </cell>
          <cell r="E376">
            <v>4.4130000000000003</v>
          </cell>
          <cell r="F376">
            <v>10.672500000000001</v>
          </cell>
          <cell r="G376">
            <v>9.5775000000000006</v>
          </cell>
          <cell r="H376">
            <v>8.2840000000000007</v>
          </cell>
          <cell r="I376">
            <v>32.947000000000003</v>
          </cell>
          <cell r="J376">
            <v>10.384</v>
          </cell>
          <cell r="K376">
            <v>13.573</v>
          </cell>
          <cell r="L376">
            <v>14.016999999999999</v>
          </cell>
          <cell r="M376">
            <v>14.233000000000001</v>
          </cell>
          <cell r="N376">
            <v>52.207000000000008</v>
          </cell>
          <cell r="O376">
            <v>11.513</v>
          </cell>
          <cell r="P376">
            <v>9.8819999999999997</v>
          </cell>
          <cell r="Q376">
            <v>10.724</v>
          </cell>
          <cell r="R376">
            <v>10.863</v>
          </cell>
          <cell r="S376">
            <v>42.981999999999999</v>
          </cell>
          <cell r="T376">
            <v>12.552</v>
          </cell>
          <cell r="U376">
            <v>12.503</v>
          </cell>
          <cell r="V376">
            <v>16.731000000000002</v>
          </cell>
          <cell r="W376">
            <v>17.382000000000001</v>
          </cell>
          <cell r="X376">
            <v>59.168000000000006</v>
          </cell>
          <cell r="Y376">
            <v>14.93</v>
          </cell>
          <cell r="Z376">
            <v>17.385999999999999</v>
          </cell>
          <cell r="AA376">
            <v>18.03</v>
          </cell>
          <cell r="AB376">
            <v>19.135999999999999</v>
          </cell>
          <cell r="AC376">
            <v>69.481999999999999</v>
          </cell>
          <cell r="AD376">
            <v>16.63</v>
          </cell>
          <cell r="AE376">
            <v>19.478999999999999</v>
          </cell>
          <cell r="AF376">
            <v>20.318000000000001</v>
          </cell>
          <cell r="AG376">
            <v>19.571000000000002</v>
          </cell>
          <cell r="AH376">
            <v>75.99799999999999</v>
          </cell>
          <cell r="AI376">
            <v>15.975</v>
          </cell>
          <cell r="AJ376">
            <v>17.721999999999998</v>
          </cell>
          <cell r="AK376">
            <v>20.885000000000002</v>
          </cell>
          <cell r="AL376">
            <v>22.997</v>
          </cell>
          <cell r="AM376">
            <v>77.578999999999994</v>
          </cell>
          <cell r="AN376">
            <v>15.164999999999999</v>
          </cell>
          <cell r="AO376">
            <v>16.668999999999997</v>
          </cell>
          <cell r="AP376">
            <v>19.382999999999999</v>
          </cell>
          <cell r="AQ376">
            <v>22.350999999999999</v>
          </cell>
          <cell r="AR376">
            <v>73.567999999999998</v>
          </cell>
          <cell r="AS376">
            <v>21.524999999999999</v>
          </cell>
          <cell r="AT376">
            <v>25.501000000000001</v>
          </cell>
          <cell r="AU376">
            <v>24.491</v>
          </cell>
          <cell r="AV376">
            <v>25.120999999999999</v>
          </cell>
          <cell r="AW376">
            <v>96.637999999999991</v>
          </cell>
          <cell r="AX376">
            <v>22.254999999999999</v>
          </cell>
          <cell r="AY376">
            <v>24.134</v>
          </cell>
        </row>
        <row r="377">
          <cell r="A377" t="str">
            <v>Founders Grant/Performance Awards</v>
          </cell>
          <cell r="D377" t="str">
            <v>ND</v>
          </cell>
          <cell r="E377">
            <v>0</v>
          </cell>
          <cell r="F377">
            <v>0</v>
          </cell>
          <cell r="G377">
            <v>0</v>
          </cell>
          <cell r="H377">
            <v>0.59699999999999998</v>
          </cell>
          <cell r="I377">
            <v>0.59699999999999998</v>
          </cell>
          <cell r="J377">
            <v>3.5070000000000001</v>
          </cell>
          <cell r="K377">
            <v>4.9889999999999999</v>
          </cell>
          <cell r="L377">
            <v>3.7709999999999999</v>
          </cell>
          <cell r="M377">
            <v>5.46</v>
          </cell>
          <cell r="N377">
            <v>17.727</v>
          </cell>
          <cell r="O377">
            <v>4.1559999999999997</v>
          </cell>
          <cell r="P377">
            <v>4.4459999999999997</v>
          </cell>
          <cell r="Q377">
            <v>4.5439999999999996</v>
          </cell>
          <cell r="R377">
            <v>4.0750000000000002</v>
          </cell>
          <cell r="S377">
            <v>17.221</v>
          </cell>
          <cell r="T377">
            <v>1.39</v>
          </cell>
          <cell r="U377">
            <v>1.325</v>
          </cell>
          <cell r="V377">
            <v>1.516</v>
          </cell>
          <cell r="W377">
            <v>2.41</v>
          </cell>
          <cell r="X377">
            <v>6.641</v>
          </cell>
          <cell r="Y377">
            <v>1.6830000000000001</v>
          </cell>
          <cell r="Z377">
            <v>1.5649999999999999</v>
          </cell>
          <cell r="AA377">
            <v>0.82</v>
          </cell>
          <cell r="AB377">
            <v>0.70099999999999996</v>
          </cell>
          <cell r="AC377">
            <v>3.9</v>
          </cell>
          <cell r="AD377">
            <v>0.314</v>
          </cell>
          <cell r="AE377">
            <v>9.8000000000000004E-2</v>
          </cell>
          <cell r="AF377">
            <v>0.35899999999999999</v>
          </cell>
          <cell r="AG377">
            <v>0.126</v>
          </cell>
          <cell r="AH377">
            <v>0.89700000000000002</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row>
        <row r="378">
          <cell r="A378" t="str">
            <v>Transaction expenses</v>
          </cell>
          <cell r="D378" t="str">
            <v>ND</v>
          </cell>
          <cell r="E378" t="str">
            <v>ND</v>
          </cell>
          <cell r="F378" t="str">
            <v>ND</v>
          </cell>
          <cell r="G378" t="str">
            <v>ND</v>
          </cell>
          <cell r="H378" t="str">
            <v>ND</v>
          </cell>
          <cell r="I378" t="str">
            <v>ND</v>
          </cell>
          <cell r="J378" t="str">
            <v>ND</v>
          </cell>
          <cell r="K378" t="str">
            <v>ND</v>
          </cell>
          <cell r="L378" t="str">
            <v>ND</v>
          </cell>
          <cell r="M378" t="str">
            <v>ND</v>
          </cell>
          <cell r="N378" t="str">
            <v>ND</v>
          </cell>
          <cell r="O378" t="str">
            <v>ND</v>
          </cell>
          <cell r="P378" t="str">
            <v>ND</v>
          </cell>
          <cell r="Q378" t="str">
            <v>ND</v>
          </cell>
          <cell r="R378" t="str">
            <v>ND</v>
          </cell>
          <cell r="S378" t="str">
            <v>ND</v>
          </cell>
          <cell r="T378">
            <v>2.25</v>
          </cell>
          <cell r="U378">
            <v>5.2640000000000002</v>
          </cell>
          <cell r="V378">
            <v>13.692</v>
          </cell>
          <cell r="W378">
            <v>0</v>
          </cell>
          <cell r="X378">
            <v>21.206</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1.821</v>
          </cell>
          <cell r="AM378">
            <v>1.821</v>
          </cell>
          <cell r="AN378">
            <v>0</v>
          </cell>
          <cell r="AO378">
            <v>0</v>
          </cell>
          <cell r="AP378">
            <v>0</v>
          </cell>
          <cell r="AQ378">
            <v>0</v>
          </cell>
          <cell r="AR378">
            <v>0</v>
          </cell>
          <cell r="AS378">
            <v>0</v>
          </cell>
          <cell r="AT378">
            <v>0</v>
          </cell>
          <cell r="AU378">
            <v>0</v>
          </cell>
          <cell r="AV378">
            <v>0</v>
          </cell>
          <cell r="AW378">
            <v>0</v>
          </cell>
          <cell r="AX378">
            <v>0</v>
          </cell>
          <cell r="AY378">
            <v>0</v>
          </cell>
        </row>
        <row r="379">
          <cell r="A379" t="str">
            <v>% of Total Revenue</v>
          </cell>
          <cell r="D379">
            <v>0.4573572773069014</v>
          </cell>
          <cell r="E379">
            <v>0.34970611358616299</v>
          </cell>
          <cell r="F379">
            <v>0.46606130027527859</v>
          </cell>
          <cell r="G379">
            <v>0.40636215044593688</v>
          </cell>
          <cell r="H379">
            <v>0.38393788202075946</v>
          </cell>
          <cell r="I379">
            <v>0.40108680273071345</v>
          </cell>
          <cell r="J379">
            <v>0.48395321167544852</v>
          </cell>
          <cell r="K379">
            <v>0.57850673567242561</v>
          </cell>
          <cell r="L379">
            <v>0.54097055310615338</v>
          </cell>
          <cell r="M379">
            <v>0.49973297526588034</v>
          </cell>
          <cell r="N379">
            <v>0.52608372572659112</v>
          </cell>
          <cell r="O379">
            <v>0.54115226337448563</v>
          </cell>
          <cell r="P379">
            <v>0.49914249278081535</v>
          </cell>
          <cell r="Q379">
            <v>0.47469698685999084</v>
          </cell>
          <cell r="R379">
            <v>0.43036884719187768</v>
          </cell>
          <cell r="S379">
            <v>0.48353495461295476</v>
          </cell>
          <cell r="T379">
            <v>0.46332805620145445</v>
          </cell>
          <cell r="U379">
            <v>0.47254828162122747</v>
          </cell>
          <cell r="V379">
            <v>0.3122629271011626</v>
          </cell>
          <cell r="W379">
            <v>0.39647754232176602</v>
          </cell>
          <cell r="X379">
            <v>0.46635861105323156</v>
          </cell>
          <cell r="Y379">
            <v>0.38045698049545684</v>
          </cell>
          <cell r="Z379">
            <v>0.39067583013393509</v>
          </cell>
          <cell r="AA379">
            <v>0.40423770898857814</v>
          </cell>
          <cell r="AB379">
            <v>0.24104734361042562</v>
          </cell>
          <cell r="AC379">
            <v>0.39550439940425125</v>
          </cell>
          <cell r="AD379">
            <v>0.407881570427924</v>
          </cell>
          <cell r="AE379">
            <v>0.39810079340944898</v>
          </cell>
          <cell r="AF379">
            <v>0.44564355875109696</v>
          </cell>
          <cell r="AG379">
            <v>0.37657752601765254</v>
          </cell>
          <cell r="AH379">
            <v>0.24541936407333226</v>
          </cell>
          <cell r="AI379">
            <v>0.39258164584779826</v>
          </cell>
          <cell r="AJ379">
            <v>0.34977839839718289</v>
          </cell>
          <cell r="AK379">
            <v>0.40268787070627438</v>
          </cell>
          <cell r="AL379">
            <v>0.42400551575287032</v>
          </cell>
          <cell r="AM379">
            <v>0.24655125634011707</v>
          </cell>
          <cell r="AN379">
            <v>0.2528984351866615</v>
          </cell>
          <cell r="AO379">
            <v>0.23041555370670405</v>
          </cell>
          <cell r="AP379">
            <v>0.26198836034822759</v>
          </cell>
          <cell r="AQ379">
            <v>0.27100929054054057</v>
          </cell>
          <cell r="AR379">
            <v>0.25424847764253006</v>
          </cell>
          <cell r="AS379">
            <v>0.28226115978306215</v>
          </cell>
          <cell r="AT379">
            <v>0.28123242690575906</v>
          </cell>
          <cell r="AU379">
            <v>0.28157833015976497</v>
          </cell>
          <cell r="AV379">
            <v>0.27610659637750695</v>
          </cell>
          <cell r="AW379">
            <v>0.28027550779819499</v>
          </cell>
          <cell r="AX379">
            <v>0.27576299566177037</v>
          </cell>
          <cell r="AY379">
            <v>0.27925783560023654</v>
          </cell>
          <cell r="AZ379">
            <v>0.27650059342875333</v>
          </cell>
          <cell r="BA379">
            <v>0.29746090958727411</v>
          </cell>
          <cell r="BB379">
            <v>0.28233504804606474</v>
          </cell>
          <cell r="BC379">
            <v>0.13857724418684891</v>
          </cell>
          <cell r="BD379">
            <v>9.1097993541214395E-2</v>
          </cell>
          <cell r="BE379">
            <v>0.10503653269103963</v>
          </cell>
          <cell r="BF379">
            <v>1.0606713889744324E-2</v>
          </cell>
          <cell r="BG379">
            <v>0.28601734502414727</v>
          </cell>
          <cell r="BH379">
            <v>5.9146496660889003E-3</v>
          </cell>
          <cell r="BI379">
            <v>3.7609033783815304E-2</v>
          </cell>
          <cell r="BJ379">
            <v>3.5035638612528119E-2</v>
          </cell>
          <cell r="BK379">
            <v>5.1418273744910259E-2</v>
          </cell>
          <cell r="BL379">
            <v>0.27351061308213231</v>
          </cell>
          <cell r="BM379">
            <v>5.063429694394439E-2</v>
          </cell>
          <cell r="BN379">
            <v>5.0466660990835299E-2</v>
          </cell>
          <cell r="BO379">
            <v>5.2090262382403552E-2</v>
          </cell>
        </row>
        <row r="380">
          <cell r="A380" t="str">
            <v>BULL</v>
          </cell>
        </row>
        <row r="381">
          <cell r="A381" t="str">
            <v>BASE</v>
          </cell>
          <cell r="AI381">
            <v>0.23991543224783457</v>
          </cell>
          <cell r="AJ381">
            <v>0.21900596699982053</v>
          </cell>
          <cell r="AK381">
            <v>0.24770786674132139</v>
          </cell>
          <cell r="AL381">
            <v>0.25604988516617128</v>
          </cell>
          <cell r="AM381">
            <v>0.24066978778878695</v>
          </cell>
          <cell r="AX381">
            <v>0.27576299566177037</v>
          </cell>
          <cell r="AY381">
            <v>0.27925783560023654</v>
          </cell>
          <cell r="AZ381">
            <v>0.27650059342875333</v>
          </cell>
          <cell r="BA381">
            <v>0.29746090958727411</v>
          </cell>
        </row>
        <row r="382">
          <cell r="A382" t="str">
            <v>BEAR</v>
          </cell>
        </row>
        <row r="383">
          <cell r="A383" t="str">
            <v>y/y growth</v>
          </cell>
          <cell r="I383">
            <v>5.7014681892332941E-2</v>
          </cell>
          <cell r="J383">
            <v>0.67648003425757386</v>
          </cell>
          <cell r="K383">
            <v>0.50655065110102471</v>
          </cell>
          <cell r="L383">
            <v>0.60397857689364942</v>
          </cell>
          <cell r="M383">
            <v>0.36850242353334428</v>
          </cell>
          <cell r="N383">
            <v>0.52969254682349831</v>
          </cell>
          <cell r="O383">
            <v>0.10842911877394634</v>
          </cell>
          <cell r="P383">
            <v>-0.10401262991711624</v>
          </cell>
          <cell r="Q383">
            <v>-8.6188568157657963E-2</v>
          </cell>
          <cell r="R383">
            <v>2.2472596256603028E-2</v>
          </cell>
          <cell r="S383">
            <v>-2.1497084957805779E-2</v>
          </cell>
          <cell r="T383">
            <v>7.9070169374351851E-2</v>
          </cell>
          <cell r="U383">
            <v>0.17987196053095289</v>
          </cell>
          <cell r="V383">
            <v>0.88832214765100681</v>
          </cell>
          <cell r="W383">
            <v>0.47221309761997166</v>
          </cell>
          <cell r="X383">
            <v>0.40111945794667858</v>
          </cell>
          <cell r="Y383">
            <v>0.37257414377619402</v>
          </cell>
          <cell r="Z383">
            <v>0.32715235084749961</v>
          </cell>
          <cell r="AA383">
            <v>-0.15136006065775742</v>
          </cell>
          <cell r="AB383">
            <v>0.1056592292089249</v>
          </cell>
          <cell r="AC383">
            <v>0.11946763104224045</v>
          </cell>
          <cell r="AD383">
            <v>7.8143840678361665E-2</v>
          </cell>
          <cell r="AE383">
            <v>8.0287316441927103E-2</v>
          </cell>
          <cell r="AF383">
            <v>0.17215769488496768</v>
          </cell>
          <cell r="AG383">
            <v>4.8854317635619982E-2</v>
          </cell>
          <cell r="AH383">
            <v>9.4899799034614762E-2</v>
          </cell>
          <cell r="AI383">
            <v>0.11175048704812762</v>
          </cell>
          <cell r="AJ383">
            <v>1.7360508315689138E-4</v>
          </cell>
          <cell r="AK383">
            <v>3.8222730376510361E-2</v>
          </cell>
          <cell r="AL383">
            <v>0.23700412789477365</v>
          </cell>
          <cell r="AM383">
            <v>9.5041233709146855E-2</v>
          </cell>
          <cell r="AS383">
            <v>0.21873367558317569</v>
          </cell>
          <cell r="AT383">
            <v>0.35910300266058548</v>
          </cell>
          <cell r="AU383">
            <v>0.18218535640970002</v>
          </cell>
          <cell r="AV383">
            <v>8.0560966108297549E-2</v>
          </cell>
          <cell r="AW383">
            <v>0.20292644696783757</v>
          </cell>
          <cell r="AX383">
            <v>7.1048508675987998E-2</v>
          </cell>
          <cell r="AY383">
            <v>5.6490855193243261E-2</v>
          </cell>
          <cell r="AZ383">
            <v>4.9186113817006216E-2</v>
          </cell>
          <cell r="BA383">
            <v>0.17059629389285447</v>
          </cell>
          <cell r="BB383">
            <v>8.648944700592831E-2</v>
          </cell>
        </row>
        <row r="384">
          <cell r="X384">
            <v>0.464025548309627</v>
          </cell>
          <cell r="AC384">
            <v>0.46478293251167396</v>
          </cell>
          <cell r="AH384">
            <v>0.45725844900914703</v>
          </cell>
          <cell r="AM384">
            <v>0.4378501970227881</v>
          </cell>
          <cell r="AR384">
            <v>0.44383535547950154</v>
          </cell>
        </row>
        <row r="386">
          <cell r="A386" t="str">
            <v>Working Capital &amp; Other</v>
          </cell>
        </row>
        <row r="387">
          <cell r="A387" t="str">
            <v>Days of Sales in Accounts Receivable</v>
          </cell>
          <cell r="H387">
            <v>68.831966003659332</v>
          </cell>
          <cell r="I387">
            <v>75.67001724855767</v>
          </cell>
          <cell r="J387">
            <v>106.19041266876926</v>
          </cell>
          <cell r="K387">
            <v>88.343823651739896</v>
          </cell>
          <cell r="L387">
            <v>69.382150200635877</v>
          </cell>
          <cell r="M387">
            <v>71.824216131674987</v>
          </cell>
          <cell r="N387">
            <v>71.608057341615591</v>
          </cell>
          <cell r="O387">
            <v>84.528537034414384</v>
          </cell>
          <cell r="P387">
            <v>78.479177142857139</v>
          </cell>
          <cell r="Q387">
            <v>63.250817503766029</v>
          </cell>
          <cell r="R387">
            <v>58.474619075679776</v>
          </cell>
          <cell r="S387">
            <v>62.727001815111485</v>
          </cell>
          <cell r="T387">
            <v>84.246301775147941</v>
          </cell>
          <cell r="U387">
            <v>66.531117679955258</v>
          </cell>
          <cell r="V387">
            <v>50.842388757627027</v>
          </cell>
          <cell r="W387">
            <v>62.29938401822632</v>
          </cell>
          <cell r="X387">
            <v>80.19043567591541</v>
          </cell>
          <cell r="Y387">
            <v>74.851812376286404</v>
          </cell>
          <cell r="Z387">
            <v>70.411509914651432</v>
          </cell>
          <cell r="AA387">
            <v>66.771484184049839</v>
          </cell>
          <cell r="AB387">
            <v>71.864204409774743</v>
          </cell>
          <cell r="AC387">
            <v>72.150962160674226</v>
          </cell>
          <cell r="AD387">
            <v>67.654026159998608</v>
          </cell>
          <cell r="AE387">
            <v>51.334688659275258</v>
          </cell>
          <cell r="AF387">
            <v>47.517923582677824</v>
          </cell>
          <cell r="AG387">
            <v>55.933827100534231</v>
          </cell>
          <cell r="AH387">
            <v>58.181385710120914</v>
          </cell>
          <cell r="AI387">
            <v>59.634034512462833</v>
          </cell>
          <cell r="AJ387">
            <v>55.871274689993712</v>
          </cell>
          <cell r="AK387">
            <v>62.704946599648402</v>
          </cell>
          <cell r="AL387">
            <v>56.998677238792034</v>
          </cell>
          <cell r="AM387">
            <v>58.181385710120914</v>
          </cell>
          <cell r="AN387">
            <v>68.434275562034486</v>
          </cell>
          <cell r="AO387">
            <v>63.095371546175073</v>
          </cell>
          <cell r="AP387">
            <v>70.803363343404712</v>
          </cell>
          <cell r="AQ387">
            <v>64.417652027027046</v>
          </cell>
          <cell r="AR387">
            <v>58.181385710120914</v>
          </cell>
          <cell r="AS387">
            <v>72.054443053817266</v>
          </cell>
          <cell r="AT387">
            <v>75.537780923730296</v>
          </cell>
          <cell r="AU387">
            <v>68.622777342709611</v>
          </cell>
          <cell r="AV387">
            <v>64.042754814794179</v>
          </cell>
          <cell r="AW387">
            <v>64.55081493521152</v>
          </cell>
          <cell r="AX387">
            <v>63.30173529187914</v>
          </cell>
          <cell r="AY387">
            <v>71.347686280307514</v>
          </cell>
          <cell r="AZ387">
            <v>69.728845846184768</v>
          </cell>
          <cell r="BA387">
            <v>68.677137192965731</v>
          </cell>
          <cell r="BB387">
            <v>69.735202463232909</v>
          </cell>
          <cell r="BC387">
            <v>83.976932015436049</v>
          </cell>
          <cell r="BD387">
            <v>76.65188096188524</v>
          </cell>
          <cell r="BE387">
            <v>73.577815298526858</v>
          </cell>
          <cell r="BF387">
            <v>68.082455637064044</v>
          </cell>
          <cell r="BG387">
            <v>69.301393042349204</v>
          </cell>
          <cell r="BH387">
            <v>78.371385791166873</v>
          </cell>
          <cell r="BI387">
            <v>78.65188096188524</v>
          </cell>
          <cell r="BJ387">
            <v>75.577815298526858</v>
          </cell>
          <cell r="BK387">
            <v>70.082455637064044</v>
          </cell>
          <cell r="BL387">
            <v>71.381096260783565</v>
          </cell>
          <cell r="BM387">
            <v>74.381096260783565</v>
          </cell>
          <cell r="BN387">
            <v>76.381096260783565</v>
          </cell>
          <cell r="BO387">
            <v>78.381096260783565</v>
          </cell>
        </row>
        <row r="388">
          <cell r="A388" t="str">
            <v>Days of Expense in Accounts Payable</v>
          </cell>
          <cell r="H388">
            <v>0.11898691143974163</v>
          </cell>
          <cell r="I388">
            <v>0.11947431302270013</v>
          </cell>
          <cell r="J388">
            <v>0</v>
          </cell>
          <cell r="K388">
            <v>0</v>
          </cell>
          <cell r="L388">
            <v>3.1348810469893986</v>
          </cell>
          <cell r="M388">
            <v>1.376942168428926</v>
          </cell>
          <cell r="N388">
            <v>1.3722068813633976</v>
          </cell>
          <cell r="O388">
            <v>0.80365535248041764</v>
          </cell>
          <cell r="P388">
            <v>62.064198060125399</v>
          </cell>
          <cell r="Q388">
            <v>55.636006045927189</v>
          </cell>
          <cell r="R388">
            <v>2.8393361107378041</v>
          </cell>
          <cell r="S388">
            <v>2.8393361107378041</v>
          </cell>
          <cell r="T388">
            <v>0.56492633076173848</v>
          </cell>
          <cell r="U388">
            <v>0.7005830903790089</v>
          </cell>
          <cell r="V388">
            <v>1.0051410543362844</v>
          </cell>
          <cell r="W388">
            <v>1.7008146568301807</v>
          </cell>
          <cell r="X388">
            <v>1.7008146568301807</v>
          </cell>
          <cell r="Y388">
            <v>0.35674911422872674</v>
          </cell>
          <cell r="Z388">
            <v>0.47075856989823245</v>
          </cell>
          <cell r="AA388">
            <v>0.31951697665606832</v>
          </cell>
          <cell r="AB388">
            <v>0.17561190666688439</v>
          </cell>
          <cell r="AC388">
            <v>0.17843255585349616</v>
          </cell>
          <cell r="AD388">
            <v>0.11750363757914191</v>
          </cell>
          <cell r="AE388">
            <v>0.45257284562926225</v>
          </cell>
          <cell r="AF388">
            <v>1.1665149161801724</v>
          </cell>
          <cell r="AG388">
            <v>2.0510451817807027</v>
          </cell>
          <cell r="AH388">
            <v>2.0686190148938257</v>
          </cell>
          <cell r="AI388">
            <v>0.72220341851413083</v>
          </cell>
          <cell r="AJ388">
            <v>0.62502216767987739</v>
          </cell>
          <cell r="AK388">
            <v>0.81632512721771433</v>
          </cell>
          <cell r="AL388">
            <v>0.69360368995619137</v>
          </cell>
          <cell r="AM388">
            <v>0.73892840988527475</v>
          </cell>
          <cell r="AN388">
            <v>0.84774241609071699</v>
          </cell>
          <cell r="AO388">
            <v>0.7203472971647209</v>
          </cell>
          <cell r="AP388">
            <v>0.92692944373301689</v>
          </cell>
          <cell r="AQ388">
            <v>0.79030118229995083</v>
          </cell>
          <cell r="AR388">
            <v>0.84959852490406362</v>
          </cell>
          <cell r="AS388">
            <v>0.96991298878289134</v>
          </cell>
          <cell r="AT388">
            <v>1.1279427230806569</v>
          </cell>
          <cell r="AU388">
            <v>1.0189768150211411</v>
          </cell>
          <cell r="AV388">
            <v>1.7380790190735693</v>
          </cell>
          <cell r="AW388">
            <v>1.7359327534417599</v>
          </cell>
          <cell r="AX388">
            <v>0.66085173867636249</v>
          </cell>
          <cell r="AY388">
            <v>1.2822617179549467</v>
          </cell>
          <cell r="AZ388">
            <v>1.1617468372525193</v>
          </cell>
          <cell r="BA388">
            <v>1.548715911192706</v>
          </cell>
          <cell r="BB388">
            <v>1.524179358048662</v>
          </cell>
          <cell r="BC388">
            <v>0.93534414706306335</v>
          </cell>
          <cell r="BD388">
            <v>1.0782394565916622</v>
          </cell>
          <cell r="BE388">
            <v>0.77465904940424102</v>
          </cell>
          <cell r="BF388">
            <v>0.35048507078948266</v>
          </cell>
          <cell r="BG388">
            <v>0.35181654886685065</v>
          </cell>
          <cell r="BH388">
            <v>0.68045922028222905</v>
          </cell>
          <cell r="BI388">
            <v>1.0782394565916622</v>
          </cell>
          <cell r="BJ388">
            <v>0.77465904940424102</v>
          </cell>
          <cell r="BK388">
            <v>0.35048507078948266</v>
          </cell>
          <cell r="BL388">
            <v>0.35387330090497038</v>
          </cell>
          <cell r="BM388">
            <v>0.35387330090497038</v>
          </cell>
          <cell r="BN388">
            <v>0.35387330090497038</v>
          </cell>
          <cell r="BO388">
            <v>0.35387330090497038</v>
          </cell>
        </row>
        <row r="389">
          <cell r="A389" t="str">
            <v>Days of Deferred Revenue</v>
          </cell>
          <cell r="G389">
            <v>127.99290097070568</v>
          </cell>
          <cell r="H389">
            <v>110.8687953727203</v>
          </cell>
          <cell r="I389">
            <v>121.88295853316967</v>
          </cell>
          <cell r="J389">
            <v>143.49782279349415</v>
          </cell>
          <cell r="K389">
            <v>140.43310689033689</v>
          </cell>
          <cell r="L389">
            <v>129.37372621128813</v>
          </cell>
          <cell r="M389">
            <v>121.24813807998811</v>
          </cell>
          <cell r="N389">
            <v>120.88323537396656</v>
          </cell>
          <cell r="O389">
            <v>150.23792663928623</v>
          </cell>
          <cell r="P389">
            <v>144.84672</v>
          </cell>
          <cell r="Q389">
            <v>137.40814564426648</v>
          </cell>
          <cell r="R389">
            <v>115.87642057412239</v>
          </cell>
          <cell r="S389">
            <v>124.30316876924604</v>
          </cell>
          <cell r="T389">
            <v>124.49038461538463</v>
          </cell>
          <cell r="U389">
            <v>130.79443956219541</v>
          </cell>
          <cell r="V389">
            <v>126.00346268244439</v>
          </cell>
          <cell r="W389">
            <v>114.46291452198129</v>
          </cell>
          <cell r="X389">
            <v>147.33421732656913</v>
          </cell>
          <cell r="Y389">
            <v>114.51383353187224</v>
          </cell>
          <cell r="Z389">
            <v>117.93984537470804</v>
          </cell>
          <cell r="AA389">
            <v>116.40454880769333</v>
          </cell>
          <cell r="AB389">
            <v>115.10666242139617</v>
          </cell>
          <cell r="AC389">
            <v>115.56596935870384</v>
          </cell>
          <cell r="AD389">
            <v>129.68452578453801</v>
          </cell>
          <cell r="AE389">
            <v>125.96189717687004</v>
          </cell>
          <cell r="AF389">
            <v>123.66112536314365</v>
          </cell>
          <cell r="AG389">
            <v>112.19839728023312</v>
          </cell>
          <cell r="AH389">
            <v>116.70680456900607</v>
          </cell>
          <cell r="AI389">
            <v>125.21307297476471</v>
          </cell>
          <cell r="AJ389">
            <v>121.25840448549427</v>
          </cell>
          <cell r="AK389">
            <v>116.43700772155921</v>
          </cell>
          <cell r="AL389">
            <v>107.52535292315282</v>
          </cell>
          <cell r="AM389">
            <v>111.14055000304153</v>
          </cell>
          <cell r="AN389">
            <v>143.69086395007176</v>
          </cell>
          <cell r="AO389">
            <v>136.93698822086967</v>
          </cell>
          <cell r="AP389">
            <v>131.47498261922775</v>
          </cell>
          <cell r="AQ389">
            <v>121.52090371621624</v>
          </cell>
          <cell r="AR389">
            <v>126.0196674790286</v>
          </cell>
          <cell r="AS389">
            <v>117.990112640801</v>
          </cell>
          <cell r="AT389">
            <v>114.6568748894001</v>
          </cell>
          <cell r="AU389">
            <v>114.85369121113703</v>
          </cell>
          <cell r="AV389">
            <v>111.36538285427608</v>
          </cell>
          <cell r="AW389">
            <v>112.24885999367916</v>
          </cell>
          <cell r="AX389">
            <v>117.90863079381994</v>
          </cell>
          <cell r="AY389">
            <v>112.68727823772915</v>
          </cell>
          <cell r="AZ389">
            <v>109.84790365247028</v>
          </cell>
          <cell r="BA389">
            <v>104.72851996936527</v>
          </cell>
          <cell r="BB389">
            <v>106.34200612087331</v>
          </cell>
          <cell r="BC389">
            <v>116.15870715996961</v>
          </cell>
          <cell r="BD389">
            <v>113.11848752219576</v>
          </cell>
          <cell r="BE389">
            <v>107.10896464690238</v>
          </cell>
          <cell r="BF389">
            <v>102.76976353428138</v>
          </cell>
          <cell r="BG389">
            <v>104.60973695668609</v>
          </cell>
          <cell r="BH389">
            <v>113.07167496107328</v>
          </cell>
          <cell r="BI389">
            <v>110.11848752219576</v>
          </cell>
          <cell r="BJ389">
            <v>104.10896464690238</v>
          </cell>
          <cell r="BK389">
            <v>99.769763534281381</v>
          </cell>
          <cell r="BL389">
            <v>101.61851536192117</v>
          </cell>
          <cell r="BM389">
            <v>98.618515361921169</v>
          </cell>
          <cell r="BN389">
            <v>95.118515361921169</v>
          </cell>
          <cell r="BO389">
            <v>91.618515361921169</v>
          </cell>
        </row>
        <row r="390">
          <cell r="A390" t="str">
            <v>Accrued Payroll &amp; Benefits % of Revenue</v>
          </cell>
          <cell r="G390">
            <v>0.40805350244029126</v>
          </cell>
          <cell r="H390">
            <v>0.52953038619685611</v>
          </cell>
          <cell r="I390">
            <v>0.14553402940365409</v>
          </cell>
          <cell r="J390">
            <v>0.22226562872197506</v>
          </cell>
          <cell r="K390">
            <v>0.33281574934146679</v>
          </cell>
          <cell r="L390">
            <v>0.45062002373209897</v>
          </cell>
          <cell r="M390">
            <v>0.54876368511208762</v>
          </cell>
          <cell r="N390">
            <v>0.13677803791990459</v>
          </cell>
          <cell r="O390">
            <v>0.1898314686305056</v>
          </cell>
          <cell r="P390">
            <v>0.31733028571428568</v>
          </cell>
          <cell r="Q390">
            <v>0.42798618510489772</v>
          </cell>
          <cell r="R390">
            <v>0.54792490950416706</v>
          </cell>
          <cell r="S390">
            <v>0.14694275626032852</v>
          </cell>
          <cell r="T390">
            <v>0.17683267587113741</v>
          </cell>
          <cell r="U390">
            <v>0.28121754413996963</v>
          </cell>
          <cell r="V390">
            <v>0.3688348714812093</v>
          </cell>
          <cell r="W390">
            <v>0.46431149738887489</v>
          </cell>
          <cell r="X390">
            <v>0.14941295909947336</v>
          </cell>
          <cell r="Y390">
            <v>0.16383935368879257</v>
          </cell>
          <cell r="Z390">
            <v>0.27138460723321395</v>
          </cell>
          <cell r="AA390">
            <v>0.37778301174086548</v>
          </cell>
          <cell r="AB390">
            <v>0.47540838617810677</v>
          </cell>
          <cell r="AC390">
            <v>0.11932634878421561</v>
          </cell>
          <cell r="AD390">
            <v>0.14055323681958684</v>
          </cell>
          <cell r="AE390">
            <v>0.2396369962064846</v>
          </cell>
          <cell r="AF390">
            <v>0.35527344081819878</v>
          </cell>
          <cell r="AG390">
            <v>0.45879472235713126</v>
          </cell>
          <cell r="AH390">
            <v>0.11930755540493462</v>
          </cell>
          <cell r="AI390">
            <v>0.18084308222413648</v>
          </cell>
          <cell r="AJ390">
            <v>0.25763286260459556</v>
          </cell>
          <cell r="AK390">
            <v>0.37186626290476238</v>
          </cell>
          <cell r="AL390">
            <v>0.45259358348715734</v>
          </cell>
          <cell r="AM390">
            <v>0.11695264983822021</v>
          </cell>
          <cell r="AN390">
            <v>0.20753023711363688</v>
          </cell>
          <cell r="AO390">
            <v>0.29094451985812497</v>
          </cell>
          <cell r="AP390">
            <v>0.41989322302919535</v>
          </cell>
          <cell r="AQ390">
            <v>0.51150337837837845</v>
          </cell>
          <cell r="AR390">
            <v>0.13260987140157612</v>
          </cell>
          <cell r="AS390">
            <v>0.17786816854401333</v>
          </cell>
          <cell r="AT390">
            <v>0.27201085353624727</v>
          </cell>
          <cell r="AU390">
            <v>0.36508624287934743</v>
          </cell>
          <cell r="AV390">
            <v>0.44358618053537091</v>
          </cell>
          <cell r="AW390">
            <v>0.11177630291811519</v>
          </cell>
          <cell r="AX390">
            <v>0.15727224294086312</v>
          </cell>
          <cell r="AY390">
            <v>0.25825694855115316</v>
          </cell>
          <cell r="AZ390">
            <v>0.34545738660674097</v>
          </cell>
          <cell r="BA390">
            <v>0.42734331771060446</v>
          </cell>
          <cell r="BB390">
            <v>0.10848178156482266</v>
          </cell>
          <cell r="BC390">
            <v>0.16209993257492075</v>
          </cell>
          <cell r="BD390">
            <v>0.23369557736513924</v>
          </cell>
          <cell r="BE390">
            <v>0.33431680840957861</v>
          </cell>
          <cell r="BF390">
            <v>0.40679002226684696</v>
          </cell>
          <cell r="BG390">
            <v>0.10351828145382552</v>
          </cell>
          <cell r="BH390">
            <v>0.13885135471619187</v>
          </cell>
          <cell r="BI390">
            <v>0.23369557736513924</v>
          </cell>
          <cell r="BJ390">
            <v>0.33431680840957861</v>
          </cell>
          <cell r="BK390">
            <v>0.40679002226684696</v>
          </cell>
          <cell r="BL390">
            <v>0.10358197880411962</v>
          </cell>
          <cell r="BM390">
            <v>0.10358197880411962</v>
          </cell>
          <cell r="BN390">
            <v>0.10358197880411962</v>
          </cell>
          <cell r="BO390">
            <v>0.10358197880411962</v>
          </cell>
        </row>
        <row r="391">
          <cell r="A391" t="str">
            <v>Other Accrued Liabilities as % of Revenue</v>
          </cell>
          <cell r="G391">
            <v>0.14491326414665553</v>
          </cell>
          <cell r="H391">
            <v>0.10028723760058235</v>
          </cell>
          <cell r="I391">
            <v>2.7562546298048586E-2</v>
          </cell>
          <cell r="J391">
            <v>0.11565397185353166</v>
          </cell>
          <cell r="K391">
            <v>0.18705115763205321</v>
          </cell>
          <cell r="L391">
            <v>0.12771854817525521</v>
          </cell>
          <cell r="M391">
            <v>0.27425150815520966</v>
          </cell>
          <cell r="N391">
            <v>6.8356533421817745E-2</v>
          </cell>
          <cell r="O391">
            <v>0.28134825095595523</v>
          </cell>
          <cell r="P391">
            <v>0.24770742857142858</v>
          </cell>
          <cell r="Q391">
            <v>0.25778006393063158</v>
          </cell>
          <cell r="R391">
            <v>0.25677245559390521</v>
          </cell>
          <cell r="S391">
            <v>6.8861356186279199E-2</v>
          </cell>
          <cell r="T391">
            <v>0.24727153188691653</v>
          </cell>
          <cell r="U391">
            <v>0.18605895981465209</v>
          </cell>
          <cell r="V391">
            <v>0.18541628644571925</v>
          </cell>
          <cell r="W391">
            <v>0.18516955906205759</v>
          </cell>
          <cell r="X391">
            <v>5.9586574767574639E-2</v>
          </cell>
          <cell r="Y391">
            <v>0.208300119123324</v>
          </cell>
          <cell r="Z391">
            <v>0.23998710720009891</v>
          </cell>
          <cell r="AA391">
            <v>0.20918916036369131</v>
          </cell>
          <cell r="AB391">
            <v>0.20122582185783647</v>
          </cell>
          <cell r="AC391">
            <v>5.0507191924887417E-2</v>
          </cell>
          <cell r="AD391">
            <v>0.21147599671690273</v>
          </cell>
          <cell r="AE391">
            <v>0.20557919225368348</v>
          </cell>
          <cell r="AF391">
            <v>0.17659825691034811</v>
          </cell>
          <cell r="AG391">
            <v>0.17195240407965029</v>
          </cell>
          <cell r="AH391">
            <v>4.471546854624734E-2</v>
          </cell>
          <cell r="AI391">
            <v>0.16903326201128188</v>
          </cell>
          <cell r="AJ391">
            <v>0.14911321530217372</v>
          </cell>
          <cell r="AK391">
            <v>0.17960176271501488</v>
          </cell>
          <cell r="AL391">
            <v>0.15399331893491569</v>
          </cell>
          <cell r="AM391">
            <v>3.9792713294910437E-2</v>
          </cell>
          <cell r="AN391">
            <v>0.1939776325080291</v>
          </cell>
          <cell r="AO391">
            <v>0.16839339668082501</v>
          </cell>
          <cell r="AP391">
            <v>0.20279753914499721</v>
          </cell>
          <cell r="AQ391">
            <v>0.1740371621621622</v>
          </cell>
          <cell r="AR391">
            <v>4.5120025925512328E-2</v>
          </cell>
          <cell r="AS391">
            <v>0.7027617855652899</v>
          </cell>
          <cell r="AT391">
            <v>0.23877779743998109</v>
          </cell>
          <cell r="AU391">
            <v>0.2556001224374595</v>
          </cell>
          <cell r="AV391">
            <v>0.19069650770645782</v>
          </cell>
          <cell r="AW391">
            <v>4.8052332435374559E-2</v>
          </cell>
          <cell r="AX391">
            <v>0.24745414415100084</v>
          </cell>
          <cell r="AY391">
            <v>0.17676301005322295</v>
          </cell>
          <cell r="AZ391">
            <v>0.25395030080698877</v>
          </cell>
          <cell r="BA391">
            <v>0.22511753691007094</v>
          </cell>
          <cell r="BB391">
            <v>5.7146445149347448E-2</v>
          </cell>
          <cell r="BC391">
            <v>0.22196120906078301</v>
          </cell>
          <cell r="BD391">
            <v>0.25746741180195187</v>
          </cell>
          <cell r="BE391">
            <v>0.26292414529544117</v>
          </cell>
          <cell r="BF391">
            <v>0.28185661789817357</v>
          </cell>
          <cell r="BG391">
            <v>7.1725733435189065E-2</v>
          </cell>
          <cell r="BH391">
            <v>0.23641548835186432</v>
          </cell>
          <cell r="BI391">
            <v>0.25746741180195187</v>
          </cell>
          <cell r="BJ391">
            <v>0.26292414529544117</v>
          </cell>
          <cell r="BK391">
            <v>0.28185661789817357</v>
          </cell>
          <cell r="BL391">
            <v>7.1769868047004082E-2</v>
          </cell>
          <cell r="BM391">
            <v>7.1769868047004082E-2</v>
          </cell>
          <cell r="BN391">
            <v>7.1769868047004082E-2</v>
          </cell>
          <cell r="BO391">
            <v>7.1769868047004082E-2</v>
          </cell>
        </row>
        <row r="392">
          <cell r="A392" t="str">
            <v>Prepaid expenses and other assets as % of Revenue</v>
          </cell>
          <cell r="G392">
            <v>1.0031707554622484E-2</v>
          </cell>
          <cell r="H392">
            <v>2.9904188553778355E-2</v>
          </cell>
          <cell r="I392">
            <v>3.2874993917044709E-2</v>
          </cell>
          <cell r="J392">
            <v>2.9425636725710094E-2</v>
          </cell>
          <cell r="K392">
            <v>3.8386709182494566E-2</v>
          </cell>
          <cell r="L392">
            <v>2.142003097854147E-2</v>
          </cell>
          <cell r="M392">
            <v>4.2125940269606026E-2</v>
          </cell>
          <cell r="N392">
            <v>4.1999160016799666E-2</v>
          </cell>
          <cell r="O392">
            <v>2.6448095170655713E-2</v>
          </cell>
          <cell r="P392">
            <v>2.9652571428571431E-2</v>
          </cell>
          <cell r="Q392">
            <v>3.0318826468751149E-2</v>
          </cell>
          <cell r="R392">
            <v>6.1871790554760504E-2</v>
          </cell>
          <cell r="S392">
            <v>6.6371221904151276E-2</v>
          </cell>
          <cell r="T392">
            <v>4.4329388560157792E-2</v>
          </cell>
          <cell r="U392">
            <v>6.5860429815450983E-2</v>
          </cell>
          <cell r="V392">
            <v>7.5627796165399816E-2</v>
          </cell>
          <cell r="W392">
            <v>4.728152335949147E-2</v>
          </cell>
          <cell r="X392">
            <v>6.0859766390456489E-2</v>
          </cell>
          <cell r="Y392">
            <v>5.3674909761842922E-2</v>
          </cell>
          <cell r="Z392">
            <v>6.28446726685888E-2</v>
          </cell>
          <cell r="AA392">
            <v>5.1268520082123847E-2</v>
          </cell>
          <cell r="AB392">
            <v>7.0449379571404569E-2</v>
          </cell>
          <cell r="AC392">
            <v>7.0730491785810617E-2</v>
          </cell>
          <cell r="AD392">
            <v>4.4458245289279295E-2</v>
          </cell>
          <cell r="AE392">
            <v>6.4602938402531798E-2</v>
          </cell>
          <cell r="AF392">
            <v>6.6650668524150108E-2</v>
          </cell>
          <cell r="AG392">
            <v>5.8198761534725592E-2</v>
          </cell>
          <cell r="AH392">
            <v>6.0537330775116527E-2</v>
          </cell>
          <cell r="AI392">
            <v>3.9345557324271863E-2</v>
          </cell>
          <cell r="AJ392">
            <v>6.7243638958037658E-2</v>
          </cell>
          <cell r="AK392">
            <v>7.3613294712629451E-2</v>
          </cell>
          <cell r="AL392">
            <v>5.2520906352990421E-2</v>
          </cell>
          <cell r="AM392">
            <v>5.4286754333197837E-2</v>
          </cell>
          <cell r="AN392">
            <v>4.5151811949069545E-2</v>
          </cell>
          <cell r="AO392">
            <v>7.5938170512764372E-2</v>
          </cell>
          <cell r="AP392">
            <v>8.3120537295420668E-2</v>
          </cell>
          <cell r="AQ392">
            <v>4.5880489864864864E-2</v>
          </cell>
          <cell r="AR392">
            <v>4.7579008217774305E-2</v>
          </cell>
          <cell r="AS392">
            <v>0.48036503963287441</v>
          </cell>
          <cell r="AT392">
            <v>6.3114689632120163E-2</v>
          </cell>
          <cell r="AU392">
            <v>6.6054611877228622E-2</v>
          </cell>
          <cell r="AV392">
            <v>6.0627386493492016E-2</v>
          </cell>
          <cell r="AW392">
            <v>6.1108352019905582E-2</v>
          </cell>
          <cell r="AX392">
            <v>4.5914833701194924E-2</v>
          </cell>
          <cell r="AY392">
            <v>8.3667208752217628E-2</v>
          </cell>
          <cell r="AZ392">
            <v>6.5604571819761384E-2</v>
          </cell>
          <cell r="BA392">
            <v>7.0839120094689109E-2</v>
          </cell>
          <cell r="BB392">
            <v>7.1930493669826318E-2</v>
          </cell>
          <cell r="BC392">
            <v>5.2567353350452616E-2</v>
          </cell>
          <cell r="BD392">
            <v>7.3079120153064739E-2</v>
          </cell>
          <cell r="BE392">
            <v>4.5502768407221082E-2</v>
          </cell>
          <cell r="BF392">
            <v>3.6142644427140963E-2</v>
          </cell>
          <cell r="BG392">
            <v>3.6789736556911021E-2</v>
          </cell>
          <cell r="BH392">
            <v>2.439352339089065E-2</v>
          </cell>
          <cell r="BI392">
            <v>7.3079120153064739E-2</v>
          </cell>
          <cell r="BJ392">
            <v>4.5502768407221082E-2</v>
          </cell>
          <cell r="BK392">
            <v>3.6142644427140963E-2</v>
          </cell>
          <cell r="BL392">
            <v>3.6812374188677915E-2</v>
          </cell>
          <cell r="BM392">
            <v>3.6812374188677915E-2</v>
          </cell>
          <cell r="BN392">
            <v>3.6812374188677915E-2</v>
          </cell>
          <cell r="BO392">
            <v>3.6812374188677915E-2</v>
          </cell>
        </row>
        <row r="395">
          <cell r="A395" t="str">
            <v>Statutory Tax Rate</v>
          </cell>
          <cell r="D395">
            <v>0.38799999999999996</v>
          </cell>
          <cell r="E395">
            <v>0.39399999999999996</v>
          </cell>
          <cell r="F395">
            <v>0.39399999999999996</v>
          </cell>
          <cell r="G395">
            <v>0.39399999999999996</v>
          </cell>
          <cell r="H395">
            <v>0.39399999999999996</v>
          </cell>
          <cell r="I395">
            <v>0.39399999999999996</v>
          </cell>
          <cell r="J395">
            <v>0.3876</v>
          </cell>
          <cell r="K395">
            <v>0.3876</v>
          </cell>
          <cell r="L395">
            <v>0.3876</v>
          </cell>
          <cell r="M395">
            <v>0.3876</v>
          </cell>
          <cell r="N395">
            <v>0.3876</v>
          </cell>
          <cell r="O395">
            <v>0.379</v>
          </cell>
          <cell r="P395">
            <v>0.379</v>
          </cell>
          <cell r="Q395">
            <v>0.379</v>
          </cell>
          <cell r="R395">
            <v>0.379</v>
          </cell>
          <cell r="S395">
            <v>0.379</v>
          </cell>
          <cell r="T395">
            <v>0.3846</v>
          </cell>
          <cell r="U395">
            <v>0.3846</v>
          </cell>
          <cell r="V395">
            <v>0.3846</v>
          </cell>
          <cell r="W395">
            <v>0.3846</v>
          </cell>
          <cell r="X395">
            <v>0.3846</v>
          </cell>
          <cell r="Y395">
            <v>0.3846</v>
          </cell>
          <cell r="Z395">
            <v>0.3846</v>
          </cell>
          <cell r="AA395">
            <v>0.3846</v>
          </cell>
          <cell r="AB395">
            <v>0.36564567647729856</v>
          </cell>
          <cell r="AC395">
            <v>0.34151313716483228</v>
          </cell>
          <cell r="AD395">
            <v>0.35570568150178061</v>
          </cell>
          <cell r="AE395">
            <v>0.3443006583887811</v>
          </cell>
          <cell r="AF395">
            <v>0.36140434426012641</v>
          </cell>
          <cell r="AG395">
            <v>0.38343429768442494</v>
          </cell>
          <cell r="AH395">
            <v>0.36339920320377045</v>
          </cell>
          <cell r="AI395">
            <v>0.29459850869528798</v>
          </cell>
          <cell r="AJ395">
            <v>0.33099201174678661</v>
          </cell>
          <cell r="AK395">
            <v>0.35870233167530485</v>
          </cell>
          <cell r="AL395">
            <v>0.375</v>
          </cell>
          <cell r="AM395">
            <v>0.35606632698823293</v>
          </cell>
          <cell r="AN395">
            <v>0.28600678915889877</v>
          </cell>
          <cell r="AO395">
            <v>0.3302249235783189</v>
          </cell>
          <cell r="AP395">
            <v>0.35722636927781265</v>
          </cell>
          <cell r="AQ395">
            <v>0.375</v>
          </cell>
          <cell r="AR395">
            <v>0.36068176228395482</v>
          </cell>
          <cell r="AS395">
            <v>0.35876969935955816</v>
          </cell>
          <cell r="AT395">
            <v>0.32417530183477511</v>
          </cell>
          <cell r="AU395">
            <v>0.35387773494217178</v>
          </cell>
          <cell r="AV395">
            <v>0.38797049847405912</v>
          </cell>
          <cell r="AW395">
            <v>0.35476370381660571</v>
          </cell>
          <cell r="AX395">
            <v>0.36095840146257946</v>
          </cell>
          <cell r="AY395">
            <v>0.35927273559430634</v>
          </cell>
          <cell r="AZ395">
            <v>0.34976980857765966</v>
          </cell>
          <cell r="BA395">
            <v>0.29773163537618791</v>
          </cell>
          <cell r="BB395">
            <v>0.34191291113456979</v>
          </cell>
          <cell r="BC395">
            <v>0.33499675027815429</v>
          </cell>
          <cell r="BD395">
            <v>0.33407601181654517</v>
          </cell>
          <cell r="BE395">
            <v>0.33060232562908859</v>
          </cell>
          <cell r="BF395">
            <v>0.29708017920593233</v>
          </cell>
          <cell r="BG395">
            <v>0.32378887093432762</v>
          </cell>
          <cell r="BH395">
            <v>0.28215498154981561</v>
          </cell>
          <cell r="BI395">
            <v>0.32</v>
          </cell>
          <cell r="BJ395">
            <v>0.32</v>
          </cell>
          <cell r="BK395">
            <v>0.32</v>
          </cell>
          <cell r="BL395">
            <v>0.31108984732862949</v>
          </cell>
          <cell r="BM395">
            <v>0.30108984732862948</v>
          </cell>
          <cell r="BN395">
            <v>0.30108984732862948</v>
          </cell>
          <cell r="BO395">
            <v>0.30108984732862948</v>
          </cell>
          <cell r="CI395" t="str">
            <v>mstag:statutoryTaxRate</v>
          </cell>
          <cell r="CJ395">
            <v>0</v>
          </cell>
          <cell r="CK395" t="str">
            <v>ms_eqr_gcim_Decimal:ms_eqr_gcim_decimal</v>
          </cell>
          <cell r="CL395" t="b">
            <v>0</v>
          </cell>
        </row>
        <row r="396">
          <cell r="A396" t="str">
            <v>Federal Tax Rate</v>
          </cell>
          <cell r="D396">
            <v>0.35</v>
          </cell>
          <cell r="E396">
            <v>0.35</v>
          </cell>
          <cell r="F396">
            <v>0.35</v>
          </cell>
          <cell r="G396">
            <v>0.35</v>
          </cell>
          <cell r="H396">
            <v>0.35</v>
          </cell>
          <cell r="I396">
            <v>0.35</v>
          </cell>
          <cell r="J396">
            <v>0.35</v>
          </cell>
          <cell r="K396">
            <v>0.35</v>
          </cell>
          <cell r="L396">
            <v>0.35</v>
          </cell>
          <cell r="M396">
            <v>0.35</v>
          </cell>
          <cell r="N396">
            <v>0.35</v>
          </cell>
          <cell r="O396">
            <v>0.35</v>
          </cell>
          <cell r="P396">
            <v>0.35</v>
          </cell>
          <cell r="Q396">
            <v>0.35</v>
          </cell>
          <cell r="R396">
            <v>0.35</v>
          </cell>
          <cell r="S396">
            <v>0.35</v>
          </cell>
          <cell r="T396">
            <v>0.35</v>
          </cell>
          <cell r="U396">
            <v>0.35</v>
          </cell>
          <cell r="V396">
            <v>0.35</v>
          </cell>
          <cell r="W396">
            <v>0.35</v>
          </cell>
          <cell r="X396">
            <v>0.35</v>
          </cell>
          <cell r="Y396">
            <v>0.35</v>
          </cell>
          <cell r="Z396">
            <v>0.35</v>
          </cell>
          <cell r="AA396">
            <v>0.35</v>
          </cell>
        </row>
        <row r="397">
          <cell r="A397" t="str">
            <v xml:space="preserve">State Income Tax </v>
          </cell>
          <cell r="D397">
            <v>3.7999999999999999E-2</v>
          </cell>
          <cell r="E397">
            <v>4.3999999999999997E-2</v>
          </cell>
          <cell r="F397">
            <v>4.3999999999999997E-2</v>
          </cell>
          <cell r="G397">
            <v>4.3999999999999997E-2</v>
          </cell>
          <cell r="H397">
            <v>4.3999999999999997E-2</v>
          </cell>
          <cell r="I397">
            <v>4.3999999999999997E-2</v>
          </cell>
          <cell r="J397">
            <v>3.7600000000000001E-2</v>
          </cell>
          <cell r="K397">
            <v>3.7600000000000001E-2</v>
          </cell>
          <cell r="L397">
            <v>3.7600000000000001E-2</v>
          </cell>
          <cell r="M397">
            <v>3.7600000000000001E-2</v>
          </cell>
          <cell r="N397">
            <v>3.7600000000000001E-2</v>
          </cell>
          <cell r="O397">
            <v>2.8999999999999998E-2</v>
          </cell>
          <cell r="P397">
            <v>2.8999999999999998E-2</v>
          </cell>
          <cell r="Q397">
            <v>2.8999999999999998E-2</v>
          </cell>
          <cell r="R397">
            <v>2.8999999999999998E-2</v>
          </cell>
          <cell r="S397">
            <v>2.8999999999999998E-2</v>
          </cell>
          <cell r="T397">
            <v>3.4599999999999999E-2</v>
          </cell>
          <cell r="U397">
            <v>3.4599999999999999E-2</v>
          </cell>
          <cell r="V397">
            <v>3.4599999999999999E-2</v>
          </cell>
          <cell r="W397">
            <v>3.4599999999999999E-2</v>
          </cell>
          <cell r="X397">
            <v>3.4599999999999999E-2</v>
          </cell>
          <cell r="Y397">
            <v>3.4599999999999999E-2</v>
          </cell>
          <cell r="Z397">
            <v>3.4599999999999999E-2</v>
          </cell>
          <cell r="AA397">
            <v>3.4599999999999999E-2</v>
          </cell>
        </row>
        <row r="399">
          <cell r="A399" t="str">
            <v>Effective Tax Rate</v>
          </cell>
          <cell r="D399">
            <v>0.36289698297962192</v>
          </cell>
          <cell r="E399">
            <v>0.37391153412213946</v>
          </cell>
          <cell r="F399">
            <v>0.37388424538716297</v>
          </cell>
          <cell r="G399">
            <v>0.35055742884048713</v>
          </cell>
          <cell r="H399">
            <v>0.46514764962904315</v>
          </cell>
          <cell r="I399">
            <v>0.39147885844611835</v>
          </cell>
          <cell r="J399">
            <v>0.37588306942752753</v>
          </cell>
          <cell r="K399">
            <v>0.38683560967582681</v>
          </cell>
          <cell r="L399">
            <v>0.3738017049789365</v>
          </cell>
          <cell r="M399">
            <v>0.37058303886925797</v>
          </cell>
          <cell r="N399">
            <v>0.37736107184225159</v>
          </cell>
          <cell r="O399">
            <v>0.36615501231760472</v>
          </cell>
          <cell r="P399">
            <v>0.38640060052545971</v>
          </cell>
          <cell r="Q399">
            <v>0.37931239061433975</v>
          </cell>
          <cell r="R399">
            <v>0.38125740801452601</v>
          </cell>
          <cell r="S399">
            <v>0.37898285011501581</v>
          </cell>
          <cell r="T399">
            <v>0.37226543787211719</v>
          </cell>
          <cell r="U399">
            <v>0.36584016231456346</v>
          </cell>
          <cell r="V399">
            <v>0.49966058960434429</v>
          </cell>
          <cell r="W399">
            <v>0.40746686505217422</v>
          </cell>
          <cell r="X399">
            <v>0.39950876598627905</v>
          </cell>
          <cell r="Y399">
            <v>0.37160692861427735</v>
          </cell>
          <cell r="Z399">
            <v>0.34436116136813988</v>
          </cell>
          <cell r="AA399">
            <v>0.29178224441314954</v>
          </cell>
          <cell r="AB399">
            <v>0.36564567647729856</v>
          </cell>
          <cell r="AC399">
            <v>0.34151313716483228</v>
          </cell>
          <cell r="AD399">
            <v>0.35570568150178061</v>
          </cell>
          <cell r="AE399">
            <v>0.3443006583887811</v>
          </cell>
          <cell r="AF399">
            <v>0.36140434426012641</v>
          </cell>
          <cell r="AG399">
            <v>0.38343429768442494</v>
          </cell>
          <cell r="AH399">
            <v>0.36339920320377045</v>
          </cell>
          <cell r="AI399">
            <v>0.29459850869528798</v>
          </cell>
          <cell r="AJ399">
            <v>0.33099201174678661</v>
          </cell>
          <cell r="AK399">
            <v>0.35870233167530485</v>
          </cell>
          <cell r="AL399">
            <v>0.375</v>
          </cell>
          <cell r="AM399">
            <v>0.35606632698823293</v>
          </cell>
          <cell r="AN399">
            <v>0.28600678915889877</v>
          </cell>
          <cell r="AO399">
            <v>0.3302249235783189</v>
          </cell>
          <cell r="AP399">
            <v>0.35722636927781265</v>
          </cell>
          <cell r="AQ399">
            <v>0.375</v>
          </cell>
          <cell r="AR399">
            <v>0.36068176228395482</v>
          </cell>
          <cell r="AS399">
            <v>0.35876969935955816</v>
          </cell>
          <cell r="AT399">
            <v>0.32417530183477511</v>
          </cell>
          <cell r="AU399">
            <v>0.35387773494217178</v>
          </cell>
          <cell r="AV399">
            <v>0.38797049847405912</v>
          </cell>
          <cell r="AW399">
            <v>0.35476370381660571</v>
          </cell>
          <cell r="AX399">
            <v>0.36095840146257946</v>
          </cell>
          <cell r="AY399">
            <v>0.35927273559430634</v>
          </cell>
          <cell r="AZ399">
            <v>0.34976980857765966</v>
          </cell>
          <cell r="BA399">
            <v>0.29773163537618791</v>
          </cell>
          <cell r="BB399">
            <v>0.34191291113456979</v>
          </cell>
          <cell r="BC399">
            <v>0.33499675027815429</v>
          </cell>
          <cell r="BD399">
            <v>0.33407601181654517</v>
          </cell>
          <cell r="BE399">
            <v>0.33060232562908859</v>
          </cell>
          <cell r="BF399">
            <v>0.29708017920593233</v>
          </cell>
          <cell r="BG399">
            <v>0.32378887093432762</v>
          </cell>
          <cell r="BH399">
            <v>0.28215498154981561</v>
          </cell>
          <cell r="BI399">
            <v>0.32</v>
          </cell>
          <cell r="BJ399">
            <v>0.32</v>
          </cell>
          <cell r="BK399">
            <v>0.32</v>
          </cell>
          <cell r="BL399">
            <v>0.31108984732862949</v>
          </cell>
          <cell r="BM399">
            <v>0.30108984732862948</v>
          </cell>
          <cell r="BN399">
            <v>0.30108984732862948</v>
          </cell>
          <cell r="BO399">
            <v>0.30108984732862948</v>
          </cell>
        </row>
        <row r="402">
          <cell r="A402" t="str">
            <v>Capital Expenditures</v>
          </cell>
          <cell r="D402">
            <v>2.4350000000000001</v>
          </cell>
          <cell r="E402">
            <v>5.8000000000000003E-2</v>
          </cell>
          <cell r="F402">
            <v>0.29899999999999999</v>
          </cell>
          <cell r="G402">
            <v>0.58899999999999997</v>
          </cell>
          <cell r="H402">
            <v>-0.41099999999999992</v>
          </cell>
          <cell r="I402">
            <v>0.53500000000000003</v>
          </cell>
          <cell r="J402">
            <v>0.96099999999999997</v>
          </cell>
          <cell r="K402">
            <v>4.859</v>
          </cell>
          <cell r="L402">
            <v>13.277000000000001</v>
          </cell>
          <cell r="M402">
            <v>6.4589999999999996</v>
          </cell>
          <cell r="N402">
            <v>25.556000000000001</v>
          </cell>
          <cell r="O402">
            <v>6.0330000000000004</v>
          </cell>
          <cell r="P402">
            <v>3.4859999999999998</v>
          </cell>
          <cell r="Q402">
            <v>1.6690000000000005</v>
          </cell>
          <cell r="R402">
            <v>2.2240000000000002</v>
          </cell>
          <cell r="S402">
            <v>13.412000000000001</v>
          </cell>
          <cell r="T402">
            <v>3.2850000000000001</v>
          </cell>
          <cell r="U402">
            <v>1.4109999999999996</v>
          </cell>
          <cell r="V402">
            <v>2.399</v>
          </cell>
          <cell r="W402">
            <v>6.0729999999999995</v>
          </cell>
          <cell r="X402">
            <v>13.167999999999999</v>
          </cell>
          <cell r="Y402">
            <v>3.835</v>
          </cell>
          <cell r="Z402">
            <v>2.8970000000000002</v>
          </cell>
          <cell r="AA402">
            <v>10.11</v>
          </cell>
          <cell r="AB402">
            <v>6.2690000000000019</v>
          </cell>
          <cell r="AC402">
            <v>23.111000000000001</v>
          </cell>
          <cell r="AD402">
            <v>4.2919999999999998</v>
          </cell>
          <cell r="AE402">
            <v>15.654000000000002</v>
          </cell>
          <cell r="AF402">
            <v>18.162999999999997</v>
          </cell>
          <cell r="AG402">
            <v>6.7750000000000057</v>
          </cell>
          <cell r="AH402">
            <v>44.884</v>
          </cell>
          <cell r="AI402">
            <v>4.8</v>
          </cell>
          <cell r="AJ402">
            <v>3.6909999999999998</v>
          </cell>
          <cell r="AK402">
            <v>14.208000000000002</v>
          </cell>
          <cell r="AL402">
            <v>20.812000000000001</v>
          </cell>
          <cell r="AM402">
            <v>43.511000000000003</v>
          </cell>
          <cell r="AS402">
            <v>10.059999999999999</v>
          </cell>
          <cell r="AT402">
            <v>11.904000000000003</v>
          </cell>
          <cell r="AU402">
            <v>20.273</v>
          </cell>
          <cell r="AV402">
            <v>8.6159999999999997</v>
          </cell>
          <cell r="AW402">
            <v>50.853000000000002</v>
          </cell>
          <cell r="AX402">
            <v>6.32</v>
          </cell>
          <cell r="AY402">
            <v>11.962</v>
          </cell>
          <cell r="AZ402">
            <v>12.305</v>
          </cell>
          <cell r="BA402">
            <v>18.510000000000002</v>
          </cell>
          <cell r="BB402">
            <v>49.097000000000001</v>
          </cell>
          <cell r="BC402">
            <v>3.1349999999999998</v>
          </cell>
          <cell r="BD402">
            <v>15.23</v>
          </cell>
          <cell r="BE402">
            <v>13.727999999999994</v>
          </cell>
          <cell r="BF402">
            <v>10.535000000000002</v>
          </cell>
          <cell r="BG402">
            <v>42.628</v>
          </cell>
          <cell r="BH402">
            <v>9.6289999999999996</v>
          </cell>
          <cell r="BI402">
            <v>12.501683497750001</v>
          </cell>
          <cell r="BJ402">
            <v>12.489875262295001</v>
          </cell>
          <cell r="BK402">
            <v>14.235126907304739</v>
          </cell>
          <cell r="BL402">
            <v>48.855685667349739</v>
          </cell>
          <cell r="BM402">
            <v>50.28743348128755</v>
          </cell>
          <cell r="BN402">
            <v>51.692994059494524</v>
          </cell>
          <cell r="BO402">
            <v>53.148358477417041</v>
          </cell>
        </row>
        <row r="403">
          <cell r="A403" t="str">
            <v>% of Total Revenues</v>
          </cell>
          <cell r="D403">
            <v>7.8371923861756433E-3</v>
          </cell>
          <cell r="E403">
            <v>6.6613835004421772E-4</v>
          </cell>
          <cell r="F403">
            <v>3.3689381647737516E-3</v>
          </cell>
          <cell r="G403">
            <v>6.3739759974893668E-3</v>
          </cell>
          <cell r="H403">
            <v>-4.0429675972377963E-3</v>
          </cell>
          <cell r="I403">
            <v>1.4463915909226086E-3</v>
          </cell>
          <cell r="J403">
            <v>9.1566540576078371E-3</v>
          </cell>
          <cell r="K403">
            <v>4.4909653865705439E-2</v>
          </cell>
          <cell r="L403">
            <v>0.12026377050516762</v>
          </cell>
          <cell r="M403">
            <v>6.0130706784836521E-2</v>
          </cell>
          <cell r="N403">
            <v>5.9300029469023879E-2</v>
          </cell>
          <cell r="O403">
            <v>5.6960770429117687E-2</v>
          </cell>
          <cell r="P403">
            <v>3.1871999999999998E-2</v>
          </cell>
          <cell r="Q403">
            <v>1.5330491971929315E-2</v>
          </cell>
          <cell r="R403">
            <v>1.8722114656115837E-2</v>
          </cell>
          <cell r="S403">
            <v>3.0278949222030581E-2</v>
          </cell>
          <cell r="T403">
            <v>2.6997041420118346E-2</v>
          </cell>
          <cell r="U403">
            <v>1.1272669169928893E-2</v>
          </cell>
          <cell r="V403">
            <v>1.1833297983061465E-2</v>
          </cell>
          <cell r="W403">
            <v>2.8469233726174069E-2</v>
          </cell>
          <cell r="X403">
            <v>1.9864202950365135E-2</v>
          </cell>
          <cell r="Y403">
            <v>1.7174358928427485E-2</v>
          </cell>
          <cell r="Z403">
            <v>1.2791247025163037E-2</v>
          </cell>
          <cell r="AA403">
            <v>4.4928141636966387E-2</v>
          </cell>
          <cell r="AB403">
            <v>2.7722500818099009E-2</v>
          </cell>
          <cell r="AC403">
            <v>2.5652068226443239E-2</v>
          </cell>
          <cell r="AD403">
            <v>1.8738103138152034E-2</v>
          </cell>
          <cell r="AE403">
            <v>6.5617336994110625E-2</v>
          </cell>
          <cell r="AF403">
            <v>7.7143609520735276E-2</v>
          </cell>
          <cell r="AG403">
            <v>2.7420268738870022E-2</v>
          </cell>
          <cell r="AH403">
            <v>4.723930448217685E-2</v>
          </cell>
          <cell r="AI403">
            <v>1.9054499839227659E-2</v>
          </cell>
          <cell r="AJ403">
            <v>1.4311859727489161E-2</v>
          </cell>
          <cell r="AK403">
            <v>5.5019013468196022E-2</v>
          </cell>
          <cell r="AL403">
            <v>7.7766401865317511E-2</v>
          </cell>
          <cell r="AM403">
            <v>4.2012538779356692E-2</v>
          </cell>
          <cell r="AS403">
            <v>4.1969128076762612E-2</v>
          </cell>
          <cell r="AT403">
            <v>4.6811773727363899E-2</v>
          </cell>
          <cell r="AU403">
            <v>8.0590084950925622E-2</v>
          </cell>
          <cell r="AV403">
            <v>3.4305781734639842E-2</v>
          </cell>
          <cell r="AW403">
            <v>5.1021114572516443E-2</v>
          </cell>
          <cell r="AX403">
            <v>2.4050536570515264E-2</v>
          </cell>
          <cell r="AY403">
            <v>4.4212004730928442E-2</v>
          </cell>
          <cell r="AZ403">
            <v>4.5781447073224284E-2</v>
          </cell>
          <cell r="BA403">
            <v>6.7828782709706728E-2</v>
          </cell>
          <cell r="BB403">
            <v>4.56712030585762E-2</v>
          </cell>
          <cell r="BC403">
            <v>1.124349061069907E-2</v>
          </cell>
          <cell r="BD403">
            <v>5.2409530757477736E-2</v>
          </cell>
          <cell r="BE403">
            <v>4.7595108742758255E-2</v>
          </cell>
          <cell r="BF403">
            <v>3.5978716719260145E-2</v>
          </cell>
          <cell r="BG403">
            <v>3.7046983132098719E-2</v>
          </cell>
          <cell r="BH403">
            <v>3.1968048551328489E-2</v>
          </cell>
          <cell r="BI403">
            <v>0.04</v>
          </cell>
          <cell r="BJ403">
            <v>0.04</v>
          </cell>
          <cell r="BK403">
            <v>4.4999999999999998E-2</v>
          </cell>
          <cell r="BL403">
            <v>3.9326038014267192E-2</v>
          </cell>
          <cell r="BM403">
            <v>3.7826038014267191E-2</v>
          </cell>
          <cell r="BN403">
            <v>3.632603801426719E-2</v>
          </cell>
          <cell r="BO403">
            <v>3.4826038014267188E-2</v>
          </cell>
        </row>
        <row r="405">
          <cell r="A405" t="str">
            <v>Free Cash Flow</v>
          </cell>
          <cell r="E405">
            <v>10.064000000000016</v>
          </cell>
          <cell r="F405">
            <v>30.963999999999988</v>
          </cell>
          <cell r="G405">
            <v>26.382000000000012</v>
          </cell>
          <cell r="H405">
            <v>42.279999999999987</v>
          </cell>
          <cell r="I405">
            <v>109.69</v>
          </cell>
          <cell r="J405">
            <v>19.78</v>
          </cell>
          <cell r="K405">
            <v>55.137</v>
          </cell>
          <cell r="L405">
            <v>17.550000000000011</v>
          </cell>
          <cell r="M405">
            <v>37.058000000000007</v>
          </cell>
          <cell r="N405">
            <v>129.52500000000001</v>
          </cell>
          <cell r="O405">
            <v>16.439000000000007</v>
          </cell>
          <cell r="P405">
            <v>43.199000000000005</v>
          </cell>
          <cell r="Q405">
            <v>50.018000000000001</v>
          </cell>
          <cell r="R405">
            <v>7.8739999999999988</v>
          </cell>
          <cell r="S405">
            <v>117.52999999999997</v>
          </cell>
          <cell r="T405">
            <v>-18.046000000000017</v>
          </cell>
          <cell r="U405">
            <v>68.454000000000008</v>
          </cell>
          <cell r="V405">
            <v>63.734999999999999</v>
          </cell>
          <cell r="W405">
            <v>56.042999999999985</v>
          </cell>
          <cell r="X405">
            <v>170.18599999999998</v>
          </cell>
          <cell r="Y405">
            <v>-29.713000000000029</v>
          </cell>
          <cell r="Z405">
            <v>103.22699999999999</v>
          </cell>
          <cell r="AA405">
            <v>84.574000000000012</v>
          </cell>
          <cell r="AB405">
            <v>73.798000000000016</v>
          </cell>
          <cell r="AC405">
            <v>231.88600000000017</v>
          </cell>
          <cell r="AD405">
            <v>65.214999999999975</v>
          </cell>
          <cell r="AE405">
            <v>104.90500000000003</v>
          </cell>
          <cell r="AF405">
            <v>79.434000000000026</v>
          </cell>
          <cell r="AG405">
            <v>52.637</v>
          </cell>
          <cell r="AH405">
            <v>302.19099999999992</v>
          </cell>
          <cell r="AI405">
            <v>66.246999999999986</v>
          </cell>
          <cell r="AJ405">
            <v>81.937999999999988</v>
          </cell>
          <cell r="AK405">
            <v>55.152999999999935</v>
          </cell>
          <cell r="AL405">
            <v>73.597999999999971</v>
          </cell>
          <cell r="AM405">
            <v>276.93599999999981</v>
          </cell>
          <cell r="AN405">
            <v>0</v>
          </cell>
          <cell r="AO405">
            <v>0</v>
          </cell>
          <cell r="AP405">
            <v>0</v>
          </cell>
          <cell r="AQ405">
            <v>0</v>
          </cell>
          <cell r="AS405">
            <v>15.201000000000047</v>
          </cell>
          <cell r="AT405">
            <v>56.968000000000025</v>
          </cell>
          <cell r="AU405">
            <v>87.190000000000012</v>
          </cell>
          <cell r="AV405">
            <v>95.485999999999976</v>
          </cell>
          <cell r="AW405">
            <v>254.84500000000003</v>
          </cell>
          <cell r="AX405">
            <v>60.373999999999974</v>
          </cell>
          <cell r="AY405">
            <v>12.044</v>
          </cell>
          <cell r="AZ405">
            <v>121.66399999999993</v>
          </cell>
          <cell r="BA405">
            <v>62.812000000000012</v>
          </cell>
          <cell r="BB405">
            <v>256.89399999999995</v>
          </cell>
          <cell r="BC405">
            <v>29.894999999999975</v>
          </cell>
          <cell r="BD405">
            <v>101.84</v>
          </cell>
          <cell r="BE405">
            <v>133.19500000000005</v>
          </cell>
          <cell r="BF405">
            <v>127.173</v>
          </cell>
          <cell r="BG405">
            <v>392.10300000000007</v>
          </cell>
          <cell r="BH405">
            <v>27.385999999999974</v>
          </cell>
          <cell r="BI405">
            <v>64.149510392170555</v>
          </cell>
          <cell r="BJ405">
            <v>149.34926546716025</v>
          </cell>
          <cell r="BK405">
            <v>139.72672779770778</v>
          </cell>
          <cell r="BL405">
            <v>380.68931380539021</v>
          </cell>
          <cell r="BM405">
            <v>405.70143762183426</v>
          </cell>
          <cell r="BN405">
            <v>447.45202910221815</v>
          </cell>
          <cell r="BO405">
            <v>492.47928118689441</v>
          </cell>
        </row>
        <row r="406">
          <cell r="A406" t="str">
            <v>FCF per Share</v>
          </cell>
          <cell r="E406">
            <v>0.11995232419547099</v>
          </cell>
          <cell r="F406">
            <v>0.36905840286054808</v>
          </cell>
          <cell r="G406">
            <v>0.31444576877234814</v>
          </cell>
          <cell r="H406">
            <v>0.48707993963342266</v>
          </cell>
          <cell r="I406">
            <v>1.2962043864624693</v>
          </cell>
          <cell r="J406">
            <v>0.1963704233182432</v>
          </cell>
          <cell r="K406">
            <v>0.54439090855235883</v>
          </cell>
          <cell r="L406">
            <v>0.17256976538378349</v>
          </cell>
          <cell r="M406">
            <v>0.36666765610931373</v>
          </cell>
          <cell r="N406">
            <v>1.2799671917307351</v>
          </cell>
          <cell r="O406">
            <v>0.16200687881266576</v>
          </cell>
          <cell r="P406">
            <v>0.43039324107560956</v>
          </cell>
          <cell r="Q406">
            <v>0.496047920819573</v>
          </cell>
          <cell r="R406">
            <v>7.586326499152149E-2</v>
          </cell>
          <cell r="S406">
            <v>1.1469138814344959</v>
          </cell>
          <cell r="T406">
            <v>-0.17049620195759815</v>
          </cell>
          <cell r="U406">
            <v>0.64577417620256039</v>
          </cell>
          <cell r="V406">
            <v>0.52961999650991765</v>
          </cell>
          <cell r="W406">
            <v>0.46250784009507134</v>
          </cell>
          <cell r="X406">
            <v>1.501327663929003</v>
          </cell>
          <cell r="Y406">
            <v>-0.24352323113110921</v>
          </cell>
          <cell r="Z406">
            <v>0.84449625720947352</v>
          </cell>
          <cell r="AA406">
            <v>0.69151206429932233</v>
          </cell>
          <cell r="AB406">
            <v>0.60225566364170546</v>
          </cell>
          <cell r="AC406">
            <v>1.8964146684549721</v>
          </cell>
          <cell r="AD406">
            <v>0.52971660182109104</v>
          </cell>
          <cell r="AE406">
            <v>0.8508455330710899</v>
          </cell>
          <cell r="AF406">
            <v>0.64345078979343884</v>
          </cell>
          <cell r="AG406">
            <v>0.42796048619862592</v>
          </cell>
          <cell r="AH406">
            <v>2.4569372738729207</v>
          </cell>
          <cell r="AI406">
            <v>0.54433780874595317</v>
          </cell>
          <cell r="AJ406">
            <v>0.67124331320810349</v>
          </cell>
          <cell r="AK406">
            <v>0.45740516512133172</v>
          </cell>
          <cell r="AL406">
            <v>0.61394596127697532</v>
          </cell>
          <cell r="AM406">
            <v>2.3101679221201716</v>
          </cell>
          <cell r="AN406">
            <v>0</v>
          </cell>
          <cell r="AO406">
            <v>0</v>
          </cell>
          <cell r="AP406">
            <v>0</v>
          </cell>
          <cell r="AQ406">
            <v>0</v>
          </cell>
          <cell r="AS406">
            <v>0.12817356256903673</v>
          </cell>
          <cell r="AT406">
            <v>0.48415828120750631</v>
          </cell>
          <cell r="AU406">
            <v>0.74417691592055524</v>
          </cell>
          <cell r="AV406">
            <v>0.84285323376497256</v>
          </cell>
          <cell r="AW406">
            <v>2.2495123092268448</v>
          </cell>
          <cell r="AX406">
            <v>0.53182643011927178</v>
          </cell>
          <cell r="AY406">
            <v>0.10664919286998256</v>
          </cell>
          <cell r="AZ406">
            <v>1.1116959064327478</v>
          </cell>
          <cell r="BA406">
            <v>0.60635196447533557</v>
          </cell>
          <cell r="BB406">
            <v>2.479911188338642</v>
          </cell>
          <cell r="BC406">
            <v>0.2989559791195821</v>
          </cell>
          <cell r="BD406">
            <v>1.0511105606473454</v>
          </cell>
          <cell r="BE406">
            <v>1.3951064698920119</v>
          </cell>
          <cell r="BF406">
            <v>1.3551387926900742</v>
          </cell>
          <cell r="BG406">
            <v>4.1781980925994997</v>
          </cell>
          <cell r="BH406">
            <v>0.29889548589889087</v>
          </cell>
          <cell r="BI406">
            <v>0.7080345809085673</v>
          </cell>
          <cell r="BJ406">
            <v>1.6668369338101208</v>
          </cell>
          <cell r="BK406">
            <v>1.5767282109280849</v>
          </cell>
          <cell r="BL406">
            <v>4.2958393868983178</v>
          </cell>
          <cell r="BM406">
            <v>4.7232533421658358</v>
          </cell>
          <cell r="BN406">
            <v>5.3669480745287874</v>
          </cell>
          <cell r="BO406">
            <v>6.0773503639115152</v>
          </cell>
        </row>
        <row r="409">
          <cell r="A409" t="str">
            <v>Interest Income</v>
          </cell>
          <cell r="D409">
            <v>15.481999999999999</v>
          </cell>
          <cell r="E409">
            <v>5.0620000000000003</v>
          </cell>
          <cell r="F409">
            <v>5.524</v>
          </cell>
          <cell r="G409">
            <v>1.125</v>
          </cell>
          <cell r="H409">
            <v>1.4319999999999999</v>
          </cell>
          <cell r="I409">
            <v>13.143000000000001</v>
          </cell>
          <cell r="J409">
            <v>2.3719999999999999</v>
          </cell>
          <cell r="K409">
            <v>3.508</v>
          </cell>
          <cell r="L409">
            <v>1.843</v>
          </cell>
          <cell r="M409">
            <v>0.41899999999999998</v>
          </cell>
          <cell r="N409">
            <v>8.1419999999999995</v>
          </cell>
          <cell r="O409">
            <v>0.121</v>
          </cell>
          <cell r="P409">
            <v>0.22</v>
          </cell>
          <cell r="Q409">
            <v>0.373</v>
          </cell>
          <cell r="R409">
            <v>0.33899999999999997</v>
          </cell>
          <cell r="S409">
            <v>1.0529999999999999</v>
          </cell>
          <cell r="T409">
            <v>0.40799999999999997</v>
          </cell>
          <cell r="U409">
            <v>0.34300000000000003</v>
          </cell>
          <cell r="V409">
            <v>0.114</v>
          </cell>
          <cell r="W409">
            <v>0.128</v>
          </cell>
          <cell r="X409">
            <v>0.99299999999999999</v>
          </cell>
          <cell r="Y409">
            <v>0.14299999999999999</v>
          </cell>
          <cell r="Z409">
            <v>0.186</v>
          </cell>
          <cell r="AA409">
            <v>0.184</v>
          </cell>
          <cell r="AB409">
            <v>0.33500000000000002</v>
          </cell>
          <cell r="AC409">
            <v>0.84799999999999986</v>
          </cell>
          <cell r="AD409">
            <v>0.223</v>
          </cell>
          <cell r="AE409">
            <v>0.23699999999999999</v>
          </cell>
          <cell r="AF409">
            <v>0.252</v>
          </cell>
          <cell r="AG409">
            <v>0.24199999999999999</v>
          </cell>
          <cell r="AH409">
            <v>0.95399999999999996</v>
          </cell>
          <cell r="AI409">
            <v>0.26800000000000002</v>
          </cell>
          <cell r="AJ409">
            <v>0.23699999999999999</v>
          </cell>
          <cell r="AK409">
            <v>0.26500000000000001</v>
          </cell>
          <cell r="AL409">
            <v>0.26100000000000001</v>
          </cell>
          <cell r="AM409">
            <v>1.0310000000000001</v>
          </cell>
          <cell r="AS409">
            <v>0.156</v>
          </cell>
          <cell r="AT409">
            <v>0.192</v>
          </cell>
          <cell r="AU409">
            <v>0.27700000000000002</v>
          </cell>
          <cell r="AV409">
            <v>0.22600000000000001</v>
          </cell>
          <cell r="AW409">
            <v>0.85099999999999998</v>
          </cell>
          <cell r="AX409">
            <v>0.20399999999999999</v>
          </cell>
          <cell r="AY409">
            <v>0.185</v>
          </cell>
          <cell r="AZ409">
            <v>0.28499999999999998</v>
          </cell>
          <cell r="BA409">
            <v>0.49199999999999999</v>
          </cell>
          <cell r="BB409">
            <v>1.1659999999999999</v>
          </cell>
          <cell r="BC409">
            <v>0.621</v>
          </cell>
          <cell r="BD409">
            <v>0.58499999999999996</v>
          </cell>
          <cell r="BE409">
            <v>0.79900000000000004</v>
          </cell>
          <cell r="BF409">
            <v>0.90100000000000002</v>
          </cell>
          <cell r="BG409">
            <v>2.9059999999999997</v>
          </cell>
          <cell r="BH409">
            <v>0.93200000000000005</v>
          </cell>
          <cell r="BI409">
            <v>0.84406317970052525</v>
          </cell>
          <cell r="BJ409">
            <v>0.82288672191388479</v>
          </cell>
          <cell r="BK409">
            <v>0.84836667361720286</v>
          </cell>
          <cell r="BL409">
            <v>3.4473165752316128</v>
          </cell>
          <cell r="BM409">
            <v>5.1046261091122771</v>
          </cell>
          <cell r="BN409">
            <v>6.993695055626147</v>
          </cell>
          <cell r="BO409">
            <v>7.4994536802779042</v>
          </cell>
        </row>
        <row r="410">
          <cell r="A410" t="str">
            <v>Total Interest Earning Assets</v>
          </cell>
          <cell r="D410">
            <v>357.59300000000002</v>
          </cell>
          <cell r="E410" t="str">
            <v>NA</v>
          </cell>
          <cell r="F410" t="str">
            <v>NA</v>
          </cell>
          <cell r="G410" t="str">
            <v>NA</v>
          </cell>
          <cell r="H410">
            <v>174.44299999999998</v>
          </cell>
          <cell r="I410">
            <v>174.44299999999998</v>
          </cell>
          <cell r="J410">
            <v>189.02799999999999</v>
          </cell>
          <cell r="K410">
            <v>238.60899999999998</v>
          </cell>
          <cell r="L410">
            <v>249.452</v>
          </cell>
          <cell r="M410">
            <v>268.077</v>
          </cell>
          <cell r="N410">
            <v>268.077</v>
          </cell>
          <cell r="O410">
            <v>276.88099999999997</v>
          </cell>
          <cell r="P410">
            <v>317.64699999999999</v>
          </cell>
          <cell r="Q410">
            <v>361.76200000000006</v>
          </cell>
          <cell r="R410">
            <v>471.32800000000009</v>
          </cell>
          <cell r="S410">
            <v>471.32800000000009</v>
          </cell>
          <cell r="T410">
            <v>442.49400000000003</v>
          </cell>
          <cell r="U410">
            <v>213.54700000000003</v>
          </cell>
          <cell r="V410">
            <v>240.32800000000015</v>
          </cell>
          <cell r="W410">
            <v>300.46600000000024</v>
          </cell>
          <cell r="X410">
            <v>300.46600000000024</v>
          </cell>
          <cell r="Y410">
            <v>177.80100000000039</v>
          </cell>
          <cell r="Z410">
            <v>287.06200000000024</v>
          </cell>
          <cell r="AA410">
            <v>364.33200000000033</v>
          </cell>
          <cell r="AB410">
            <v>392.70100000000048</v>
          </cell>
          <cell r="AC410">
            <v>392.70100000000048</v>
          </cell>
          <cell r="AD410">
            <v>460.17900000000066</v>
          </cell>
          <cell r="AE410">
            <v>359.76700000000039</v>
          </cell>
          <cell r="AF410">
            <v>434.34300000000053</v>
          </cell>
          <cell r="AG410">
            <v>254.20700000000053</v>
          </cell>
          <cell r="AH410">
            <v>254.20700000000053</v>
          </cell>
          <cell r="AI410">
            <v>263.02900000000045</v>
          </cell>
          <cell r="AJ410">
            <v>334.70100000000048</v>
          </cell>
          <cell r="AK410">
            <v>283.75000000000045</v>
          </cell>
          <cell r="AL410">
            <v>358.43400000000042</v>
          </cell>
          <cell r="AM410">
            <v>358.43400000000042</v>
          </cell>
          <cell r="AS410">
            <v>260.46200000000044</v>
          </cell>
          <cell r="AT410">
            <v>683.32700000000045</v>
          </cell>
          <cell r="AU410">
            <v>448.17700000000048</v>
          </cell>
          <cell r="AV410">
            <v>508.83100000000047</v>
          </cell>
          <cell r="AW410">
            <v>508.83100000000047</v>
          </cell>
          <cell r="AX410">
            <v>537.79400000000032</v>
          </cell>
          <cell r="AY410">
            <v>455.04400000000032</v>
          </cell>
          <cell r="AZ410">
            <v>993.46200000000022</v>
          </cell>
          <cell r="BA410">
            <v>777.73500000000024</v>
          </cell>
          <cell r="BB410">
            <v>777.73500000000024</v>
          </cell>
          <cell r="BC410">
            <v>445.04300000000029</v>
          </cell>
          <cell r="BD410">
            <v>404.57600000000025</v>
          </cell>
          <cell r="BE410">
            <v>974.0840000000004</v>
          </cell>
          <cell r="BF410">
            <v>791.79600000000039</v>
          </cell>
          <cell r="BG410">
            <v>791.79600000000039</v>
          </cell>
          <cell r="BH410">
            <v>696.9340000000002</v>
          </cell>
          <cell r="BI410">
            <v>638.59583384741836</v>
          </cell>
          <cell r="BJ410">
            <v>663.42727700883347</v>
          </cell>
          <cell r="BK410">
            <v>678.91181549804105</v>
          </cell>
          <cell r="BL410">
            <v>678.91181549804105</v>
          </cell>
          <cell r="BM410">
            <v>682.32181359856622</v>
          </cell>
          <cell r="BN410">
            <v>716.41719752666324</v>
          </cell>
          <cell r="BO410">
            <v>783.47353852891752</v>
          </cell>
        </row>
        <row r="411">
          <cell r="A411" t="str">
            <v>Average Interest Earning Assets</v>
          </cell>
          <cell r="J411">
            <v>181.7355</v>
          </cell>
          <cell r="K411">
            <v>213.81849999999997</v>
          </cell>
          <cell r="L411">
            <v>244.03049999999999</v>
          </cell>
          <cell r="M411">
            <v>258.7645</v>
          </cell>
          <cell r="N411">
            <v>236.29149999999998</v>
          </cell>
          <cell r="O411">
            <v>272.47899999999998</v>
          </cell>
          <cell r="P411">
            <v>297.26400000000001</v>
          </cell>
          <cell r="Q411">
            <v>339.70450000000005</v>
          </cell>
          <cell r="R411">
            <v>416.54500000000007</v>
          </cell>
          <cell r="S411">
            <v>356.90450000000004</v>
          </cell>
          <cell r="T411">
            <v>456.91100000000006</v>
          </cell>
          <cell r="U411">
            <v>328.02050000000003</v>
          </cell>
          <cell r="V411">
            <v>226.93750000000009</v>
          </cell>
          <cell r="W411">
            <v>270.39700000000016</v>
          </cell>
          <cell r="X411">
            <v>299.20875000000012</v>
          </cell>
          <cell r="Y411">
            <v>239.13350000000031</v>
          </cell>
          <cell r="Z411">
            <v>232.43150000000031</v>
          </cell>
          <cell r="AA411">
            <v>325.69700000000029</v>
          </cell>
          <cell r="AB411">
            <v>378.51650000000041</v>
          </cell>
          <cell r="AC411">
            <v>346.58350000000036</v>
          </cell>
          <cell r="AD411">
            <v>426.44000000000057</v>
          </cell>
          <cell r="AE411">
            <v>409.97300000000052</v>
          </cell>
          <cell r="AF411">
            <v>397.05500000000046</v>
          </cell>
          <cell r="AG411">
            <v>344.27500000000055</v>
          </cell>
          <cell r="AH411">
            <v>323.45400000000052</v>
          </cell>
          <cell r="AI411">
            <v>258.61800000000051</v>
          </cell>
          <cell r="AJ411">
            <v>298.86500000000046</v>
          </cell>
          <cell r="AK411">
            <v>309.22550000000047</v>
          </cell>
          <cell r="AL411">
            <v>321.09200000000044</v>
          </cell>
          <cell r="AM411">
            <v>306.32050000000049</v>
          </cell>
          <cell r="AS411">
            <v>309.44800000000043</v>
          </cell>
          <cell r="AT411">
            <v>471.89450000000045</v>
          </cell>
          <cell r="AU411">
            <v>565.75200000000041</v>
          </cell>
          <cell r="AV411">
            <v>478.50400000000047</v>
          </cell>
          <cell r="AW411">
            <v>433.63250000000045</v>
          </cell>
          <cell r="AX411">
            <v>268.89700000000016</v>
          </cell>
          <cell r="AY411">
            <v>496.41900000000032</v>
          </cell>
          <cell r="AZ411">
            <v>724.25300000000027</v>
          </cell>
          <cell r="BA411">
            <v>885.59850000000029</v>
          </cell>
          <cell r="BB411">
            <v>643.28300000000036</v>
          </cell>
          <cell r="BC411">
            <v>476.93700000000035</v>
          </cell>
          <cell r="BD411">
            <v>424.8095000000003</v>
          </cell>
          <cell r="BE411">
            <v>689.33000000000038</v>
          </cell>
          <cell r="BF411">
            <v>882.9400000000004</v>
          </cell>
          <cell r="BG411">
            <v>784.76550000000032</v>
          </cell>
          <cell r="BH411">
            <v>737.33450000000016</v>
          </cell>
          <cell r="BI411">
            <v>667.76491692370928</v>
          </cell>
          <cell r="BJ411">
            <v>651.01155542812592</v>
          </cell>
          <cell r="BK411">
            <v>671.16954625343726</v>
          </cell>
          <cell r="BL411">
            <v>735.35390774902066</v>
          </cell>
          <cell r="BM411">
            <v>680.61681454830364</v>
          </cell>
          <cell r="BN411">
            <v>699.36950556261468</v>
          </cell>
          <cell r="BO411">
            <v>749.94536802779044</v>
          </cell>
        </row>
        <row r="412">
          <cell r="A412" t="str">
            <v>Average Interest Yield</v>
          </cell>
          <cell r="J412">
            <v>5.220774147043368E-2</v>
          </cell>
          <cell r="K412">
            <v>6.5625752682766006E-2</v>
          </cell>
          <cell r="L412">
            <v>3.0209338586775016E-2</v>
          </cell>
          <cell r="M412">
            <v>6.4769317274973957E-3</v>
          </cell>
          <cell r="N412">
            <v>3.4457439222316505E-2</v>
          </cell>
          <cell r="O412">
            <v>1.7762836769072113E-3</v>
          </cell>
          <cell r="P412">
            <v>2.960331557134399E-3</v>
          </cell>
          <cell r="Q412">
            <v>4.3920525044560781E-3</v>
          </cell>
          <cell r="R412">
            <v>3.2553505623642096E-3</v>
          </cell>
          <cell r="S412">
            <v>2.9503690763215363E-3</v>
          </cell>
          <cell r="T412">
            <v>3.5718115781848097E-3</v>
          </cell>
          <cell r="U412">
            <v>4.1826654126799999E-3</v>
          </cell>
          <cell r="V412">
            <v>2.009363811622142E-3</v>
          </cell>
          <cell r="W412">
            <v>1.8935121321612285E-3</v>
          </cell>
          <cell r="X412">
            <v>3.318753211595582E-3</v>
          </cell>
          <cell r="Y412">
            <v>2.3919693393021019E-3</v>
          </cell>
          <cell r="Z412">
            <v>3.2009430735506976E-3</v>
          </cell>
          <cell r="AA412">
            <v>2.2597690491469044E-3</v>
          </cell>
          <cell r="AB412">
            <v>3.5401362952473636E-3</v>
          </cell>
          <cell r="AC412">
            <v>2.4467408286891873E-3</v>
          </cell>
          <cell r="AD412">
            <v>2.0917362348747744E-3</v>
          </cell>
          <cell r="AE412">
            <v>2.3123473984872143E-3</v>
          </cell>
          <cell r="AF412">
            <v>2.538691113321829E-3</v>
          </cell>
          <cell r="AG412">
            <v>2.8117057584779565E-3</v>
          </cell>
          <cell r="AH412">
            <v>2.9494147544936789E-3</v>
          </cell>
          <cell r="AI412">
            <v>4.1451097758083274E-3</v>
          </cell>
          <cell r="AJ412">
            <v>3.172000736118309E-3</v>
          </cell>
          <cell r="AK412">
            <v>3.4279191075768283E-3</v>
          </cell>
          <cell r="AL412">
            <v>3.2514045818643833E-3</v>
          </cell>
          <cell r="AM412">
            <v>8.4143895038040102E-4</v>
          </cell>
          <cell r="AS412">
            <v>2.0164938858871252E-3</v>
          </cell>
          <cell r="AT412">
            <v>1.6274824139717655E-3</v>
          </cell>
          <cell r="AU412">
            <v>1.9584552948995306E-3</v>
          </cell>
          <cell r="AV412">
            <v>1.8892214067176014E-3</v>
          </cell>
          <cell r="AW412">
            <v>1.9624912800585729E-3</v>
          </cell>
          <cell r="AX412">
            <v>3.0346192036355907E-3</v>
          </cell>
          <cell r="AY412">
            <v>1.4906762231099123E-3</v>
          </cell>
          <cell r="AZ412">
            <v>1.5740355925346523E-3</v>
          </cell>
          <cell r="BA412">
            <v>2.222225986155125E-3</v>
          </cell>
          <cell r="BB412">
            <v>1.8125770461834049E-3</v>
          </cell>
          <cell r="BC412">
            <v>5.2082350499122491E-3</v>
          </cell>
          <cell r="BD412">
            <v>5.5083513904467729E-3</v>
          </cell>
          <cell r="BE412">
            <v>4.6363860560254136E-3</v>
          </cell>
          <cell r="BF412">
            <v>4.0818175640473858E-3</v>
          </cell>
          <cell r="BG412">
            <v>3.7030170159111208E-3</v>
          </cell>
          <cell r="BH412">
            <v>5.0560498661055457E-3</v>
          </cell>
          <cell r="BI412">
            <v>5.0560498661055457E-3</v>
          </cell>
          <cell r="BJ412">
            <v>5.0560498661055457E-3</v>
          </cell>
          <cell r="BK412">
            <v>5.0560498661055457E-3</v>
          </cell>
          <cell r="BL412">
            <v>4.6879693422506377E-3</v>
          </cell>
          <cell r="BM412">
            <v>7.4999999999999997E-3</v>
          </cell>
          <cell r="BN412">
            <v>0.01</v>
          </cell>
          <cell r="BO412">
            <v>0.01</v>
          </cell>
        </row>
        <row r="414">
          <cell r="A414" t="str">
            <v>Interest Expense</v>
          </cell>
          <cell r="D414">
            <v>0.35199999999999998</v>
          </cell>
          <cell r="E414">
            <v>9.5000000000000001E-2</v>
          </cell>
          <cell r="F414">
            <v>0.502</v>
          </cell>
          <cell r="G414">
            <v>1.2589999999999999</v>
          </cell>
          <cell r="H414">
            <v>7.73</v>
          </cell>
          <cell r="I414">
            <v>9.5860000000000003</v>
          </cell>
          <cell r="J414">
            <v>8.4629999999999992</v>
          </cell>
          <cell r="K414">
            <v>6.6680000000000001</v>
          </cell>
          <cell r="L414">
            <v>5.9909999999999997</v>
          </cell>
          <cell r="M414">
            <v>5.81</v>
          </cell>
          <cell r="N414">
            <v>26.931999999999999</v>
          </cell>
          <cell r="O414">
            <v>5.6379999999999999</v>
          </cell>
          <cell r="P414">
            <v>4.9039999999999999</v>
          </cell>
          <cell r="Q414">
            <v>4.6280000000000001</v>
          </cell>
          <cell r="R414">
            <v>4.5129999999999999</v>
          </cell>
          <cell r="S414">
            <v>19.683</v>
          </cell>
          <cell r="T414">
            <v>4.4359999999999999</v>
          </cell>
          <cell r="U414">
            <v>8.9909999999999997</v>
          </cell>
          <cell r="V414">
            <v>20.414999999999999</v>
          </cell>
          <cell r="W414">
            <v>17.495000000000001</v>
          </cell>
          <cell r="X414">
            <v>51.337000000000003</v>
          </cell>
          <cell r="Y414">
            <v>16.587</v>
          </cell>
          <cell r="Z414">
            <v>12.852</v>
          </cell>
          <cell r="AA414">
            <v>13.113</v>
          </cell>
          <cell r="AB414">
            <v>13.266999999999999</v>
          </cell>
          <cell r="AC414">
            <v>55.819000000000003</v>
          </cell>
          <cell r="AD414">
            <v>12.355</v>
          </cell>
          <cell r="AE414">
            <v>29.581</v>
          </cell>
          <cell r="AF414">
            <v>7.3140000000000001</v>
          </cell>
          <cell r="AG414">
            <v>7.1779999999999999</v>
          </cell>
          <cell r="AH414">
            <v>56.427999999999997</v>
          </cell>
          <cell r="AI414">
            <v>7.02</v>
          </cell>
          <cell r="AJ414">
            <v>6.5039999999999996</v>
          </cell>
          <cell r="AK414">
            <v>5.827</v>
          </cell>
          <cell r="AL414">
            <v>6.9139999999999997</v>
          </cell>
          <cell r="AM414">
            <v>26.265000000000001</v>
          </cell>
          <cell r="AS414">
            <v>5.0590000000000002</v>
          </cell>
          <cell r="AT414">
            <v>5.3659999999999997</v>
          </cell>
          <cell r="AU414">
            <v>5.6040000000000001</v>
          </cell>
          <cell r="AV414">
            <v>15.791</v>
          </cell>
          <cell r="AW414">
            <v>31.82</v>
          </cell>
          <cell r="AX414">
            <v>11.108000000000001</v>
          </cell>
          <cell r="AY414">
            <v>11.116</v>
          </cell>
          <cell r="AZ414">
            <v>17.266999999999999</v>
          </cell>
          <cell r="BA414">
            <v>22.896000000000001</v>
          </cell>
          <cell r="BB414">
            <v>62.387</v>
          </cell>
          <cell r="BC414">
            <v>22.904</v>
          </cell>
          <cell r="BD414">
            <v>22.917999999999999</v>
          </cell>
          <cell r="BE414">
            <v>26.79</v>
          </cell>
          <cell r="BF414">
            <v>29.039000000000001</v>
          </cell>
          <cell r="BG414">
            <v>101.651</v>
          </cell>
          <cell r="BH414">
            <v>29.024000000000001</v>
          </cell>
          <cell r="BI414">
            <v>29.029055100003013</v>
          </cell>
          <cell r="BJ414">
            <v>29.029055100003013</v>
          </cell>
          <cell r="BK414">
            <v>29.029055100003013</v>
          </cell>
          <cell r="BL414">
            <v>116.11116530000905</v>
          </cell>
          <cell r="BM414">
            <v>122.47951599999999</v>
          </cell>
          <cell r="BN414">
            <v>124.55543999999999</v>
          </cell>
          <cell r="BO414">
            <v>124.55543999999999</v>
          </cell>
        </row>
        <row r="415">
          <cell r="A415" t="str">
            <v>Total Debt</v>
          </cell>
          <cell r="D415">
            <v>0</v>
          </cell>
          <cell r="E415" t="str">
            <v>NA</v>
          </cell>
          <cell r="F415" t="str">
            <v>NA</v>
          </cell>
          <cell r="G415" t="str">
            <v>NA</v>
          </cell>
          <cell r="H415">
            <v>425</v>
          </cell>
          <cell r="I415">
            <v>425</v>
          </cell>
          <cell r="J415">
            <v>419.43799999999999</v>
          </cell>
          <cell r="K415">
            <v>413.875</v>
          </cell>
          <cell r="L415">
            <v>407.31700000000001</v>
          </cell>
          <cell r="M415">
            <v>401.79500000000002</v>
          </cell>
          <cell r="N415">
            <v>401.79500000000002</v>
          </cell>
          <cell r="O415">
            <v>396.274</v>
          </cell>
          <cell r="P415">
            <v>390.75200000000001</v>
          </cell>
          <cell r="Q415">
            <v>385.23099999999999</v>
          </cell>
          <cell r="R415">
            <v>379.71000000000004</v>
          </cell>
          <cell r="S415">
            <v>379.71000000000004</v>
          </cell>
          <cell r="T415">
            <v>369.18700000000001</v>
          </cell>
          <cell r="U415">
            <v>70.570000000000007</v>
          </cell>
          <cell r="V415">
            <v>1265.711</v>
          </cell>
          <cell r="W415">
            <v>1262.797</v>
          </cell>
          <cell r="X415">
            <v>1262.797</v>
          </cell>
          <cell r="Y415">
            <v>1119.6130000000001</v>
          </cell>
          <cell r="Z415">
            <v>1117.0309999999999</v>
          </cell>
          <cell r="AA415">
            <v>1114.45</v>
          </cell>
          <cell r="AB415">
            <v>1076.8869999999999</v>
          </cell>
          <cell r="AC415">
            <v>1076.8869999999999</v>
          </cell>
          <cell r="AD415">
            <v>1074.3040000000001</v>
          </cell>
          <cell r="AE415">
            <v>876.245</v>
          </cell>
          <cell r="AF415">
            <v>865.48299999999995</v>
          </cell>
          <cell r="AG415">
            <v>854.71600000000001</v>
          </cell>
          <cell r="AH415">
            <v>854.71600000000001</v>
          </cell>
          <cell r="AI415">
            <v>828.96199999999999</v>
          </cell>
          <cell r="AJ415">
            <v>818.19</v>
          </cell>
          <cell r="AK415">
            <v>807.41499999999996</v>
          </cell>
          <cell r="AL415">
            <v>807.78200000000004</v>
          </cell>
          <cell r="AM415">
            <v>807.78200000000004</v>
          </cell>
          <cell r="AS415">
            <v>802.84</v>
          </cell>
          <cell r="AT415">
            <v>797.89700000000005</v>
          </cell>
          <cell r="AU415">
            <v>792.95399999999995</v>
          </cell>
          <cell r="AV415">
            <v>800</v>
          </cell>
          <cell r="AW415">
            <v>800</v>
          </cell>
          <cell r="AX415">
            <v>800</v>
          </cell>
          <cell r="AY415">
            <v>800</v>
          </cell>
          <cell r="AZ415">
            <v>1578.8489999999999</v>
          </cell>
          <cell r="BA415">
            <v>1579.404</v>
          </cell>
          <cell r="BB415">
            <v>1579.404</v>
          </cell>
          <cell r="BC415">
            <v>1579.96</v>
          </cell>
          <cell r="BD415">
            <v>1580.5150000000001</v>
          </cell>
          <cell r="BE415">
            <v>2074.4780000000001</v>
          </cell>
          <cell r="BF415">
            <v>2075.201</v>
          </cell>
          <cell r="BG415">
            <v>2075.201</v>
          </cell>
          <cell r="BH415">
            <v>2075.924</v>
          </cell>
          <cell r="BI415">
            <v>2075.924</v>
          </cell>
          <cell r="BJ415">
            <v>2075.924</v>
          </cell>
          <cell r="BK415">
            <v>2075.924</v>
          </cell>
          <cell r="BL415">
            <v>2075.924</v>
          </cell>
          <cell r="BM415">
            <v>2075.924</v>
          </cell>
          <cell r="BN415">
            <v>2075.924</v>
          </cell>
          <cell r="BO415">
            <v>2075.924</v>
          </cell>
        </row>
        <row r="416">
          <cell r="A416" t="str">
            <v>Average Debt</v>
          </cell>
          <cell r="J416">
            <v>422.21899999999999</v>
          </cell>
          <cell r="K416">
            <v>416.65649999999999</v>
          </cell>
          <cell r="L416">
            <v>410.596</v>
          </cell>
          <cell r="M416">
            <v>404.55600000000004</v>
          </cell>
          <cell r="N416">
            <v>410.60625000000005</v>
          </cell>
          <cell r="O416">
            <v>399.03449999999998</v>
          </cell>
          <cell r="P416">
            <v>393.51300000000003</v>
          </cell>
          <cell r="Q416">
            <v>387.99149999999997</v>
          </cell>
          <cell r="R416">
            <v>382.47050000000002</v>
          </cell>
          <cell r="S416">
            <v>387.99175000000002</v>
          </cell>
          <cell r="T416">
            <v>374.44850000000002</v>
          </cell>
          <cell r="U416">
            <v>219.8785</v>
          </cell>
          <cell r="V416">
            <v>668.14049999999997</v>
          </cell>
          <cell r="W416">
            <v>1264.2539999999999</v>
          </cell>
          <cell r="X416">
            <v>742.06625000000008</v>
          </cell>
          <cell r="Y416">
            <v>1191.2049999999999</v>
          </cell>
          <cell r="Z416">
            <v>1118.3220000000001</v>
          </cell>
          <cell r="AA416">
            <v>1115.7404999999999</v>
          </cell>
          <cell r="AB416">
            <v>1095.6685</v>
          </cell>
          <cell r="AC416">
            <v>1106.9952499999999</v>
          </cell>
          <cell r="AD416">
            <v>1075.5954999999999</v>
          </cell>
          <cell r="AE416">
            <v>975.27449999999999</v>
          </cell>
          <cell r="AF416">
            <v>870.86400000000003</v>
          </cell>
          <cell r="AG416">
            <v>860.09950000000003</v>
          </cell>
          <cell r="AH416">
            <v>917.68700000000001</v>
          </cell>
          <cell r="AI416">
            <v>841.83899999999994</v>
          </cell>
          <cell r="AJ416">
            <v>823.57600000000002</v>
          </cell>
          <cell r="AK416">
            <v>812.80250000000001</v>
          </cell>
          <cell r="AL416">
            <v>807.59850000000006</v>
          </cell>
          <cell r="AM416">
            <v>815.58725000000004</v>
          </cell>
          <cell r="AS416">
            <v>805.31100000000004</v>
          </cell>
          <cell r="AT416">
            <v>800.36850000000004</v>
          </cell>
          <cell r="AU416">
            <v>795.42550000000006</v>
          </cell>
          <cell r="AV416">
            <v>796.47699999999998</v>
          </cell>
          <cell r="AW416">
            <v>803.89100000000008</v>
          </cell>
          <cell r="AX416">
            <v>800</v>
          </cell>
          <cell r="AY416">
            <v>800</v>
          </cell>
          <cell r="AZ416">
            <v>1189.4245000000001</v>
          </cell>
          <cell r="BA416">
            <v>1579.1264999999999</v>
          </cell>
          <cell r="BB416">
            <v>1189.702</v>
          </cell>
          <cell r="BC416">
            <v>1579.682</v>
          </cell>
          <cell r="BD416">
            <v>1580.2375000000002</v>
          </cell>
          <cell r="BE416">
            <v>1827.4965000000002</v>
          </cell>
          <cell r="BF416">
            <v>2074.8395</v>
          </cell>
          <cell r="BG416">
            <v>1827.3025</v>
          </cell>
          <cell r="BH416">
            <v>2075.5625</v>
          </cell>
          <cell r="BI416">
            <v>2075.924</v>
          </cell>
          <cell r="BJ416">
            <v>2075.924</v>
          </cell>
          <cell r="BK416">
            <v>2075.924</v>
          </cell>
          <cell r="BL416">
            <v>2075.5625</v>
          </cell>
          <cell r="BM416">
            <v>2075.924</v>
          </cell>
          <cell r="BN416">
            <v>2075.924</v>
          </cell>
          <cell r="BO416">
            <v>2075.924</v>
          </cell>
        </row>
        <row r="417">
          <cell r="A417" t="str">
            <v>Average Interest Rate</v>
          </cell>
          <cell r="J417">
            <v>8.0176401346220796E-2</v>
          </cell>
          <cell r="K417">
            <v>6.4014361950431586E-2</v>
          </cell>
          <cell r="L417">
            <v>5.8363939249286401E-2</v>
          </cell>
          <cell r="M417">
            <v>5.7445693550460246E-2</v>
          </cell>
          <cell r="N417">
            <v>6.5590818454419525E-2</v>
          </cell>
          <cell r="O417">
            <v>5.6516416500327668E-2</v>
          </cell>
          <cell r="P417">
            <v>4.9848416697796508E-2</v>
          </cell>
          <cell r="Q417">
            <v>4.7712385451743146E-2</v>
          </cell>
          <cell r="R417">
            <v>4.7198411380747006E-2</v>
          </cell>
          <cell r="S417">
            <v>5.0730460119319545E-2</v>
          </cell>
          <cell r="T417">
            <v>4.738702384974168E-2</v>
          </cell>
          <cell r="U417">
            <v>0.16356305868923063</v>
          </cell>
          <cell r="V417">
            <v>0.12221980257146513</v>
          </cell>
          <cell r="W417">
            <v>5.535280094031738E-2</v>
          </cell>
          <cell r="X417">
            <v>6.9181154647580317E-2</v>
          </cell>
          <cell r="Y417">
            <v>4.738702384974168E-2</v>
          </cell>
          <cell r="Z417">
            <v>4.5968871219559303E-2</v>
          </cell>
          <cell r="AA417">
            <v>4.7010931305263189E-2</v>
          </cell>
          <cell r="AB417">
            <v>4.8434357654710339E-2</v>
          </cell>
          <cell r="AC417">
            <v>5.0423883932654637E-2</v>
          </cell>
          <cell r="AD417">
            <v>4.5946640721349248E-2</v>
          </cell>
          <cell r="AE417">
            <v>3.667480283756009E-2</v>
          </cell>
          <cell r="AF417">
            <v>3.3594223667530176E-2</v>
          </cell>
          <cell r="AG417">
            <v>3.3382184270540793E-2</v>
          </cell>
          <cell r="AH417">
            <v>6.1489374917591724E-2</v>
          </cell>
          <cell r="AI417">
            <v>3.3355546606892765E-2</v>
          </cell>
          <cell r="AJ417">
            <v>3.1589070104034112E-2</v>
          </cell>
          <cell r="AK417">
            <v>2.8676092900796934E-2</v>
          </cell>
          <cell r="AL417">
            <v>3.4244739186613145E-2</v>
          </cell>
          <cell r="AM417">
            <v>3.2203789355461358E-2</v>
          </cell>
          <cell r="AS417">
            <v>2.5128180293079318E-2</v>
          </cell>
          <cell r="AT417">
            <v>2.6817647121294752E-2</v>
          </cell>
          <cell r="AU417">
            <v>2.8181143300032498E-2</v>
          </cell>
          <cell r="AV417">
            <v>7.930423602941454E-2</v>
          </cell>
          <cell r="AW417">
            <v>3.9582480709449412E-2</v>
          </cell>
          <cell r="AX417">
            <v>5.5540000000000006E-2</v>
          </cell>
          <cell r="AY417">
            <v>5.5579999999999997E-2</v>
          </cell>
          <cell r="AZ417">
            <v>5.8068418802538532E-2</v>
          </cell>
          <cell r="BA417">
            <v>5.7996620283428856E-2</v>
          </cell>
          <cell r="BB417">
            <v>5.2439182249000169E-2</v>
          </cell>
          <cell r="BC417">
            <v>5.7996482836418978E-2</v>
          </cell>
          <cell r="BD417">
            <v>5.8011533076515388E-2</v>
          </cell>
          <cell r="BE417">
            <v>5.8637595201960706E-2</v>
          </cell>
          <cell r="BF417">
            <v>5.598312544175104E-2</v>
          </cell>
          <cell r="BG417">
            <v>5.5628994104698043E-2</v>
          </cell>
          <cell r="BH417">
            <v>5.5934716492517092E-2</v>
          </cell>
          <cell r="BI417">
            <v>5.5934716492517092E-2</v>
          </cell>
          <cell r="BJ417">
            <v>5.5934716492517092E-2</v>
          </cell>
          <cell r="BK417">
            <v>5.5934716492517092E-2</v>
          </cell>
          <cell r="BL417">
            <v>5.5942023090130528E-2</v>
          </cell>
          <cell r="BM417">
            <v>5.8999999999999997E-2</v>
          </cell>
          <cell r="BN417">
            <v>0.06</v>
          </cell>
          <cell r="BO417">
            <v>0.06</v>
          </cell>
        </row>
        <row r="418">
          <cell r="A418" t="str">
            <v>Net Interest Expense</v>
          </cell>
          <cell r="BG418">
            <v>98.74499999999999</v>
          </cell>
          <cell r="BL418">
            <v>112.66384872477744</v>
          </cell>
        </row>
        <row r="421">
          <cell r="A421" t="str">
            <v>Net Operating Losses</v>
          </cell>
        </row>
        <row r="422">
          <cell r="A422" t="str">
            <v>Beginning Balance</v>
          </cell>
          <cell r="D422" t="str">
            <v>NA</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cell r="BM422">
            <v>0</v>
          </cell>
          <cell r="BN422">
            <v>0</v>
          </cell>
          <cell r="BO422">
            <v>0</v>
          </cell>
        </row>
        <row r="423">
          <cell r="A423" t="str">
            <v xml:space="preserve">  Additions</v>
          </cell>
          <cell r="D423" t="str">
            <v>NA</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cell r="BM423">
            <v>0</v>
          </cell>
          <cell r="BN423">
            <v>0</v>
          </cell>
          <cell r="BO423">
            <v>0</v>
          </cell>
        </row>
        <row r="424">
          <cell r="A424" t="str">
            <v xml:space="preserve">  Uses</v>
          </cell>
          <cell r="D424" t="str">
            <v>NA</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cell r="BM424">
            <v>0</v>
          </cell>
          <cell r="BN424">
            <v>0</v>
          </cell>
          <cell r="BO424">
            <v>0</v>
          </cell>
        </row>
        <row r="425">
          <cell r="D425" t="str">
            <v xml:space="preserve">______ </v>
          </cell>
          <cell r="E425" t="str">
            <v xml:space="preserve">______ </v>
          </cell>
          <cell r="F425" t="str">
            <v xml:space="preserve">______ </v>
          </cell>
          <cell r="G425" t="str">
            <v xml:space="preserve">______ </v>
          </cell>
          <cell r="H425" t="str">
            <v xml:space="preserve">______ </v>
          </cell>
          <cell r="I425" t="str">
            <v xml:space="preserve">______ </v>
          </cell>
          <cell r="J425" t="str">
            <v xml:space="preserve">______ </v>
          </cell>
          <cell r="K425" t="str">
            <v xml:space="preserve">______ </v>
          </cell>
          <cell r="L425" t="str">
            <v xml:space="preserve">______ </v>
          </cell>
          <cell r="M425" t="str">
            <v xml:space="preserve">______ </v>
          </cell>
          <cell r="N425" t="str">
            <v xml:space="preserve">______ </v>
          </cell>
          <cell r="O425" t="str">
            <v xml:space="preserve">______ </v>
          </cell>
          <cell r="P425" t="str">
            <v xml:space="preserve">______ </v>
          </cell>
          <cell r="Q425" t="str">
            <v xml:space="preserve">______ </v>
          </cell>
          <cell r="R425" t="str">
            <v xml:space="preserve">______ </v>
          </cell>
          <cell r="S425" t="str">
            <v xml:space="preserve">______ </v>
          </cell>
          <cell r="T425" t="str">
            <v xml:space="preserve">______ </v>
          </cell>
          <cell r="U425" t="str">
            <v xml:space="preserve">______ </v>
          </cell>
          <cell r="V425" t="str">
            <v xml:space="preserve">______ </v>
          </cell>
          <cell r="W425" t="str">
            <v xml:space="preserve">______ </v>
          </cell>
          <cell r="X425" t="str">
            <v xml:space="preserve">______ </v>
          </cell>
          <cell r="Y425" t="str">
            <v xml:space="preserve">______ </v>
          </cell>
          <cell r="Z425" t="str">
            <v xml:space="preserve">______ </v>
          </cell>
          <cell r="AA425" t="str">
            <v xml:space="preserve">______ </v>
          </cell>
          <cell r="AB425" t="str">
            <v xml:space="preserve">______ </v>
          </cell>
          <cell r="AC425" t="str">
            <v xml:space="preserve">______ </v>
          </cell>
          <cell r="AD425" t="str">
            <v xml:space="preserve">______ </v>
          </cell>
          <cell r="AE425" t="str">
            <v xml:space="preserve">______ </v>
          </cell>
          <cell r="AF425" t="str">
            <v xml:space="preserve">______ </v>
          </cell>
          <cell r="AG425" t="str">
            <v xml:space="preserve">______ </v>
          </cell>
          <cell r="AH425" t="str">
            <v xml:space="preserve">______ </v>
          </cell>
          <cell r="AI425" t="str">
            <v xml:space="preserve">______ </v>
          </cell>
          <cell r="AJ425" t="str">
            <v xml:space="preserve">______ </v>
          </cell>
          <cell r="AK425" t="str">
            <v xml:space="preserve">______ </v>
          </cell>
          <cell r="AL425" t="str">
            <v xml:space="preserve">______ </v>
          </cell>
          <cell r="AM425" t="str">
            <v xml:space="preserve">______ </v>
          </cell>
          <cell r="AS425" t="str">
            <v xml:space="preserve">______ </v>
          </cell>
          <cell r="AT425" t="str">
            <v xml:space="preserve">______ </v>
          </cell>
          <cell r="AU425" t="str">
            <v xml:space="preserve">______ </v>
          </cell>
          <cell r="AV425" t="str">
            <v xml:space="preserve">______ </v>
          </cell>
          <cell r="AW425" t="str">
            <v xml:space="preserve">______ </v>
          </cell>
          <cell r="AX425" t="str">
            <v xml:space="preserve">______ </v>
          </cell>
          <cell r="AY425" t="str">
            <v xml:space="preserve">______ </v>
          </cell>
          <cell r="AZ425" t="str">
            <v xml:space="preserve">______ </v>
          </cell>
          <cell r="BA425" t="str">
            <v xml:space="preserve">______ </v>
          </cell>
          <cell r="BB425" t="str">
            <v xml:space="preserve">______ </v>
          </cell>
          <cell r="BC425" t="str">
            <v xml:space="preserve">______ </v>
          </cell>
          <cell r="BD425" t="str">
            <v xml:space="preserve">______ </v>
          </cell>
          <cell r="BE425" t="str">
            <v xml:space="preserve">______ </v>
          </cell>
          <cell r="BF425" t="str">
            <v xml:space="preserve">______ </v>
          </cell>
          <cell r="BG425" t="str">
            <v xml:space="preserve">______ </v>
          </cell>
          <cell r="BH425" t="str">
            <v xml:space="preserve">______ </v>
          </cell>
          <cell r="BI425" t="str">
            <v xml:space="preserve">______ </v>
          </cell>
          <cell r="BJ425" t="str">
            <v xml:space="preserve">______ </v>
          </cell>
          <cell r="BK425" t="str">
            <v xml:space="preserve">______ </v>
          </cell>
          <cell r="BL425" t="str">
            <v xml:space="preserve">______ </v>
          </cell>
          <cell r="BM425" t="str">
            <v xml:space="preserve">______ </v>
          </cell>
          <cell r="BN425" t="str">
            <v xml:space="preserve">______ </v>
          </cell>
          <cell r="BO425" t="str">
            <v xml:space="preserve">______ </v>
          </cell>
        </row>
        <row r="426">
          <cell r="A426" t="str">
            <v>Ending Balance</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cell r="BM426">
            <v>0</v>
          </cell>
          <cell r="BN426">
            <v>0</v>
          </cell>
          <cell r="BO426">
            <v>0</v>
          </cell>
        </row>
        <row r="428">
          <cell r="A428" t="str">
            <v>Period End Basic Shares</v>
          </cell>
          <cell r="D428" t="str">
            <v>ND</v>
          </cell>
          <cell r="E428" t="str">
            <v>ND</v>
          </cell>
          <cell r="F428" t="str">
            <v>ND</v>
          </cell>
          <cell r="G428" t="str">
            <v>ND</v>
          </cell>
          <cell r="H428">
            <v>100.01138800000001</v>
          </cell>
          <cell r="I428">
            <v>100.01138800000001</v>
          </cell>
          <cell r="J428">
            <v>100.01209</v>
          </cell>
          <cell r="K428">
            <v>100.051693</v>
          </cell>
          <cell r="L428">
            <v>100.05346399999999</v>
          </cell>
          <cell r="M428">
            <v>100.06303699999999</v>
          </cell>
          <cell r="N428">
            <v>100.06303699999999</v>
          </cell>
          <cell r="O428">
            <v>100.07338799999999</v>
          </cell>
          <cell r="P428">
            <v>100.136377</v>
          </cell>
          <cell r="Q428">
            <v>100.146</v>
          </cell>
          <cell r="R428">
            <v>104.78140399999999</v>
          </cell>
          <cell r="S428">
            <v>104.78140399999999</v>
          </cell>
          <cell r="T428">
            <v>104.99746500000001</v>
          </cell>
          <cell r="U428">
            <v>105.01949399999999</v>
          </cell>
          <cell r="V428">
            <v>118.559766</v>
          </cell>
          <cell r="W428">
            <v>119.522043</v>
          </cell>
          <cell r="X428">
            <v>119.522043</v>
          </cell>
          <cell r="Y428">
            <v>121.041957</v>
          </cell>
          <cell r="Z428">
            <v>120.464893</v>
          </cell>
          <cell r="AA428">
            <v>121.197107</v>
          </cell>
          <cell r="AB428">
            <v>121.094893</v>
          </cell>
          <cell r="AC428">
            <v>121.094893</v>
          </cell>
          <cell r="AD428">
            <v>122.41310700000001</v>
          </cell>
          <cell r="AE428">
            <v>121.64689299999999</v>
          </cell>
          <cell r="AF428">
            <v>122.875107</v>
          </cell>
          <cell r="AG428">
            <v>120.22956600000001</v>
          </cell>
          <cell r="AH428">
            <v>120.22956600000001</v>
          </cell>
          <cell r="AI428">
            <v>120.720799</v>
          </cell>
          <cell r="AJ428">
            <v>120.967174</v>
          </cell>
          <cell r="AK428">
            <v>118.403925</v>
          </cell>
          <cell r="AL428">
            <v>116.608423</v>
          </cell>
          <cell r="AM428">
            <v>116.608423</v>
          </cell>
          <cell r="AN428">
            <v>120.720799</v>
          </cell>
          <cell r="AO428">
            <v>120.967174</v>
          </cell>
          <cell r="AP428">
            <v>118.403925</v>
          </cell>
          <cell r="AQ428">
            <v>116.608423</v>
          </cell>
          <cell r="AR428">
            <v>116.608423</v>
          </cell>
          <cell r="AS428">
            <v>116.704758</v>
          </cell>
          <cell r="AT428">
            <v>116.536867</v>
          </cell>
          <cell r="AU428">
            <v>112.030366</v>
          </cell>
          <cell r="AV428">
            <v>112.56763400000001</v>
          </cell>
          <cell r="AW428">
            <v>112.56763400000001</v>
          </cell>
          <cell r="AX428">
            <v>112.47236599999998</v>
          </cell>
          <cell r="AY428">
            <v>111.81363400000002</v>
          </cell>
          <cell r="AZ428">
            <v>105.73236599999997</v>
          </cell>
          <cell r="BA428">
            <v>99.941634000000036</v>
          </cell>
          <cell r="BB428">
            <v>99.941634000000036</v>
          </cell>
          <cell r="BC428">
            <v>98.908365999999958</v>
          </cell>
          <cell r="BD428">
            <v>93.915634000000054</v>
          </cell>
          <cell r="BE428">
            <v>95.730365999999933</v>
          </cell>
          <cell r="BF428">
            <v>90.923634000000064</v>
          </cell>
          <cell r="BG428">
            <v>90.923634000000064</v>
          </cell>
          <cell r="BH428">
            <v>89.89742760016469</v>
          </cell>
          <cell r="BI428">
            <v>88.894909787509363</v>
          </cell>
          <cell r="BJ428">
            <v>87.911966104004051</v>
          </cell>
          <cell r="BK428">
            <v>86.948214365385155</v>
          </cell>
          <cell r="BL428">
            <v>86.948214365385155</v>
          </cell>
          <cell r="BM428">
            <v>84.275885232123173</v>
          </cell>
          <cell r="BN428">
            <v>81.800716046554953</v>
          </cell>
          <cell r="BO428">
            <v>79.508160679429139</v>
          </cell>
        </row>
        <row r="429">
          <cell r="A429" t="str">
            <v>Net Share Issuance</v>
          </cell>
          <cell r="J429">
            <v>7.0199999998976637E-4</v>
          </cell>
          <cell r="K429">
            <v>3.9602999999999611E-2</v>
          </cell>
          <cell r="L429">
            <v>1.7709999999908632E-3</v>
          </cell>
          <cell r="M429">
            <v>9.5730000000031623E-3</v>
          </cell>
          <cell r="N429">
            <v>5.1648999999983403E-2</v>
          </cell>
          <cell r="O429">
            <v>1.0350999999999999E-2</v>
          </cell>
          <cell r="P429">
            <v>6.2989000000001738E-2</v>
          </cell>
          <cell r="Q429">
            <v>9.6230000000048221E-3</v>
          </cell>
          <cell r="R429">
            <v>4.6354039999999941</v>
          </cell>
          <cell r="S429">
            <v>4.7183670000000006</v>
          </cell>
          <cell r="T429">
            <v>0.21606100000001049</v>
          </cell>
          <cell r="U429">
            <v>2.2028999999989196E-2</v>
          </cell>
          <cell r="V429">
            <v>13.540272000000002</v>
          </cell>
          <cell r="W429">
            <v>0.96227700000000027</v>
          </cell>
          <cell r="X429">
            <v>14.740639000000002</v>
          </cell>
          <cell r="Y429">
            <v>1.519914</v>
          </cell>
          <cell r="Z429">
            <v>-0.57706399999999292</v>
          </cell>
          <cell r="AA429">
            <v>0.73221399999999903</v>
          </cell>
          <cell r="AB429">
            <v>-0.10221400000000358</v>
          </cell>
          <cell r="AC429">
            <v>1.5728500000000025</v>
          </cell>
          <cell r="AD429">
            <v>1.3182140000000118</v>
          </cell>
          <cell r="AE429">
            <v>-0.76621400000001927</v>
          </cell>
          <cell r="AF429">
            <v>1.2282140000000084</v>
          </cell>
          <cell r="AG429">
            <v>-2.6455409999999944</v>
          </cell>
          <cell r="AH429">
            <v>-0.86532699999999352</v>
          </cell>
          <cell r="AI429">
            <v>0.49123299999999404</v>
          </cell>
          <cell r="AJ429">
            <v>8.6384129846708763E-2</v>
          </cell>
          <cell r="AK429">
            <v>-2.4307252856433181</v>
          </cell>
          <cell r="AL429">
            <v>3.1793229643178465E-3</v>
          </cell>
          <cell r="AM429">
            <v>-1.8499288328322976</v>
          </cell>
          <cell r="AN429">
            <v>4.1123759999999976</v>
          </cell>
          <cell r="AO429">
            <v>8.6384129846708763E-2</v>
          </cell>
          <cell r="AP429">
            <v>-2.4307252856433181</v>
          </cell>
          <cell r="AQ429">
            <v>3.1793229643178465E-3</v>
          </cell>
          <cell r="AR429">
            <v>1.7712141671677064</v>
          </cell>
          <cell r="AS429">
            <v>-2.4511622501162251</v>
          </cell>
          <cell r="AT429">
            <v>4.257360959651036E-2</v>
          </cell>
          <cell r="AU429">
            <v>-4.4830263717566989</v>
          </cell>
          <cell r="AV429">
            <v>8.790050590219296E-3</v>
          </cell>
          <cell r="AW429">
            <v>-6.8828249616861941</v>
          </cell>
          <cell r="AX429">
            <v>-9.5268000000032771E-2</v>
          </cell>
          <cell r="AY429">
            <v>-0.65873199999995791</v>
          </cell>
          <cell r="AZ429">
            <v>-6.0812680000000512</v>
          </cell>
          <cell r="BA429">
            <v>-5.7907319999999345</v>
          </cell>
          <cell r="BB429">
            <v>-12.625999999999976</v>
          </cell>
          <cell r="BC429">
            <v>-1.0332680000000778</v>
          </cell>
          <cell r="BD429">
            <v>-4.9927319999999042</v>
          </cell>
          <cell r="BE429">
            <v>1.8147319999998786</v>
          </cell>
          <cell r="BF429">
            <v>-4.8067319999998688</v>
          </cell>
          <cell r="BG429">
            <v>-9.0179999999999723</v>
          </cell>
          <cell r="BH429">
            <v>-1.0262063998353739</v>
          </cell>
          <cell r="BI429">
            <v>-1.0025178126553305</v>
          </cell>
          <cell r="BJ429">
            <v>-0.98294368350531303</v>
          </cell>
          <cell r="BK429">
            <v>-0.9637517386189014</v>
          </cell>
          <cell r="BL429">
            <v>-3.9754196346149189</v>
          </cell>
          <cell r="BM429">
            <v>-2.6723291332619765</v>
          </cell>
          <cell r="BN429">
            <v>-2.4751691855682125</v>
          </cell>
          <cell r="BO429">
            <v>-2.2925553671258099</v>
          </cell>
        </row>
        <row r="430">
          <cell r="A430" t="str">
            <v>Estimated Stock Price</v>
          </cell>
          <cell r="W430">
            <v>34.06</v>
          </cell>
          <cell r="X430">
            <v>34.06</v>
          </cell>
          <cell r="Y430">
            <v>36.82</v>
          </cell>
          <cell r="Z430">
            <v>37.68</v>
          </cell>
          <cell r="AA430">
            <v>30.33</v>
          </cell>
          <cell r="AB430">
            <v>32.93</v>
          </cell>
          <cell r="AC430">
            <v>32.93</v>
          </cell>
          <cell r="AD430">
            <v>36.81</v>
          </cell>
          <cell r="AE430">
            <v>34.020000000000003</v>
          </cell>
          <cell r="AF430">
            <v>35.79</v>
          </cell>
          <cell r="AG430">
            <v>30.99</v>
          </cell>
          <cell r="AH430">
            <v>30.99</v>
          </cell>
          <cell r="AI430">
            <v>33.93</v>
          </cell>
          <cell r="AJ430">
            <v>33.270000000000003</v>
          </cell>
          <cell r="AK430">
            <v>40.26</v>
          </cell>
          <cell r="AL430">
            <v>43.72</v>
          </cell>
          <cell r="AM430">
            <v>43.72</v>
          </cell>
          <cell r="AN430">
            <v>33.93</v>
          </cell>
          <cell r="AO430">
            <v>33.270000000000003</v>
          </cell>
          <cell r="AP430">
            <v>40.26</v>
          </cell>
          <cell r="AQ430">
            <v>43.72</v>
          </cell>
          <cell r="AR430">
            <v>43.72</v>
          </cell>
          <cell r="AS430">
            <v>43.02</v>
          </cell>
          <cell r="AT430">
            <v>45.85</v>
          </cell>
          <cell r="AU430">
            <v>47.02</v>
          </cell>
          <cell r="AV430">
            <v>47.44</v>
          </cell>
          <cell r="AW430">
            <v>47.44</v>
          </cell>
          <cell r="AX430">
            <v>61.31</v>
          </cell>
          <cell r="AY430">
            <v>61.55</v>
          </cell>
          <cell r="AZ430">
            <v>59.64</v>
          </cell>
          <cell r="BA430">
            <v>72.13</v>
          </cell>
          <cell r="BB430">
            <v>72.13</v>
          </cell>
          <cell r="BC430">
            <v>74.08</v>
          </cell>
          <cell r="BD430">
            <v>77.12</v>
          </cell>
          <cell r="BE430">
            <v>83.94</v>
          </cell>
          <cell r="BF430">
            <v>78.78</v>
          </cell>
          <cell r="BG430">
            <v>78.78</v>
          </cell>
          <cell r="BH430">
            <v>97.19</v>
          </cell>
          <cell r="BI430">
            <v>99.125420761142635</v>
          </cell>
          <cell r="BJ430">
            <v>101.09938307514732</v>
          </cell>
          <cell r="BK430">
            <v>103.11265445021012</v>
          </cell>
          <cell r="BL430">
            <v>103.11265445021012</v>
          </cell>
          <cell r="BM430">
            <v>111.32610736345072</v>
          </cell>
          <cell r="BN430">
            <v>120.19380401736231</v>
          </cell>
          <cell r="BO430">
            <v>129.76785828862117</v>
          </cell>
        </row>
        <row r="432">
          <cell r="A432" t="str">
            <v>Pooling Goodwill</v>
          </cell>
          <cell r="D432">
            <v>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H432">
            <v>0</v>
          </cell>
          <cell r="AM432">
            <v>0</v>
          </cell>
          <cell r="AR432">
            <v>0</v>
          </cell>
          <cell r="AW432">
            <v>0</v>
          </cell>
          <cell r="BB432">
            <v>0</v>
          </cell>
          <cell r="BG432">
            <v>0</v>
          </cell>
          <cell r="BL432">
            <v>0</v>
          </cell>
          <cell r="BM432">
            <v>0</v>
          </cell>
          <cell r="BN432">
            <v>0</v>
          </cell>
          <cell r="BO432">
            <v>0</v>
          </cell>
          <cell r="CI432" t="str">
            <v>mstag:unrecordedGoodwillFromPoolingAndAmortizedOrWrittenOffGoodwill</v>
          </cell>
          <cell r="CJ432">
            <v>6</v>
          </cell>
          <cell r="CK432" t="str">
            <v>ISO4217:USD</v>
          </cell>
          <cell r="CL432" t="b">
            <v>0</v>
          </cell>
        </row>
        <row r="435">
          <cell r="A435" t="str">
            <v>Changes in Shareholders' Equity</v>
          </cell>
        </row>
        <row r="436">
          <cell r="A436" t="str">
            <v>Opening Balance</v>
          </cell>
          <cell r="D436" t="str">
            <v>NA</v>
          </cell>
          <cell r="H436">
            <v>-85.922000000000011</v>
          </cell>
          <cell r="I436">
            <v>825.71199999999999</v>
          </cell>
          <cell r="J436">
            <v>200.02100000000007</v>
          </cell>
          <cell r="K436">
            <v>222.16900000000007</v>
          </cell>
          <cell r="L436">
            <v>250.86100000000008</v>
          </cell>
          <cell r="M436">
            <v>273.35700000000003</v>
          </cell>
          <cell r="N436">
            <v>200.02099999999999</v>
          </cell>
          <cell r="O436">
            <v>286.38200000000001</v>
          </cell>
          <cell r="P436">
            <v>313.17799999999994</v>
          </cell>
          <cell r="Q436">
            <v>340.4369999999999</v>
          </cell>
          <cell r="R436">
            <v>369.07999999999993</v>
          </cell>
          <cell r="S436">
            <v>286.38200000000001</v>
          </cell>
          <cell r="T436">
            <v>507.05599999999998</v>
          </cell>
          <cell r="U436">
            <v>545.66100000000006</v>
          </cell>
          <cell r="V436">
            <v>576.43400000000008</v>
          </cell>
          <cell r="W436">
            <v>1034.2</v>
          </cell>
          <cell r="X436">
            <v>507.0560000000001</v>
          </cell>
          <cell r="Y436">
            <v>1080.1169999999997</v>
          </cell>
          <cell r="Z436">
            <v>1150.0229999999999</v>
          </cell>
          <cell r="AA436">
            <v>1209.0450000000001</v>
          </cell>
          <cell r="AB436">
            <v>1261.9480000000001</v>
          </cell>
          <cell r="AC436">
            <v>1080.1169999999997</v>
          </cell>
          <cell r="AD436">
            <v>1305.432</v>
          </cell>
          <cell r="AE436">
            <v>1364.604</v>
          </cell>
          <cell r="AF436">
            <v>1409.6560000000002</v>
          </cell>
          <cell r="AG436">
            <v>1468.0630000000001</v>
          </cell>
          <cell r="AH436">
            <v>1305.432</v>
          </cell>
          <cell r="AI436">
            <v>1425.2310000000002</v>
          </cell>
          <cell r="AJ436">
            <v>1488.7380000000001</v>
          </cell>
          <cell r="AK436">
            <v>1555.8280000000002</v>
          </cell>
          <cell r="AL436">
            <v>1522.1470000000002</v>
          </cell>
          <cell r="AM436">
            <v>1425.2310000000002</v>
          </cell>
          <cell r="AS436">
            <v>1576.3639999999998</v>
          </cell>
          <cell r="AT436">
            <v>1563.7429999999997</v>
          </cell>
          <cell r="AU436">
            <v>1678.04</v>
          </cell>
          <cell r="AV436">
            <v>1428.182</v>
          </cell>
          <cell r="AW436">
            <v>1576.3639999999998</v>
          </cell>
          <cell r="AX436">
            <v>1444.1389999999997</v>
          </cell>
          <cell r="AY436">
            <v>1467.0349999999999</v>
          </cell>
          <cell r="AZ436">
            <v>1445.0360000000003</v>
          </cell>
          <cell r="BA436">
            <v>1130.4980000000003</v>
          </cell>
          <cell r="BB436">
            <v>1444.1389999999997</v>
          </cell>
          <cell r="BC436">
            <v>912.92799999999977</v>
          </cell>
          <cell r="BD436">
            <v>627.25399999999979</v>
          </cell>
          <cell r="BE436">
            <v>546.94099999999958</v>
          </cell>
          <cell r="BF436">
            <v>563.58999999999969</v>
          </cell>
          <cell r="BG436">
            <v>912.92799999999977</v>
          </cell>
          <cell r="BH436">
            <v>329.9409999999998</v>
          </cell>
          <cell r="BI436">
            <v>291.45399999999961</v>
          </cell>
          <cell r="BJ436">
            <v>252.01254637771905</v>
          </cell>
          <cell r="BK436">
            <v>211.40384193908918</v>
          </cell>
          <cell r="BL436">
            <v>329.9409999999998</v>
          </cell>
          <cell r="BM436">
            <v>172.63942599640094</v>
          </cell>
          <cell r="BN436">
            <v>144.6568618965911</v>
          </cell>
          <cell r="BO436">
            <v>148.02085714852106</v>
          </cell>
        </row>
        <row r="437">
          <cell r="A437" t="str">
            <v>Add :</v>
          </cell>
        </row>
        <row r="438">
          <cell r="A438" t="str">
            <v>Issue of Shares (including premium)</v>
          </cell>
          <cell r="H438">
            <v>266.06900000000002</v>
          </cell>
          <cell r="I438">
            <v>-383.815</v>
          </cell>
          <cell r="J438">
            <v>4.853999999999985</v>
          </cell>
          <cell r="K438">
            <v>6.6650000000000205</v>
          </cell>
          <cell r="L438">
            <v>5.367999999999995</v>
          </cell>
          <cell r="M438">
            <v>8.5389999999999873</v>
          </cell>
          <cell r="N438">
            <v>25.425999999999988</v>
          </cell>
          <cell r="O438">
            <v>10.977999999999952</v>
          </cell>
          <cell r="P438">
            <v>7.9839999999999804</v>
          </cell>
          <cell r="Q438">
            <v>7.5730000000000359</v>
          </cell>
          <cell r="R438">
            <v>112.57400000000001</v>
          </cell>
          <cell r="S438">
            <v>139.10899999999998</v>
          </cell>
          <cell r="T438">
            <v>9.8450000000000273</v>
          </cell>
          <cell r="U438">
            <v>4.3449999999999704</v>
          </cell>
          <cell r="V438">
            <v>447.83400000000006</v>
          </cell>
          <cell r="W438">
            <v>13.242999999999938</v>
          </cell>
          <cell r="X438">
            <v>475.267</v>
          </cell>
          <cell r="Y438">
            <v>20.30600000000004</v>
          </cell>
          <cell r="Z438">
            <v>13.562000000000012</v>
          </cell>
          <cell r="AA438">
            <v>7.5600000000000591</v>
          </cell>
          <cell r="AB438">
            <v>-0.26300000000003365</v>
          </cell>
          <cell r="AC438">
            <v>41.164999999999964</v>
          </cell>
          <cell r="AD438">
            <v>13.066000000000031</v>
          </cell>
          <cell r="AE438">
            <v>8.7280000000000655</v>
          </cell>
          <cell r="AF438">
            <v>8.3139999999998508</v>
          </cell>
          <cell r="AG438">
            <v>-96.845000000000027</v>
          </cell>
          <cell r="AH438">
            <v>-66.736999999999966</v>
          </cell>
          <cell r="AI438">
            <v>7.4969999999999573</v>
          </cell>
          <cell r="AJ438">
            <v>7.0890000000000555</v>
          </cell>
          <cell r="AK438">
            <v>-93.065000000000055</v>
          </cell>
          <cell r="AL438">
            <v>4.9090000000001055</v>
          </cell>
          <cell r="AM438">
            <v>-73.57000000000005</v>
          </cell>
          <cell r="AS438">
            <v>-93.661000000000058</v>
          </cell>
          <cell r="AT438">
            <v>8.0900000000001455</v>
          </cell>
          <cell r="AU438">
            <v>-290.73500000000013</v>
          </cell>
          <cell r="AV438">
            <v>4.6570000000000391</v>
          </cell>
          <cell r="AW438">
            <v>-371.649</v>
          </cell>
          <cell r="AX438">
            <v>6.0630000000001019</v>
          </cell>
          <cell r="AY438">
            <v>-64.268999999999892</v>
          </cell>
          <cell r="AZ438">
            <v>-348.34100000000012</v>
          </cell>
          <cell r="BA438">
            <v>-249.79199999999992</v>
          </cell>
          <cell r="BB438">
            <v>-656.33899999999983</v>
          </cell>
          <cell r="BC438">
            <v>-324.15899999999988</v>
          </cell>
          <cell r="BD438">
            <v>-113.45200000000023</v>
          </cell>
          <cell r="BE438">
            <v>-19.2349999999999</v>
          </cell>
          <cell r="BF438">
            <v>-265.80799999999999</v>
          </cell>
          <cell r="BG438">
            <v>-722.654</v>
          </cell>
          <cell r="BH438">
            <v>-88.828000000000202</v>
          </cell>
          <cell r="BI438">
            <v>-90.682795231476348</v>
          </cell>
          <cell r="BJ438">
            <v>-90.691005293788976</v>
          </cell>
          <cell r="BK438">
            <v>-90.577277285723085</v>
          </cell>
          <cell r="BL438">
            <v>-360.77907781098861</v>
          </cell>
          <cell r="BM438">
            <v>-260.52630508224615</v>
          </cell>
          <cell r="BN438">
            <v>-257.92345380189022</v>
          </cell>
          <cell r="BO438">
            <v>-255.05661404359671</v>
          </cell>
          <cell r="CI438" t="str">
            <v>mstag:netIssuanceRepurchaseOfCommonStock</v>
          </cell>
          <cell r="CJ438">
            <v>6</v>
          </cell>
          <cell r="CK438" t="str">
            <v>ISO4217:USD</v>
          </cell>
          <cell r="CL438" t="b">
            <v>0</v>
          </cell>
        </row>
        <row r="439">
          <cell r="A439" t="str">
            <v>Net Income</v>
          </cell>
          <cell r="H439">
            <v>18.238999999999997</v>
          </cell>
          <cell r="I439">
            <v>81.11099999999999</v>
          </cell>
          <cell r="J439">
            <v>17.93399999999999</v>
          </cell>
          <cell r="K439">
            <v>18.631000000000007</v>
          </cell>
          <cell r="L439">
            <v>18.878000000000007</v>
          </cell>
          <cell r="M439">
            <v>12.824999999999998</v>
          </cell>
          <cell r="N439">
            <v>68.268000000000029</v>
          </cell>
          <cell r="O439">
            <v>16.723999999999997</v>
          </cell>
          <cell r="P439">
            <v>19.618000000000002</v>
          </cell>
          <cell r="Q439">
            <v>20.923999999999985</v>
          </cell>
          <cell r="R439">
            <v>24.534999999999997</v>
          </cell>
          <cell r="S439">
            <v>81.801000000000002</v>
          </cell>
          <cell r="T439">
            <v>27.517999999999997</v>
          </cell>
          <cell r="U439">
            <v>24.067000000000007</v>
          </cell>
          <cell r="V439">
            <v>10.319000000000006</v>
          </cell>
          <cell r="W439">
            <v>30.26599999999998</v>
          </cell>
          <cell r="X439">
            <v>92.170000000000101</v>
          </cell>
          <cell r="Y439">
            <v>33.520999999999972</v>
          </cell>
          <cell r="Z439">
            <v>45.660000000000011</v>
          </cell>
          <cell r="AA439">
            <v>49.787000000000006</v>
          </cell>
          <cell r="AB439">
            <v>44.486000000000018</v>
          </cell>
          <cell r="AC439">
            <v>173.45400000000012</v>
          </cell>
          <cell r="AD439">
            <v>43.96599999999998</v>
          </cell>
          <cell r="AE439">
            <v>37.546000000000021</v>
          </cell>
          <cell r="AF439">
            <v>48.274000000000008</v>
          </cell>
          <cell r="AG439">
            <v>54.452000000000027</v>
          </cell>
          <cell r="AH439">
            <v>184.23800000000003</v>
          </cell>
          <cell r="AI439">
            <v>58.936999999999983</v>
          </cell>
          <cell r="AJ439">
            <v>61.052999999999997</v>
          </cell>
          <cell r="AK439">
            <v>55.30999999999996</v>
          </cell>
          <cell r="AL439">
            <v>47.256999999999948</v>
          </cell>
          <cell r="AM439">
            <v>222.5569999999999</v>
          </cell>
          <cell r="AS439">
            <v>80.411000000000044</v>
          </cell>
          <cell r="AT439">
            <v>107.72900000000001</v>
          </cell>
          <cell r="AU439">
            <v>51.610000000000028</v>
          </cell>
          <cell r="AV439">
            <v>44.387999999999977</v>
          </cell>
          <cell r="AW439">
            <v>284.13800000000003</v>
          </cell>
          <cell r="AX439">
            <v>43.83799999999998</v>
          </cell>
          <cell r="AY439">
            <v>55.997000000000014</v>
          </cell>
          <cell r="AZ439">
            <v>64.403999999999911</v>
          </cell>
          <cell r="BA439">
            <v>59.406000000000034</v>
          </cell>
          <cell r="BB439">
            <v>223.64499999999995</v>
          </cell>
          <cell r="BC439">
            <v>60.366999999999976</v>
          </cell>
          <cell r="BD439">
            <v>66.95</v>
          </cell>
          <cell r="BE439">
            <v>65.281000000000063</v>
          </cell>
          <cell r="BF439">
            <v>68.25</v>
          </cell>
          <cell r="BG439">
            <v>260.84800000000007</v>
          </cell>
          <cell r="BH439">
            <v>72.950999999999965</v>
          </cell>
          <cell r="BI439">
            <v>74.354018153948203</v>
          </cell>
          <cell r="BJ439">
            <v>75.225123160904261</v>
          </cell>
          <cell r="BK439">
            <v>76.680050651535112</v>
          </cell>
          <cell r="BL439">
            <v>299.21019196638753</v>
          </cell>
          <cell r="BM439">
            <v>337.41299065209705</v>
          </cell>
          <cell r="BN439">
            <v>377.14409422794131</v>
          </cell>
          <cell r="BO439">
            <v>421.37320014613891</v>
          </cell>
        </row>
        <row r="440">
          <cell r="A440" t="str">
            <v>Dividend</v>
          </cell>
          <cell r="D440">
            <v>5</v>
          </cell>
          <cell r="H440">
            <v>0</v>
          </cell>
          <cell r="I440">
            <v>-973</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S440">
            <v>0</v>
          </cell>
          <cell r="AT440">
            <v>0</v>
          </cell>
          <cell r="AU440">
            <v>0</v>
          </cell>
          <cell r="AV440">
            <v>-20.393000000000001</v>
          </cell>
          <cell r="AW440">
            <v>-20.393000000000001</v>
          </cell>
          <cell r="AX440">
            <v>-20.405999999999999</v>
          </cell>
          <cell r="AY440">
            <v>-20.437000000000005</v>
          </cell>
          <cell r="AZ440">
            <v>-24.146000000000001</v>
          </cell>
          <cell r="BA440">
            <v>-22.753999999999991</v>
          </cell>
          <cell r="BB440">
            <v>-87.742999999999995</v>
          </cell>
          <cell r="BC440">
            <v>-21.888999999999999</v>
          </cell>
          <cell r="BD440">
            <v>-21.391999999999999</v>
          </cell>
          <cell r="BE440">
            <v>-26.652000000000008</v>
          </cell>
          <cell r="BF440">
            <v>-26.257999999999996</v>
          </cell>
          <cell r="BG440">
            <v>-96.191000000000003</v>
          </cell>
          <cell r="BH440">
            <v>-25.489000000000001</v>
          </cell>
          <cell r="BI440">
            <v>-23.112676544752436</v>
          </cell>
          <cell r="BJ440">
            <v>-25.142822305745163</v>
          </cell>
          <cell r="BK440">
            <v>-24.867189308500159</v>
          </cell>
          <cell r="BL440">
            <v>-98.611688158997751</v>
          </cell>
          <cell r="BM440">
            <v>-104.86924966966075</v>
          </cell>
          <cell r="BN440">
            <v>-115.8566451741211</v>
          </cell>
          <cell r="BO440">
            <v>-127.9229401846401</v>
          </cell>
          <cell r="CI440" t="str">
            <v>mstag:commonDividends</v>
          </cell>
          <cell r="CJ440">
            <v>6</v>
          </cell>
          <cell r="CK440" t="str">
            <v>ISO4217:USD</v>
          </cell>
          <cell r="CL440" t="b">
            <v>1</v>
          </cell>
        </row>
        <row r="441">
          <cell r="A441" t="str">
            <v>AOCI</v>
          </cell>
          <cell r="H441">
            <v>1.635</v>
          </cell>
          <cell r="I441">
            <v>0.129</v>
          </cell>
          <cell r="J441">
            <v>-0.46800000000000003</v>
          </cell>
          <cell r="K441">
            <v>3.3959999999999999</v>
          </cell>
          <cell r="L441">
            <v>-1.75</v>
          </cell>
          <cell r="M441">
            <v>-8.3390000000000004</v>
          </cell>
          <cell r="N441">
            <v>-7.1610000000000005</v>
          </cell>
          <cell r="O441">
            <v>-0.90599999999999969</v>
          </cell>
          <cell r="P441">
            <v>-0.34299999999999997</v>
          </cell>
          <cell r="Q441">
            <v>0.14599999999999902</v>
          </cell>
          <cell r="R441">
            <v>0.86700000000000088</v>
          </cell>
          <cell r="S441">
            <v>-0.23599999999999977</v>
          </cell>
          <cell r="T441">
            <v>1.242</v>
          </cell>
          <cell r="U441">
            <v>2.3609999999999998</v>
          </cell>
          <cell r="V441">
            <v>-0.38699999999999957</v>
          </cell>
          <cell r="W441">
            <v>2.4079999999999995</v>
          </cell>
          <cell r="X441">
            <v>5.6239999999998815</v>
          </cell>
          <cell r="Y441">
            <v>2.2549999999999999</v>
          </cell>
          <cell r="Z441">
            <v>-0.19999999999999998</v>
          </cell>
          <cell r="AA441">
            <v>-4.4440000000000008</v>
          </cell>
          <cell r="AB441">
            <v>-0.73899999999999988</v>
          </cell>
          <cell r="AC441">
            <v>-3.1280000000000001</v>
          </cell>
          <cell r="AD441">
            <v>2.14</v>
          </cell>
          <cell r="AE441">
            <v>-1.222</v>
          </cell>
          <cell r="AF441">
            <v>1.819</v>
          </cell>
          <cell r="AG441">
            <v>-0.43899999999999961</v>
          </cell>
          <cell r="AH441">
            <v>2.2980000000000005</v>
          </cell>
          <cell r="AI441">
            <v>-2.927</v>
          </cell>
          <cell r="AJ441">
            <v>-1.0520000000000005</v>
          </cell>
          <cell r="AK441">
            <v>4.0739999999999998</v>
          </cell>
          <cell r="AL441">
            <v>2.0510000000000002</v>
          </cell>
          <cell r="AM441">
            <v>2.1459999999999999</v>
          </cell>
          <cell r="AS441">
            <v>0.629</v>
          </cell>
          <cell r="AT441">
            <v>-1.522</v>
          </cell>
          <cell r="AU441">
            <v>-10.733000000000001</v>
          </cell>
          <cell r="AV441">
            <v>-12.695</v>
          </cell>
          <cell r="AW441">
            <v>-24.321000000000002</v>
          </cell>
          <cell r="AX441">
            <v>-6.5990000000000002</v>
          </cell>
          <cell r="AY441">
            <v>6.7100000000000009</v>
          </cell>
          <cell r="AZ441">
            <v>-6.4550000000000018</v>
          </cell>
          <cell r="BA441">
            <v>-4.4299999999999962</v>
          </cell>
          <cell r="BB441">
            <v>-10.773999999999997</v>
          </cell>
          <cell r="BC441">
            <v>6.9999999999978968E-3</v>
          </cell>
          <cell r="BD441">
            <v>-12.418999999999997</v>
          </cell>
          <cell r="BE441">
            <v>-2.7450000000000045</v>
          </cell>
          <cell r="BF441">
            <v>-9.8329999999999984</v>
          </cell>
          <cell r="BG441">
            <v>-24.990000000000002</v>
          </cell>
          <cell r="BH441">
            <v>2.8789999999999978</v>
          </cell>
          <cell r="BI441">
            <v>0</v>
          </cell>
          <cell r="BJ441">
            <v>0</v>
          </cell>
          <cell r="BK441">
            <v>0</v>
          </cell>
          <cell r="BL441">
            <v>2.8789999999999978</v>
          </cell>
          <cell r="BM441">
            <v>0</v>
          </cell>
          <cell r="BN441">
            <v>0</v>
          </cell>
          <cell r="BO441">
            <v>0</v>
          </cell>
          <cell r="CI441" t="str">
            <v>mstag:otherChangeInAccumulatedOtherComprehensiveIncomeLoss</v>
          </cell>
          <cell r="CJ441">
            <v>6</v>
          </cell>
          <cell r="CK441" t="str">
            <v>ISO4217:USD</v>
          </cell>
          <cell r="CL441" t="b">
            <v>0</v>
          </cell>
        </row>
        <row r="442">
          <cell r="A442" t="str">
            <v>Other AOCI</v>
          </cell>
          <cell r="H442">
            <v>7.1054273576010019E-15</v>
          </cell>
          <cell r="I442">
            <v>649.88400000000001</v>
          </cell>
          <cell r="J442">
            <v>-0.17199999999998994</v>
          </cell>
          <cell r="K442">
            <v>-7.1054273576010019E-15</v>
          </cell>
          <cell r="L442">
            <v>-7.1054273576010019E-15</v>
          </cell>
          <cell r="M442">
            <v>1.7763568394002505E-15</v>
          </cell>
          <cell r="N442">
            <v>-0.17200000000002547</v>
          </cell>
          <cell r="O442">
            <v>3.5527136788005009E-15</v>
          </cell>
          <cell r="P442">
            <v>0</v>
          </cell>
          <cell r="Q442">
            <v>1.4210854715202004E-14</v>
          </cell>
          <cell r="R442">
            <v>7.1054273576010019E-15</v>
          </cell>
          <cell r="S442">
            <v>0</v>
          </cell>
          <cell r="T442">
            <v>3.5527136788005009E-15</v>
          </cell>
          <cell r="U442">
            <v>0</v>
          </cell>
          <cell r="V442">
            <v>-1.7763568394002505E-14</v>
          </cell>
          <cell r="W442">
            <v>1.0658141036401503E-14</v>
          </cell>
          <cell r="X442">
            <v>-1.1368683772161603E-13</v>
          </cell>
          <cell r="Y442">
            <v>13.824000000000026</v>
          </cell>
          <cell r="Z442">
            <v>-1.4210854715202004E-14</v>
          </cell>
          <cell r="AA442">
            <v>2.8421709430404007E-14</v>
          </cell>
          <cell r="AB442">
            <v>-2.8421709430404007E-14</v>
          </cell>
          <cell r="AC442">
            <v>13.824000000000012</v>
          </cell>
          <cell r="AD442">
            <v>0</v>
          </cell>
          <cell r="AE442">
            <v>0</v>
          </cell>
          <cell r="AF442">
            <v>0</v>
          </cell>
          <cell r="AG442">
            <v>0</v>
          </cell>
          <cell r="AH442">
            <v>0</v>
          </cell>
          <cell r="AI442">
            <v>0</v>
          </cell>
          <cell r="AJ442">
            <v>0</v>
          </cell>
          <cell r="AK442">
            <v>0</v>
          </cell>
          <cell r="AL442">
            <v>0</v>
          </cell>
          <cell r="AM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cell r="BM442">
            <v>0</v>
          </cell>
          <cell r="BN442">
            <v>0</v>
          </cell>
          <cell r="BO442">
            <v>0</v>
          </cell>
          <cell r="CI442" t="str">
            <v>mstag:otherChangeInAccumulatedOtherComprehensiveIncomeLoss</v>
          </cell>
          <cell r="CJ442">
            <v>6</v>
          </cell>
          <cell r="CK442" t="str">
            <v>ISO4217:USD</v>
          </cell>
          <cell r="CL442" t="b">
            <v>0</v>
          </cell>
        </row>
        <row r="444">
          <cell r="A444" t="str">
            <v>Closing Balance</v>
          </cell>
          <cell r="D444" t="str">
            <v>NA</v>
          </cell>
          <cell r="H444">
            <v>200.02099999999999</v>
          </cell>
          <cell r="I444">
            <v>200.02100000000007</v>
          </cell>
          <cell r="J444">
            <v>222.16900000000007</v>
          </cell>
          <cell r="K444">
            <v>250.86100000000008</v>
          </cell>
          <cell r="L444">
            <v>273.35700000000003</v>
          </cell>
          <cell r="M444">
            <v>286.38200000000001</v>
          </cell>
          <cell r="N444">
            <v>286.38200000000001</v>
          </cell>
          <cell r="O444">
            <v>313.17799999999994</v>
          </cell>
          <cell r="P444">
            <v>340.4369999999999</v>
          </cell>
          <cell r="Q444">
            <v>369.07999999999993</v>
          </cell>
          <cell r="R444">
            <v>507.05599999999998</v>
          </cell>
          <cell r="S444">
            <v>507.05599999999998</v>
          </cell>
          <cell r="T444">
            <v>545.66100000000006</v>
          </cell>
          <cell r="U444">
            <v>576.43400000000008</v>
          </cell>
          <cell r="V444">
            <v>1034.2</v>
          </cell>
          <cell r="W444">
            <v>1080.117</v>
          </cell>
          <cell r="X444">
            <v>1080.1169999999997</v>
          </cell>
          <cell r="Y444">
            <v>1150.0229999999999</v>
          </cell>
          <cell r="Z444">
            <v>1209.0450000000001</v>
          </cell>
          <cell r="AA444">
            <v>1261.9480000000001</v>
          </cell>
          <cell r="AB444">
            <v>1305.432</v>
          </cell>
          <cell r="AC444">
            <v>1305.432</v>
          </cell>
          <cell r="AD444">
            <v>1364.604</v>
          </cell>
          <cell r="AE444">
            <v>1409.6560000000002</v>
          </cell>
          <cell r="AF444">
            <v>1468.0630000000001</v>
          </cell>
          <cell r="AG444">
            <v>1425.231</v>
          </cell>
          <cell r="AH444">
            <v>1425.2310000000002</v>
          </cell>
          <cell r="AI444">
            <v>1488.7380000000001</v>
          </cell>
          <cell r="AJ444">
            <v>1555.8280000000002</v>
          </cell>
          <cell r="AK444">
            <v>1522.1470000000002</v>
          </cell>
          <cell r="AL444">
            <v>1576.364</v>
          </cell>
          <cell r="AM444">
            <v>1576.3639999999998</v>
          </cell>
          <cell r="AS444">
            <v>1563.7429999999997</v>
          </cell>
          <cell r="AT444">
            <v>1678.04</v>
          </cell>
          <cell r="AU444">
            <v>1428.182</v>
          </cell>
          <cell r="AV444">
            <v>1444.1389999999999</v>
          </cell>
          <cell r="AW444">
            <v>1444.1389999999997</v>
          </cell>
          <cell r="AX444">
            <v>1467.0349999999999</v>
          </cell>
          <cell r="AY444">
            <v>1445.0360000000003</v>
          </cell>
          <cell r="AZ444">
            <v>1130.4980000000003</v>
          </cell>
          <cell r="BA444">
            <v>912.92800000000045</v>
          </cell>
          <cell r="BB444">
            <v>912.92799999999977</v>
          </cell>
          <cell r="BC444">
            <v>627.25399999999979</v>
          </cell>
          <cell r="BD444">
            <v>546.94099999999958</v>
          </cell>
          <cell r="BE444">
            <v>563.58999999999969</v>
          </cell>
          <cell r="BF444">
            <v>329.94099999999969</v>
          </cell>
          <cell r="BG444">
            <v>329.9409999999998</v>
          </cell>
          <cell r="BH444">
            <v>291.45399999999961</v>
          </cell>
          <cell r="BI444">
            <v>252.01254637771905</v>
          </cell>
          <cell r="BJ444">
            <v>211.40384193908918</v>
          </cell>
          <cell r="BK444">
            <v>172.63942599640103</v>
          </cell>
          <cell r="BL444">
            <v>172.63942599640094</v>
          </cell>
          <cell r="BM444">
            <v>144.6568618965911</v>
          </cell>
          <cell r="BN444">
            <v>148.02085714852106</v>
          </cell>
          <cell r="BO444">
            <v>186.41450306642321</v>
          </cell>
        </row>
        <row r="445">
          <cell r="A445" t="str">
            <v>Check for Shareholders Equity</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S445">
            <v>1.1999999999716238E-2</v>
          </cell>
          <cell r="AT445">
            <v>11.361999999999853</v>
          </cell>
          <cell r="AU445">
            <v>31.648000000000138</v>
          </cell>
          <cell r="AV445">
            <v>11.305999999999813</v>
          </cell>
          <cell r="AW445">
            <v>11.305999999999585</v>
          </cell>
          <cell r="AX445">
            <v>11.334999999999809</v>
          </cell>
          <cell r="AY445">
            <v>11.322000000000116</v>
          </cell>
          <cell r="AZ445">
            <v>11.393000000000484</v>
          </cell>
          <cell r="BA445">
            <v>11.441000000000486</v>
          </cell>
          <cell r="BB445">
            <v>11.440999999999804</v>
          </cell>
          <cell r="BC445">
            <v>11.597999999999843</v>
          </cell>
          <cell r="BD445">
            <v>11.78799999999967</v>
          </cell>
          <cell r="BE445">
            <v>12.070999999999685</v>
          </cell>
          <cell r="BF445">
            <v>12.335999999999785</v>
          </cell>
          <cell r="BG445">
            <v>12.335999999999899</v>
          </cell>
          <cell r="BH445">
            <v>12.615999999999872</v>
          </cell>
          <cell r="BI445">
            <v>12.616000000000042</v>
          </cell>
          <cell r="BJ445">
            <v>12.6159999999999</v>
          </cell>
          <cell r="BK445">
            <v>12.615999999999929</v>
          </cell>
          <cell r="BL445">
            <v>12.615999999999843</v>
          </cell>
          <cell r="BM445">
            <v>12.6159999999999</v>
          </cell>
          <cell r="BN445">
            <v>12.6159999999999</v>
          </cell>
          <cell r="BO445">
            <v>12.616000000000327</v>
          </cell>
        </row>
        <row r="448">
          <cell r="A448" t="str">
            <v>FCF Calculation</v>
          </cell>
        </row>
        <row r="449">
          <cell r="A449" t="str">
            <v xml:space="preserve"> EBITDA</v>
          </cell>
          <cell r="D449">
            <v>112.95099999999996</v>
          </cell>
          <cell r="E449">
            <v>36.403000000000013</v>
          </cell>
          <cell r="F449">
            <v>33.446999999999989</v>
          </cell>
          <cell r="G449">
            <v>40.40100000000001</v>
          </cell>
          <cell r="H449">
            <v>48.710999999999999</v>
          </cell>
          <cell r="I449">
            <v>158.96200000000002</v>
          </cell>
          <cell r="J449">
            <v>47.566999999999993</v>
          </cell>
          <cell r="K449">
            <v>47.43</v>
          </cell>
          <cell r="L449">
            <v>51.25800000000001</v>
          </cell>
          <cell r="M449">
            <v>48.589999999999996</v>
          </cell>
          <cell r="N449">
            <v>194.84500000000003</v>
          </cell>
          <cell r="O449">
            <v>48.465000000000003</v>
          </cell>
          <cell r="P449">
            <v>53.392000000000003</v>
          </cell>
          <cell r="Q449">
            <v>53.954999999999991</v>
          </cell>
          <cell r="R449">
            <v>59.262</v>
          </cell>
          <cell r="S449">
            <v>215.07399999999998</v>
          </cell>
          <cell r="T449">
            <v>59.248999999999995</v>
          </cell>
          <cell r="U449">
            <v>61.83400000000001</v>
          </cell>
          <cell r="V449">
            <v>85.518000000000001</v>
          </cell>
          <cell r="W449">
            <v>98.913999999999987</v>
          </cell>
          <cell r="X449">
            <v>307.60300000000007</v>
          </cell>
          <cell r="Y449">
            <v>104.47499999999998</v>
          </cell>
          <cell r="Z449">
            <v>106.995</v>
          </cell>
          <cell r="AA449">
            <v>103.62400000000002</v>
          </cell>
          <cell r="AB449">
            <v>103.64800000000002</v>
          </cell>
          <cell r="AC449">
            <v>418.74200000000008</v>
          </cell>
          <cell r="AD449">
            <v>101.90699999999998</v>
          </cell>
          <cell r="AE449">
            <v>107.91200000000001</v>
          </cell>
          <cell r="AF449">
            <v>108.07400000000001</v>
          </cell>
          <cell r="AG449">
            <v>116.56700000000001</v>
          </cell>
          <cell r="AH449">
            <v>434.46</v>
          </cell>
          <cell r="AI449">
            <v>110.09299999999999</v>
          </cell>
          <cell r="AJ449">
            <v>116.56200000000003</v>
          </cell>
          <cell r="AK449">
            <v>112.81799999999996</v>
          </cell>
          <cell r="AL449">
            <v>113.99399999999994</v>
          </cell>
          <cell r="AM449">
            <v>453.46699999999987</v>
          </cell>
          <cell r="AS449">
            <v>96.615000000000038</v>
          </cell>
          <cell r="AT449">
            <v>105.96300000000002</v>
          </cell>
          <cell r="AU449">
            <v>101.84800000000001</v>
          </cell>
          <cell r="AV449">
            <v>104.35299999999998</v>
          </cell>
          <cell r="AW449">
            <v>408.779</v>
          </cell>
          <cell r="AX449">
            <v>107.66199999999998</v>
          </cell>
          <cell r="AY449">
            <v>118.251</v>
          </cell>
          <cell r="AZ449">
            <v>128.8669999999999</v>
          </cell>
          <cell r="BA449">
            <v>126.91400000000004</v>
          </cell>
          <cell r="BB449">
            <v>481.69399999999996</v>
          </cell>
          <cell r="BC449">
            <v>133.14899999999997</v>
          </cell>
          <cell r="BD449">
            <v>146.02700000000002</v>
          </cell>
          <cell r="BE449">
            <v>143.32400000000004</v>
          </cell>
          <cell r="BF449">
            <v>146.95699999999999</v>
          </cell>
          <cell r="BG449">
            <v>569.45699999999999</v>
          </cell>
          <cell r="BH449">
            <v>150.69099999999997</v>
          </cell>
          <cell r="BI449">
            <v>158.61780893530022</v>
          </cell>
          <cell r="BJ449">
            <v>159.84095656236559</v>
          </cell>
          <cell r="BK449">
            <v>162.08487301724054</v>
          </cell>
          <cell r="BL449">
            <v>631.22663851490643</v>
          </cell>
          <cell r="BM449">
            <v>684.02545943090399</v>
          </cell>
          <cell r="BN449">
            <v>741.42874661289022</v>
          </cell>
          <cell r="BO449">
            <v>805.05596177833309</v>
          </cell>
        </row>
        <row r="450">
          <cell r="A450" t="str">
            <v xml:space="preserve"> - Capex / Acquisitions</v>
          </cell>
          <cell r="D450">
            <v>-2.4350000000000001</v>
          </cell>
          <cell r="E450">
            <v>-5.8000000000000003E-2</v>
          </cell>
          <cell r="F450">
            <v>-0.29899999999999999</v>
          </cell>
          <cell r="G450">
            <v>-0.58899999999999997</v>
          </cell>
          <cell r="H450">
            <v>0.41099999999999992</v>
          </cell>
          <cell r="I450">
            <v>-0.53500000000000003</v>
          </cell>
          <cell r="J450">
            <v>-0.96099999999999997</v>
          </cell>
          <cell r="K450">
            <v>-4.859</v>
          </cell>
          <cell r="L450">
            <v>-13.277000000000001</v>
          </cell>
          <cell r="M450">
            <v>-6.4589999999999996</v>
          </cell>
          <cell r="N450">
            <v>-25.556000000000001</v>
          </cell>
          <cell r="O450">
            <v>-6.0330000000000004</v>
          </cell>
          <cell r="P450">
            <v>-3.4859999999999998</v>
          </cell>
          <cell r="Q450">
            <v>-1.6690000000000005</v>
          </cell>
          <cell r="R450">
            <v>-2.2240000000000002</v>
          </cell>
          <cell r="S450">
            <v>-13.412000000000001</v>
          </cell>
          <cell r="T450">
            <v>-3.2850000000000001</v>
          </cell>
          <cell r="U450">
            <v>-1.4109999999999996</v>
          </cell>
          <cell r="V450">
            <v>-2.399</v>
          </cell>
          <cell r="W450">
            <v>-6.0729999999999995</v>
          </cell>
          <cell r="X450">
            <v>-13.167999999999999</v>
          </cell>
          <cell r="Y450">
            <v>-3.835</v>
          </cell>
          <cell r="Z450">
            <v>-2.8970000000000002</v>
          </cell>
          <cell r="AA450">
            <v>-10.11</v>
          </cell>
          <cell r="AB450">
            <v>-6.2690000000000019</v>
          </cell>
          <cell r="AC450">
            <v>-23.111000000000001</v>
          </cell>
          <cell r="AD450">
            <v>-4.2919999999999998</v>
          </cell>
          <cell r="AE450">
            <v>-15.654000000000002</v>
          </cell>
          <cell r="AF450">
            <v>-18.162999999999997</v>
          </cell>
          <cell r="AG450">
            <v>-6.7750000000000057</v>
          </cell>
          <cell r="AH450">
            <v>-44.884</v>
          </cell>
          <cell r="AI450">
            <v>-4.8</v>
          </cell>
          <cell r="AJ450">
            <v>-3.6909999999999998</v>
          </cell>
          <cell r="AK450">
            <v>-14.208000000000002</v>
          </cell>
          <cell r="AL450">
            <v>-20.812000000000001</v>
          </cell>
          <cell r="AM450">
            <v>-43.511000000000003</v>
          </cell>
          <cell r="AS450">
            <v>-10.059999999999999</v>
          </cell>
          <cell r="AT450">
            <v>-11.904000000000003</v>
          </cell>
          <cell r="AU450">
            <v>-20.273</v>
          </cell>
          <cell r="AV450">
            <v>-8.6159999999999997</v>
          </cell>
          <cell r="AW450">
            <v>-50.853000000000002</v>
          </cell>
          <cell r="AX450">
            <v>-6.32</v>
          </cell>
          <cell r="AY450">
            <v>-11.962</v>
          </cell>
          <cell r="AZ450">
            <v>-12.305</v>
          </cell>
          <cell r="BA450">
            <v>-18.510000000000002</v>
          </cell>
          <cell r="BB450">
            <v>-49.097000000000001</v>
          </cell>
          <cell r="BC450">
            <v>-3.1349999999999998</v>
          </cell>
          <cell r="BD450">
            <v>-15.23</v>
          </cell>
          <cell r="BE450">
            <v>-13.727999999999994</v>
          </cell>
          <cell r="BF450">
            <v>-10.535000000000002</v>
          </cell>
          <cell r="BG450">
            <v>-42.628</v>
          </cell>
          <cell r="BH450">
            <v>-9.6289999999999996</v>
          </cell>
          <cell r="BI450">
            <v>-12.501683497750001</v>
          </cell>
          <cell r="BJ450">
            <v>-12.489875262295001</v>
          </cell>
          <cell r="BK450">
            <v>-14.235126907304739</v>
          </cell>
          <cell r="BL450">
            <v>-48.855685667349739</v>
          </cell>
          <cell r="BM450">
            <v>-50.28743348128755</v>
          </cell>
          <cell r="BN450">
            <v>-51.692994059494524</v>
          </cell>
          <cell r="BO450">
            <v>-53.148358477417041</v>
          </cell>
        </row>
        <row r="451">
          <cell r="A451" t="str">
            <v xml:space="preserve"> - Cash Interest Expense</v>
          </cell>
          <cell r="D451">
            <v>-0.35199999999999998</v>
          </cell>
          <cell r="E451">
            <v>-9.7000000000000003E-2</v>
          </cell>
          <cell r="F451">
            <v>-0.5</v>
          </cell>
          <cell r="G451">
            <v>-1.2590000000000001</v>
          </cell>
          <cell r="H451">
            <v>-6.7029999999999994</v>
          </cell>
          <cell r="I451">
            <v>-8.5589999999999993</v>
          </cell>
          <cell r="J451">
            <v>-8.9749999999999996</v>
          </cell>
          <cell r="K451">
            <v>-6.3369999999999997</v>
          </cell>
          <cell r="L451">
            <v>-5.2820000000000018</v>
          </cell>
          <cell r="M451">
            <v>-5.3729999999999958</v>
          </cell>
          <cell r="N451">
            <v>-25.966999999999999</v>
          </cell>
          <cell r="O451">
            <v>-5.3040000000000003</v>
          </cell>
          <cell r="P451">
            <v>-4.4979999999999993</v>
          </cell>
          <cell r="Q451">
            <v>-4.2040000000000006</v>
          </cell>
          <cell r="R451">
            <v>-4.2469999999999999</v>
          </cell>
          <cell r="S451">
            <v>-18.253</v>
          </cell>
          <cell r="T451">
            <v>-3.952</v>
          </cell>
          <cell r="U451">
            <v>-4.6069999999999993</v>
          </cell>
          <cell r="V451">
            <v>-15.589</v>
          </cell>
          <cell r="W451">
            <v>-15.952000000000002</v>
          </cell>
          <cell r="X451">
            <v>-40.1</v>
          </cell>
          <cell r="Y451">
            <v>-3.952</v>
          </cell>
          <cell r="Z451">
            <v>-25.954000000000001</v>
          </cell>
          <cell r="AA451">
            <v>-3.9519999999999982</v>
          </cell>
          <cell r="AB451">
            <v>-18.855000000000004</v>
          </cell>
          <cell r="AC451">
            <v>-52.713000000000001</v>
          </cell>
          <cell r="AD451">
            <v>-12.355</v>
          </cell>
          <cell r="AE451">
            <v>-29.581</v>
          </cell>
          <cell r="AF451">
            <v>-7.3140000000000001</v>
          </cell>
          <cell r="AG451">
            <v>-7.1779999999999999</v>
          </cell>
          <cell r="AH451">
            <v>-56.427999999999997</v>
          </cell>
          <cell r="AI451">
            <v>-7.02</v>
          </cell>
          <cell r="AJ451">
            <v>-6.5039999999999996</v>
          </cell>
          <cell r="AK451">
            <v>-5.827</v>
          </cell>
          <cell r="AL451">
            <v>-6.9139999999999997</v>
          </cell>
          <cell r="AM451">
            <v>-26.265000000000001</v>
          </cell>
          <cell r="AS451">
            <v>-5.0590000000000002</v>
          </cell>
          <cell r="AT451">
            <v>-5.3659999999999997</v>
          </cell>
          <cell r="AU451">
            <v>-5.6040000000000001</v>
          </cell>
          <cell r="AV451">
            <v>-15.791</v>
          </cell>
          <cell r="AW451">
            <v>-31.82</v>
          </cell>
          <cell r="AX451">
            <v>-11.108000000000001</v>
          </cell>
          <cell r="AY451">
            <v>-11.116</v>
          </cell>
          <cell r="AZ451">
            <v>-17.266999999999999</v>
          </cell>
          <cell r="BA451">
            <v>-22.896000000000001</v>
          </cell>
          <cell r="BB451">
            <v>-62.387</v>
          </cell>
          <cell r="BC451">
            <v>-22.904</v>
          </cell>
          <cell r="BD451">
            <v>-22.917999999999999</v>
          </cell>
          <cell r="BE451">
            <v>-26.79</v>
          </cell>
          <cell r="BF451">
            <v>-29.039000000000001</v>
          </cell>
          <cell r="BG451">
            <v>-101.651</v>
          </cell>
          <cell r="BH451">
            <v>-29.024000000000001</v>
          </cell>
          <cell r="BI451">
            <v>-29.029055100003013</v>
          </cell>
          <cell r="BJ451">
            <v>-29.029055100003013</v>
          </cell>
          <cell r="BK451">
            <v>-29.029055100003013</v>
          </cell>
          <cell r="BL451">
            <v>-116.11116530000905</v>
          </cell>
          <cell r="BM451">
            <v>-122.47951599999999</v>
          </cell>
          <cell r="BN451">
            <v>-124.55543999999999</v>
          </cell>
          <cell r="BO451">
            <v>-124.55543999999999</v>
          </cell>
        </row>
        <row r="452">
          <cell r="A452" t="str">
            <v xml:space="preserve"> - Changes in Working Capital </v>
          </cell>
          <cell r="D452">
            <v>-8.1010000000000009</v>
          </cell>
          <cell r="E452">
            <v>-12.254000000000003</v>
          </cell>
          <cell r="F452">
            <v>1.2499999999999967</v>
          </cell>
          <cell r="G452">
            <v>2.3690000000000015</v>
          </cell>
          <cell r="H452">
            <v>31.410999999999991</v>
          </cell>
          <cell r="I452">
            <v>22.775999999999989</v>
          </cell>
          <cell r="J452">
            <v>-6.3039999999999914</v>
          </cell>
          <cell r="K452">
            <v>31.348999999999997</v>
          </cell>
          <cell r="L452">
            <v>-2.0000000000000009</v>
          </cell>
          <cell r="M452">
            <v>0.32300000000000928</v>
          </cell>
          <cell r="N452">
            <v>23.368000000000006</v>
          </cell>
          <cell r="O452">
            <v>-8.8589999999999947</v>
          </cell>
          <cell r="P452">
            <v>15.110000000000001</v>
          </cell>
          <cell r="Q452">
            <v>16.914000000000005</v>
          </cell>
          <cell r="R452">
            <v>-28.537999999999997</v>
          </cell>
          <cell r="S452">
            <v>-5.3729999999999958</v>
          </cell>
          <cell r="T452">
            <v>-51.860000000000007</v>
          </cell>
          <cell r="U452">
            <v>30.982000000000003</v>
          </cell>
          <cell r="V452">
            <v>10.126999999999999</v>
          </cell>
          <cell r="W452">
            <v>5.5759999999999987</v>
          </cell>
          <cell r="X452">
            <v>-5.1749999999999954</v>
          </cell>
          <cell r="Y452">
            <v>-102.459</v>
          </cell>
          <cell r="Z452">
            <v>38.458999999999996</v>
          </cell>
          <cell r="AA452">
            <v>31.556000000000001</v>
          </cell>
          <cell r="AB452">
            <v>-9.6970000000000027</v>
          </cell>
          <cell r="AC452">
            <v>-42.140999999999991</v>
          </cell>
          <cell r="AD452">
            <v>4.8489999999999931</v>
          </cell>
          <cell r="AE452">
            <v>48.878</v>
          </cell>
          <cell r="AF452">
            <v>26.398000000000007</v>
          </cell>
          <cell r="AG452">
            <v>-16.687000000000012</v>
          </cell>
          <cell r="AH452">
            <v>63.437999999999988</v>
          </cell>
          <cell r="AI452">
            <v>-7.8520000000000003</v>
          </cell>
          <cell r="AJ452">
            <v>-10.656999999999993</v>
          </cell>
          <cell r="AK452">
            <v>-7.8460000000000036</v>
          </cell>
          <cell r="AL452">
            <v>32.392000000000003</v>
          </cell>
          <cell r="AM452">
            <v>6.0370000000000026</v>
          </cell>
          <cell r="AS452">
            <v>-53.396999999999998</v>
          </cell>
          <cell r="AT452">
            <v>-8.2500000000000018</v>
          </cell>
          <cell r="AU452">
            <v>31.411000000000001</v>
          </cell>
          <cell r="AV452">
            <v>31.265999999999998</v>
          </cell>
          <cell r="AW452">
            <v>1.0300000000000011</v>
          </cell>
          <cell r="AX452">
            <v>-7.9920000000000044</v>
          </cell>
          <cell r="AY452">
            <v>-42.319999999999993</v>
          </cell>
          <cell r="AZ452">
            <v>52.42</v>
          </cell>
          <cell r="BA452">
            <v>-0.64600000000000657</v>
          </cell>
          <cell r="BB452">
            <v>1.4619999999999989</v>
          </cell>
          <cell r="BC452">
            <v>-47.867000000000004</v>
          </cell>
          <cell r="BD452">
            <v>22.737000000000013</v>
          </cell>
          <cell r="BE452">
            <v>56.779999999999994</v>
          </cell>
          <cell r="BF452">
            <v>49.66</v>
          </cell>
          <cell r="BG452">
            <v>81.31</v>
          </cell>
          <cell r="BH452">
            <v>-64.257999999999996</v>
          </cell>
          <cell r="BI452">
            <v>-27.648251251528372</v>
          </cell>
          <cell r="BJ452">
            <v>56.686542437613312</v>
          </cell>
          <cell r="BK452">
            <v>47.105654940510298</v>
          </cell>
          <cell r="BL452">
            <v>11.885946126595242</v>
          </cell>
          <cell r="BM452">
            <v>-2.7375826855644476</v>
          </cell>
          <cell r="BN452">
            <v>-2.4383731868913152</v>
          </cell>
          <cell r="BO452">
            <v>-3.6307717950998679</v>
          </cell>
        </row>
        <row r="453">
          <cell r="A453" t="str">
            <v xml:space="preserve"> - Cash Taxes</v>
          </cell>
          <cell r="D453">
            <v>-7.2460000000000004</v>
          </cell>
          <cell r="E453">
            <v>-1.849</v>
          </cell>
          <cell r="F453">
            <v>-2.9879999999999995</v>
          </cell>
          <cell r="G453">
            <v>-0.37000000000000033</v>
          </cell>
          <cell r="H453">
            <v>-43.783999999999999</v>
          </cell>
          <cell r="I453">
            <v>-48.991</v>
          </cell>
          <cell r="J453">
            <v>-10.454000000000001</v>
          </cell>
          <cell r="K453">
            <v>-10.343999999999998</v>
          </cell>
          <cell r="L453">
            <v>-30.776000000000003</v>
          </cell>
          <cell r="M453">
            <v>-4.9430000000000014</v>
          </cell>
          <cell r="N453">
            <v>-56.516999999999996</v>
          </cell>
          <cell r="O453">
            <v>-5.2590000000000003</v>
          </cell>
          <cell r="P453">
            <v>-20.861999999999998</v>
          </cell>
          <cell r="Q453">
            <v>-15.654</v>
          </cell>
          <cell r="R453">
            <v>-19.61</v>
          </cell>
          <cell r="S453">
            <v>-61.384999999999998</v>
          </cell>
          <cell r="T453">
            <v>-7.2880000000000003</v>
          </cell>
          <cell r="U453">
            <v>-29.675999999999998</v>
          </cell>
          <cell r="V453">
            <v>-6.3490000000000038</v>
          </cell>
          <cell r="W453">
            <v>-2.8769999999999953</v>
          </cell>
          <cell r="X453">
            <v>-46.19</v>
          </cell>
          <cell r="Y453">
            <v>-7.2880000000000003</v>
          </cell>
          <cell r="Z453">
            <v>-45.537000000000006</v>
          </cell>
          <cell r="AA453">
            <v>-7.2879999999999967</v>
          </cell>
          <cell r="AB453">
            <v>-33.614999999999995</v>
          </cell>
          <cell r="AC453">
            <v>-93.727999999999994</v>
          </cell>
          <cell r="AD453">
            <v>-24.273</v>
          </cell>
          <cell r="AE453">
            <v>-19.715</v>
          </cell>
          <cell r="AF453">
            <v>-27.32</v>
          </cell>
          <cell r="AG453">
            <v>-33.863</v>
          </cell>
          <cell r="AH453">
            <v>-105.17099999999999</v>
          </cell>
          <cell r="AI453">
            <v>-24.614000000000001</v>
          </cell>
          <cell r="AJ453">
            <v>-30.206</v>
          </cell>
          <cell r="AK453">
            <v>-30.937000000000001</v>
          </cell>
          <cell r="AL453">
            <v>-37.307000000000002</v>
          </cell>
          <cell r="AM453">
            <v>-123.06400000000001</v>
          </cell>
          <cell r="AS453">
            <v>-26.385000000000002</v>
          </cell>
          <cell r="AT453">
            <v>-27.28</v>
          </cell>
          <cell r="AU453">
            <v>-28.271999999999998</v>
          </cell>
          <cell r="AV453">
            <v>-27.459</v>
          </cell>
          <cell r="AW453">
            <v>-109.39600000000002</v>
          </cell>
          <cell r="AX453">
            <v>-28.036000000000001</v>
          </cell>
          <cell r="AY453">
            <v>-31.399000000000001</v>
          </cell>
          <cell r="AZ453">
            <v>-34.643999999999998</v>
          </cell>
          <cell r="BA453">
            <v>-25.437000000000001</v>
          </cell>
          <cell r="BB453">
            <v>-119.51600000000001</v>
          </cell>
          <cell r="BC453">
            <v>-30.41</v>
          </cell>
          <cell r="BD453">
            <v>-33.587000000000003</v>
          </cell>
          <cell r="BE453">
            <v>-32.241</v>
          </cell>
          <cell r="BF453">
            <v>-28.844999999999999</v>
          </cell>
          <cell r="BG453">
            <v>-125.083</v>
          </cell>
          <cell r="BH453">
            <v>-28.673999999999999</v>
          </cell>
          <cell r="BI453">
            <v>-34.990126190093271</v>
          </cell>
          <cell r="BJ453">
            <v>-35.400057958072594</v>
          </cell>
          <cell r="BK453">
            <v>-36.084729718369466</v>
          </cell>
          <cell r="BL453">
            <v>-135.14891386653534</v>
          </cell>
          <cell r="BM453">
            <v>-145.35720428989796</v>
          </cell>
          <cell r="BN453">
            <v>-162.47332696192586</v>
          </cell>
          <cell r="BO453">
            <v>-181.52718488270722</v>
          </cell>
        </row>
        <row r="455">
          <cell r="A455" t="str">
            <v>Total Free Cash Flow</v>
          </cell>
          <cell r="D455">
            <v>94.816999999999965</v>
          </cell>
          <cell r="E455">
            <v>22.145000000000007</v>
          </cell>
          <cell r="F455">
            <v>30.909999999999989</v>
          </cell>
          <cell r="G455">
            <v>40.552000000000014</v>
          </cell>
          <cell r="H455">
            <v>30.045999999999985</v>
          </cell>
          <cell r="I455">
            <v>123.65300000000001</v>
          </cell>
          <cell r="J455">
            <v>20.873000000000001</v>
          </cell>
          <cell r="K455">
            <v>57.239000000000004</v>
          </cell>
          <cell r="L455">
            <v>-7.6999999999998181E-2</v>
          </cell>
          <cell r="M455">
            <v>32.138000000000005</v>
          </cell>
          <cell r="N455">
            <v>110.173</v>
          </cell>
          <cell r="O455">
            <v>23.010000000000005</v>
          </cell>
          <cell r="P455">
            <v>39.656000000000006</v>
          </cell>
          <cell r="Q455">
            <v>49.341999999999999</v>
          </cell>
          <cell r="R455">
            <v>4.6430000000000007</v>
          </cell>
          <cell r="S455">
            <v>116.65100000000001</v>
          </cell>
          <cell r="T455">
            <v>-7.1360000000000063</v>
          </cell>
          <cell r="U455">
            <v>57.122000000000014</v>
          </cell>
          <cell r="V455">
            <v>71.307999999999993</v>
          </cell>
          <cell r="W455">
            <v>79.587999999999994</v>
          </cell>
          <cell r="X455">
            <v>202.97000000000008</v>
          </cell>
          <cell r="Y455">
            <v>-13.059000000000015</v>
          </cell>
          <cell r="Z455">
            <v>71.066000000000003</v>
          </cell>
          <cell r="AA455">
            <v>113.83000000000003</v>
          </cell>
          <cell r="AB455">
            <v>35.212000000000018</v>
          </cell>
          <cell r="AC455">
            <v>207.04900000000004</v>
          </cell>
          <cell r="AD455">
            <v>65.83599999999997</v>
          </cell>
          <cell r="AE455">
            <v>91.84</v>
          </cell>
          <cell r="AF455">
            <v>81.675000000000011</v>
          </cell>
          <cell r="AG455">
            <v>52.063999999999993</v>
          </cell>
          <cell r="AH455">
            <v>291.41499999999996</v>
          </cell>
          <cell r="AI455">
            <v>65.806999999999988</v>
          </cell>
          <cell r="AJ455">
            <v>65.504000000000019</v>
          </cell>
          <cell r="AK455">
            <v>53.999999999999957</v>
          </cell>
          <cell r="AL455">
            <v>81.352999999999938</v>
          </cell>
          <cell r="AM455">
            <v>266.66399999999982</v>
          </cell>
          <cell r="AS455">
            <v>1.7140000000000377</v>
          </cell>
          <cell r="AT455">
            <v>53.163000000000025</v>
          </cell>
          <cell r="AU455">
            <v>79.110000000000014</v>
          </cell>
          <cell r="AV455">
            <v>83.752999999999986</v>
          </cell>
          <cell r="AW455">
            <v>217.73999999999995</v>
          </cell>
          <cell r="AX455">
            <v>54.205999999999975</v>
          </cell>
          <cell r="AY455">
            <v>21.454000000000008</v>
          </cell>
          <cell r="AZ455">
            <v>117.07099999999991</v>
          </cell>
          <cell r="BA455">
            <v>59.42500000000004</v>
          </cell>
          <cell r="BB455">
            <v>252.15599999999995</v>
          </cell>
          <cell r="BC455">
            <v>28.832999999999981</v>
          </cell>
          <cell r="BD455">
            <v>97.029000000000039</v>
          </cell>
          <cell r="BE455">
            <v>127.34500000000007</v>
          </cell>
          <cell r="BF455">
            <v>128.19800000000001</v>
          </cell>
          <cell r="BG455">
            <v>381.40499999999997</v>
          </cell>
          <cell r="BH455">
            <v>19.105999999999987</v>
          </cell>
          <cell r="BI455">
            <v>54.448692895925568</v>
          </cell>
          <cell r="BJ455">
            <v>139.60851067960829</v>
          </cell>
          <cell r="BK455">
            <v>129.84161623207365</v>
          </cell>
          <cell r="BL455">
            <v>342.99681980760761</v>
          </cell>
          <cell r="BM455">
            <v>363.1637229741541</v>
          </cell>
          <cell r="BN455">
            <v>400.26861240457856</v>
          </cell>
          <cell r="BO455">
            <v>442.19420662310898</v>
          </cell>
        </row>
        <row r="456">
          <cell r="A456" t="str">
            <v>Year-over-year growth</v>
          </cell>
          <cell r="I456">
            <v>0.30412267842264629</v>
          </cell>
          <cell r="J456">
            <v>-5.7439602619101637E-2</v>
          </cell>
          <cell r="K456">
            <v>0.85179553542542941</v>
          </cell>
          <cell r="L456">
            <v>-1.0018987966068258</v>
          </cell>
          <cell r="M456">
            <v>6.9626572588697977E-2</v>
          </cell>
          <cell r="N456">
            <v>-0.10901474286915802</v>
          </cell>
          <cell r="O456">
            <v>0.10238106644948042</v>
          </cell>
          <cell r="P456">
            <v>-0.30718566012683657</v>
          </cell>
          <cell r="Q456" t="str">
            <v>NM</v>
          </cell>
          <cell r="R456">
            <v>-0.85552927998008588</v>
          </cell>
          <cell r="S456">
            <v>5.8798435188294862E-2</v>
          </cell>
          <cell r="T456">
            <v>-1.3101260321599306</v>
          </cell>
          <cell r="U456">
            <v>0.44043776477708296</v>
          </cell>
          <cell r="V456">
            <v>0.44517854971423931</v>
          </cell>
          <cell r="W456">
            <v>16.141503338358817</v>
          </cell>
          <cell r="X456">
            <v>0.73997651113149532</v>
          </cell>
          <cell r="Y456">
            <v>0.8300168161434982</v>
          </cell>
          <cell r="Z456">
            <v>0.24410909982143458</v>
          </cell>
          <cell r="AA456">
            <v>0.59631457900936824</v>
          </cell>
          <cell r="AB456">
            <v>-0.55757149318992782</v>
          </cell>
          <cell r="AC456">
            <v>2.0096565994974336E-2</v>
          </cell>
          <cell r="AD456">
            <v>-6.0414273680986215</v>
          </cell>
          <cell r="AE456">
            <v>0.29231981538288343</v>
          </cell>
          <cell r="AF456">
            <v>-0.28248264956514102</v>
          </cell>
          <cell r="AG456">
            <v>0.47858684539361485</v>
          </cell>
          <cell r="AH456">
            <v>0.40746876343281024</v>
          </cell>
          <cell r="AI456">
            <v>-4.4048848654210104E-4</v>
          </cell>
          <cell r="AJ456">
            <v>-0.28675958188153294</v>
          </cell>
          <cell r="AK456">
            <v>-0.33884297520661222</v>
          </cell>
          <cell r="AL456">
            <v>0.56255762138905863</v>
          </cell>
          <cell r="AM456">
            <v>-8.4933857213939423E-2</v>
          </cell>
          <cell r="AS456">
            <v>-0.97395413861747171</v>
          </cell>
          <cell r="AT456">
            <v>-0.18840070835368816</v>
          </cell>
          <cell r="AU456">
            <v>0.46500000000000141</v>
          </cell>
          <cell r="AV456">
            <v>2.9501063267489247E-2</v>
          </cell>
          <cell r="AW456">
            <v>-0.18346683466834635</v>
          </cell>
          <cell r="AX456">
            <v>30.62543757292811</v>
          </cell>
          <cell r="AY456">
            <v>-0.59644865790117185</v>
          </cell>
          <cell r="AZ456">
            <v>0.47985084060169259</v>
          </cell>
          <cell r="BA456">
            <v>-0.29047317708022335</v>
          </cell>
          <cell r="BB456">
            <v>0.15806007164508129</v>
          </cell>
          <cell r="BC456">
            <v>-0.4680847138693135</v>
          </cell>
          <cell r="BD456">
            <v>3.5226531182996181</v>
          </cell>
          <cell r="BE456">
            <v>8.7758710526092409E-2</v>
          </cell>
          <cell r="BF456">
            <v>1.1573075305006295</v>
          </cell>
          <cell r="BG456">
            <v>0.51257554846999498</v>
          </cell>
          <cell r="BH456">
            <v>-0.33735650123122807</v>
          </cell>
          <cell r="BI456">
            <v>-0.43884103828828958</v>
          </cell>
          <cell r="BJ456">
            <v>9.6301469862249967E-2</v>
          </cell>
          <cell r="BK456">
            <v>1.2820919453295998E-2</v>
          </cell>
          <cell r="BL456">
            <v>-0.1007018266472447</v>
          </cell>
          <cell r="BM456">
            <v>5.879618119450325E-2</v>
          </cell>
          <cell r="BN456">
            <v>0.10217124421611112</v>
          </cell>
          <cell r="BO456">
            <v>0.1047436469391545</v>
          </cell>
        </row>
        <row r="458">
          <cell r="A458" t="str">
            <v>MXB calculation</v>
          </cell>
        </row>
        <row r="459">
          <cell r="A459" t="str">
            <v>Cash from Operations</v>
          </cell>
          <cell r="D459">
            <v>83.664999999999992</v>
          </cell>
          <cell r="E459">
            <v>10.122000000000016</v>
          </cell>
          <cell r="F459">
            <v>31.262999999999987</v>
          </cell>
          <cell r="G459">
            <v>26.971000000000011</v>
          </cell>
          <cell r="H459">
            <v>41.868999999999986</v>
          </cell>
          <cell r="I459">
            <v>110.22499999999999</v>
          </cell>
          <cell r="J459">
            <v>20.741</v>
          </cell>
          <cell r="K459">
            <v>59.996000000000002</v>
          </cell>
          <cell r="L459">
            <v>30.827000000000012</v>
          </cell>
          <cell r="M459">
            <v>43.517000000000003</v>
          </cell>
          <cell r="N459">
            <v>155.08100000000002</v>
          </cell>
          <cell r="O459">
            <v>22.472000000000008</v>
          </cell>
          <cell r="P459">
            <v>46.685000000000002</v>
          </cell>
          <cell r="Q459">
            <v>51.686999999999998</v>
          </cell>
          <cell r="R459">
            <v>10.097999999999999</v>
          </cell>
          <cell r="S459">
            <v>130.94199999999998</v>
          </cell>
          <cell r="T459">
            <v>-14.761000000000017</v>
          </cell>
          <cell r="U459">
            <v>69.865000000000009</v>
          </cell>
          <cell r="V459">
            <v>66.134</v>
          </cell>
          <cell r="W459">
            <v>62.115999999999985</v>
          </cell>
          <cell r="X459">
            <v>183.35399999999998</v>
          </cell>
          <cell r="Y459">
            <v>-25.878000000000029</v>
          </cell>
          <cell r="Z459">
            <v>106.124</v>
          </cell>
          <cell r="AA459">
            <v>94.684000000000012</v>
          </cell>
          <cell r="AB459">
            <v>80.067000000000021</v>
          </cell>
          <cell r="AC459">
            <v>254.99700000000016</v>
          </cell>
          <cell r="AD459">
            <v>69.506999999999977</v>
          </cell>
          <cell r="AE459">
            <v>120.55900000000003</v>
          </cell>
          <cell r="AF459">
            <v>97.597000000000023</v>
          </cell>
          <cell r="AG459">
            <v>59.412000000000006</v>
          </cell>
          <cell r="AH459">
            <v>347.07499999999993</v>
          </cell>
          <cell r="AI459">
            <v>71.046999999999983</v>
          </cell>
          <cell r="AJ459">
            <v>85.628999999999991</v>
          </cell>
          <cell r="AK459">
            <v>69.360999999999933</v>
          </cell>
          <cell r="AL459">
            <v>94.409999999999968</v>
          </cell>
          <cell r="AM459">
            <v>320.44699999999983</v>
          </cell>
          <cell r="AS459">
            <v>25.261000000000045</v>
          </cell>
          <cell r="AT459">
            <v>68.872000000000028</v>
          </cell>
          <cell r="AU459">
            <v>107.46300000000001</v>
          </cell>
          <cell r="AV459">
            <v>104.10199999999998</v>
          </cell>
          <cell r="AW459">
            <v>305.69800000000004</v>
          </cell>
          <cell r="AX459">
            <v>66.693999999999974</v>
          </cell>
          <cell r="AY459">
            <v>24.006</v>
          </cell>
          <cell r="AZ459">
            <v>133.96899999999994</v>
          </cell>
          <cell r="BA459">
            <v>81.322000000000017</v>
          </cell>
          <cell r="BB459">
            <v>305.99099999999993</v>
          </cell>
          <cell r="BC459">
            <v>33.029999999999973</v>
          </cell>
          <cell r="BD459">
            <v>117.07000000000001</v>
          </cell>
          <cell r="BE459">
            <v>146.92300000000006</v>
          </cell>
          <cell r="BF459">
            <v>137.708</v>
          </cell>
          <cell r="BG459">
            <v>434.73100000000005</v>
          </cell>
          <cell r="BH459">
            <v>37.014999999999972</v>
          </cell>
          <cell r="BI459">
            <v>76.651193889920563</v>
          </cell>
          <cell r="BJ459">
            <v>161.83914072945527</v>
          </cell>
          <cell r="BK459">
            <v>153.96185470501251</v>
          </cell>
          <cell r="BL459">
            <v>429.54499947273996</v>
          </cell>
          <cell r="BM459">
            <v>455.98887110312182</v>
          </cell>
          <cell r="BN459">
            <v>499.14502316171269</v>
          </cell>
          <cell r="BO459">
            <v>545.62763966431146</v>
          </cell>
        </row>
        <row r="460">
          <cell r="A460" t="str">
            <v>Capex</v>
          </cell>
          <cell r="D460">
            <v>-2.4350000000000001</v>
          </cell>
          <cell r="E460">
            <v>-5.8000000000000003E-2</v>
          </cell>
          <cell r="F460">
            <v>-0.29899999999999999</v>
          </cell>
          <cell r="G460">
            <v>-0.58899999999999997</v>
          </cell>
          <cell r="H460">
            <v>0.41099999999999992</v>
          </cell>
          <cell r="I460">
            <v>-0.53500000000000003</v>
          </cell>
          <cell r="J460">
            <v>-0.96099999999999997</v>
          </cell>
          <cell r="K460">
            <v>-4.859</v>
          </cell>
          <cell r="L460">
            <v>-13.277000000000001</v>
          </cell>
          <cell r="M460">
            <v>-6.4589999999999996</v>
          </cell>
          <cell r="N460">
            <v>-25.556000000000001</v>
          </cell>
          <cell r="O460">
            <v>-6.0330000000000004</v>
          </cell>
          <cell r="P460">
            <v>-3.4859999999999998</v>
          </cell>
          <cell r="Q460">
            <v>-1.6690000000000005</v>
          </cell>
          <cell r="R460">
            <v>-2.2240000000000002</v>
          </cell>
          <cell r="S460">
            <v>-13.412000000000001</v>
          </cell>
          <cell r="T460">
            <v>-3.2850000000000001</v>
          </cell>
          <cell r="U460">
            <v>-1.4109999999999996</v>
          </cell>
          <cell r="V460">
            <v>-2.399</v>
          </cell>
          <cell r="W460">
            <v>-6.0729999999999995</v>
          </cell>
          <cell r="X460">
            <v>-13.167999999999999</v>
          </cell>
          <cell r="Y460">
            <v>-3.835</v>
          </cell>
          <cell r="Z460">
            <v>-2.8970000000000002</v>
          </cell>
          <cell r="AA460">
            <v>-10.11</v>
          </cell>
          <cell r="AB460">
            <v>-6.2690000000000019</v>
          </cell>
          <cell r="AC460">
            <v>-23.111000000000001</v>
          </cell>
          <cell r="AD460">
            <v>-4.2919999999999998</v>
          </cell>
          <cell r="AE460">
            <v>-15.654000000000002</v>
          </cell>
          <cell r="AF460">
            <v>-18.162999999999997</v>
          </cell>
          <cell r="AG460">
            <v>-6.7750000000000057</v>
          </cell>
          <cell r="AH460">
            <v>-44.884</v>
          </cell>
          <cell r="AI460">
            <v>-4.8</v>
          </cell>
          <cell r="AJ460">
            <v>-3.6909999999999998</v>
          </cell>
          <cell r="AK460">
            <v>-14.208000000000002</v>
          </cell>
          <cell r="AL460">
            <v>-20.812000000000001</v>
          </cell>
          <cell r="AM460">
            <v>-43.511000000000003</v>
          </cell>
          <cell r="AS460">
            <v>-10.059999999999999</v>
          </cell>
          <cell r="AT460">
            <v>-11.904000000000003</v>
          </cell>
          <cell r="AU460">
            <v>-20.273</v>
          </cell>
          <cell r="AV460">
            <v>-8.6159999999999997</v>
          </cell>
          <cell r="AW460">
            <v>-50.853000000000002</v>
          </cell>
          <cell r="AX460">
            <v>-6.32</v>
          </cell>
          <cell r="AY460">
            <v>-11.962</v>
          </cell>
          <cell r="AZ460">
            <v>-12.305</v>
          </cell>
          <cell r="BA460">
            <v>-18.510000000000002</v>
          </cell>
          <cell r="BB460">
            <v>-49.097000000000001</v>
          </cell>
          <cell r="BC460">
            <v>-3.1349999999999998</v>
          </cell>
          <cell r="BD460">
            <v>-15.23</v>
          </cell>
          <cell r="BE460">
            <v>-13.727999999999994</v>
          </cell>
          <cell r="BF460">
            <v>-10.535000000000002</v>
          </cell>
          <cell r="BG460">
            <v>-42.628</v>
          </cell>
          <cell r="BH460">
            <v>-9.6289999999999996</v>
          </cell>
          <cell r="BI460">
            <v>-12.501683497750001</v>
          </cell>
          <cell r="BJ460">
            <v>-12.489875262295001</v>
          </cell>
          <cell r="BK460">
            <v>-14.235126907304739</v>
          </cell>
          <cell r="BL460">
            <v>-48.855685667349739</v>
          </cell>
          <cell r="BM460">
            <v>-50.28743348128755</v>
          </cell>
          <cell r="BN460">
            <v>-51.692994059494524</v>
          </cell>
          <cell r="BO460">
            <v>-53.148358477417041</v>
          </cell>
        </row>
        <row r="462">
          <cell r="A462" t="str">
            <v>Free Cash Flow</v>
          </cell>
          <cell r="D462">
            <v>81.22999999999999</v>
          </cell>
          <cell r="E462">
            <v>10.064000000000016</v>
          </cell>
          <cell r="F462">
            <v>30.963999999999988</v>
          </cell>
          <cell r="G462">
            <v>26.382000000000012</v>
          </cell>
          <cell r="H462">
            <v>42.279999999999987</v>
          </cell>
          <cell r="I462">
            <v>109.69</v>
          </cell>
          <cell r="J462">
            <v>19.78</v>
          </cell>
          <cell r="K462">
            <v>55.137</v>
          </cell>
          <cell r="L462">
            <v>17.550000000000011</v>
          </cell>
          <cell r="M462">
            <v>37.058000000000007</v>
          </cell>
          <cell r="N462">
            <v>129.52500000000001</v>
          </cell>
          <cell r="O462">
            <v>16.439000000000007</v>
          </cell>
          <cell r="P462">
            <v>43.199000000000005</v>
          </cell>
          <cell r="Q462">
            <v>50.018000000000001</v>
          </cell>
          <cell r="R462">
            <v>7.8739999999999988</v>
          </cell>
          <cell r="S462">
            <v>117.52999999999997</v>
          </cell>
          <cell r="T462">
            <v>-18.046000000000017</v>
          </cell>
          <cell r="U462">
            <v>68.454000000000008</v>
          </cell>
          <cell r="V462">
            <v>63.734999999999999</v>
          </cell>
          <cell r="W462">
            <v>56.042999999999985</v>
          </cell>
          <cell r="X462">
            <v>170.18599999999998</v>
          </cell>
          <cell r="Y462">
            <v>-29.713000000000029</v>
          </cell>
          <cell r="Z462">
            <v>103.22699999999999</v>
          </cell>
          <cell r="AA462">
            <v>84.574000000000012</v>
          </cell>
          <cell r="AB462">
            <v>73.798000000000016</v>
          </cell>
          <cell r="AC462">
            <v>231.88600000000017</v>
          </cell>
          <cell r="AD462">
            <v>65.214999999999975</v>
          </cell>
          <cell r="AE462">
            <v>104.90500000000003</v>
          </cell>
          <cell r="AF462">
            <v>79.434000000000026</v>
          </cell>
          <cell r="AG462">
            <v>52.637</v>
          </cell>
          <cell r="AH462">
            <v>302.19099999999992</v>
          </cell>
          <cell r="AI462">
            <v>66.246999999999986</v>
          </cell>
          <cell r="AJ462">
            <v>81.937999999999988</v>
          </cell>
          <cell r="AK462">
            <v>55.152999999999935</v>
          </cell>
          <cell r="AL462">
            <v>73.597999999999971</v>
          </cell>
          <cell r="AM462">
            <v>276.93599999999981</v>
          </cell>
          <cell r="AS462">
            <v>15.201000000000047</v>
          </cell>
          <cell r="AT462">
            <v>56.968000000000025</v>
          </cell>
          <cell r="AU462">
            <v>87.190000000000012</v>
          </cell>
          <cell r="AV462">
            <v>95.485999999999976</v>
          </cell>
          <cell r="AW462">
            <v>254.84500000000003</v>
          </cell>
          <cell r="AX462">
            <v>60.373999999999974</v>
          </cell>
          <cell r="AY462">
            <v>12.044</v>
          </cell>
          <cell r="AZ462">
            <v>121.66399999999993</v>
          </cell>
          <cell r="BA462">
            <v>62.812000000000012</v>
          </cell>
          <cell r="BB462">
            <v>256.89399999999995</v>
          </cell>
          <cell r="BC462">
            <v>29.894999999999975</v>
          </cell>
          <cell r="BD462">
            <v>101.84</v>
          </cell>
          <cell r="BE462">
            <v>133.19500000000005</v>
          </cell>
          <cell r="BF462">
            <v>127.173</v>
          </cell>
          <cell r="BG462">
            <v>392.10300000000007</v>
          </cell>
          <cell r="BH462">
            <v>27.385999999999974</v>
          </cell>
          <cell r="BI462">
            <v>64.149510392170555</v>
          </cell>
          <cell r="BJ462">
            <v>149.34926546716025</v>
          </cell>
          <cell r="BK462">
            <v>139.72672779770778</v>
          </cell>
          <cell r="BL462">
            <v>380.68931380539021</v>
          </cell>
          <cell r="BM462">
            <v>405.70143762183426</v>
          </cell>
          <cell r="BN462">
            <v>447.45202910221815</v>
          </cell>
          <cell r="BO462">
            <v>492.47928118689441</v>
          </cell>
        </row>
        <row r="463">
          <cell r="A463" t="str">
            <v>Year-over-year growth</v>
          </cell>
          <cell r="I463">
            <v>0.35036316631786302</v>
          </cell>
          <cell r="J463">
            <v>0.96542130365659484</v>
          </cell>
          <cell r="K463">
            <v>0.78068079059553108</v>
          </cell>
          <cell r="L463">
            <v>-0.33477370934728212</v>
          </cell>
          <cell r="M463">
            <v>-0.12350993377483399</v>
          </cell>
          <cell r="N463">
            <v>0.18082778740085703</v>
          </cell>
          <cell r="O463">
            <v>-0.16890798786653149</v>
          </cell>
          <cell r="P463">
            <v>-0.21651522571050286</v>
          </cell>
          <cell r="Q463">
            <v>1.850028490028488</v>
          </cell>
          <cell r="R463">
            <v>-0.78752226239948198</v>
          </cell>
          <cell r="S463">
            <v>-9.2607604709515789E-2</v>
          </cell>
          <cell r="T463">
            <v>-2.0977553379159319</v>
          </cell>
          <cell r="U463">
            <v>0.58462001435218403</v>
          </cell>
          <cell r="V463">
            <v>0.27424127314166902</v>
          </cell>
          <cell r="W463">
            <v>6.1174752349504695</v>
          </cell>
          <cell r="X463">
            <v>0.44802178167276452</v>
          </cell>
          <cell r="Y463">
            <v>0.64651446303890059</v>
          </cell>
          <cell r="Z463">
            <v>0.50797615917258265</v>
          </cell>
          <cell r="AA463">
            <v>0.32696320702910509</v>
          </cell>
          <cell r="AB463">
            <v>0.31681030637189367</v>
          </cell>
          <cell r="AC463">
            <v>0.36254451012421818</v>
          </cell>
          <cell r="AD463">
            <v>-3.1948305455524486</v>
          </cell>
          <cell r="AE463">
            <v>1.6255437046509558E-2</v>
          </cell>
          <cell r="AF463">
            <v>-6.0775179133066737E-2</v>
          </cell>
          <cell r="AG463">
            <v>-0.28674218813517993</v>
          </cell>
          <cell r="AH463">
            <v>0.30318777330239732</v>
          </cell>
          <cell r="AI463">
            <v>1.5824580234608865E-2</v>
          </cell>
          <cell r="AJ463">
            <v>-0.21893141413660011</v>
          </cell>
          <cell r="AK463">
            <v>-0.30567515169826631</v>
          </cell>
          <cell r="AL463">
            <v>0.398217983547694</v>
          </cell>
          <cell r="AM463">
            <v>-8.3572972060716899E-2</v>
          </cell>
          <cell r="AS463">
            <v>-0.77054055277974776</v>
          </cell>
          <cell r="AT463">
            <v>-0.30474261026629845</v>
          </cell>
          <cell r="AU463">
            <v>0.58087502039780459</v>
          </cell>
          <cell r="AV463">
            <v>0.29739938585287673</v>
          </cell>
          <cell r="AW463">
            <v>-7.9769332986682095E-2</v>
          </cell>
          <cell r="AX463">
            <v>2.9717123873429241</v>
          </cell>
          <cell r="AY463">
            <v>-0.7885830641763798</v>
          </cell>
          <cell r="AZ463">
            <v>0.39538937951599862</v>
          </cell>
          <cell r="BA463">
            <v>-0.34218628908949977</v>
          </cell>
          <cell r="BB463">
            <v>8.040181286664172E-3</v>
          </cell>
          <cell r="BC463">
            <v>-0.50483651903137128</v>
          </cell>
          <cell r="BD463">
            <v>7.4556625705745603</v>
          </cell>
          <cell r="BE463">
            <v>9.4777419779064731E-2</v>
          </cell>
          <cell r="BF463">
            <v>1.024660892823027</v>
          </cell>
          <cell r="BG463">
            <v>0.52632214064945138</v>
          </cell>
          <cell r="BH463">
            <v>-8.3927078106706854E-2</v>
          </cell>
          <cell r="BI463">
            <v>-0.37009514540288146</v>
          </cell>
          <cell r="BJ463">
            <v>0.12128282193145545</v>
          </cell>
          <cell r="BK463">
            <v>9.8713781995453331E-2</v>
          </cell>
          <cell r="BL463">
            <v>-2.9108897903382114E-2</v>
          </cell>
          <cell r="BM463">
            <v>6.5702195752282977E-2</v>
          </cell>
          <cell r="BN463">
            <v>0.10290964637719813</v>
          </cell>
          <cell r="BO463">
            <v>0.10063034505625179</v>
          </cell>
        </row>
        <row r="464">
          <cell r="A464" t="str">
            <v>FCF/Share</v>
          </cell>
          <cell r="S464">
            <v>1.1566006588480735</v>
          </cell>
          <cell r="T464">
            <v>-0.17049620195759815</v>
          </cell>
          <cell r="U464">
            <v>0.64577417620256039</v>
          </cell>
          <cell r="V464">
            <v>0.52961999650991765</v>
          </cell>
          <cell r="W464">
            <v>0.46250784009507134</v>
          </cell>
          <cell r="X464">
            <v>1.501327663929003</v>
          </cell>
          <cell r="Y464">
            <v>-0.24352323113110921</v>
          </cell>
          <cell r="Z464">
            <v>0.84449625720947352</v>
          </cell>
          <cell r="AA464">
            <v>0.69151206429932233</v>
          </cell>
          <cell r="AB464">
            <v>0.60225566364170546</v>
          </cell>
          <cell r="AC464">
            <v>1.8964805852537496</v>
          </cell>
          <cell r="AD464">
            <v>0.52971660182109104</v>
          </cell>
          <cell r="AE464">
            <v>0.8508455330710899</v>
          </cell>
          <cell r="AF464">
            <v>0.64345078979343884</v>
          </cell>
          <cell r="AG464">
            <v>0.42796048619862592</v>
          </cell>
          <cell r="AH464">
            <v>2.4527693906042005</v>
          </cell>
          <cell r="AI464">
            <v>0.54433780874595317</v>
          </cell>
          <cell r="AJ464">
            <v>0.67124331320810349</v>
          </cell>
          <cell r="AK464">
            <v>0.45740516512133172</v>
          </cell>
          <cell r="AL464">
            <v>0.61394596127697532</v>
          </cell>
          <cell r="AM464">
            <v>2.2876590682862941</v>
          </cell>
          <cell r="AS464">
            <v>0.12817356256903673</v>
          </cell>
          <cell r="AT464">
            <v>0.48415828120750631</v>
          </cell>
          <cell r="AU464">
            <v>0.74417691592055524</v>
          </cell>
          <cell r="AV464">
            <v>0.84285323376497256</v>
          </cell>
          <cell r="AW464">
            <v>2.1836495124500885</v>
          </cell>
          <cell r="AX464">
            <v>0.53182643011927178</v>
          </cell>
          <cell r="AY464">
            <v>0.10664919286998256</v>
          </cell>
          <cell r="AZ464">
            <v>1.1116959064327478</v>
          </cell>
          <cell r="BA464">
            <v>0.60635196447533557</v>
          </cell>
          <cell r="BB464">
            <v>2.3565234938973378</v>
          </cell>
          <cell r="BC464">
            <v>0.2989559791195821</v>
          </cell>
          <cell r="BD464">
            <v>1.0511105606473454</v>
          </cell>
          <cell r="BE464">
            <v>1.3951064698920119</v>
          </cell>
          <cell r="BF464">
            <v>1.3551387926900742</v>
          </cell>
          <cell r="BG464">
            <v>4.1003118023490135</v>
          </cell>
          <cell r="BH464">
            <v>0.29889548589889087</v>
          </cell>
          <cell r="BI464">
            <v>0.7080345809085673</v>
          </cell>
          <cell r="BJ464">
            <v>1.6668369338101208</v>
          </cell>
          <cell r="BK464">
            <v>1.5767282109280849</v>
          </cell>
          <cell r="BL464">
            <v>4.2504952115456636</v>
          </cell>
          <cell r="BM464">
            <v>4.6495365725071425</v>
          </cell>
          <cell r="BN464">
            <v>5.286960259313763</v>
          </cell>
          <cell r="BO464">
            <v>5.9909777942335491</v>
          </cell>
        </row>
        <row r="466">
          <cell r="A466" t="str">
            <v>Difference between method #1 and method #2</v>
          </cell>
          <cell r="AS466">
            <v>13.487000000000009</v>
          </cell>
          <cell r="AT466">
            <v>3.8049999999999997</v>
          </cell>
          <cell r="AU466">
            <v>8.0799999999999983</v>
          </cell>
          <cell r="AV466">
            <v>11.73299999999999</v>
          </cell>
          <cell r="AW466">
            <v>37.105000000000075</v>
          </cell>
          <cell r="AX466">
            <v>6.1679999999999993</v>
          </cell>
          <cell r="AY466">
            <v>-9.4100000000000072</v>
          </cell>
          <cell r="AZ466">
            <v>4.5930000000000177</v>
          </cell>
          <cell r="BA466">
            <v>3.386999999999972</v>
          </cell>
          <cell r="BB466">
            <v>4.7379999999999995</v>
          </cell>
          <cell r="BC466">
            <v>1.0619999999999941</v>
          </cell>
          <cell r="BD466">
            <v>4.8109999999999644</v>
          </cell>
          <cell r="BE466">
            <v>5.8499999999999801</v>
          </cell>
          <cell r="BF466">
            <v>-1.0250000000000057</v>
          </cell>
          <cell r="BG466">
            <v>10.698000000000093</v>
          </cell>
          <cell r="BH466">
            <v>8.2799999999999869</v>
          </cell>
          <cell r="BI466">
            <v>9.7008174962449871</v>
          </cell>
          <cell r="BJ466">
            <v>9.740754787551964</v>
          </cell>
          <cell r="BK466">
            <v>9.8851115656341335</v>
          </cell>
          <cell r="BL466">
            <v>37.692493997782606</v>
          </cell>
          <cell r="BM466">
            <v>42.537714647680161</v>
          </cell>
          <cell r="BN466">
            <v>47.183416697639586</v>
          </cell>
          <cell r="BO466">
            <v>50.285074563785429</v>
          </cell>
        </row>
        <row r="467">
          <cell r="A467" t="str">
            <v>Stock comp</v>
          </cell>
          <cell r="AS467">
            <v>5.1710000000000003</v>
          </cell>
          <cell r="AT467">
            <v>7.2860000000000005</v>
          </cell>
          <cell r="AU467">
            <v>7.6589999999999989</v>
          </cell>
          <cell r="AV467">
            <v>6.4690000000000012</v>
          </cell>
          <cell r="AW467">
            <v>26.585000000000001</v>
          </cell>
          <cell r="AX467">
            <v>7.35</v>
          </cell>
          <cell r="AY467">
            <v>7.1890000000000001</v>
          </cell>
          <cell r="AZ467">
            <v>6.0129999999999999</v>
          </cell>
          <cell r="BA467">
            <v>8.0060000000000002</v>
          </cell>
          <cell r="BB467">
            <v>28.558</v>
          </cell>
          <cell r="BC467">
            <v>7.08</v>
          </cell>
          <cell r="BD467">
            <v>8.1929999999999996</v>
          </cell>
          <cell r="BE467">
            <v>8.3180000000000014</v>
          </cell>
          <cell r="BF467">
            <v>8.4099999999999966</v>
          </cell>
          <cell r="BG467">
            <v>32.000999999999998</v>
          </cell>
          <cell r="BH467">
            <v>9.3940000000000001</v>
          </cell>
          <cell r="BI467">
            <v>8.6922047685236574</v>
          </cell>
          <cell r="BJ467">
            <v>8.6839947062109903</v>
          </cell>
          <cell r="BK467">
            <v>8.7977227142769596</v>
          </cell>
          <cell r="BL467">
            <v>35.567922189011604</v>
          </cell>
          <cell r="BM467">
            <v>36.973694917753953</v>
          </cell>
          <cell r="BN467">
            <v>39.576546198109732</v>
          </cell>
          <cell r="BO467">
            <v>42.443385956403276</v>
          </cell>
        </row>
        <row r="469">
          <cell r="A469" t="str">
            <v>Free Cash Flow to Firm</v>
          </cell>
        </row>
        <row r="471">
          <cell r="A471" t="str">
            <v>EBIT</v>
          </cell>
          <cell r="J471">
            <v>35.161999999999992</v>
          </cell>
          <cell r="K471">
            <v>32.907000000000004</v>
          </cell>
          <cell r="L471">
            <v>37.519000000000005</v>
          </cell>
          <cell r="M471">
            <v>30.201999999999998</v>
          </cell>
          <cell r="N471">
            <v>135.79000000000002</v>
          </cell>
          <cell r="O471">
            <v>32.783999999999999</v>
          </cell>
          <cell r="P471">
            <v>36.654000000000003</v>
          </cell>
          <cell r="Q471">
            <v>37.797999999999988</v>
          </cell>
          <cell r="R471">
            <v>43.756</v>
          </cell>
          <cell r="S471">
            <v>150.99199999999999</v>
          </cell>
          <cell r="T471">
            <v>47.256999999999998</v>
          </cell>
          <cell r="U471">
            <v>46.69700000000001</v>
          </cell>
          <cell r="V471">
            <v>41.449000000000005</v>
          </cell>
          <cell r="W471">
            <v>70.719999999999985</v>
          </cell>
          <cell r="X471">
            <v>206.1230000000001</v>
          </cell>
          <cell r="Y471">
            <v>75.428999999999974</v>
          </cell>
          <cell r="Z471">
            <v>82.691000000000003</v>
          </cell>
          <cell r="AA471">
            <v>82.245000000000005</v>
          </cell>
          <cell r="AB471">
            <v>81.63300000000001</v>
          </cell>
          <cell r="AC471">
            <v>321.9980000000001</v>
          </cell>
          <cell r="AD471">
            <v>80.978999999999985</v>
          </cell>
          <cell r="AE471">
            <v>87.121000000000024</v>
          </cell>
          <cell r="AF471">
            <v>83.529000000000011</v>
          </cell>
          <cell r="AG471">
            <v>95.307000000000016</v>
          </cell>
          <cell r="AH471">
            <v>346.93599999999998</v>
          </cell>
          <cell r="AI471">
            <v>90.526999999999987</v>
          </cell>
          <cell r="AJ471">
            <v>97.172000000000011</v>
          </cell>
          <cell r="AK471">
            <v>92.43599999999995</v>
          </cell>
          <cell r="AL471">
            <v>91.370999999999952</v>
          </cell>
          <cell r="AM471">
            <v>371.50599999999986</v>
          </cell>
          <cell r="AN471">
            <v>82.936999999999969</v>
          </cell>
          <cell r="AO471">
            <v>90.057999999999979</v>
          </cell>
          <cell r="AP471">
            <v>83.997000000000014</v>
          </cell>
          <cell r="AQ471">
            <v>83.583999999999975</v>
          </cell>
          <cell r="AR471">
            <v>340.57599999999996</v>
          </cell>
          <cell r="AS471">
            <v>79.517000000000039</v>
          </cell>
          <cell r="AT471">
            <v>88.600000000000023</v>
          </cell>
          <cell r="AU471">
            <v>83.932000000000016</v>
          </cell>
          <cell r="AV471">
            <v>85.141999999999982</v>
          </cell>
          <cell r="AW471">
            <v>337.19100000000009</v>
          </cell>
          <cell r="AX471">
            <v>88.752999999999986</v>
          </cell>
          <cell r="AY471">
            <v>98.491000000000014</v>
          </cell>
          <cell r="AZ471">
            <v>109.1079999999999</v>
          </cell>
          <cell r="BA471">
            <v>107.54300000000003</v>
          </cell>
          <cell r="BB471">
            <v>403.89499999999998</v>
          </cell>
          <cell r="BC471">
            <v>113.14099999999998</v>
          </cell>
          <cell r="BD471">
            <v>125.68400000000001</v>
          </cell>
          <cell r="BE471">
            <v>123.26000000000005</v>
          </cell>
          <cell r="BF471">
            <v>126.012</v>
          </cell>
          <cell r="BG471">
            <v>488.09699999999998</v>
          </cell>
          <cell r="BH471">
            <v>130.60199999999998</v>
          </cell>
          <cell r="BI471">
            <v>137.36458671632315</v>
          </cell>
          <cell r="BJ471">
            <v>138.59747613763889</v>
          </cell>
          <cell r="BK471">
            <v>140.70644661855039</v>
          </cell>
          <cell r="BL471">
            <v>547.26250947251253</v>
          </cell>
          <cell r="BM471">
            <v>599.68569121206872</v>
          </cell>
          <cell r="BN471">
            <v>656.56599069033723</v>
          </cell>
          <cell r="BO471">
            <v>719.61413642146385</v>
          </cell>
        </row>
        <row r="472">
          <cell r="A472" t="str">
            <v>Less: Pro-Forma Taxes (at Effective Tax Rate)</v>
          </cell>
          <cell r="J472">
            <v>-13.216800487210721</v>
          </cell>
          <cell r="K472">
            <v>-12.729599407602434</v>
          </cell>
          <cell r="L472">
            <v>-14.024666169104721</v>
          </cell>
          <cell r="M472">
            <v>-11.192348939929328</v>
          </cell>
          <cell r="N472">
            <v>-51.241859945459353</v>
          </cell>
          <cell r="O472">
            <v>-12.004025923820352</v>
          </cell>
          <cell r="P472">
            <v>-14.163127611660201</v>
          </cell>
          <cell r="Q472">
            <v>-14.337249740440809</v>
          </cell>
          <cell r="R472">
            <v>-16.682299145083601</v>
          </cell>
          <cell r="S472">
            <v>-57.223378504566462</v>
          </cell>
          <cell r="T472">
            <v>-17.592147797522642</v>
          </cell>
          <cell r="U472">
            <v>-17.083638059603174</v>
          </cell>
          <cell r="V472">
            <v>-20.710431778510468</v>
          </cell>
          <cell r="W472">
            <v>-28.816056696489756</v>
          </cell>
          <cell r="X472">
            <v>-82.347945371389841</v>
          </cell>
          <cell r="Y472">
            <v>-28.029939018446317</v>
          </cell>
          <cell r="Z472">
            <v>-28.475568794692855</v>
          </cell>
          <cell r="AA472">
            <v>-23.997630691759486</v>
          </cell>
          <cell r="AB472">
            <v>-29.848753507871319</v>
          </cell>
          <cell r="AC472">
            <v>-109.96654714080169</v>
          </cell>
          <cell r="AD472">
            <v>-28.804690382332687</v>
          </cell>
          <cell r="AE472">
            <v>-29.995817659489006</v>
          </cell>
          <cell r="AF472">
            <v>-30.187743471704103</v>
          </cell>
          <cell r="AG472">
            <v>-36.543972609409494</v>
          </cell>
          <cell r="AH472">
            <v>-126.0762659627033</v>
          </cell>
          <cell r="AI472">
            <v>-26.669119196658329</v>
          </cell>
          <cell r="AJ472">
            <v>-32.163155765458754</v>
          </cell>
          <cell r="AK472">
            <v>-33.157008730738461</v>
          </cell>
          <cell r="AL472">
            <v>-34.264124999999979</v>
          </cell>
          <cell r="AM472">
            <v>-132.28077687409041</v>
          </cell>
          <cell r="AN472">
            <v>-23.720545072471577</v>
          </cell>
          <cell r="AO472">
            <v>-29.739396167616235</v>
          </cell>
          <cell r="AP472">
            <v>-30.005943340228434</v>
          </cell>
          <cell r="AQ472">
            <v>-31.343999999999991</v>
          </cell>
          <cell r="AR472">
            <v>-122.83955187162019</v>
          </cell>
          <cell r="AS472">
            <v>-28.528290183974001</v>
          </cell>
          <cell r="AT472">
            <v>-28.721931742561083</v>
          </cell>
          <cell r="AU472">
            <v>-29.701666049166366</v>
          </cell>
          <cell r="AV472">
            <v>-33.032584181078334</v>
          </cell>
          <cell r="AW472">
            <v>-119.62312805362512</v>
          </cell>
          <cell r="AX472">
            <v>-32.036141005008311</v>
          </cell>
          <cell r="AY472">
            <v>-35.385131001418827</v>
          </cell>
          <cell r="AZ472">
            <v>-38.162684274291259</v>
          </cell>
          <cell r="BA472">
            <v>-32.018953263261388</v>
          </cell>
          <cell r="BB472">
            <v>-138.09691524269707</v>
          </cell>
          <cell r="BC472">
            <v>-37.90186732322065</v>
          </cell>
          <cell r="BD472">
            <v>-41.988009469150668</v>
          </cell>
          <cell r="BE472">
            <v>-40.750042657041476</v>
          </cell>
          <cell r="BF472">
            <v>-37.435667542097946</v>
          </cell>
          <cell r="BG472">
            <v>-158.04037653643249</v>
          </cell>
          <cell r="BH472">
            <v>-36.850004900369008</v>
          </cell>
          <cell r="BI472">
            <v>-43.956667749223406</v>
          </cell>
          <cell r="BJ472">
            <v>-44.351192364044444</v>
          </cell>
          <cell r="BK472">
            <v>-45.026062917936123</v>
          </cell>
          <cell r="BL472">
            <v>-170.24781052048658</v>
          </cell>
          <cell r="BM472">
            <v>-180.5592732122054</v>
          </cell>
          <cell r="BN472">
            <v>-197.68535389812399</v>
          </cell>
          <cell r="BO472">
            <v>-216.66851047066208</v>
          </cell>
        </row>
        <row r="473">
          <cell r="J473" t="str">
            <v>=</v>
          </cell>
          <cell r="K473" t="str">
            <v>=</v>
          </cell>
          <cell r="L473" t="str">
            <v>=</v>
          </cell>
          <cell r="M473" t="str">
            <v>=</v>
          </cell>
          <cell r="N473" t="str">
            <v>=</v>
          </cell>
          <cell r="O473" t="str">
            <v>=</v>
          </cell>
          <cell r="P473" t="str">
            <v>=</v>
          </cell>
          <cell r="Q473" t="str">
            <v>=</v>
          </cell>
          <cell r="R473" t="str">
            <v>=</v>
          </cell>
          <cell r="S473" t="str">
            <v>=</v>
          </cell>
          <cell r="T473" t="str">
            <v>=</v>
          </cell>
          <cell r="U473" t="str">
            <v>=</v>
          </cell>
          <cell r="V473" t="str">
            <v>=</v>
          </cell>
          <cell r="W473" t="str">
            <v>=</v>
          </cell>
          <cell r="X473" t="str">
            <v>=</v>
          </cell>
          <cell r="Y473" t="str">
            <v>=</v>
          </cell>
          <cell r="Z473" t="str">
            <v>=</v>
          </cell>
          <cell r="AA473" t="str">
            <v>=</v>
          </cell>
          <cell r="AB473" t="str">
            <v>=</v>
          </cell>
          <cell r="AC473" t="str">
            <v>=</v>
          </cell>
          <cell r="AD473" t="str">
            <v>=</v>
          </cell>
          <cell r="AE473" t="str">
            <v>=</v>
          </cell>
          <cell r="AF473" t="str">
            <v>=</v>
          </cell>
          <cell r="AG473" t="str">
            <v>=</v>
          </cell>
          <cell r="AH473" t="str">
            <v>=</v>
          </cell>
          <cell r="AI473" t="str">
            <v>=</v>
          </cell>
          <cell r="AJ473" t="str">
            <v>=</v>
          </cell>
          <cell r="AK473" t="str">
            <v>=</v>
          </cell>
          <cell r="AL473" t="str">
            <v>=</v>
          </cell>
          <cell r="AM473" t="str">
            <v>=</v>
          </cell>
          <cell r="AN473" t="str">
            <v>=</v>
          </cell>
          <cell r="AO473" t="str">
            <v>=</v>
          </cell>
          <cell r="AP473" t="str">
            <v>=</v>
          </cell>
          <cell r="AQ473" t="str">
            <v>=</v>
          </cell>
          <cell r="AR473" t="str">
            <v>=</v>
          </cell>
          <cell r="AS473" t="str">
            <v>=</v>
          </cell>
          <cell r="AT473" t="str">
            <v>=</v>
          </cell>
          <cell r="AU473" t="str">
            <v>=</v>
          </cell>
          <cell r="AV473" t="str">
            <v>=</v>
          </cell>
          <cell r="AW473" t="str">
            <v>=</v>
          </cell>
          <cell r="AX473" t="str">
            <v>=</v>
          </cell>
          <cell r="AY473" t="str">
            <v>=</v>
          </cell>
          <cell r="AZ473" t="str">
            <v>=</v>
          </cell>
          <cell r="BA473" t="str">
            <v>=</v>
          </cell>
          <cell r="BB473" t="str">
            <v>=</v>
          </cell>
          <cell r="BC473" t="str">
            <v>=</v>
          </cell>
          <cell r="BD473" t="str">
            <v>=</v>
          </cell>
          <cell r="BE473" t="str">
            <v>=</v>
          </cell>
          <cell r="BF473" t="str">
            <v>=</v>
          </cell>
          <cell r="BG473" t="str">
            <v>=</v>
          </cell>
          <cell r="BH473" t="str">
            <v>=</v>
          </cell>
          <cell r="BI473" t="str">
            <v>=</v>
          </cell>
          <cell r="BJ473" t="str">
            <v>=</v>
          </cell>
          <cell r="BK473" t="str">
            <v>=</v>
          </cell>
          <cell r="BL473" t="str">
            <v>=</v>
          </cell>
          <cell r="BM473" t="str">
            <v>=</v>
          </cell>
          <cell r="BN473" t="str">
            <v>=</v>
          </cell>
          <cell r="BO473" t="str">
            <v>=</v>
          </cell>
        </row>
        <row r="474">
          <cell r="A474" t="str">
            <v>NOPLAT</v>
          </cell>
          <cell r="J474">
            <v>21.945199512789273</v>
          </cell>
          <cell r="K474">
            <v>20.177400592397568</v>
          </cell>
          <cell r="L474">
            <v>23.494333830895286</v>
          </cell>
          <cell r="M474">
            <v>19.00965106007067</v>
          </cell>
          <cell r="N474">
            <v>84.548140054540667</v>
          </cell>
          <cell r="O474">
            <v>20.779974076179649</v>
          </cell>
          <cell r="P474">
            <v>22.490872388339803</v>
          </cell>
          <cell r="Q474">
            <v>23.460750259559177</v>
          </cell>
          <cell r="R474">
            <v>27.0737008549164</v>
          </cell>
          <cell r="S474">
            <v>93.768621495433536</v>
          </cell>
          <cell r="T474">
            <v>29.664852202477356</v>
          </cell>
          <cell r="U474">
            <v>29.613361940396835</v>
          </cell>
          <cell r="V474">
            <v>20.738568221489537</v>
          </cell>
          <cell r="W474">
            <v>41.903943303510232</v>
          </cell>
          <cell r="X474">
            <v>123.77505462861026</v>
          </cell>
          <cell r="Y474">
            <v>47.39906098155366</v>
          </cell>
          <cell r="Z474">
            <v>54.215431205307148</v>
          </cell>
          <cell r="AA474">
            <v>58.247369308240522</v>
          </cell>
          <cell r="AB474">
            <v>51.784246492128688</v>
          </cell>
          <cell r="AC474">
            <v>212.0314528591984</v>
          </cell>
          <cell r="AD474">
            <v>52.174309617667298</v>
          </cell>
          <cell r="AE474">
            <v>57.125182340511017</v>
          </cell>
          <cell r="AF474">
            <v>53.341256528295908</v>
          </cell>
          <cell r="AG474">
            <v>58.763027390590523</v>
          </cell>
          <cell r="AH474">
            <v>220.85973403729668</v>
          </cell>
          <cell r="AI474">
            <v>63.857880803341658</v>
          </cell>
          <cell r="AJ474">
            <v>65.008844234541257</v>
          </cell>
          <cell r="AK474">
            <v>59.278991269261489</v>
          </cell>
          <cell r="AL474">
            <v>57.106874999999974</v>
          </cell>
          <cell r="AM474">
            <v>239.22522312590945</v>
          </cell>
          <cell r="AN474">
            <v>59.216454927528389</v>
          </cell>
          <cell r="AO474">
            <v>60.318603832383744</v>
          </cell>
          <cell r="AP474">
            <v>53.99105665977158</v>
          </cell>
          <cell r="AQ474">
            <v>52.239999999999981</v>
          </cell>
          <cell r="AR474">
            <v>217.73644812837978</v>
          </cell>
          <cell r="AS474">
            <v>50.988709816026038</v>
          </cell>
          <cell r="AT474">
            <v>59.87806825743894</v>
          </cell>
          <cell r="AU474">
            <v>54.230333950833653</v>
          </cell>
          <cell r="AV474">
            <v>52.109415818921647</v>
          </cell>
          <cell r="AW474">
            <v>217.56787194637496</v>
          </cell>
          <cell r="AX474">
            <v>56.716858994991675</v>
          </cell>
          <cell r="AY474">
            <v>63.105868998581187</v>
          </cell>
          <cell r="AZ474">
            <v>70.945315725708639</v>
          </cell>
          <cell r="BA474">
            <v>75.524046736738654</v>
          </cell>
          <cell r="BB474">
            <v>265.79808475730295</v>
          </cell>
          <cell r="BC474">
            <v>75.23913267677932</v>
          </cell>
          <cell r="BD474">
            <v>83.695990530849343</v>
          </cell>
          <cell r="BE474">
            <v>82.509957342958572</v>
          </cell>
          <cell r="BF474">
            <v>88.576332457902055</v>
          </cell>
          <cell r="BG474">
            <v>330.05662346356746</v>
          </cell>
          <cell r="BH474">
            <v>93.75199509963096</v>
          </cell>
          <cell r="BI474">
            <v>93.407918967099732</v>
          </cell>
          <cell r="BJ474">
            <v>94.246283773594456</v>
          </cell>
          <cell r="BK474">
            <v>95.680383700614271</v>
          </cell>
          <cell r="BL474">
            <v>377.01469895202592</v>
          </cell>
          <cell r="BM474">
            <v>419.12641799986329</v>
          </cell>
          <cell r="BN474">
            <v>458.88063679221324</v>
          </cell>
          <cell r="BO474">
            <v>502.94562595080174</v>
          </cell>
        </row>
        <row r="475">
          <cell r="A475" t="str">
            <v>Depreciation and Amortization</v>
          </cell>
          <cell r="J475">
            <v>7.609</v>
          </cell>
          <cell r="K475">
            <v>7.6470000000000002</v>
          </cell>
          <cell r="L475">
            <v>8.3930000000000007</v>
          </cell>
          <cell r="M475">
            <v>9.8209999999999997</v>
          </cell>
          <cell r="N475">
            <v>33.47</v>
          </cell>
          <cell r="O475">
            <v>9.48</v>
          </cell>
          <cell r="P475">
            <v>9.3999999999999986</v>
          </cell>
          <cell r="Q475">
            <v>9.298</v>
          </cell>
          <cell r="R475">
            <v>9.333000000000002</v>
          </cell>
          <cell r="S475">
            <v>37.511000000000003</v>
          </cell>
          <cell r="T475">
            <v>7.6709999999999994</v>
          </cell>
          <cell r="U475">
            <v>7.8330000000000002</v>
          </cell>
          <cell r="V475">
            <v>21.283999999999999</v>
          </cell>
          <cell r="W475">
            <v>22.224</v>
          </cell>
          <cell r="X475">
            <v>59.012</v>
          </cell>
          <cell r="Y475">
            <v>21.802</v>
          </cell>
          <cell r="Z475">
            <v>21.590999999999998</v>
          </cell>
          <cell r="AA475">
            <v>21.091000000000001</v>
          </cell>
          <cell r="AB475">
            <v>20.746000000000002</v>
          </cell>
          <cell r="AC475">
            <v>85.22999999999999</v>
          </cell>
          <cell r="AD475">
            <v>20.375</v>
          </cell>
          <cell r="AE475">
            <v>20.620999999999999</v>
          </cell>
          <cell r="AF475">
            <v>20.592000000000006</v>
          </cell>
          <cell r="AG475">
            <v>20.41</v>
          </cell>
          <cell r="AH475">
            <v>81.998000000000005</v>
          </cell>
          <cell r="AI475">
            <v>19.566000000000003</v>
          </cell>
          <cell r="AJ475">
            <v>19.755000000000003</v>
          </cell>
          <cell r="AK475">
            <v>20.382000000000001</v>
          </cell>
          <cell r="AL475">
            <v>20.802000000000003</v>
          </cell>
          <cell r="AM475">
            <v>80.504999999999995</v>
          </cell>
          <cell r="AN475">
            <v>19.566000000000003</v>
          </cell>
          <cell r="AO475">
            <v>19.755000000000003</v>
          </cell>
          <cell r="AP475">
            <v>20.382000000000001</v>
          </cell>
          <cell r="AQ475">
            <v>20.802000000000003</v>
          </cell>
          <cell r="AR475">
            <v>80.504999999999995</v>
          </cell>
          <cell r="AS475">
            <v>20.056999999999999</v>
          </cell>
          <cell r="AT475">
            <v>17.363000000000003</v>
          </cell>
          <cell r="AU475">
            <v>17.916</v>
          </cell>
          <cell r="AV475">
            <v>19.210999999999995</v>
          </cell>
          <cell r="AW475">
            <v>74.546999999999997</v>
          </cell>
          <cell r="AX475">
            <v>18.908999999999999</v>
          </cell>
          <cell r="AY475">
            <v>19.759999999999998</v>
          </cell>
          <cell r="AZ475">
            <v>19.759</v>
          </cell>
          <cell r="BA475">
            <v>19.370999999999995</v>
          </cell>
          <cell r="BB475">
            <v>77.798999999999992</v>
          </cell>
          <cell r="BC475">
            <v>20.007999999999999</v>
          </cell>
          <cell r="BD475">
            <v>20.336000000000002</v>
          </cell>
          <cell r="BE475">
            <v>20.063999999999997</v>
          </cell>
          <cell r="BF475">
            <v>20.945000000000004</v>
          </cell>
          <cell r="BG475">
            <v>81.353000000000009</v>
          </cell>
          <cell r="BH475">
            <v>20.088999999999999</v>
          </cell>
          <cell r="BI475">
            <v>21.253222218977083</v>
          </cell>
          <cell r="BJ475">
            <v>21.243480424726709</v>
          </cell>
          <cell r="BK475">
            <v>21.378426398690141</v>
          </cell>
          <cell r="BL475">
            <v>83.964129042393921</v>
          </cell>
          <cell r="BM475">
            <v>84.33976821883526</v>
          </cell>
          <cell r="BN475">
            <v>84.862755922552964</v>
          </cell>
          <cell r="BO475">
            <v>85.441825356869202</v>
          </cell>
        </row>
        <row r="476">
          <cell r="A476" t="str">
            <v>Gain/Loss on Sale, Impairments, and Other</v>
          </cell>
          <cell r="J476">
            <v>0</v>
          </cell>
          <cell r="K476">
            <v>1.7999999999999999E-2</v>
          </cell>
          <cell r="L476">
            <v>5.7999999999999996E-2</v>
          </cell>
          <cell r="M476">
            <v>7.391</v>
          </cell>
          <cell r="N476">
            <v>7.4670000000000005</v>
          </cell>
          <cell r="O476">
            <v>0.89100000000000001</v>
          </cell>
          <cell r="P476">
            <v>-1.0000000000000009E-3</v>
          </cell>
          <cell r="Q476">
            <v>-0.16699999999999998</v>
          </cell>
          <cell r="R476">
            <v>0.37</v>
          </cell>
          <cell r="S476">
            <v>1.093</v>
          </cell>
          <cell r="T476">
            <v>-8.2000000000000003E-2</v>
          </cell>
          <cell r="U476">
            <v>0.83199999999999996</v>
          </cell>
          <cell r="V476">
            <v>-0.75</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-84.614999999999995</v>
          </cell>
          <cell r="AU476">
            <v>-5.0000000000096634E-3</v>
          </cell>
          <cell r="AV476">
            <v>0</v>
          </cell>
          <cell r="AW476">
            <v>-84.62</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cell r="BM476">
            <v>0</v>
          </cell>
          <cell r="BN476">
            <v>0</v>
          </cell>
          <cell r="BO476">
            <v>0</v>
          </cell>
        </row>
        <row r="477">
          <cell r="A477" t="str">
            <v>Plus: Total Non-Cash Charges</v>
          </cell>
          <cell r="J477">
            <v>7.609</v>
          </cell>
          <cell r="K477">
            <v>7.665</v>
          </cell>
          <cell r="L477">
            <v>8.4510000000000005</v>
          </cell>
          <cell r="M477">
            <v>17.212</v>
          </cell>
          <cell r="N477">
            <v>40.936999999999998</v>
          </cell>
          <cell r="O477">
            <v>10.371</v>
          </cell>
          <cell r="P477">
            <v>9.3989999999999991</v>
          </cell>
          <cell r="Q477">
            <v>9.1310000000000002</v>
          </cell>
          <cell r="R477">
            <v>9.7030000000000012</v>
          </cell>
          <cell r="S477">
            <v>38.603999999999999</v>
          </cell>
          <cell r="T477">
            <v>7.5889999999999995</v>
          </cell>
          <cell r="U477">
            <v>8.6650000000000009</v>
          </cell>
          <cell r="V477">
            <v>20.533999999999999</v>
          </cell>
          <cell r="W477">
            <v>22.224</v>
          </cell>
          <cell r="X477">
            <v>59.012</v>
          </cell>
          <cell r="Y477">
            <v>21.802</v>
          </cell>
          <cell r="Z477">
            <v>21.590999999999998</v>
          </cell>
          <cell r="AA477">
            <v>21.091000000000001</v>
          </cell>
          <cell r="AB477">
            <v>20.746000000000002</v>
          </cell>
          <cell r="AC477">
            <v>85.22999999999999</v>
          </cell>
          <cell r="AD477">
            <v>20.375</v>
          </cell>
          <cell r="AE477">
            <v>20.620999999999999</v>
          </cell>
          <cell r="AF477">
            <v>20.592000000000006</v>
          </cell>
          <cell r="AG477">
            <v>20.41</v>
          </cell>
          <cell r="AH477">
            <v>81.998000000000005</v>
          </cell>
          <cell r="AI477">
            <v>19.566000000000003</v>
          </cell>
          <cell r="AJ477">
            <v>19.755000000000003</v>
          </cell>
          <cell r="AK477">
            <v>20.382000000000001</v>
          </cell>
          <cell r="AL477">
            <v>20.802000000000003</v>
          </cell>
          <cell r="AM477">
            <v>80.504999999999995</v>
          </cell>
          <cell r="AN477">
            <v>19.566000000000003</v>
          </cell>
          <cell r="AO477">
            <v>19.755000000000003</v>
          </cell>
          <cell r="AP477">
            <v>20.382000000000001</v>
          </cell>
          <cell r="AQ477">
            <v>20.802000000000003</v>
          </cell>
          <cell r="AR477">
            <v>80.504999999999995</v>
          </cell>
          <cell r="AS477">
            <v>20.056999999999999</v>
          </cell>
          <cell r="AT477">
            <v>-67.251999999999995</v>
          </cell>
          <cell r="AU477">
            <v>17.910999999999991</v>
          </cell>
          <cell r="AV477">
            <v>19.210999999999995</v>
          </cell>
          <cell r="AW477">
            <v>-10.073000000000008</v>
          </cell>
          <cell r="AX477">
            <v>18.908999999999999</v>
          </cell>
          <cell r="AY477">
            <v>19.759999999999998</v>
          </cell>
          <cell r="AZ477">
            <v>19.759</v>
          </cell>
          <cell r="BA477">
            <v>19.370999999999995</v>
          </cell>
          <cell r="BB477">
            <v>77.798999999999992</v>
          </cell>
          <cell r="BC477">
            <v>20.007999999999999</v>
          </cell>
          <cell r="BD477">
            <v>20.336000000000002</v>
          </cell>
          <cell r="BE477">
            <v>20.063999999999997</v>
          </cell>
          <cell r="BF477">
            <v>20.945000000000004</v>
          </cell>
          <cell r="BG477">
            <v>81.353000000000009</v>
          </cell>
          <cell r="BH477">
            <v>20.088999999999999</v>
          </cell>
          <cell r="BI477">
            <v>21.253222218977083</v>
          </cell>
          <cell r="BJ477">
            <v>21.243480424726709</v>
          </cell>
          <cell r="BK477">
            <v>21.378426398690141</v>
          </cell>
          <cell r="BL477">
            <v>83.964129042393921</v>
          </cell>
          <cell r="BM477">
            <v>84.33976821883526</v>
          </cell>
          <cell r="BN477">
            <v>84.862755922552964</v>
          </cell>
          <cell r="BO477">
            <v>85.441825356869202</v>
          </cell>
        </row>
        <row r="478">
          <cell r="A478" t="str">
            <v>Less: Fixed Cap Inv (Capex, Purch of Intang)</v>
          </cell>
          <cell r="J478">
            <v>-0.96099999999999997</v>
          </cell>
          <cell r="K478">
            <v>-4.859</v>
          </cell>
          <cell r="L478">
            <v>-13.277000000000001</v>
          </cell>
          <cell r="M478">
            <v>-6.4589999999999996</v>
          </cell>
          <cell r="N478">
            <v>-25.556000000000001</v>
          </cell>
          <cell r="O478">
            <v>-6.0330000000000004</v>
          </cell>
          <cell r="P478">
            <v>-3.4859999999999998</v>
          </cell>
          <cell r="Q478">
            <v>-1.6690000000000005</v>
          </cell>
          <cell r="R478">
            <v>-2.2240000000000002</v>
          </cell>
          <cell r="S478">
            <v>-13.412000000000001</v>
          </cell>
          <cell r="T478">
            <v>-3.2850000000000001</v>
          </cell>
          <cell r="U478">
            <v>-1.4109999999999996</v>
          </cell>
          <cell r="V478">
            <v>-2.399</v>
          </cell>
          <cell r="W478">
            <v>-6.0729999999999995</v>
          </cell>
          <cell r="X478">
            <v>-13.167999999999999</v>
          </cell>
          <cell r="Y478">
            <v>-3.835</v>
          </cell>
          <cell r="Z478">
            <v>-2.8970000000000002</v>
          </cell>
          <cell r="AA478">
            <v>-10.11</v>
          </cell>
          <cell r="AB478">
            <v>-6.2690000000000019</v>
          </cell>
          <cell r="AC478">
            <v>-23.111000000000001</v>
          </cell>
          <cell r="AD478">
            <v>-4.2919999999999998</v>
          </cell>
          <cell r="AE478">
            <v>-15.654000000000002</v>
          </cell>
          <cell r="AF478">
            <v>-18.162999999999997</v>
          </cell>
          <cell r="AG478">
            <v>-6.7750000000000057</v>
          </cell>
          <cell r="AH478">
            <v>-44.884</v>
          </cell>
          <cell r="AI478">
            <v>-4.8</v>
          </cell>
          <cell r="AJ478">
            <v>-3.6909999999999998</v>
          </cell>
          <cell r="AK478">
            <v>-14.208000000000002</v>
          </cell>
          <cell r="AL478">
            <v>-20.812000000000001</v>
          </cell>
          <cell r="AM478">
            <v>-43.511000000000003</v>
          </cell>
          <cell r="AN478">
            <v>-4.8</v>
          </cell>
          <cell r="AO478">
            <v>-3.6909999999999998</v>
          </cell>
          <cell r="AP478">
            <v>-14.208000000000002</v>
          </cell>
          <cell r="AQ478">
            <v>-20.812000000000001</v>
          </cell>
          <cell r="AR478">
            <v>-43.511000000000003</v>
          </cell>
          <cell r="AS478">
            <v>-10.059999999999999</v>
          </cell>
          <cell r="AT478">
            <v>-11.904000000000003</v>
          </cell>
          <cell r="AU478">
            <v>-20.273</v>
          </cell>
          <cell r="AV478">
            <v>-8.6159999999999997</v>
          </cell>
          <cell r="AW478">
            <v>-50.853000000000002</v>
          </cell>
          <cell r="AX478">
            <v>-6.32</v>
          </cell>
          <cell r="AY478">
            <v>-11.962</v>
          </cell>
          <cell r="AZ478">
            <v>-12.305</v>
          </cell>
          <cell r="BA478">
            <v>-18.510000000000002</v>
          </cell>
          <cell r="BB478">
            <v>-49.097000000000001</v>
          </cell>
          <cell r="BC478">
            <v>-3.1349999999999998</v>
          </cell>
          <cell r="BD478">
            <v>-15.23</v>
          </cell>
          <cell r="BE478">
            <v>-13.727999999999994</v>
          </cell>
          <cell r="BF478">
            <v>-10.535000000000002</v>
          </cell>
          <cell r="BG478">
            <v>-42.628</v>
          </cell>
          <cell r="BH478">
            <v>-9.6289999999999996</v>
          </cell>
          <cell r="BI478">
            <v>-12.501683497750001</v>
          </cell>
          <cell r="BJ478">
            <v>-12.489875262295001</v>
          </cell>
          <cell r="BK478">
            <v>-14.235126907304739</v>
          </cell>
          <cell r="BL478">
            <v>-48.855685667349739</v>
          </cell>
          <cell r="BM478">
            <v>-50.28743348128755</v>
          </cell>
          <cell r="BN478">
            <v>-51.692994059494524</v>
          </cell>
          <cell r="BO478">
            <v>-53.148358477417041</v>
          </cell>
        </row>
        <row r="479">
          <cell r="A479" t="str">
            <v>Less: Working Cap Inv</v>
          </cell>
          <cell r="J479">
            <v>-6.3039999999999914</v>
          </cell>
          <cell r="K479">
            <v>31.348999999999997</v>
          </cell>
          <cell r="L479">
            <v>-2.0000000000000009</v>
          </cell>
          <cell r="M479">
            <v>0.32300000000000928</v>
          </cell>
          <cell r="N479">
            <v>23.368000000000006</v>
          </cell>
          <cell r="O479">
            <v>-8.8589999999999947</v>
          </cell>
          <cell r="P479">
            <v>15.110000000000001</v>
          </cell>
          <cell r="Q479">
            <v>16.914000000000005</v>
          </cell>
          <cell r="R479">
            <v>-28.537999999999997</v>
          </cell>
          <cell r="S479">
            <v>-5.3729999999999958</v>
          </cell>
          <cell r="T479">
            <v>-51.860000000000007</v>
          </cell>
          <cell r="U479">
            <v>30.982000000000003</v>
          </cell>
          <cell r="V479">
            <v>10.126999999999999</v>
          </cell>
          <cell r="W479">
            <v>5.5759999999999987</v>
          </cell>
          <cell r="X479">
            <v>-5.1749999999999954</v>
          </cell>
          <cell r="Y479">
            <v>-102.459</v>
          </cell>
          <cell r="Z479">
            <v>38.458999999999996</v>
          </cell>
          <cell r="AA479">
            <v>31.556000000000001</v>
          </cell>
          <cell r="AB479">
            <v>-9.6970000000000027</v>
          </cell>
          <cell r="AC479">
            <v>-42.140999999999991</v>
          </cell>
          <cell r="AD479">
            <v>4.8489999999999931</v>
          </cell>
          <cell r="AE479">
            <v>48.878</v>
          </cell>
          <cell r="AF479">
            <v>26.398000000000007</v>
          </cell>
          <cell r="AG479">
            <v>-16.687000000000012</v>
          </cell>
          <cell r="AH479">
            <v>63.437999999999988</v>
          </cell>
          <cell r="AI479">
            <v>-7.8520000000000003</v>
          </cell>
          <cell r="AJ479">
            <v>-10.656999999999993</v>
          </cell>
          <cell r="AK479">
            <v>-7.8460000000000036</v>
          </cell>
          <cell r="AL479">
            <v>32.392000000000003</v>
          </cell>
          <cell r="AM479">
            <v>6.0370000000000026</v>
          </cell>
          <cell r="AN479">
            <v>-7.8520000000000003</v>
          </cell>
          <cell r="AO479">
            <v>-10.656999999999993</v>
          </cell>
          <cell r="AP479">
            <v>-7.8460000000000036</v>
          </cell>
          <cell r="AQ479">
            <v>32.392000000000003</v>
          </cell>
          <cell r="AR479">
            <v>6.0370000000000026</v>
          </cell>
          <cell r="AS479">
            <v>-53.396999999999998</v>
          </cell>
          <cell r="AT479">
            <v>-8.2500000000000018</v>
          </cell>
          <cell r="AU479">
            <v>31.411000000000001</v>
          </cell>
          <cell r="AV479">
            <v>31.265999999999998</v>
          </cell>
          <cell r="AW479">
            <v>1.029999999999998</v>
          </cell>
          <cell r="AX479">
            <v>-7.9920000000000044</v>
          </cell>
          <cell r="AY479">
            <v>-42.319999999999993</v>
          </cell>
          <cell r="AZ479">
            <v>52.42</v>
          </cell>
          <cell r="BA479">
            <v>-0.64600000000000657</v>
          </cell>
          <cell r="BB479">
            <v>1.4619999999999989</v>
          </cell>
          <cell r="BC479">
            <v>-47.867000000000004</v>
          </cell>
          <cell r="BD479">
            <v>22.737000000000013</v>
          </cell>
          <cell r="BE479">
            <v>56.779999999999994</v>
          </cell>
          <cell r="BF479">
            <v>49.66</v>
          </cell>
          <cell r="BG479">
            <v>81.31</v>
          </cell>
          <cell r="BH479">
            <v>-64.257999999999996</v>
          </cell>
          <cell r="BI479">
            <v>-27.648251251528372</v>
          </cell>
          <cell r="BJ479">
            <v>56.686542437613312</v>
          </cell>
          <cell r="BK479">
            <v>47.105654940510298</v>
          </cell>
          <cell r="BL479">
            <v>11.885946126595242</v>
          </cell>
          <cell r="BM479">
            <v>-2.7375826855644476</v>
          </cell>
          <cell r="BN479">
            <v>-2.4383731868913152</v>
          </cell>
          <cell r="BO479">
            <v>-3.6307717950998679</v>
          </cell>
        </row>
        <row r="481">
          <cell r="A481" t="str">
            <v>Free Cash Flow to Firm</v>
          </cell>
          <cell r="J481">
            <v>22.289199512789281</v>
          </cell>
          <cell r="K481">
            <v>54.332400592397562</v>
          </cell>
          <cell r="L481">
            <v>16.668333830895286</v>
          </cell>
          <cell r="M481">
            <v>30.085651060070681</v>
          </cell>
          <cell r="N481">
            <v>123.29714005454068</v>
          </cell>
          <cell r="O481">
            <v>16.258974076179655</v>
          </cell>
          <cell r="P481">
            <v>43.513872388339806</v>
          </cell>
          <cell r="Q481">
            <v>47.836750259559182</v>
          </cell>
          <cell r="R481">
            <v>6.0147008549164021</v>
          </cell>
          <cell r="S481">
            <v>113.58762149543354</v>
          </cell>
          <cell r="T481">
            <v>-17.891147797522649</v>
          </cell>
          <cell r="U481">
            <v>67.849361940396847</v>
          </cell>
          <cell r="V481">
            <v>49.00056822148953</v>
          </cell>
          <cell r="W481">
            <v>63.630943303510229</v>
          </cell>
          <cell r="X481">
            <v>164.44405462861027</v>
          </cell>
          <cell r="Y481">
            <v>-37.092939018446344</v>
          </cell>
          <cell r="Z481">
            <v>111.36843120530713</v>
          </cell>
          <cell r="AA481">
            <v>100.78436930824053</v>
          </cell>
          <cell r="AB481">
            <v>56.564246492128689</v>
          </cell>
          <cell r="AC481">
            <v>232.0094528591984</v>
          </cell>
          <cell r="AD481">
            <v>73.106309617667293</v>
          </cell>
          <cell r="AE481">
            <v>110.97018234051102</v>
          </cell>
          <cell r="AF481">
            <v>82.168256528295927</v>
          </cell>
          <cell r="AG481">
            <v>55.711027390590502</v>
          </cell>
          <cell r="AH481">
            <v>321.4117340372967</v>
          </cell>
          <cell r="AI481">
            <v>70.771880803341659</v>
          </cell>
          <cell r="AJ481">
            <v>70.415844234541268</v>
          </cell>
          <cell r="AK481">
            <v>57.606991269261485</v>
          </cell>
          <cell r="AL481">
            <v>89.488874999999979</v>
          </cell>
          <cell r="AM481">
            <v>282.25622312590946</v>
          </cell>
          <cell r="AN481">
            <v>66.13045492752839</v>
          </cell>
          <cell r="AO481">
            <v>65.725603832383754</v>
          </cell>
          <cell r="AP481">
            <v>52.319056659771576</v>
          </cell>
          <cell r="AQ481">
            <v>84.621999999999986</v>
          </cell>
          <cell r="AR481">
            <v>260.76744812837978</v>
          </cell>
          <cell r="AS481">
            <v>7.5887098160260393</v>
          </cell>
          <cell r="AT481">
            <v>-27.527931742561066</v>
          </cell>
          <cell r="AU481">
            <v>83.279333950833646</v>
          </cell>
          <cell r="AV481">
            <v>93.970415818921637</v>
          </cell>
          <cell r="AW481">
            <v>157.67187194637495</v>
          </cell>
          <cell r="AX481">
            <v>61.313858994991669</v>
          </cell>
          <cell r="AY481">
            <v>28.583868998581195</v>
          </cell>
          <cell r="AZ481">
            <v>130.81931572570863</v>
          </cell>
          <cell r="BA481">
            <v>75.739046736738644</v>
          </cell>
          <cell r="BB481">
            <v>295.96208475730293</v>
          </cell>
          <cell r="BC481">
            <v>44.245132676779313</v>
          </cell>
          <cell r="BD481">
            <v>111.53899053084936</v>
          </cell>
          <cell r="BE481">
            <v>145.62595734295857</v>
          </cell>
          <cell r="BF481">
            <v>148.64633245790205</v>
          </cell>
          <cell r="BG481">
            <v>450.09162346356749</v>
          </cell>
          <cell r="BH481">
            <v>39.953995099630966</v>
          </cell>
          <cell r="BI481">
            <v>74.511206436798446</v>
          </cell>
          <cell r="BJ481">
            <v>159.68643137363949</v>
          </cell>
          <cell r="BK481">
            <v>149.92933813250997</v>
          </cell>
          <cell r="BL481">
            <v>424.00908845366536</v>
          </cell>
          <cell r="BM481">
            <v>450.44117005184654</v>
          </cell>
          <cell r="BN481">
            <v>489.61202546838035</v>
          </cell>
          <cell r="BO481">
            <v>531.60832103515406</v>
          </cell>
        </row>
        <row r="483">
          <cell r="A483" t="str">
            <v>Less: After-Tax Interest Expense</v>
          </cell>
          <cell r="J483">
            <v>-5.2819015834348342</v>
          </cell>
          <cell r="K483">
            <v>-4.088580154681587</v>
          </cell>
          <cell r="L483">
            <v>-3.7515539854711912</v>
          </cell>
          <cell r="M483">
            <v>-3.6569125441696113</v>
          </cell>
          <cell r="N483">
            <v>-16.768911613144482</v>
          </cell>
          <cell r="O483">
            <v>-3.5736180405533444</v>
          </cell>
          <cell r="P483">
            <v>-3.0090914550231456</v>
          </cell>
          <cell r="Q483">
            <v>-2.8725422562368359</v>
          </cell>
          <cell r="R483">
            <v>-2.7923853176304441</v>
          </cell>
          <cell r="S483">
            <v>-12.223480561186143</v>
          </cell>
          <cell r="T483">
            <v>-2.7846305175992883</v>
          </cell>
          <cell r="U483">
            <v>-5.7017311006297593</v>
          </cell>
          <cell r="V483">
            <v>-10.214429063227312</v>
          </cell>
          <cell r="W483">
            <v>-10.366367195912213</v>
          </cell>
          <cell r="X483">
            <v>-30.827418480562393</v>
          </cell>
          <cell r="Y483">
            <v>-10.423155875074981</v>
          </cell>
          <cell r="Z483">
            <v>-8.4262703540966672</v>
          </cell>
          <cell r="AA483">
            <v>-9.2868594290103701</v>
          </cell>
          <cell r="AB483">
            <v>-8.4159788101756785</v>
          </cell>
          <cell r="AC483">
            <v>-36.756078196596228</v>
          </cell>
          <cell r="AD483">
            <v>-7.9602563050455011</v>
          </cell>
          <cell r="AE483">
            <v>-19.396242224201465</v>
          </cell>
          <cell r="AF483">
            <v>-4.6706886260814349</v>
          </cell>
          <cell r="AG483">
            <v>-4.4257086112211974</v>
          </cell>
          <cell r="AH483">
            <v>-35.922109761617634</v>
          </cell>
          <cell r="AI483">
            <v>-4.9519184689590778</v>
          </cell>
          <cell r="AJ483">
            <v>-4.3512279555988993</v>
          </cell>
          <cell r="AK483">
            <v>-3.7368415133279984</v>
          </cell>
          <cell r="AL483">
            <v>-4.32125</v>
          </cell>
          <cell r="AM483">
            <v>-16.912917921654063</v>
          </cell>
          <cell r="AN483">
            <v>0</v>
          </cell>
          <cell r="AO483">
            <v>0</v>
          </cell>
          <cell r="AP483">
            <v>0</v>
          </cell>
          <cell r="AQ483">
            <v>0</v>
          </cell>
          <cell r="AR483">
            <v>0</v>
          </cell>
          <cell r="AS483">
            <v>-3.2439840909399953</v>
          </cell>
          <cell r="AT483">
            <v>-3.6264753303545967</v>
          </cell>
          <cell r="AU483">
            <v>-3.6208691733840692</v>
          </cell>
          <cell r="AV483">
            <v>-9.6645578585961331</v>
          </cell>
          <cell r="AW483">
            <v>-20.531418944555607</v>
          </cell>
          <cell r="AX483">
            <v>-7.0984740765536669</v>
          </cell>
          <cell r="AY483">
            <v>-7.1223242711336896</v>
          </cell>
          <cell r="AZ483">
            <v>-11.227524715289549</v>
          </cell>
          <cell r="BA483">
            <v>-16.079136476426804</v>
          </cell>
          <cell r="BB483">
            <v>-41.056079213047596</v>
          </cell>
          <cell r="BC483">
            <v>-15.231234431629153</v>
          </cell>
          <cell r="BD483">
            <v>-15.261645961188419</v>
          </cell>
          <cell r="BE483">
            <v>-17.933163696396715</v>
          </cell>
          <cell r="BF483">
            <v>-20.412088676038934</v>
          </cell>
          <cell r="BG483">
            <v>-68.737537480654666</v>
          </cell>
          <cell r="BH483">
            <v>-20.834733815498151</v>
          </cell>
          <cell r="BI483">
            <v>-19.739757468002047</v>
          </cell>
          <cell r="BJ483">
            <v>-19.739757468002047</v>
          </cell>
          <cell r="BK483">
            <v>-19.739757468002047</v>
          </cell>
          <cell r="BL483">
            <v>-79.990160613679976</v>
          </cell>
          <cell r="BM483">
            <v>-85.602177226675565</v>
          </cell>
          <cell r="BN483">
            <v>-87.053061586449729</v>
          </cell>
          <cell r="BO483">
            <v>-87.053061586449729</v>
          </cell>
        </row>
        <row r="484">
          <cell r="A484" t="str">
            <v>Plus: Net Borrowing</v>
          </cell>
          <cell r="J484">
            <v>-5.5620000000000118</v>
          </cell>
          <cell r="K484">
            <v>-5.5629999999999882</v>
          </cell>
          <cell r="L484">
            <v>-6.5579999999999927</v>
          </cell>
          <cell r="M484">
            <v>-5.5219999999999914</v>
          </cell>
          <cell r="N484">
            <v>0</v>
          </cell>
          <cell r="O484">
            <v>-5.521000000000015</v>
          </cell>
          <cell r="P484">
            <v>-5.5219999999999914</v>
          </cell>
          <cell r="Q484">
            <v>-5.521000000000015</v>
          </cell>
          <cell r="R484">
            <v>-5.5209999999999582</v>
          </cell>
          <cell r="S484">
            <v>0</v>
          </cell>
          <cell r="T484">
            <v>-10.523000000000025</v>
          </cell>
          <cell r="U484">
            <v>-298.61700000000002</v>
          </cell>
          <cell r="V484">
            <v>1195.1410000000001</v>
          </cell>
          <cell r="W484">
            <v>-2.9139999999999873</v>
          </cell>
          <cell r="X484">
            <v>0</v>
          </cell>
          <cell r="Y484">
            <v>-143.18399999999997</v>
          </cell>
          <cell r="Z484">
            <v>-2.5820000000001073</v>
          </cell>
          <cell r="AA484">
            <v>-2.5809999999999036</v>
          </cell>
          <cell r="AB484">
            <v>-37.563000000000102</v>
          </cell>
          <cell r="AC484">
            <v>0</v>
          </cell>
          <cell r="AD484">
            <v>-2.5829999999998563</v>
          </cell>
          <cell r="AE484">
            <v>-198.05900000000008</v>
          </cell>
          <cell r="AF484">
            <v>-10.762000000000057</v>
          </cell>
          <cell r="AG484">
            <v>-10.766999999999939</v>
          </cell>
          <cell r="AH484">
            <v>0</v>
          </cell>
          <cell r="AI484">
            <v>-25.754000000000019</v>
          </cell>
          <cell r="AJ484">
            <v>-10.771999999999935</v>
          </cell>
          <cell r="AK484">
            <v>-10.775000000000091</v>
          </cell>
          <cell r="AL484">
            <v>0.36700000000007549</v>
          </cell>
          <cell r="AM484">
            <v>0</v>
          </cell>
          <cell r="AN484">
            <v>21.17999999999995</v>
          </cell>
          <cell r="AO484">
            <v>-10.771999999999935</v>
          </cell>
          <cell r="AP484">
            <v>-10.775000000000091</v>
          </cell>
          <cell r="AQ484">
            <v>0.36700000000007549</v>
          </cell>
          <cell r="AR484">
            <v>0</v>
          </cell>
          <cell r="AS484">
            <v>-4.9420000000000073</v>
          </cell>
          <cell r="AT484">
            <v>-4.9429999999999836</v>
          </cell>
          <cell r="AU484">
            <v>-4.9430000000000973</v>
          </cell>
          <cell r="AV484">
            <v>7.0460000000000491</v>
          </cell>
          <cell r="AW484">
            <v>0</v>
          </cell>
          <cell r="AX484">
            <v>0</v>
          </cell>
          <cell r="AY484">
            <v>0</v>
          </cell>
          <cell r="AZ484">
            <v>778.84899999999993</v>
          </cell>
          <cell r="BA484">
            <v>0.55500000000006366</v>
          </cell>
          <cell r="BB484">
            <v>0</v>
          </cell>
          <cell r="BC484">
            <v>0.55600000000004002</v>
          </cell>
          <cell r="BD484">
            <v>0.55500000000006366</v>
          </cell>
          <cell r="BE484">
            <v>493.96299999999997</v>
          </cell>
          <cell r="BF484">
            <v>0.72299999999995634</v>
          </cell>
          <cell r="BG484">
            <v>0</v>
          </cell>
          <cell r="BH484">
            <v>0.72299999999995634</v>
          </cell>
          <cell r="BI484">
            <v>0</v>
          </cell>
          <cell r="BJ484">
            <v>0</v>
          </cell>
          <cell r="BK484">
            <v>0</v>
          </cell>
          <cell r="BL484">
            <v>0</v>
          </cell>
          <cell r="BM484">
            <v>0</v>
          </cell>
          <cell r="BN484">
            <v>0</v>
          </cell>
          <cell r="BO484">
            <v>0</v>
          </cell>
        </row>
        <row r="486">
          <cell r="A486" t="str">
            <v>Free Cash Flow to Equity</v>
          </cell>
          <cell r="J486">
            <v>11.445297929354435</v>
          </cell>
          <cell r="K486">
            <v>44.680820437715987</v>
          </cell>
          <cell r="L486">
            <v>6.3587798454241025</v>
          </cell>
          <cell r="M486">
            <v>20.906738515901079</v>
          </cell>
          <cell r="N486">
            <v>106.52822844139619</v>
          </cell>
          <cell r="O486">
            <v>7.1643560356262945</v>
          </cell>
          <cell r="P486">
            <v>34.982780933316668</v>
          </cell>
          <cell r="Q486">
            <v>39.443208003322333</v>
          </cell>
          <cell r="R486">
            <v>-2.2986844627140002</v>
          </cell>
          <cell r="S486">
            <v>101.36414093424739</v>
          </cell>
          <cell r="T486">
            <v>-31.198778315121963</v>
          </cell>
          <cell r="U486">
            <v>-236.46936916023293</v>
          </cell>
          <cell r="V486">
            <v>1233.9271391582622</v>
          </cell>
          <cell r="W486">
            <v>50.35057610759803</v>
          </cell>
          <cell r="X486">
            <v>133.61663614804789</v>
          </cell>
          <cell r="Y486">
            <v>-190.70009489352128</v>
          </cell>
          <cell r="Z486">
            <v>100.36016085121035</v>
          </cell>
          <cell r="AA486">
            <v>88.916509879230262</v>
          </cell>
          <cell r="AB486">
            <v>10.585267681952907</v>
          </cell>
          <cell r="AC486">
            <v>195.25337466260217</v>
          </cell>
          <cell r="AD486">
            <v>62.563053312621932</v>
          </cell>
          <cell r="AE486">
            <v>-106.48505988369052</v>
          </cell>
          <cell r="AF486">
            <v>66.735567902214441</v>
          </cell>
          <cell r="AG486">
            <v>40.518318779369366</v>
          </cell>
          <cell r="AH486">
            <v>285.48962427567903</v>
          </cell>
          <cell r="AI486">
            <v>40.065962334382561</v>
          </cell>
          <cell r="AJ486">
            <v>55.292616278942432</v>
          </cell>
          <cell r="AK486">
            <v>43.095149755933399</v>
          </cell>
          <cell r="AL486">
            <v>85.534625000000048</v>
          </cell>
          <cell r="AM486">
            <v>265.34330520425539</v>
          </cell>
          <cell r="AN486">
            <v>87.31045492752834</v>
          </cell>
          <cell r="AO486">
            <v>54.95360383238382</v>
          </cell>
          <cell r="AP486">
            <v>41.544056659771485</v>
          </cell>
          <cell r="AQ486">
            <v>84.989000000000061</v>
          </cell>
          <cell r="AR486">
            <v>260.76744812837978</v>
          </cell>
          <cell r="AS486">
            <v>-0.59727427491396323</v>
          </cell>
          <cell r="AT486">
            <v>-36.097407072915644</v>
          </cell>
          <cell r="AU486">
            <v>74.715464777449483</v>
          </cell>
          <cell r="AV486">
            <v>91.35185796032556</v>
          </cell>
          <cell r="AW486">
            <v>137.14045300181934</v>
          </cell>
          <cell r="AX486">
            <v>54.215384918438005</v>
          </cell>
          <cell r="AY486">
            <v>21.461544727447507</v>
          </cell>
          <cell r="AZ486">
            <v>898.44079101041905</v>
          </cell>
          <cell r="BA486">
            <v>60.214910260311903</v>
          </cell>
          <cell r="BB486">
            <v>254.90600554425532</v>
          </cell>
          <cell r="BC486">
            <v>29.569898245150199</v>
          </cell>
          <cell r="BD486">
            <v>96.832344569661004</v>
          </cell>
          <cell r="BE486">
            <v>621.65579364656185</v>
          </cell>
          <cell r="BF486">
            <v>128.95724378186307</v>
          </cell>
          <cell r="BG486">
            <v>381.35408598291281</v>
          </cell>
          <cell r="BH486">
            <v>19.842261284132771</v>
          </cell>
          <cell r="BI486">
            <v>54.771448968796399</v>
          </cell>
          <cell r="BJ486">
            <v>139.94667390563745</v>
          </cell>
          <cell r="BK486">
            <v>130.18958066450793</v>
          </cell>
          <cell r="BL486">
            <v>344.01892783998539</v>
          </cell>
          <cell r="BM486">
            <v>364.83899282517098</v>
          </cell>
          <cell r="BN486">
            <v>402.55896388193059</v>
          </cell>
          <cell r="BO486">
            <v>444.55525944870431</v>
          </cell>
        </row>
        <row r="488">
          <cell r="A488" t="str">
            <v>Share Repurchases</v>
          </cell>
          <cell r="T488">
            <v>2.4460000000000002</v>
          </cell>
          <cell r="U488">
            <v>4.0000000000000036E-3</v>
          </cell>
          <cell r="V488">
            <v>1.7569999999999997</v>
          </cell>
          <cell r="W488">
            <v>9.9439999999999991</v>
          </cell>
          <cell r="X488">
            <v>14.151</v>
          </cell>
          <cell r="Y488">
            <v>2.8959999999999999</v>
          </cell>
          <cell r="Z488">
            <v>1.8000000000000238E-2</v>
          </cell>
          <cell r="AA488">
            <v>2.6999999999999691E-2</v>
          </cell>
          <cell r="AB488">
            <v>11.684999999999999</v>
          </cell>
          <cell r="AC488">
            <v>14.625999999999998</v>
          </cell>
          <cell r="AD488">
            <v>2.3090000000000002</v>
          </cell>
          <cell r="AE488">
            <v>0.17399999999999993</v>
          </cell>
          <cell r="AF488">
            <v>0.44099999999999984</v>
          </cell>
          <cell r="AG488">
            <v>103.065</v>
          </cell>
          <cell r="AH488">
            <v>105.989</v>
          </cell>
          <cell r="AI488">
            <v>9.3970000000000002</v>
          </cell>
          <cell r="AJ488">
            <v>0.2419999999999991</v>
          </cell>
          <cell r="AK488">
            <v>100.28899999999999</v>
          </cell>
          <cell r="AL488">
            <v>2.2550000000000239</v>
          </cell>
          <cell r="AM488">
            <v>112.18300000000001</v>
          </cell>
          <cell r="AN488">
            <v>9.3970000000000002</v>
          </cell>
          <cell r="AO488">
            <v>0.2419999999999991</v>
          </cell>
          <cell r="AP488">
            <v>100.28899999999999</v>
          </cell>
          <cell r="AQ488">
            <v>2.2550000000000239</v>
          </cell>
          <cell r="AR488">
            <v>112.18300000000001</v>
          </cell>
          <cell r="AS488">
            <v>107.15900000000001</v>
          </cell>
          <cell r="AT488">
            <v>1.7439999999999998</v>
          </cell>
          <cell r="AU488">
            <v>300.49299999999999</v>
          </cell>
          <cell r="AV488">
            <v>0.25499999999999545</v>
          </cell>
          <cell r="AW488">
            <v>409.65100000000001</v>
          </cell>
          <cell r="AX488">
            <v>10.352</v>
          </cell>
          <cell r="AY488">
            <v>87.214999999999989</v>
          </cell>
          <cell r="AZ488">
            <v>347.07300000000004</v>
          </cell>
          <cell r="BA488">
            <v>256.07499999999999</v>
          </cell>
          <cell r="BB488">
            <v>700.71500000000003</v>
          </cell>
          <cell r="BC488">
            <v>346.71499999999997</v>
          </cell>
          <cell r="BD488">
            <v>120.03000000000003</v>
          </cell>
          <cell r="BE488">
            <v>32.117999999999995</v>
          </cell>
          <cell r="BF488">
            <v>275.70200000000006</v>
          </cell>
          <cell r="BG488">
            <v>774.56500000000005</v>
          </cell>
          <cell r="BH488">
            <v>100.36199999999999</v>
          </cell>
          <cell r="BI488">
            <v>100</v>
          </cell>
          <cell r="BJ488">
            <v>100</v>
          </cell>
          <cell r="BK488">
            <v>100</v>
          </cell>
          <cell r="BL488">
            <v>400.36199999999997</v>
          </cell>
          <cell r="BM488">
            <v>300</v>
          </cell>
          <cell r="BN488">
            <v>300</v>
          </cell>
          <cell r="BO488">
            <v>300</v>
          </cell>
        </row>
        <row r="489">
          <cell r="A489" t="str">
            <v>Dividends</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20.393000000000001</v>
          </cell>
          <cell r="AW489">
            <v>20.393000000000001</v>
          </cell>
          <cell r="AX489">
            <v>20.405999999999999</v>
          </cell>
          <cell r="AY489">
            <v>20.437000000000005</v>
          </cell>
          <cell r="AZ489">
            <v>24.146000000000001</v>
          </cell>
          <cell r="BA489">
            <v>22.753999999999991</v>
          </cell>
          <cell r="BB489">
            <v>87.742999999999995</v>
          </cell>
          <cell r="BC489">
            <v>21.888999999999999</v>
          </cell>
          <cell r="BD489">
            <v>21.391999999999999</v>
          </cell>
          <cell r="BE489">
            <v>26.652000000000008</v>
          </cell>
          <cell r="BF489">
            <v>26.257999999999996</v>
          </cell>
          <cell r="BG489">
            <v>96.191000000000003</v>
          </cell>
          <cell r="BH489">
            <v>25.489000000000001</v>
          </cell>
          <cell r="BI489">
            <v>23.112676544752436</v>
          </cell>
          <cell r="BJ489">
            <v>25.142822305745163</v>
          </cell>
          <cell r="BK489">
            <v>24.867189308500159</v>
          </cell>
          <cell r="BL489">
            <v>98.611688158997751</v>
          </cell>
          <cell r="BM489">
            <v>104.86924966966075</v>
          </cell>
          <cell r="BN489">
            <v>115.8566451741211</v>
          </cell>
          <cell r="BO489">
            <v>127.9229401846401</v>
          </cell>
        </row>
        <row r="490">
          <cell r="A490" t="str">
            <v>FCFE Coverage Ratio</v>
          </cell>
          <cell r="T490">
            <v>-12.755019752707261</v>
          </cell>
          <cell r="U490">
            <v>-59117.342290058179</v>
          </cell>
          <cell r="V490">
            <v>702.29205415951196</v>
          </cell>
          <cell r="W490">
            <v>5.0634127220030205</v>
          </cell>
          <cell r="X490">
            <v>9.4422045189773076</v>
          </cell>
          <cell r="Y490">
            <v>-65.849480280912047</v>
          </cell>
          <cell r="Z490">
            <v>5575.564491733835</v>
          </cell>
          <cell r="AA490">
            <v>3293.2040696011586</v>
          </cell>
          <cell r="AB490">
            <v>0.90588512468574311</v>
          </cell>
          <cell r="AC490">
            <v>13.349745293491194</v>
          </cell>
          <cell r="AD490">
            <v>27.095302430758739</v>
          </cell>
          <cell r="AE490">
            <v>-611.9831027798308</v>
          </cell>
          <cell r="AF490">
            <v>151.3278183723684</v>
          </cell>
          <cell r="AG490">
            <v>0.39313364167631465</v>
          </cell>
          <cell r="AH490">
            <v>2.6935778644546038</v>
          </cell>
          <cell r="AI490">
            <v>4.2636971729682411</v>
          </cell>
          <cell r="AJ490">
            <v>228.48188545017618</v>
          </cell>
          <cell r="AK490">
            <v>0.42970963670924434</v>
          </cell>
          <cell r="AL490">
            <v>37.931097560975232</v>
          </cell>
          <cell r="AM490">
            <v>2.3652719681614447</v>
          </cell>
          <cell r="AN490">
            <v>9.2913115810927245</v>
          </cell>
          <cell r="AO490">
            <v>227.08100757183482</v>
          </cell>
          <cell r="AP490">
            <v>0.41424340316257507</v>
          </cell>
          <cell r="AQ490">
            <v>37.689135254988543</v>
          </cell>
          <cell r="AR490">
            <v>2.3244827480846455</v>
          </cell>
          <cell r="AS490">
            <v>-5.5737201253647679E-3</v>
          </cell>
          <cell r="AT490">
            <v>-20.698054514286497</v>
          </cell>
          <cell r="AU490">
            <v>0.24864294601687723</v>
          </cell>
          <cell r="AV490">
            <v>4.4242472859514521</v>
          </cell>
          <cell r="AW490">
            <v>0.31889865456050859</v>
          </cell>
          <cell r="AX490">
            <v>1.7626433746809937</v>
          </cell>
          <cell r="AY490">
            <v>0.19936039021520743</v>
          </cell>
          <cell r="AZ490">
            <v>2.4202446292092241</v>
          </cell>
          <cell r="BA490">
            <v>0.215956411493467</v>
          </cell>
          <cell r="BB490">
            <v>0.3232968725591665</v>
          </cell>
          <cell r="BC490">
            <v>8.0221316765825113E-2</v>
          </cell>
          <cell r="BD490">
            <v>0.68470495799565123</v>
          </cell>
          <cell r="BE490">
            <v>10.577774266574133</v>
          </cell>
          <cell r="BF490">
            <v>0.42706730620566652</v>
          </cell>
          <cell r="BG490">
            <v>0.43795745993471508</v>
          </cell>
          <cell r="BH490">
            <v>0.15766470893463516</v>
          </cell>
          <cell r="BI490">
            <v>0.44488878404724264</v>
          </cell>
          <cell r="BJ490">
            <v>1.1182956507383537</v>
          </cell>
          <cell r="BK490">
            <v>1.0426244186762155</v>
          </cell>
          <cell r="BL490">
            <v>0.68945304332432844</v>
          </cell>
          <cell r="BM490">
            <v>0.90112793975548622</v>
          </cell>
          <cell r="BN490">
            <v>0.96802340074036153</v>
          </cell>
          <cell r="BO490">
            <v>1.0388675569879187</v>
          </cell>
        </row>
        <row r="497">
          <cell r="A497" t="str">
            <v>Stock based compensation</v>
          </cell>
          <cell r="E497">
            <v>0</v>
          </cell>
          <cell r="F497">
            <v>0</v>
          </cell>
          <cell r="G497">
            <v>0</v>
          </cell>
          <cell r="H497">
            <v>1.034</v>
          </cell>
          <cell r="I497">
            <v>1.034</v>
          </cell>
          <cell r="J497">
            <v>4.875</v>
          </cell>
          <cell r="K497">
            <v>7.2219999999999995</v>
          </cell>
          <cell r="L497">
            <v>5.3970000000000002</v>
          </cell>
          <cell r="M497">
            <v>12.844000000000001</v>
          </cell>
          <cell r="N497">
            <v>30.338000000000001</v>
          </cell>
          <cell r="O497">
            <v>7.7359999999999998</v>
          </cell>
          <cell r="P497">
            <v>8.977999999999998</v>
          </cell>
          <cell r="Q497">
            <v>8.3540000000000028</v>
          </cell>
          <cell r="R497">
            <v>3.1660000000000004</v>
          </cell>
          <cell r="T497">
            <v>5.12</v>
          </cell>
          <cell r="U497">
            <v>3.9029999999999996</v>
          </cell>
          <cell r="V497">
            <v>13.920999999999999</v>
          </cell>
          <cell r="W497">
            <v>0.80399999999999849</v>
          </cell>
          <cell r="Y497">
            <v>8.4540000000000006</v>
          </cell>
          <cell r="Z497">
            <v>8.0079999999999991</v>
          </cell>
          <cell r="AA497">
            <v>7.8599999999999994</v>
          </cell>
          <cell r="AB497">
            <v>7.4009999999999998</v>
          </cell>
          <cell r="AC497">
            <v>31.722999999999999</v>
          </cell>
          <cell r="AD497">
            <v>5.843</v>
          </cell>
          <cell r="AE497">
            <v>6.0289999999999999</v>
          </cell>
          <cell r="AF497">
            <v>7.536999999999999</v>
          </cell>
          <cell r="AG497">
            <v>5.9140000000000015</v>
          </cell>
          <cell r="AH497">
            <v>25.323</v>
          </cell>
          <cell r="AI497">
            <v>6.8109999999999999</v>
          </cell>
          <cell r="AJ497">
            <v>6.0180000000000007</v>
          </cell>
          <cell r="AK497">
            <v>6.320999999999998</v>
          </cell>
          <cell r="AL497">
            <v>5.8540000000000028</v>
          </cell>
          <cell r="AM497">
            <v>25.004000000000001</v>
          </cell>
          <cell r="AN497">
            <v>6.8109999999999999</v>
          </cell>
          <cell r="AO497">
            <v>6.0180000000000007</v>
          </cell>
          <cell r="AP497">
            <v>6.320999999999998</v>
          </cell>
          <cell r="AQ497">
            <v>5.8540000000000028</v>
          </cell>
          <cell r="AR497">
            <v>25.004000000000001</v>
          </cell>
          <cell r="AS497">
            <v>5.1710000000000003</v>
          </cell>
          <cell r="AT497">
            <v>7.2860000000000005</v>
          </cell>
          <cell r="AU497">
            <v>7.6589999999999989</v>
          </cell>
          <cell r="AV497">
            <v>6.4690000000000012</v>
          </cell>
          <cell r="AW497">
            <v>26.585000000000001</v>
          </cell>
          <cell r="AX497">
            <v>7.35</v>
          </cell>
          <cell r="AY497">
            <v>7.1890000000000001</v>
          </cell>
          <cell r="AZ497">
            <v>6.0129999999999999</v>
          </cell>
          <cell r="BA497">
            <v>8.0060000000000002</v>
          </cell>
          <cell r="BB497">
            <v>28.558</v>
          </cell>
          <cell r="BC497">
            <v>7.08</v>
          </cell>
          <cell r="BD497">
            <v>8.1929999999999996</v>
          </cell>
          <cell r="BE497">
            <v>8.3180000000000014</v>
          </cell>
          <cell r="BF497">
            <v>8.4099999999999966</v>
          </cell>
          <cell r="BG497">
            <v>32.000999999999998</v>
          </cell>
          <cell r="BH497">
            <v>8.3769611418619245</v>
          </cell>
          <cell r="BI497">
            <v>8.6922047685236574</v>
          </cell>
          <cell r="BJ497">
            <v>8.6839947062109903</v>
          </cell>
          <cell r="BK497">
            <v>8.7977227142769596</v>
          </cell>
          <cell r="BL497">
            <v>34.550883330873532</v>
          </cell>
          <cell r="BM497">
            <v>36.973694917753953</v>
          </cell>
          <cell r="BN497">
            <v>39.576546198109732</v>
          </cell>
          <cell r="BO497">
            <v>42.443385956403276</v>
          </cell>
          <cell r="BR497" t="str">
            <v>Stock based compensation</v>
          </cell>
          <cell r="BS497">
            <v>0</v>
          </cell>
          <cell r="BT497">
            <v>1.034</v>
          </cell>
          <cell r="BU497">
            <v>30.338000000000001</v>
          </cell>
          <cell r="BV497">
            <v>0</v>
          </cell>
          <cell r="BW497">
            <v>0</v>
          </cell>
          <cell r="BX497">
            <v>31.722999999999999</v>
          </cell>
          <cell r="BY497">
            <v>25.323</v>
          </cell>
          <cell r="BZ497">
            <v>25.004000000000001</v>
          </cell>
          <cell r="CA497">
            <v>26.585000000000001</v>
          </cell>
          <cell r="CB497">
            <v>28.558</v>
          </cell>
          <cell r="CC497">
            <v>32.000999999999998</v>
          </cell>
          <cell r="CD497">
            <v>34.550883330873532</v>
          </cell>
          <cell r="CE497">
            <v>36.973694917753953</v>
          </cell>
          <cell r="CF497">
            <v>39.576546198109732</v>
          </cell>
          <cell r="CG497">
            <v>42.443385956403276</v>
          </cell>
        </row>
        <row r="498">
          <cell r="A498" t="str">
            <v xml:space="preserve">  % of revenue</v>
          </cell>
          <cell r="E498">
            <v>0</v>
          </cell>
          <cell r="F498">
            <v>0</v>
          </cell>
          <cell r="G498">
            <v>0</v>
          </cell>
          <cell r="H498">
            <v>1.0171358869936455E-2</v>
          </cell>
          <cell r="I498">
            <v>2.7954558972223872E-3</v>
          </cell>
          <cell r="J498">
            <v>4.6450248211069932E-2</v>
          </cell>
          <cell r="K498">
            <v>6.6749849808216632E-2</v>
          </cell>
          <cell r="L498">
            <v>4.8886312376017899E-2</v>
          </cell>
          <cell r="M498">
            <v>0.11957250316526404</v>
          </cell>
          <cell r="N498">
            <v>7.0396161137550733E-2</v>
          </cell>
          <cell r="O498">
            <v>7.3039701647547556E-2</v>
          </cell>
          <cell r="P498">
            <v>8.208457142857141E-2</v>
          </cell>
          <cell r="Q498">
            <v>7.6735128779806761E-2</v>
          </cell>
          <cell r="R498">
            <v>2.6652075090495837E-2</v>
          </cell>
          <cell r="T498">
            <v>4.2077580539119003E-2</v>
          </cell>
          <cell r="U498">
            <v>3.118159303347447E-2</v>
          </cell>
          <cell r="V498">
            <v>6.8666669955064041E-2</v>
          </cell>
          <cell r="W498">
            <v>3.7690208983770642E-3</v>
          </cell>
          <cell r="Y498">
            <v>3.7859721090202338E-2</v>
          </cell>
          <cell r="Z498">
            <v>3.5358062194513491E-2</v>
          </cell>
          <cell r="AA498">
            <v>3.4929297059006513E-2</v>
          </cell>
          <cell r="AB498">
            <v>3.272838228660882E-2</v>
          </cell>
          <cell r="AC498">
            <v>3.5210962760047551E-2</v>
          </cell>
          <cell r="AD498">
            <v>2.5509491294553203E-2</v>
          </cell>
          <cell r="AE498">
            <v>2.5271938465407751E-2</v>
          </cell>
          <cell r="AF498">
            <v>3.2011858446169786E-2</v>
          </cell>
          <cell r="AG498">
            <v>2.3935567427553834E-2</v>
          </cell>
          <cell r="AH498">
            <v>2.665183378045995E-2</v>
          </cell>
          <cell r="AI498">
            <v>2.7037541334370745E-2</v>
          </cell>
          <cell r="AJ498">
            <v>2.3334806784077428E-2</v>
          </cell>
          <cell r="AK498">
            <v>2.4477420054368447E-2</v>
          </cell>
          <cell r="AL498">
            <v>2.1874135908109212E-2</v>
          </cell>
          <cell r="AM498">
            <v>2.414289535149812E-2</v>
          </cell>
          <cell r="AN498">
            <v>3.1027492426485663E-2</v>
          </cell>
          <cell r="AO498">
            <v>2.6351972675920661E-2</v>
          </cell>
          <cell r="AP498">
            <v>2.7638707307794885E-2</v>
          </cell>
          <cell r="AQ498">
            <v>2.4721283783783798E-2</v>
          </cell>
          <cell r="AR498">
            <v>2.7375063773694804E-2</v>
          </cell>
          <cell r="AS498">
            <v>2.1572799332498956E-2</v>
          </cell>
          <cell r="AT498">
            <v>2.8651762716530013E-2</v>
          </cell>
          <cell r="AU498">
            <v>3.0446379945698186E-2</v>
          </cell>
          <cell r="AV498">
            <v>2.5757207757820935E-2</v>
          </cell>
          <cell r="AW498">
            <v>2.6672887163202753E-2</v>
          </cell>
          <cell r="AX498">
            <v>2.7970165157165692E-2</v>
          </cell>
          <cell r="AY498">
            <v>2.6570816085156712E-2</v>
          </cell>
          <cell r="AZ498">
            <v>2.2371705912336254E-2</v>
          </cell>
          <cell r="BA498">
            <v>2.933750590890935E-2</v>
          </cell>
          <cell r="BB498">
            <v>2.6565334275960223E-2</v>
          </cell>
          <cell r="BC498">
            <v>2.5391997934210341E-2</v>
          </cell>
          <cell r="BD498">
            <v>2.8193781056862446E-2</v>
          </cell>
          <cell r="BE498">
            <v>2.8838586430817555E-2</v>
          </cell>
          <cell r="BF498">
            <v>2.872150048495279E-2</v>
          </cell>
          <cell r="BG498">
            <v>2.7811309637099817E-2</v>
          </cell>
          <cell r="BH498">
            <v>2.7811309637099817E-2</v>
          </cell>
          <cell r="BI498">
            <v>2.7811309637099817E-2</v>
          </cell>
          <cell r="BJ498">
            <v>2.7811309637099817E-2</v>
          </cell>
          <cell r="BK498">
            <v>2.7811309637099817E-2</v>
          </cell>
          <cell r="BL498">
            <v>2.7811488729232912E-2</v>
          </cell>
          <cell r="BM498">
            <v>2.7811488729232912E-2</v>
          </cell>
          <cell r="BN498">
            <v>2.7811488729232912E-2</v>
          </cell>
          <cell r="BO498">
            <v>2.7811488729232912E-2</v>
          </cell>
          <cell r="BR498" t="str">
            <v xml:space="preserve">  % of revenue</v>
          </cell>
          <cell r="BS498">
            <v>0</v>
          </cell>
          <cell r="BT498">
            <v>2.7954558972223872E-3</v>
          </cell>
          <cell r="BU498">
            <v>7.0396161137550733E-2</v>
          </cell>
          <cell r="BV498">
            <v>0</v>
          </cell>
          <cell r="BW498">
            <v>0</v>
          </cell>
          <cell r="BX498">
            <v>3.5210962760047551E-2</v>
          </cell>
          <cell r="BY498">
            <v>2.665183378045995E-2</v>
          </cell>
          <cell r="BZ498">
            <v>2.7375063773694804E-2</v>
          </cell>
          <cell r="CA498">
            <v>2.6672887163202753E-2</v>
          </cell>
          <cell r="CB498">
            <v>2.6565334275960223E-2</v>
          </cell>
          <cell r="CC498">
            <v>2.7811309637099817E-2</v>
          </cell>
          <cell r="CD498">
            <v>2.7811488729232912E-2</v>
          </cell>
          <cell r="CE498">
            <v>2.7811488729232912E-2</v>
          </cell>
          <cell r="CF498">
            <v>2.7811488729232912E-2</v>
          </cell>
          <cell r="CG498">
            <v>2.7811488729232912E-2</v>
          </cell>
        </row>
        <row r="500">
          <cell r="A500" t="str">
            <v>Net debt to Adj. EBITDA</v>
          </cell>
          <cell r="AU500">
            <v>0.85172815015921421</v>
          </cell>
          <cell r="AV500">
            <v>0.71228952563610048</v>
          </cell>
          <cell r="AW500">
            <v>0.71228952563610026</v>
          </cell>
          <cell r="AX500">
            <v>0.62455874576610237</v>
          </cell>
          <cell r="AY500">
            <v>0.7982985971294605</v>
          </cell>
          <cell r="AZ500">
            <v>1.2749835015126334</v>
          </cell>
          <cell r="BA500">
            <v>1.6642702628639756</v>
          </cell>
          <cell r="BB500">
            <v>1.6642702628639756</v>
          </cell>
          <cell r="BC500">
            <v>2.237696207074003</v>
          </cell>
          <cell r="BD500">
            <v>2.1981934996644594</v>
          </cell>
          <cell r="BE500">
            <v>2.0028503096025942</v>
          </cell>
          <cell r="BF500">
            <v>2.2537346981422646</v>
          </cell>
          <cell r="BG500">
            <v>2.253734698142265</v>
          </cell>
          <cell r="BH500">
            <v>2.349220356423094</v>
          </cell>
          <cell r="BI500">
            <v>2.3971857839026063</v>
          </cell>
          <cell r="BJ500">
            <v>2.2926168029500693</v>
          </cell>
          <cell r="BK500">
            <v>2.2131424659912247</v>
          </cell>
          <cell r="BL500">
            <v>2.2131705147753653</v>
          </cell>
          <cell r="BM500">
            <v>2.037354263920065</v>
          </cell>
          <cell r="BN500">
            <v>1.8336310922445975</v>
          </cell>
          <cell r="BO500">
            <v>1.6054169186153424</v>
          </cell>
          <cell r="BR500" t="str">
            <v>Net debt to Adj. EBITDA</v>
          </cell>
          <cell r="BS500">
            <v>0</v>
          </cell>
          <cell r="BT500">
            <v>0</v>
          </cell>
          <cell r="BU500">
            <v>0</v>
          </cell>
          <cell r="BV500">
            <v>0</v>
          </cell>
          <cell r="BW500">
            <v>0</v>
          </cell>
          <cell r="CA500">
            <v>0.71228952563610026</v>
          </cell>
          <cell r="CB500">
            <v>1.6642702628639756</v>
          </cell>
          <cell r="CC500">
            <v>2.253734698142265</v>
          </cell>
          <cell r="CD500">
            <v>2.2131705147753653</v>
          </cell>
          <cell r="CE500">
            <v>2.037354263920065</v>
          </cell>
          <cell r="CF500">
            <v>1.8336310922445975</v>
          </cell>
          <cell r="CG500">
            <v>1.6054169186153424</v>
          </cell>
        </row>
        <row r="502">
          <cell r="A502" t="str">
            <v>ROIC Calculation</v>
          </cell>
          <cell r="BR502" t="str">
            <v>ROIC Calculation</v>
          </cell>
        </row>
        <row r="503">
          <cell r="A503" t="str">
            <v>NOPAT (T4Q)</v>
          </cell>
          <cell r="K503">
            <v>142.19900000000001</v>
          </cell>
          <cell r="L503">
            <v>146.45500000000001</v>
          </cell>
          <cell r="M503">
            <v>135.79</v>
          </cell>
          <cell r="N503">
            <v>135.79</v>
          </cell>
          <cell r="O503">
            <v>133.41200000000001</v>
          </cell>
          <cell r="P503">
            <v>137.15899999999999</v>
          </cell>
          <cell r="Q503">
            <v>137.43799999999999</v>
          </cell>
          <cell r="R503">
            <v>150.99199999999999</v>
          </cell>
          <cell r="S503">
            <v>150.99199999999999</v>
          </cell>
          <cell r="T503">
            <v>147.87285220247736</v>
          </cell>
          <cell r="U503">
            <v>140.83221414287416</v>
          </cell>
          <cell r="V503">
            <v>123.77278236436374</v>
          </cell>
          <cell r="W503">
            <v>121.92072566787397</v>
          </cell>
          <cell r="X503">
            <v>121.92072566787397</v>
          </cell>
          <cell r="Y503">
            <v>139.65493444695028</v>
          </cell>
          <cell r="Z503">
            <v>164.25700371186059</v>
          </cell>
          <cell r="AA503">
            <v>201.76580479861155</v>
          </cell>
          <cell r="AB503">
            <v>211.64610798723001</v>
          </cell>
          <cell r="AC503">
            <v>211.64610798723001</v>
          </cell>
          <cell r="AD503">
            <v>216.42135662334366</v>
          </cell>
          <cell r="AE503">
            <v>219.33110775854755</v>
          </cell>
          <cell r="AF503">
            <v>214.42499497860291</v>
          </cell>
          <cell r="AG503">
            <v>221.40377587706473</v>
          </cell>
          <cell r="AH503">
            <v>221.40377587706473</v>
          </cell>
          <cell r="AI503">
            <v>233.0873470627391</v>
          </cell>
          <cell r="AJ503">
            <v>240.97100895676931</v>
          </cell>
          <cell r="AK503">
            <v>246.90874369773491</v>
          </cell>
          <cell r="AL503">
            <v>245.25259130714437</v>
          </cell>
          <cell r="AM503">
            <v>245.25259130714437</v>
          </cell>
          <cell r="AN503">
            <v>240.6111654313311</v>
          </cell>
          <cell r="AO503">
            <v>235.92092502917359</v>
          </cell>
          <cell r="AP503">
            <v>230.63299041968367</v>
          </cell>
          <cell r="AQ503">
            <v>225.7661154196837</v>
          </cell>
          <cell r="AR503">
            <v>225.7661154196837</v>
          </cell>
          <cell r="AS503">
            <v>217.53837030818136</v>
          </cell>
          <cell r="AT503">
            <v>217.09783473323654</v>
          </cell>
          <cell r="AU503">
            <v>217.33711202429862</v>
          </cell>
          <cell r="AV503">
            <v>217.2065278432203</v>
          </cell>
          <cell r="AW503">
            <v>217.2065278432203</v>
          </cell>
          <cell r="AX503">
            <v>222.93467702218592</v>
          </cell>
          <cell r="AY503">
            <v>226.16247776332813</v>
          </cell>
          <cell r="AZ503">
            <v>242.87745953820314</v>
          </cell>
          <cell r="BA503">
            <v>266.29209045602011</v>
          </cell>
          <cell r="BB503">
            <v>266.29209045602011</v>
          </cell>
          <cell r="BC503">
            <v>284.81436413780779</v>
          </cell>
          <cell r="BD503">
            <v>305.40448567007599</v>
          </cell>
          <cell r="BE503">
            <v>316.96912728732588</v>
          </cell>
          <cell r="BF503">
            <v>330.02141300848928</v>
          </cell>
          <cell r="BG503">
            <v>330.02141300848928</v>
          </cell>
          <cell r="BH503">
            <v>348.53427543134092</v>
          </cell>
          <cell r="BI503">
            <v>358.24620386759136</v>
          </cell>
          <cell r="BJ503">
            <v>369.98253029822718</v>
          </cell>
          <cell r="BK503">
            <v>377.08658154093939</v>
          </cell>
          <cell r="BL503">
            <v>377.08658154093939</v>
          </cell>
          <cell r="BM503">
            <v>419.12641799986335</v>
          </cell>
          <cell r="BN503">
            <v>458.88063679221329</v>
          </cell>
          <cell r="BO503">
            <v>502.9456259508018</v>
          </cell>
          <cell r="BR503" t="str">
            <v>NOPAT (T4Q)</v>
          </cell>
          <cell r="BS503">
            <v>0</v>
          </cell>
          <cell r="BT503">
            <v>0</v>
          </cell>
          <cell r="BU503">
            <v>135.79</v>
          </cell>
          <cell r="BV503">
            <v>150.99199999999999</v>
          </cell>
          <cell r="BW503">
            <v>121.92072566787397</v>
          </cell>
          <cell r="BX503">
            <v>211.64610798723001</v>
          </cell>
          <cell r="BY503">
            <v>221.40377587706473</v>
          </cell>
          <cell r="BZ503">
            <v>225.7661154196837</v>
          </cell>
          <cell r="CA503">
            <v>217.2065278432203</v>
          </cell>
          <cell r="CB503">
            <v>266.29209045602011</v>
          </cell>
          <cell r="CC503">
            <v>330.02141300848928</v>
          </cell>
          <cell r="CD503">
            <v>377.08658154093939</v>
          </cell>
          <cell r="CE503">
            <v>419.12641799986335</v>
          </cell>
          <cell r="CF503">
            <v>458.88063679221329</v>
          </cell>
          <cell r="CG503">
            <v>502.9456259508018</v>
          </cell>
        </row>
        <row r="504">
          <cell r="A504" t="str">
            <v>Total Capital (avg over T4Q)</v>
          </cell>
          <cell r="K504">
            <v>617.83574999999996</v>
          </cell>
          <cell r="L504">
            <v>653.0095</v>
          </cell>
          <cell r="M504">
            <v>668.7985000000001</v>
          </cell>
          <cell r="N504">
            <v>668.7985000000001</v>
          </cell>
          <cell r="O504">
            <v>685.75974999999994</v>
          </cell>
          <cell r="P504">
            <v>702.37300000000005</v>
          </cell>
          <cell r="Q504">
            <v>720.78225000000009</v>
          </cell>
          <cell r="R504">
            <v>770.42949999999996</v>
          </cell>
          <cell r="S504">
            <v>770.42949999999996</v>
          </cell>
          <cell r="T504">
            <v>821.77850000000001</v>
          </cell>
          <cell r="U504">
            <v>800.73225000000014</v>
          </cell>
          <cell r="V504">
            <v>1187.1322500000001</v>
          </cell>
          <cell r="W504">
            <v>1551.1692500000001</v>
          </cell>
          <cell r="X504">
            <v>1551.1692500000001</v>
          </cell>
          <cell r="Y504">
            <v>1889.86625</v>
          </cell>
          <cell r="Z504">
            <v>2309.6342500000001</v>
          </cell>
          <cell r="AA504">
            <v>2328.7560000000003</v>
          </cell>
          <cell r="AB504">
            <v>2338.60725</v>
          </cell>
          <cell r="AC504">
            <v>2338.60725</v>
          </cell>
          <cell r="AD504">
            <v>2380.9252500000002</v>
          </cell>
          <cell r="AE504">
            <v>2370.8815000000004</v>
          </cell>
          <cell r="AF504">
            <v>2360.1684999999998</v>
          </cell>
          <cell r="AG504">
            <v>2334.5754999999999</v>
          </cell>
          <cell r="AH504">
            <v>2334.5754999999999</v>
          </cell>
          <cell r="AI504">
            <v>2304.2735000000002</v>
          </cell>
          <cell r="AJ504">
            <v>2326.3027499999998</v>
          </cell>
          <cell r="AK504">
            <v>2325.3067499999997</v>
          </cell>
          <cell r="AL504">
            <v>2351.3564999999999</v>
          </cell>
          <cell r="AM504">
            <v>2351.3564999999999</v>
          </cell>
          <cell r="AN504">
            <v>2351.3564999999999</v>
          </cell>
          <cell r="AO504">
            <v>2351.3564999999999</v>
          </cell>
          <cell r="AP504">
            <v>2351.3564999999999</v>
          </cell>
          <cell r="AQ504">
            <v>2348.3522499999999</v>
          </cell>
          <cell r="AR504">
            <v>2348.3522499999999</v>
          </cell>
          <cell r="AS504">
            <v>2360.5699999999997</v>
          </cell>
          <cell r="AT504">
            <v>2383.2092499999999</v>
          </cell>
          <cell r="AU504">
            <v>2348.1907499999998</v>
          </cell>
          <cell r="AV504">
            <v>2313.3667500000001</v>
          </cell>
          <cell r="AW504">
            <v>2313.3667500000001</v>
          </cell>
          <cell r="AX504">
            <v>2285.6489999999999</v>
          </cell>
          <cell r="AY504">
            <v>2227.9337499999997</v>
          </cell>
          <cell r="AZ504">
            <v>2355.0502499999998</v>
          </cell>
          <cell r="BA504">
            <v>2417.0647499999995</v>
          </cell>
          <cell r="BB504">
            <v>2417.0647499999995</v>
          </cell>
          <cell r="BC504">
            <v>2402.0437499999998</v>
          </cell>
          <cell r="BD504">
            <v>2372.5322499999997</v>
          </cell>
          <cell r="BE504">
            <v>2354.5430000000001</v>
          </cell>
          <cell r="BF504">
            <v>2332.5217499999999</v>
          </cell>
          <cell r="BG504">
            <v>2332.5217499999999</v>
          </cell>
          <cell r="BH504">
            <v>2372.30825</v>
          </cell>
          <cell r="BI504">
            <v>2422.2213865944295</v>
          </cell>
          <cell r="BJ504">
            <v>2334.4000970792017</v>
          </cell>
          <cell r="BK504">
            <v>2295.1854535783023</v>
          </cell>
          <cell r="BL504">
            <v>2295.1854535783023</v>
          </cell>
          <cell r="BM504">
            <v>2221.956143946496</v>
          </cell>
          <cell r="BN504">
            <v>2209.646859522556</v>
          </cell>
          <cell r="BO504">
            <v>2230.525680107472</v>
          </cell>
          <cell r="BR504" t="str">
            <v>Total Capital (avg over T4Q)</v>
          </cell>
          <cell r="BS504">
            <v>0</v>
          </cell>
          <cell r="BT504">
            <v>0</v>
          </cell>
          <cell r="BU504">
            <v>668.7985000000001</v>
          </cell>
          <cell r="BV504">
            <v>770.42949999999996</v>
          </cell>
          <cell r="BW504">
            <v>1551.1692500000001</v>
          </cell>
          <cell r="BX504">
            <v>2338.60725</v>
          </cell>
          <cell r="BY504">
            <v>2334.5754999999999</v>
          </cell>
          <cell r="BZ504">
            <v>2348.3522499999999</v>
          </cell>
          <cell r="CA504">
            <v>2313.3667500000001</v>
          </cell>
          <cell r="CB504">
            <v>2417.0647499999995</v>
          </cell>
          <cell r="CC504">
            <v>2332.5217499999999</v>
          </cell>
          <cell r="CD504">
            <v>2295.1854535783023</v>
          </cell>
          <cell r="CE504">
            <v>2221.956143946496</v>
          </cell>
          <cell r="CF504">
            <v>2209.646859522556</v>
          </cell>
          <cell r="CG504">
            <v>2230.525680107472</v>
          </cell>
        </row>
        <row r="505">
          <cell r="A505" t="str">
            <v>ROIC</v>
          </cell>
          <cell r="K505">
            <v>0.23015663952757673</v>
          </cell>
          <cell r="L505">
            <v>0.22427698218785486</v>
          </cell>
          <cell r="M505">
            <v>0.20303574245456588</v>
          </cell>
          <cell r="N505">
            <v>0.20303574245456588</v>
          </cell>
          <cell r="O505">
            <v>0.19454626784380391</v>
          </cell>
          <cell r="P505">
            <v>0.19527943129932385</v>
          </cell>
          <cell r="Q505">
            <v>0.19067894638082442</v>
          </cell>
          <cell r="R505">
            <v>0.19598418804056697</v>
          </cell>
          <cell r="S505">
            <v>0.19598418804056697</v>
          </cell>
          <cell r="T505">
            <v>0.17994246892864363</v>
          </cell>
          <cell r="U505">
            <v>0.1758792831722141</v>
          </cell>
          <cell r="V505">
            <v>0.10426199975981086</v>
          </cell>
          <cell r="W505">
            <v>7.8599240971205409E-2</v>
          </cell>
          <cell r="X505">
            <v>7.8599240971205409E-2</v>
          </cell>
          <cell r="Y505">
            <v>7.3896729171680942E-2</v>
          </cell>
          <cell r="Z505">
            <v>7.1118188393621454E-2</v>
          </cell>
          <cell r="AA505">
            <v>8.6641024134177874E-2</v>
          </cell>
          <cell r="AB505">
            <v>9.0500920146907957E-2</v>
          </cell>
          <cell r="AC505">
            <v>9.0500920146907957E-2</v>
          </cell>
          <cell r="AD505">
            <v>9.0898005564577736E-2</v>
          </cell>
          <cell r="AE505">
            <v>9.2510362815917832E-2</v>
          </cell>
          <cell r="AF505">
            <v>9.0851562072200742E-2</v>
          </cell>
          <cell r="AG505">
            <v>9.483684544666246E-2</v>
          </cell>
          <cell r="AH505">
            <v>9.483684544666246E-2</v>
          </cell>
          <cell r="AI505">
            <v>0.1011543755820388</v>
          </cell>
          <cell r="AJ505">
            <v>0.10358540347199836</v>
          </cell>
          <cell r="AK505">
            <v>0.10618329977227088</v>
          </cell>
          <cell r="AL505">
            <v>0.10430259780137312</v>
          </cell>
          <cell r="AM505">
            <v>0.10430259780137312</v>
          </cell>
          <cell r="AN505">
            <v>0.10232866238332261</v>
          </cell>
          <cell r="AO505">
            <v>0.10033396680987064</v>
          </cell>
          <cell r="AP505">
            <v>9.8085080003684544E-2</v>
          </cell>
          <cell r="AQ505">
            <v>9.6138096582266866E-2</v>
          </cell>
          <cell r="AR505">
            <v>9.6138096582266866E-2</v>
          </cell>
          <cell r="AS505">
            <v>9.2155017774597406E-2</v>
          </cell>
          <cell r="AT505">
            <v>9.1094743247256429E-2</v>
          </cell>
          <cell r="AU505">
            <v>9.2555135064857338E-2</v>
          </cell>
          <cell r="AV505">
            <v>9.3891955455493725E-2</v>
          </cell>
          <cell r="AW505">
            <v>9.3891955455493725E-2</v>
          </cell>
          <cell r="AX505">
            <v>9.7536707089402583E-2</v>
          </cell>
          <cell r="AY505">
            <v>0.10151220958133435</v>
          </cell>
          <cell r="AZ505">
            <v>0.10313047865462878</v>
          </cell>
          <cell r="BA505">
            <v>0.1101716825980852</v>
          </cell>
          <cell r="BB505">
            <v>0.1101716825980852</v>
          </cell>
          <cell r="BC505">
            <v>0.11857168052738748</v>
          </cell>
          <cell r="BD505">
            <v>0.1287251145564306</v>
          </cell>
          <cell r="BE505">
            <v>0.13462023300798748</v>
          </cell>
          <cell r="BF505">
            <v>0.14148696062897989</v>
          </cell>
          <cell r="BG505">
            <v>0.14148696062897989</v>
          </cell>
          <cell r="BH505">
            <v>0.14691778584479523</v>
          </cell>
          <cell r="BI505">
            <v>0.14789985995923963</v>
          </cell>
          <cell r="BJ505">
            <v>0.15849148171350269</v>
          </cell>
          <cell r="BK505">
            <v>0.16429460240480509</v>
          </cell>
          <cell r="BL505">
            <v>0.16429460240480509</v>
          </cell>
          <cell r="BM505">
            <v>0.18862947369223854</v>
          </cell>
          <cell r="BN505">
            <v>0.20767148144720501</v>
          </cell>
          <cell r="BO505">
            <v>0.2254830018036684</v>
          </cell>
          <cell r="BR505" t="str">
            <v>ROIC</v>
          </cell>
          <cell r="BS505">
            <v>0</v>
          </cell>
          <cell r="BT505">
            <v>0</v>
          </cell>
          <cell r="BU505">
            <v>0.20303574245456588</v>
          </cell>
          <cell r="BV505">
            <v>0.19598418804056697</v>
          </cell>
          <cell r="BW505">
            <v>7.8599240971205409E-2</v>
          </cell>
          <cell r="BX505">
            <v>9.0500920146907957E-2</v>
          </cell>
          <cell r="BY505">
            <v>9.483684544666246E-2</v>
          </cell>
          <cell r="BZ505">
            <v>9.6138096582266866E-2</v>
          </cell>
          <cell r="CA505">
            <v>9.3891955455493725E-2</v>
          </cell>
          <cell r="CB505">
            <v>0.1101716825980852</v>
          </cell>
          <cell r="CC505">
            <v>0.14148696062897989</v>
          </cell>
          <cell r="CD505">
            <v>0.16429460240480509</v>
          </cell>
          <cell r="CE505">
            <v>0.18862947369223854</v>
          </cell>
          <cell r="CF505">
            <v>0.20767148144720501</v>
          </cell>
          <cell r="CG505">
            <v>0.2254830018036684</v>
          </cell>
        </row>
        <row r="512">
          <cell r="C512" t="str">
            <v>2006-Q4</v>
          </cell>
          <cell r="D512" t="str">
            <v>2006-FY</v>
          </cell>
          <cell r="E512" t="str">
            <v>2007-Q1</v>
          </cell>
          <cell r="F512" t="str">
            <v>2007-Q2</v>
          </cell>
          <cell r="G512" t="str">
            <v>2007-Q3</v>
          </cell>
          <cell r="H512" t="str">
            <v>2007-Q4</v>
          </cell>
          <cell r="I512" t="str">
            <v>2007-FY</v>
          </cell>
          <cell r="J512" t="str">
            <v>2008-Q1</v>
          </cell>
          <cell r="K512" t="str">
            <v>2008-Q2</v>
          </cell>
          <cell r="L512" t="str">
            <v>2008-Q3</v>
          </cell>
          <cell r="M512" t="str">
            <v>2008-Q4</v>
          </cell>
          <cell r="N512" t="str">
            <v>2008-FY</v>
          </cell>
          <cell r="O512" t="str">
            <v>2009-Q1</v>
          </cell>
          <cell r="P512" t="str">
            <v>2009-Q2</v>
          </cell>
          <cell r="Q512" t="str">
            <v>2009-Q3</v>
          </cell>
          <cell r="R512" t="str">
            <v>2009-Q4</v>
          </cell>
          <cell r="S512" t="str">
            <v>2009-FY</v>
          </cell>
          <cell r="T512" t="str">
            <v>2010-Q1</v>
          </cell>
          <cell r="U512" t="str">
            <v>2010-Q2</v>
          </cell>
          <cell r="V512" t="str">
            <v>2010-Q3</v>
          </cell>
          <cell r="W512" t="str">
            <v>2010-Q4</v>
          </cell>
          <cell r="X512" t="str">
            <v>2010-FY</v>
          </cell>
          <cell r="Y512" t="str">
            <v>2011-Q1</v>
          </cell>
          <cell r="Z512" t="str">
            <v>2011-Q2</v>
          </cell>
          <cell r="AA512" t="str">
            <v>2011-Q3</v>
          </cell>
          <cell r="AB512" t="str">
            <v>2011-Q4</v>
          </cell>
          <cell r="AC512" t="str">
            <v>2011-FY</v>
          </cell>
          <cell r="AD512" t="str">
            <v>2012-Q1</v>
          </cell>
          <cell r="AE512" t="str">
            <v>2012-Q2</v>
          </cell>
          <cell r="AF512" t="str">
            <v>2012-Q3</v>
          </cell>
          <cell r="AG512" t="str">
            <v>2012-Q4</v>
          </cell>
          <cell r="AH512" t="str">
            <v>2012-FY</v>
          </cell>
          <cell r="AI512" t="str">
            <v>2013-Q1</v>
          </cell>
          <cell r="AJ512" t="str">
            <v>2013-Q2</v>
          </cell>
          <cell r="AK512" t="str">
            <v>2013-Q3</v>
          </cell>
          <cell r="AL512" t="str">
            <v>2013-Q4</v>
          </cell>
          <cell r="AM512" t="str">
            <v>2013-FY</v>
          </cell>
          <cell r="AS512" t="str">
            <v>2014-Q1</v>
          </cell>
          <cell r="AT512" t="str">
            <v>2014-Q2</v>
          </cell>
          <cell r="AU512" t="str">
            <v>2014-Q3</v>
          </cell>
          <cell r="AV512" t="str">
            <v>2014-Q4</v>
          </cell>
          <cell r="AW512" t="str">
            <v>2014-FY</v>
          </cell>
          <cell r="AX512" t="str">
            <v>2015-Q1</v>
          </cell>
          <cell r="AY512" t="str">
            <v>2015-Q2</v>
          </cell>
          <cell r="AZ512" t="str">
            <v>2015-Q3</v>
          </cell>
          <cell r="BA512" t="str">
            <v>2015-Q4</v>
          </cell>
          <cell r="BB512" t="str">
            <v>2015-FY</v>
          </cell>
          <cell r="BC512" t="str">
            <v>2016-Q1</v>
          </cell>
          <cell r="BD512" t="str">
            <v>2016-Q2</v>
          </cell>
          <cell r="BE512" t="str">
            <v>2016-Q3</v>
          </cell>
          <cell r="BF512" t="str">
            <v>2016-Q4</v>
          </cell>
          <cell r="BG512" t="str">
            <v>2016-FY</v>
          </cell>
          <cell r="BH512" t="str">
            <v>2017-Q1</v>
          </cell>
          <cell r="BI512" t="str">
            <v>2017-Q2</v>
          </cell>
          <cell r="BJ512" t="str">
            <v>2017-Q3</v>
          </cell>
          <cell r="BK512" t="str">
            <v>2017-Q4</v>
          </cell>
          <cell r="BL512" t="str">
            <v>2017-FY</v>
          </cell>
          <cell r="BM512" t="str">
            <v>2018-FY</v>
          </cell>
          <cell r="BN512" t="str">
            <v>2019-FY</v>
          </cell>
          <cell r="BO512" t="str">
            <v>2020-FY</v>
          </cell>
        </row>
        <row r="515">
          <cell r="A515" t="str">
            <v xml:space="preserve"> Portfolio management analytics</v>
          </cell>
          <cell r="C515">
            <v>27.623000000000005</v>
          </cell>
          <cell r="D515">
            <v>110.00700000000001</v>
          </cell>
          <cell r="E515">
            <v>29.364000000000001</v>
          </cell>
          <cell r="F515">
            <v>30.207000000000001</v>
          </cell>
          <cell r="G515">
            <v>29.452000000000002</v>
          </cell>
          <cell r="H515">
            <v>31.625</v>
          </cell>
          <cell r="I515">
            <v>120.648</v>
          </cell>
          <cell r="J515">
            <v>32.341999999999999</v>
          </cell>
          <cell r="K515">
            <v>33.902000000000001</v>
          </cell>
          <cell r="L515">
            <v>33.658999999999999</v>
          </cell>
          <cell r="M515">
            <v>32.494999999999997</v>
          </cell>
          <cell r="N515">
            <v>132.398</v>
          </cell>
          <cell r="O515">
            <v>32.14</v>
          </cell>
          <cell r="P515">
            <v>31.582000000000001</v>
          </cell>
          <cell r="Q515">
            <v>30.425000000000001</v>
          </cell>
          <cell r="R515">
            <v>30.399000000000001</v>
          </cell>
          <cell r="S515">
            <v>124.54600000000001</v>
          </cell>
          <cell r="T515">
            <v>29.983000000000001</v>
          </cell>
          <cell r="U515">
            <v>29.041</v>
          </cell>
          <cell r="V515">
            <v>30.423999999999999</v>
          </cell>
          <cell r="W515">
            <v>30.992999999999999</v>
          </cell>
          <cell r="X515">
            <v>120.441</v>
          </cell>
          <cell r="Y515">
            <v>29.283999999999999</v>
          </cell>
          <cell r="Z515">
            <v>29.193000000000001</v>
          </cell>
          <cell r="AA515">
            <v>30.263000000000002</v>
          </cell>
          <cell r="AB515">
            <v>30.149000000000001</v>
          </cell>
          <cell r="AC515">
            <v>118.88900000000001</v>
          </cell>
          <cell r="AD515">
            <v>29.062999999999999</v>
          </cell>
          <cell r="AE515">
            <v>29.326000000000001</v>
          </cell>
          <cell r="AF515">
            <v>29.138000000000002</v>
          </cell>
          <cell r="AG515">
            <v>28.606000000000002</v>
          </cell>
          <cell r="AH515">
            <v>116.13300000000001</v>
          </cell>
          <cell r="AI515">
            <v>27.646000000000001</v>
          </cell>
          <cell r="AJ515">
            <v>26.088999999999999</v>
          </cell>
          <cell r="AK515">
            <v>26.213000000000001</v>
          </cell>
          <cell r="AL515">
            <v>25.513000000000002</v>
          </cell>
          <cell r="AM515">
            <v>105.46100000000001</v>
          </cell>
          <cell r="AN515">
            <v>27.646000000000001</v>
          </cell>
          <cell r="AO515">
            <v>26.088999999999999</v>
          </cell>
          <cell r="AP515">
            <v>26.213000000000001</v>
          </cell>
          <cell r="AQ515">
            <v>25.513000000000002</v>
          </cell>
          <cell r="AR515">
            <v>105.46100000000001</v>
          </cell>
          <cell r="AS515">
            <v>25.864999999999998</v>
          </cell>
          <cell r="AT515">
            <v>26.303000000000001</v>
          </cell>
          <cell r="AU515">
            <v>26.268999999999998</v>
          </cell>
          <cell r="AV515">
            <v>25.952000000000002</v>
          </cell>
          <cell r="AW515">
            <v>104.389</v>
          </cell>
          <cell r="AX515">
            <v>26.369</v>
          </cell>
          <cell r="AY515">
            <v>26.652999999999999</v>
          </cell>
          <cell r="AZ515">
            <v>27.1</v>
          </cell>
          <cell r="BB515">
            <v>107.05951957812499</v>
          </cell>
          <cell r="BG515">
            <v>112.8117207945625</v>
          </cell>
          <cell r="BL515">
            <v>119.98968933649834</v>
          </cell>
          <cell r="BP515">
            <v>-1</v>
          </cell>
          <cell r="BR515" t="str">
            <v xml:space="preserve"> Portfolio management analytics</v>
          </cell>
          <cell r="BS515">
            <v>110.00700000000001</v>
          </cell>
          <cell r="BT515">
            <v>120.648</v>
          </cell>
          <cell r="BU515">
            <v>132.398</v>
          </cell>
          <cell r="BV515">
            <v>124.54600000000001</v>
          </cell>
          <cell r="BW515">
            <v>120.441</v>
          </cell>
          <cell r="BX515">
            <v>118.88900000000001</v>
          </cell>
          <cell r="BY515">
            <v>116.13300000000001</v>
          </cell>
          <cell r="BZ515">
            <v>105.46100000000001</v>
          </cell>
          <cell r="CA515">
            <v>104.389</v>
          </cell>
          <cell r="CB515">
            <v>107.05951957812499</v>
          </cell>
          <cell r="CC515">
            <v>112.8117207945625</v>
          </cell>
          <cell r="CD515">
            <v>119.98968933649834</v>
          </cell>
          <cell r="CE515">
            <v>0</v>
          </cell>
          <cell r="CF515">
            <v>0</v>
          </cell>
          <cell r="CG515">
            <v>0</v>
          </cell>
        </row>
        <row r="516">
          <cell r="A516" t="str">
            <v xml:space="preserve"> Risk Management analytics</v>
          </cell>
          <cell r="C516">
            <v>4.4560000000000013</v>
          </cell>
          <cell r="D516">
            <v>16.873000000000001</v>
          </cell>
          <cell r="E516">
            <v>4.2830000000000004</v>
          </cell>
          <cell r="F516">
            <v>4.4180000000000001</v>
          </cell>
          <cell r="G516">
            <v>6.6689999999999996</v>
          </cell>
          <cell r="H516">
            <v>7.7</v>
          </cell>
          <cell r="I516">
            <v>23.07</v>
          </cell>
          <cell r="J516">
            <v>7.8920000000000003</v>
          </cell>
          <cell r="K516">
            <v>8.5980000000000008</v>
          </cell>
          <cell r="L516">
            <v>8.923</v>
          </cell>
          <cell r="M516">
            <v>9.3840000000000003</v>
          </cell>
          <cell r="N516">
            <v>34.797000000000004</v>
          </cell>
          <cell r="O516">
            <v>9.6229999999999993</v>
          </cell>
          <cell r="P516">
            <v>9.5719999999999992</v>
          </cell>
          <cell r="Q516">
            <v>7.819</v>
          </cell>
          <cell r="R516">
            <v>10.581</v>
          </cell>
          <cell r="S516">
            <v>37.594999999999999</v>
          </cell>
          <cell r="T516">
            <v>10.845000000000001</v>
          </cell>
          <cell r="U516">
            <v>11.106999999999999</v>
          </cell>
          <cell r="V516">
            <v>54.593000000000004</v>
          </cell>
          <cell r="W516">
            <v>57.98</v>
          </cell>
          <cell r="X516">
            <v>134.52500000000001</v>
          </cell>
          <cell r="Y516">
            <v>58.866</v>
          </cell>
          <cell r="Z516">
            <v>60.805999999999997</v>
          </cell>
          <cell r="AA516">
            <v>61.860999999999997</v>
          </cell>
          <cell r="AB516">
            <v>62.036999999999999</v>
          </cell>
          <cell r="AC516">
            <v>243.57</v>
          </cell>
          <cell r="AD516">
            <v>64.076999999999998</v>
          </cell>
          <cell r="AE516">
            <v>64.546999999999997</v>
          </cell>
          <cell r="AF516">
            <v>64.998000000000005</v>
          </cell>
          <cell r="AG516">
            <v>66.653999999999996</v>
          </cell>
          <cell r="AH516">
            <v>260.27600000000001</v>
          </cell>
          <cell r="AI516">
            <v>67.274000000000001</v>
          </cell>
          <cell r="AJ516">
            <v>67.099000000000004</v>
          </cell>
          <cell r="AK516">
            <v>69.665999999999997</v>
          </cell>
          <cell r="AL516">
            <v>75.313999999999993</v>
          </cell>
          <cell r="AM516">
            <v>279.35299999999995</v>
          </cell>
          <cell r="AN516">
            <v>70.42</v>
          </cell>
          <cell r="AO516">
            <v>70.164000000000001</v>
          </cell>
          <cell r="AP516">
            <v>72.778999999999996</v>
          </cell>
          <cell r="AQ516">
            <v>78.38</v>
          </cell>
          <cell r="AR516">
            <v>291.74299999999999</v>
          </cell>
          <cell r="AS516">
            <v>75.58</v>
          </cell>
          <cell r="AT516">
            <v>77.665999999999997</v>
          </cell>
          <cell r="AU516">
            <v>76.977999999999994</v>
          </cell>
          <cell r="AV516">
            <v>79.471999999999994</v>
          </cell>
          <cell r="AW516">
            <v>309.69599999999997</v>
          </cell>
          <cell r="AX516">
            <v>80.475999999999999</v>
          </cell>
          <cell r="AY516">
            <v>80.917000000000002</v>
          </cell>
          <cell r="AZ516">
            <v>81.241</v>
          </cell>
          <cell r="BB516">
            <v>325.08221396875001</v>
          </cell>
          <cell r="BG516">
            <v>342.27110215139066</v>
          </cell>
          <cell r="BL516">
            <v>360.7603144254831</v>
          </cell>
          <cell r="BP516">
            <v>-1</v>
          </cell>
          <cell r="BR516" t="str">
            <v xml:space="preserve"> Risk Management analytics</v>
          </cell>
          <cell r="BS516">
            <v>16.873000000000001</v>
          </cell>
          <cell r="BT516">
            <v>23.07</v>
          </cell>
          <cell r="BU516">
            <v>34.797000000000004</v>
          </cell>
          <cell r="BV516">
            <v>37.594999999999999</v>
          </cell>
          <cell r="BW516">
            <v>134.52500000000001</v>
          </cell>
          <cell r="BX516">
            <v>243.57</v>
          </cell>
          <cell r="BY516">
            <v>260.27600000000001</v>
          </cell>
          <cell r="BZ516">
            <v>291.74299999999999</v>
          </cell>
          <cell r="CA516">
            <v>309.69599999999997</v>
          </cell>
          <cell r="CB516">
            <v>325.08221396875001</v>
          </cell>
          <cell r="CC516">
            <v>342.27110215139066</v>
          </cell>
          <cell r="CD516">
            <v>360.7603144254831</v>
          </cell>
          <cell r="CE516">
            <v>0</v>
          </cell>
          <cell r="CF516">
            <v>0</v>
          </cell>
          <cell r="CG516">
            <v>0</v>
          </cell>
        </row>
        <row r="519">
          <cell r="A519" t="str">
            <v>Energy &amp; commodity analytics</v>
          </cell>
          <cell r="C519">
            <v>0.77200000000000002</v>
          </cell>
          <cell r="D519">
            <v>0.86099999999999999</v>
          </cell>
          <cell r="E519">
            <v>0.78700000000000003</v>
          </cell>
          <cell r="F519">
            <v>0.89600000000000002</v>
          </cell>
          <cell r="G519">
            <v>0.88800000000000001</v>
          </cell>
          <cell r="H519">
            <v>0.85</v>
          </cell>
          <cell r="I519">
            <v>0.74099999999999999</v>
          </cell>
          <cell r="J519">
            <v>0.91700000000000004</v>
          </cell>
          <cell r="K519">
            <v>0.96099999999999997</v>
          </cell>
          <cell r="L519">
            <v>0.89100000000000001</v>
          </cell>
          <cell r="M519">
            <v>0.80800000000000005</v>
          </cell>
          <cell r="N519">
            <v>0.89400000000000002</v>
          </cell>
          <cell r="O519">
            <v>0.90500000000000003</v>
          </cell>
          <cell r="P519">
            <v>0.91300000000000003</v>
          </cell>
          <cell r="Q519">
            <v>0.84499999999999997</v>
          </cell>
          <cell r="R519">
            <v>0.88500000000000001</v>
          </cell>
          <cell r="S519">
            <v>0.88700000000000001</v>
          </cell>
          <cell r="T519">
            <v>0.80700000000000005</v>
          </cell>
          <cell r="U519">
            <v>0.86799999999999999</v>
          </cell>
          <cell r="V519">
            <v>0.90300000000000002</v>
          </cell>
          <cell r="W519">
            <v>0.81699999999999995</v>
          </cell>
          <cell r="X519">
            <v>0.84875000000000012</v>
          </cell>
          <cell r="Y519">
            <v>0.76900000000000002</v>
          </cell>
          <cell r="Z519">
            <v>0.88800000000000001</v>
          </cell>
          <cell r="AA519">
            <v>0.89300000000000002</v>
          </cell>
          <cell r="AB519">
            <v>0.75</v>
          </cell>
          <cell r="AC519">
            <v>0.82499999999999996</v>
          </cell>
          <cell r="AD519">
            <v>0.90200000000000002</v>
          </cell>
          <cell r="AE519">
            <v>0.85499999999999998</v>
          </cell>
          <cell r="AF519">
            <v>0.76600000000000001</v>
          </cell>
          <cell r="AG519">
            <v>0.60399999999999998</v>
          </cell>
          <cell r="AH519">
            <v>0.78175000000000006</v>
          </cell>
          <cell r="AI519">
            <v>0.90100000000000002</v>
          </cell>
          <cell r="AJ519">
            <v>0.86</v>
          </cell>
          <cell r="AK519">
            <v>0.80200000000000005</v>
          </cell>
          <cell r="AL519">
            <v>0.54500000000000004</v>
          </cell>
          <cell r="AM519">
            <v>0.77700000000000002</v>
          </cell>
        </row>
        <row r="520">
          <cell r="A520" t="str">
            <v>Governance</v>
          </cell>
          <cell r="O520">
            <v>0.73</v>
          </cell>
          <cell r="P520">
            <v>0.84599999999999997</v>
          </cell>
          <cell r="Q520">
            <v>0.85399999999999998</v>
          </cell>
          <cell r="R520">
            <v>0.78700000000000003</v>
          </cell>
          <cell r="S520">
            <v>0.80425000000000002</v>
          </cell>
          <cell r="T520">
            <v>0.84799999999999998</v>
          </cell>
          <cell r="U520">
            <v>0.85599999999999998</v>
          </cell>
          <cell r="V520">
            <v>0.871</v>
          </cell>
          <cell r="W520">
            <v>0.80100000000000005</v>
          </cell>
          <cell r="X520">
            <v>0.84400000000000008</v>
          </cell>
          <cell r="Y520">
            <v>0.85</v>
          </cell>
          <cell r="Z520">
            <v>0.90400000000000003</v>
          </cell>
          <cell r="AA520">
            <v>0.86199999999999999</v>
          </cell>
          <cell r="AB520">
            <v>0.80600000000000005</v>
          </cell>
          <cell r="AC520">
            <v>0.85550000000000004</v>
          </cell>
          <cell r="AD520">
            <v>0.88700000000000001</v>
          </cell>
          <cell r="AE520">
            <v>0.92100000000000004</v>
          </cell>
          <cell r="AF520">
            <v>0.91100000000000003</v>
          </cell>
          <cell r="AG520">
            <v>0.83599999999999997</v>
          </cell>
          <cell r="AH520">
            <v>0.88875000000000004</v>
          </cell>
          <cell r="AI520">
            <v>0.9</v>
          </cell>
          <cell r="AJ520">
            <v>0.92900000000000005</v>
          </cell>
          <cell r="AK520">
            <v>0.88500000000000001</v>
          </cell>
          <cell r="AL520">
            <v>0.90100000000000002</v>
          </cell>
          <cell r="AM520">
            <v>0.90375000000000005</v>
          </cell>
        </row>
        <row r="523">
          <cell r="A523" t="str">
            <v>Energy and commodity analytics</v>
          </cell>
          <cell r="D523" t="str">
            <v>ND</v>
          </cell>
          <cell r="E523">
            <v>15.896000000000001</v>
          </cell>
          <cell r="F523">
            <v>15.913</v>
          </cell>
          <cell r="G523">
            <v>17.053000000000001</v>
          </cell>
          <cell r="H523">
            <v>17.957999999999998</v>
          </cell>
          <cell r="I523">
            <v>17.957999999999998</v>
          </cell>
          <cell r="J523">
            <v>18.63</v>
          </cell>
          <cell r="K523">
            <v>19.315000000000001</v>
          </cell>
          <cell r="L523">
            <v>19.242999999999999</v>
          </cell>
          <cell r="M523">
            <v>19.699000000000002</v>
          </cell>
          <cell r="N523">
            <v>19.699000000000002</v>
          </cell>
          <cell r="O523">
            <v>19.992999999999999</v>
          </cell>
          <cell r="P523">
            <v>20.611999999999998</v>
          </cell>
          <cell r="Q523">
            <v>14.706</v>
          </cell>
          <cell r="R523">
            <v>15.365</v>
          </cell>
          <cell r="S523">
            <v>15.365</v>
          </cell>
          <cell r="T523">
            <v>15.452999999999999</v>
          </cell>
          <cell r="U523">
            <v>15.343999999999999</v>
          </cell>
          <cell r="V523">
            <v>15.17</v>
          </cell>
          <cell r="W523">
            <v>15.288</v>
          </cell>
          <cell r="X523">
            <v>15.288</v>
          </cell>
          <cell r="Y523">
            <v>15.047000000000001</v>
          </cell>
          <cell r="Z523">
            <v>15.074</v>
          </cell>
          <cell r="AA523">
            <v>15.343</v>
          </cell>
          <cell r="AB523">
            <v>14.928000000000001</v>
          </cell>
          <cell r="AC523">
            <v>14.928000000000001</v>
          </cell>
          <cell r="AD523">
            <v>14.926</v>
          </cell>
          <cell r="AE523">
            <v>14.839</v>
          </cell>
          <cell r="AF523">
            <v>14.04</v>
          </cell>
          <cell r="AG523">
            <v>13.128</v>
          </cell>
          <cell r="AH523">
            <v>13.128</v>
          </cell>
          <cell r="AI523">
            <v>13.03</v>
          </cell>
          <cell r="AJ523">
            <v>12.794</v>
          </cell>
          <cell r="AK523">
            <v>12.493</v>
          </cell>
          <cell r="AL523">
            <v>11.302</v>
          </cell>
          <cell r="AM523">
            <v>11.302</v>
          </cell>
          <cell r="AN523">
            <v>0</v>
          </cell>
        </row>
        <row r="524">
          <cell r="A524" t="str">
            <v>Governance</v>
          </cell>
          <cell r="Q524">
            <v>113.907</v>
          </cell>
          <cell r="R524">
            <v>111.84099999999999</v>
          </cell>
          <cell r="S524">
            <v>111.84099999999999</v>
          </cell>
          <cell r="T524">
            <v>106.68600000000001</v>
          </cell>
          <cell r="U524">
            <v>105.44799999999999</v>
          </cell>
          <cell r="V524">
            <v>105.735</v>
          </cell>
          <cell r="W524">
            <v>105.036</v>
          </cell>
          <cell r="X524">
            <v>105.036</v>
          </cell>
          <cell r="Y524">
            <v>105.87</v>
          </cell>
          <cell r="Z524">
            <v>107.755</v>
          </cell>
          <cell r="AA524">
            <v>107.152</v>
          </cell>
          <cell r="AB524">
            <v>108.251</v>
          </cell>
          <cell r="AC524">
            <v>108.251</v>
          </cell>
          <cell r="AD524">
            <v>113.054</v>
          </cell>
          <cell r="AE524">
            <v>113.976</v>
          </cell>
          <cell r="AF524">
            <v>115.84</v>
          </cell>
          <cell r="AG524">
            <v>117.261</v>
          </cell>
          <cell r="AH524">
            <v>117.261</v>
          </cell>
          <cell r="AI524">
            <v>110.17400000000001</v>
          </cell>
          <cell r="AJ524">
            <v>111.68600000000001</v>
          </cell>
          <cell r="AK524">
            <v>112.911</v>
          </cell>
          <cell r="AL524">
            <v>115.482</v>
          </cell>
          <cell r="AM524">
            <v>115.482</v>
          </cell>
          <cell r="AN524">
            <v>0</v>
          </cell>
        </row>
        <row r="525">
          <cell r="A525" t="str">
            <v>Core retention</v>
          </cell>
        </row>
        <row r="526">
          <cell r="A526" t="str">
            <v>Energy &amp; commodity analytics</v>
          </cell>
          <cell r="C526">
            <v>0.79300000000000004</v>
          </cell>
          <cell r="D526">
            <v>0.872</v>
          </cell>
          <cell r="E526">
            <v>0.78700000000000003</v>
          </cell>
          <cell r="F526">
            <v>0.91300000000000003</v>
          </cell>
          <cell r="G526">
            <v>0.92100000000000004</v>
          </cell>
          <cell r="H526">
            <v>0.85</v>
          </cell>
          <cell r="I526">
            <v>0.754</v>
          </cell>
          <cell r="J526">
            <v>0.91700000000000004</v>
          </cell>
          <cell r="K526">
            <v>0.96099999999999997</v>
          </cell>
          <cell r="L526">
            <v>0.93100000000000005</v>
          </cell>
          <cell r="M526">
            <v>0.83599999999999997</v>
          </cell>
          <cell r="N526">
            <v>0.91100000000000003</v>
          </cell>
          <cell r="O526">
            <v>0.90600000000000003</v>
          </cell>
          <cell r="P526">
            <v>0.91300000000000003</v>
          </cell>
          <cell r="Q526">
            <v>0.84499999999999997</v>
          </cell>
          <cell r="R526">
            <v>0.89900000000000002</v>
          </cell>
          <cell r="S526">
            <v>0.89074999999999993</v>
          </cell>
          <cell r="T526">
            <v>0.80700000000000005</v>
          </cell>
          <cell r="U526">
            <v>0.86799999999999999</v>
          </cell>
          <cell r="V526">
            <v>0.90300000000000002</v>
          </cell>
          <cell r="W526">
            <v>0.81200000000000006</v>
          </cell>
          <cell r="X526">
            <v>0.84750000000000014</v>
          </cell>
          <cell r="Y526">
            <v>0.76900000000000002</v>
          </cell>
          <cell r="Z526">
            <v>0.88800000000000001</v>
          </cell>
          <cell r="AA526">
            <v>0.91300000000000003</v>
          </cell>
          <cell r="AB526">
            <v>0.75</v>
          </cell>
          <cell r="AC526">
            <v>0.83000000000000007</v>
          </cell>
          <cell r="AD526">
            <v>0.90700000000000003</v>
          </cell>
          <cell r="AE526">
            <v>0.88100000000000001</v>
          </cell>
          <cell r="AF526">
            <v>0.77100000000000002</v>
          </cell>
          <cell r="AG526">
            <v>0.60399999999999998</v>
          </cell>
          <cell r="AH526">
            <v>0.79075000000000006</v>
          </cell>
          <cell r="AI526">
            <v>0.90100000000000002</v>
          </cell>
          <cell r="AJ526">
            <v>0.86</v>
          </cell>
          <cell r="AK526">
            <v>0.80200000000000005</v>
          </cell>
          <cell r="AL526">
            <v>0.54500000000000004</v>
          </cell>
        </row>
        <row r="527">
          <cell r="A527" t="str">
            <v>Governance</v>
          </cell>
          <cell r="O527">
            <v>0.73</v>
          </cell>
          <cell r="P527">
            <v>0.84599999999999997</v>
          </cell>
          <cell r="Q527">
            <v>0.85399999999999998</v>
          </cell>
          <cell r="R527">
            <v>0.78700000000000003</v>
          </cell>
          <cell r="S527">
            <v>0.80425000000000002</v>
          </cell>
          <cell r="T527">
            <v>0.84799999999999998</v>
          </cell>
          <cell r="U527">
            <v>0.85599999999999998</v>
          </cell>
          <cell r="V527">
            <v>0.871</v>
          </cell>
          <cell r="W527">
            <v>0.80100000000000005</v>
          </cell>
          <cell r="X527">
            <v>0.84400000000000008</v>
          </cell>
          <cell r="Y527">
            <v>0.85</v>
          </cell>
          <cell r="Z527">
            <v>0.90400000000000003</v>
          </cell>
          <cell r="AA527">
            <v>0.86299999999999999</v>
          </cell>
          <cell r="AB527">
            <v>0.80600000000000005</v>
          </cell>
          <cell r="AC527">
            <v>0.85575000000000001</v>
          </cell>
          <cell r="AD527">
            <v>0.88700000000000001</v>
          </cell>
          <cell r="AE527">
            <v>0.90400000000000003</v>
          </cell>
          <cell r="AF527">
            <v>0.91200000000000003</v>
          </cell>
          <cell r="AG527">
            <v>0.83799999999999997</v>
          </cell>
          <cell r="AH527">
            <v>0.88524999999999998</v>
          </cell>
          <cell r="AI527">
            <v>0.90200000000000002</v>
          </cell>
          <cell r="AJ527">
            <v>0.92900000000000005</v>
          </cell>
          <cell r="AK527">
            <v>0.88500000000000001</v>
          </cell>
          <cell r="AL527">
            <v>0.90100000000000002</v>
          </cell>
        </row>
      </sheetData>
      <sheetData sheetId="3" refreshError="1">
        <row r="1">
          <cell r="C1" t="str">
            <v>bh</v>
          </cell>
          <cell r="D1" t="str">
            <v>bh</v>
          </cell>
          <cell r="I1" t="str">
            <v>bf</v>
          </cell>
          <cell r="L1" t="str">
            <v>bc</v>
          </cell>
        </row>
        <row r="2">
          <cell r="B2" t="str">
            <v>MSCI, Inc. Variance</v>
          </cell>
        </row>
        <row r="4">
          <cell r="A4">
            <v>11</v>
          </cell>
          <cell r="B4" t="str">
            <v>Fiscal Year ends Dec 31</v>
          </cell>
          <cell r="C4" t="str">
            <v>1Q17E</v>
          </cell>
          <cell r="D4" t="str">
            <v>1Q17A</v>
          </cell>
          <cell r="F4" t="str">
            <v>A - E</v>
          </cell>
          <cell r="G4" t="str">
            <v>% Diff</v>
          </cell>
          <cell r="I4" t="str">
            <v>4Q16A</v>
          </cell>
          <cell r="J4" t="str">
            <v>QoQ</v>
          </cell>
          <cell r="L4" t="str">
            <v>1Q16A</v>
          </cell>
          <cell r="M4" t="str">
            <v>YoY</v>
          </cell>
        </row>
        <row r="6">
          <cell r="B6" t="str">
            <v>MXB Revenue</v>
          </cell>
        </row>
        <row r="7">
          <cell r="A7">
            <v>14</v>
          </cell>
          <cell r="B7" t="str">
            <v>Equity index subscriptions</v>
          </cell>
          <cell r="C7">
            <v>102.62532507421874</v>
          </cell>
          <cell r="D7">
            <v>102.178</v>
          </cell>
          <cell r="F7">
            <v>-0.44732507421873891</v>
          </cell>
          <cell r="G7">
            <v>-4.358817610518928E-3</v>
          </cell>
          <cell r="I7">
            <v>99.938999999999993</v>
          </cell>
          <cell r="J7">
            <v>2.2403666236404218E-2</v>
          </cell>
          <cell r="L7">
            <v>93.644999999999996</v>
          </cell>
          <cell r="M7">
            <v>9.1120721875166844E-2</v>
          </cell>
        </row>
        <row r="8">
          <cell r="A8">
            <v>15</v>
          </cell>
          <cell r="B8" t="str">
            <v>Equity index asset based fees</v>
          </cell>
          <cell r="C8">
            <v>57.425478578124988</v>
          </cell>
          <cell r="D8">
            <v>57.508000000000003</v>
          </cell>
          <cell r="F8">
            <v>8.2521421875014767E-2</v>
          </cell>
          <cell r="G8">
            <v>1.4370175733537938E-3</v>
          </cell>
          <cell r="I8">
            <v>55.774000000000001</v>
          </cell>
          <cell r="J8">
            <v>3.1089755083013593E-2</v>
          </cell>
          <cell r="L8">
            <v>48.698999999999998</v>
          </cell>
          <cell r="M8">
            <v>0.18088667118421342</v>
          </cell>
        </row>
        <row r="9">
          <cell r="A9">
            <v>16</v>
          </cell>
          <cell r="B9" t="str">
            <v>Index non-recurring</v>
          </cell>
          <cell r="C9">
            <v>3.4935</v>
          </cell>
          <cell r="D9">
            <v>3.7490000000000001</v>
          </cell>
          <cell r="F9">
            <v>0.25550000000000006</v>
          </cell>
          <cell r="G9">
            <v>7.3135823672534794E-2</v>
          </cell>
          <cell r="I9">
            <v>3.3570000000000002</v>
          </cell>
          <cell r="J9">
            <v>0.11677092642240083</v>
          </cell>
          <cell r="L9">
            <v>2.2690000000000001</v>
          </cell>
          <cell r="M9">
            <v>0.6522697223446452</v>
          </cell>
        </row>
        <row r="10">
          <cell r="A10">
            <v>17</v>
          </cell>
          <cell r="B10" t="str">
            <v xml:space="preserve"> Equity indices total</v>
          </cell>
          <cell r="C10">
            <v>163.54430365234373</v>
          </cell>
          <cell r="D10">
            <v>163.435</v>
          </cell>
          <cell r="F10">
            <v>-0.1093036523437263</v>
          </cell>
          <cell r="G10">
            <v>-6.6834276647187441E-4</v>
          </cell>
          <cell r="I10">
            <v>159.07</v>
          </cell>
          <cell r="J10">
            <v>2.7440749355629679E-2</v>
          </cell>
          <cell r="L10">
            <v>144.613</v>
          </cell>
          <cell r="M10">
            <v>0.13015427382047262</v>
          </cell>
        </row>
        <row r="11">
          <cell r="A11">
            <v>21</v>
          </cell>
          <cell r="B11" t="str">
            <v>Analytics total</v>
          </cell>
          <cell r="C11">
            <v>114.45773537499998</v>
          </cell>
          <cell r="D11">
            <v>112.42</v>
          </cell>
          <cell r="F11">
            <v>-2.0377353749999827</v>
          </cell>
          <cell r="G11">
            <v>-1.7803387148310312E-2</v>
          </cell>
          <cell r="I11">
            <v>114.40599999999999</v>
          </cell>
          <cell r="J11">
            <v>-1.7359229411044841E-2</v>
          </cell>
          <cell r="L11">
            <v>110.26299999999999</v>
          </cell>
          <cell r="M11">
            <v>1.9562319182318655E-2</v>
          </cell>
        </row>
        <row r="12">
          <cell r="A12">
            <v>25</v>
          </cell>
          <cell r="B12" t="str">
            <v>All Other total</v>
          </cell>
          <cell r="C12">
            <v>25.210205296874999</v>
          </cell>
          <cell r="D12">
            <v>25.352</v>
          </cell>
          <cell r="F12">
            <v>0.14179470312500086</v>
          </cell>
          <cell r="G12">
            <v>5.6244961695166573E-3</v>
          </cell>
          <cell r="I12">
            <v>19.335999999999999</v>
          </cell>
          <cell r="J12">
            <v>0.31112949937939605</v>
          </cell>
          <cell r="L12">
            <v>23.951999999999998</v>
          </cell>
          <cell r="M12">
            <v>5.8450233800935392E-2</v>
          </cell>
        </row>
        <row r="13">
          <cell r="A13">
            <v>27</v>
          </cell>
          <cell r="B13" t="str">
            <v xml:space="preserve"> Energy and Governance</v>
          </cell>
          <cell r="C13">
            <v>0</v>
          </cell>
          <cell r="D13">
            <v>0</v>
          </cell>
          <cell r="F13">
            <v>0</v>
          </cell>
          <cell r="G13" t="str">
            <v/>
          </cell>
          <cell r="I13">
            <v>0</v>
          </cell>
          <cell r="J13" t="str">
            <v/>
          </cell>
          <cell r="L13">
            <v>0</v>
          </cell>
          <cell r="M13" t="str">
            <v/>
          </cell>
        </row>
        <row r="14">
          <cell r="A14">
            <v>28</v>
          </cell>
          <cell r="B14" t="str">
            <v>Subtotal MXB</v>
          </cell>
          <cell r="C14">
            <v>0</v>
          </cell>
          <cell r="D14">
            <v>0</v>
          </cell>
          <cell r="F14">
            <v>0</v>
          </cell>
          <cell r="G14" t="str">
            <v/>
          </cell>
          <cell r="I14">
            <v>0</v>
          </cell>
          <cell r="J14" t="str">
            <v/>
          </cell>
          <cell r="L14">
            <v>0</v>
          </cell>
          <cell r="M14" t="str">
            <v/>
          </cell>
        </row>
        <row r="17">
          <cell r="A17">
            <v>26</v>
          </cell>
          <cell r="B17" t="str">
            <v>RiskMetrics</v>
          </cell>
          <cell r="C17">
            <v>0</v>
          </cell>
          <cell r="D17">
            <v>0</v>
          </cell>
          <cell r="F17">
            <v>0</v>
          </cell>
          <cell r="G17" t="str">
            <v/>
          </cell>
          <cell r="I17">
            <v>0</v>
          </cell>
          <cell r="J17" t="str">
            <v/>
          </cell>
          <cell r="L17">
            <v>0</v>
          </cell>
          <cell r="M17" t="str">
            <v/>
          </cell>
        </row>
        <row r="18">
          <cell r="A18" t="e">
            <v>#REF!</v>
          </cell>
          <cell r="B18" t="e">
            <v>#REF!</v>
          </cell>
          <cell r="C18" t="e">
            <v>#REF!</v>
          </cell>
          <cell r="D18" t="e">
            <v>#REF!</v>
          </cell>
          <cell r="F18" t="e">
            <v>#REF!</v>
          </cell>
          <cell r="G18" t="str">
            <v/>
          </cell>
          <cell r="I18" t="e">
            <v>#REF!</v>
          </cell>
          <cell r="J18" t="str">
            <v/>
          </cell>
          <cell r="L18" t="e">
            <v>#REF!</v>
          </cell>
          <cell r="M18" t="str">
            <v/>
          </cell>
        </row>
        <row r="19">
          <cell r="A19" t="e">
            <v>#REF!</v>
          </cell>
          <cell r="B19" t="e">
            <v>#REF!</v>
          </cell>
          <cell r="C19" t="e">
            <v>#REF!</v>
          </cell>
          <cell r="D19" t="e">
            <v>#REF!</v>
          </cell>
          <cell r="F19" t="e">
            <v>#REF!</v>
          </cell>
          <cell r="G19" t="str">
            <v/>
          </cell>
          <cell r="I19" t="e">
            <v>#REF!</v>
          </cell>
          <cell r="J19" t="str">
            <v/>
          </cell>
          <cell r="L19" t="e">
            <v>#REF!</v>
          </cell>
          <cell r="M19" t="str">
            <v/>
          </cell>
        </row>
        <row r="20">
          <cell r="A20" t="e">
            <v>#REF!</v>
          </cell>
          <cell r="B20" t="e">
            <v>#REF!</v>
          </cell>
          <cell r="C20" t="e">
            <v>#REF!</v>
          </cell>
          <cell r="D20" t="e">
            <v>#REF!</v>
          </cell>
          <cell r="F20" t="e">
            <v>#REF!</v>
          </cell>
          <cell r="G20" t="str">
            <v/>
          </cell>
          <cell r="I20" t="e">
            <v>#REF!</v>
          </cell>
          <cell r="J20" t="str">
            <v/>
          </cell>
          <cell r="L20" t="e">
            <v>#REF!</v>
          </cell>
          <cell r="M20" t="str">
            <v/>
          </cell>
        </row>
        <row r="22">
          <cell r="A22">
            <v>31</v>
          </cell>
          <cell r="B22" t="str">
            <v>Total Revenue</v>
          </cell>
          <cell r="C22">
            <v>303.21224432421872</v>
          </cell>
          <cell r="D22">
            <v>301.20699999999999</v>
          </cell>
          <cell r="F22">
            <v>-2.0052443242187223</v>
          </cell>
          <cell r="G22">
            <v>-6.6133355817733497E-3</v>
          </cell>
          <cell r="I22">
            <v>292.81200000000001</v>
          </cell>
          <cell r="J22">
            <v>2.8670273076240038E-2</v>
          </cell>
          <cell r="L22">
            <v>278.82799999999997</v>
          </cell>
          <cell r="M22">
            <v>8.026094940249906E-2</v>
          </cell>
        </row>
        <row r="23">
          <cell r="A23">
            <v>32</v>
          </cell>
          <cell r="B23" t="str">
            <v>Annual Growth</v>
          </cell>
          <cell r="C23">
            <v>8.7452638631051238E-2</v>
          </cell>
          <cell r="D23">
            <v>8.026094940249906E-2</v>
          </cell>
          <cell r="F23">
            <v>-71.916892285521783</v>
          </cell>
          <cell r="G23">
            <v>-8.2235245741329455E-2</v>
          </cell>
          <cell r="I23">
            <v>7.2991978541039781E-2</v>
          </cell>
          <cell r="J23">
            <v>72.689708614592789</v>
          </cell>
          <cell r="L23">
            <v>6.1070096658802031E-2</v>
          </cell>
          <cell r="M23">
            <v>191.9085274369703</v>
          </cell>
        </row>
        <row r="26">
          <cell r="A26">
            <v>35</v>
          </cell>
          <cell r="B26" t="str">
            <v>Cost of Revenue</v>
          </cell>
          <cell r="C26">
            <v>68.696558087600749</v>
          </cell>
          <cell r="D26">
            <v>67.521000000000001</v>
          </cell>
          <cell r="F26">
            <v>-1.1755580876007485</v>
          </cell>
          <cell r="G26">
            <v>-1.7112328773469243E-2</v>
          </cell>
          <cell r="I26">
            <v>63.819000000000003</v>
          </cell>
          <cell r="J26">
            <v>5.8007803318760764E-2</v>
          </cell>
          <cell r="L26">
            <v>63.171999999999997</v>
          </cell>
          <cell r="M26">
            <v>6.8843791553219846E-2</v>
          </cell>
        </row>
        <row r="27">
          <cell r="A27">
            <v>36</v>
          </cell>
          <cell r="B27" t="str">
            <v>Gross Margin</v>
          </cell>
          <cell r="C27">
            <v>0.77343738792373795</v>
          </cell>
          <cell r="D27">
            <v>0.77583190297702243</v>
          </cell>
          <cell r="F27">
            <v>23.945150532844739</v>
          </cell>
          <cell r="G27">
            <v>3.0959391033738015E-3</v>
          </cell>
          <cell r="I27">
            <v>0.78204786689070116</v>
          </cell>
          <cell r="J27">
            <v>-62.159639136787348</v>
          </cell>
          <cell r="L27">
            <v>0.77343738792373795</v>
          </cell>
          <cell r="M27">
            <v>23.945150532844739</v>
          </cell>
        </row>
        <row r="28">
          <cell r="A28">
            <v>42</v>
          </cell>
          <cell r="B28" t="str">
            <v>SG&amp;A Expenses</v>
          </cell>
          <cell r="C28">
            <v>87.448363023100498</v>
          </cell>
          <cell r="D28">
            <v>82.995000000000005</v>
          </cell>
          <cell r="F28">
            <v>-4.4533630231004935</v>
          </cell>
          <cell r="G28">
            <v>-5.0925630499499275E-2</v>
          </cell>
          <cell r="I28">
            <v>82.036000000000001</v>
          </cell>
          <cell r="J28">
            <v>1.1689989760592878E-2</v>
          </cell>
          <cell r="L28">
            <v>82.507000000000005</v>
          </cell>
          <cell r="M28">
            <v>5.9146496660889003E-3</v>
          </cell>
        </row>
        <row r="29">
          <cell r="A29">
            <v>43</v>
          </cell>
          <cell r="B29" t="str">
            <v>% of Total Revenue</v>
          </cell>
          <cell r="C29">
            <v>0.28840643694320517</v>
          </cell>
          <cell r="D29">
            <v>0.27554140508022723</v>
          </cell>
          <cell r="F29">
            <v>-128.65031862977938</v>
          </cell>
          <cell r="G29">
            <v>-4.4607297948455304E-2</v>
          </cell>
          <cell r="I29">
            <v>0.28016611341065256</v>
          </cell>
          <cell r="J29">
            <v>-46.247083304253309</v>
          </cell>
          <cell r="L29">
            <v>0.29590643694320518</v>
          </cell>
          <cell r="M29">
            <v>-203.65031862977943</v>
          </cell>
        </row>
        <row r="31">
          <cell r="A31">
            <v>53</v>
          </cell>
          <cell r="B31" t="str">
            <v>Total Expenses ex Founders Grant</v>
          </cell>
          <cell r="C31">
            <v>156.14492111070126</v>
          </cell>
          <cell r="D31">
            <v>150.51600000000002</v>
          </cell>
          <cell r="F31">
            <v>-5.628921110701242</v>
          </cell>
          <cell r="G31">
            <v>-3.6049338464941405E-2</v>
          </cell>
          <cell r="I31">
            <v>145.85500000000002</v>
          </cell>
          <cell r="J31">
            <v>3.1956395049878239E-2</v>
          </cell>
          <cell r="L31">
            <v>145.679</v>
          </cell>
          <cell r="M31">
            <v>3.3203138407045696E-2</v>
          </cell>
        </row>
        <row r="33">
          <cell r="A33">
            <v>50</v>
          </cell>
          <cell r="B33" t="str">
            <v>Founders Grant/Performance Awards</v>
          </cell>
          <cell r="C33">
            <v>0</v>
          </cell>
          <cell r="D33">
            <v>0</v>
          </cell>
          <cell r="F33">
            <v>0</v>
          </cell>
          <cell r="G33" t="str">
            <v/>
          </cell>
          <cell r="I33">
            <v>0</v>
          </cell>
          <cell r="J33" t="str">
            <v/>
          </cell>
          <cell r="L33">
            <v>0</v>
          </cell>
          <cell r="M33" t="str">
            <v/>
          </cell>
        </row>
        <row r="34">
          <cell r="A34">
            <v>51</v>
          </cell>
          <cell r="B34" t="str">
            <v>% of Total Revenue</v>
          </cell>
          <cell r="C34">
            <v>0</v>
          </cell>
          <cell r="D34">
            <v>0</v>
          </cell>
          <cell r="F34">
            <v>0</v>
          </cell>
          <cell r="G34" t="str">
            <v/>
          </cell>
          <cell r="I34">
            <v>0</v>
          </cell>
          <cell r="J34">
            <v>0</v>
          </cell>
          <cell r="L34">
            <v>0</v>
          </cell>
          <cell r="M34">
            <v>0</v>
          </cell>
        </row>
        <row r="38">
          <cell r="A38">
            <v>55</v>
          </cell>
          <cell r="B38" t="str">
            <v>RISK Expenses</v>
          </cell>
          <cell r="M38" t="str">
            <v/>
          </cell>
        </row>
        <row r="39">
          <cell r="A39">
            <v>56</v>
          </cell>
          <cell r="B39" t="str">
            <v>Cost Of Revenues</v>
          </cell>
          <cell r="C39">
            <v>0</v>
          </cell>
          <cell r="D39">
            <v>0</v>
          </cell>
          <cell r="F39">
            <v>0</v>
          </cell>
          <cell r="G39" t="str">
            <v/>
          </cell>
          <cell r="I39">
            <v>0</v>
          </cell>
          <cell r="J39" t="str">
            <v/>
          </cell>
          <cell r="L39">
            <v>0</v>
          </cell>
          <cell r="M39" t="str">
            <v/>
          </cell>
        </row>
        <row r="40">
          <cell r="A40">
            <v>57</v>
          </cell>
          <cell r="B40" t="str">
            <v>Gross Margin</v>
          </cell>
          <cell r="C40">
            <v>0</v>
          </cell>
          <cell r="D40">
            <v>0</v>
          </cell>
          <cell r="F40">
            <v>0</v>
          </cell>
          <cell r="G40" t="str">
            <v/>
          </cell>
          <cell r="I40">
            <v>0</v>
          </cell>
          <cell r="J40" t="str">
            <v/>
          </cell>
          <cell r="L40">
            <v>0</v>
          </cell>
          <cell r="M40" t="str">
            <v/>
          </cell>
        </row>
        <row r="41">
          <cell r="A41">
            <v>58</v>
          </cell>
          <cell r="B41" t="str">
            <v>Research and Development</v>
          </cell>
          <cell r="C41">
            <v>0</v>
          </cell>
          <cell r="D41">
            <v>0</v>
          </cell>
          <cell r="F41">
            <v>0</v>
          </cell>
          <cell r="G41" t="str">
            <v/>
          </cell>
          <cell r="I41">
            <v>0</v>
          </cell>
          <cell r="J41" t="str">
            <v/>
          </cell>
          <cell r="L41">
            <v>0</v>
          </cell>
          <cell r="M41" t="str">
            <v/>
          </cell>
        </row>
        <row r="42">
          <cell r="A42">
            <v>59</v>
          </cell>
          <cell r="B42" t="str">
            <v>% of Total Revenue</v>
          </cell>
          <cell r="C42">
            <v>0</v>
          </cell>
          <cell r="D42">
            <v>0</v>
          </cell>
          <cell r="F42">
            <v>0</v>
          </cell>
          <cell r="G42" t="str">
            <v/>
          </cell>
          <cell r="I42">
            <v>0</v>
          </cell>
          <cell r="J42" t="str">
            <v/>
          </cell>
          <cell r="L42">
            <v>0</v>
          </cell>
          <cell r="M42" t="str">
            <v/>
          </cell>
        </row>
        <row r="43">
          <cell r="A43">
            <v>60</v>
          </cell>
          <cell r="B43" t="str">
            <v>Selling and Markeitng</v>
          </cell>
          <cell r="C43">
            <v>0</v>
          </cell>
          <cell r="D43">
            <v>0</v>
          </cell>
          <cell r="F43">
            <v>0</v>
          </cell>
          <cell r="G43" t="str">
            <v/>
          </cell>
          <cell r="I43">
            <v>0</v>
          </cell>
          <cell r="J43" t="str">
            <v/>
          </cell>
          <cell r="L43">
            <v>0</v>
          </cell>
          <cell r="M43" t="str">
            <v/>
          </cell>
        </row>
        <row r="44">
          <cell r="A44">
            <v>61</v>
          </cell>
          <cell r="B44" t="str">
            <v>% of Total Revenue</v>
          </cell>
          <cell r="C44">
            <v>0</v>
          </cell>
          <cell r="D44">
            <v>0</v>
          </cell>
          <cell r="F44">
            <v>0</v>
          </cell>
          <cell r="G44" t="str">
            <v/>
          </cell>
          <cell r="I44">
            <v>0</v>
          </cell>
          <cell r="J44" t="str">
            <v/>
          </cell>
          <cell r="L44">
            <v>0</v>
          </cell>
          <cell r="M44" t="str">
            <v/>
          </cell>
        </row>
        <row r="45">
          <cell r="A45">
            <v>62</v>
          </cell>
          <cell r="B45" t="str">
            <v>General and Administrative</v>
          </cell>
          <cell r="C45">
            <v>0</v>
          </cell>
          <cell r="D45">
            <v>0</v>
          </cell>
          <cell r="F45">
            <v>0</v>
          </cell>
          <cell r="G45" t="str">
            <v/>
          </cell>
          <cell r="I45">
            <v>0</v>
          </cell>
          <cell r="J45" t="str">
            <v/>
          </cell>
          <cell r="L45">
            <v>0</v>
          </cell>
          <cell r="M45" t="str">
            <v/>
          </cell>
        </row>
        <row r="46">
          <cell r="A46">
            <v>63</v>
          </cell>
          <cell r="B46" t="str">
            <v>% of Total Revenue</v>
          </cell>
          <cell r="C46">
            <v>0</v>
          </cell>
          <cell r="D46">
            <v>0</v>
          </cell>
          <cell r="F46">
            <v>0</v>
          </cell>
          <cell r="G46" t="str">
            <v/>
          </cell>
          <cell r="I46">
            <v>0</v>
          </cell>
          <cell r="J46" t="str">
            <v/>
          </cell>
          <cell r="L46">
            <v>0</v>
          </cell>
          <cell r="M46" t="str">
            <v/>
          </cell>
        </row>
        <row r="47">
          <cell r="A47">
            <v>64</v>
          </cell>
          <cell r="B47" t="str">
            <v>Stock Based Compensation Expense</v>
          </cell>
          <cell r="C47">
            <v>0</v>
          </cell>
          <cell r="D47">
            <v>0</v>
          </cell>
          <cell r="F47">
            <v>0</v>
          </cell>
          <cell r="G47" t="str">
            <v/>
          </cell>
          <cell r="I47">
            <v>0</v>
          </cell>
          <cell r="J47" t="str">
            <v/>
          </cell>
          <cell r="L47">
            <v>0</v>
          </cell>
          <cell r="M47" t="str">
            <v/>
          </cell>
        </row>
        <row r="48">
          <cell r="A48">
            <v>65</v>
          </cell>
          <cell r="B48" t="str">
            <v>% of Total Revenue</v>
          </cell>
          <cell r="C48">
            <v>0</v>
          </cell>
          <cell r="D48">
            <v>0</v>
          </cell>
          <cell r="F48">
            <v>0</v>
          </cell>
          <cell r="G48" t="str">
            <v/>
          </cell>
          <cell r="I48">
            <v>0</v>
          </cell>
          <cell r="J48" t="str">
            <v/>
          </cell>
          <cell r="L48">
            <v>0</v>
          </cell>
          <cell r="M48" t="str">
            <v/>
          </cell>
        </row>
        <row r="50">
          <cell r="A50">
            <v>67</v>
          </cell>
          <cell r="B50" t="str">
            <v>Restructuring</v>
          </cell>
          <cell r="C50">
            <v>0</v>
          </cell>
          <cell r="D50">
            <v>0</v>
          </cell>
          <cell r="F50">
            <v>0</v>
          </cell>
          <cell r="G50" t="str">
            <v/>
          </cell>
          <cell r="I50">
            <v>0</v>
          </cell>
          <cell r="J50" t="str">
            <v/>
          </cell>
          <cell r="L50">
            <v>0</v>
          </cell>
          <cell r="M50" t="str">
            <v/>
          </cell>
        </row>
        <row r="52">
          <cell r="A52">
            <v>55</v>
          </cell>
          <cell r="B52" t="str">
            <v>Restructuring</v>
          </cell>
          <cell r="C52">
            <v>0</v>
          </cell>
          <cell r="D52">
            <v>0</v>
          </cell>
          <cell r="F52">
            <v>0</v>
          </cell>
          <cell r="G52" t="str">
            <v/>
          </cell>
          <cell r="I52">
            <v>0</v>
          </cell>
          <cell r="J52" t="str">
            <v/>
          </cell>
          <cell r="L52">
            <v>0</v>
          </cell>
          <cell r="M52" t="str">
            <v/>
          </cell>
        </row>
        <row r="53">
          <cell r="A53">
            <v>57</v>
          </cell>
          <cell r="B53" t="str">
            <v>Other one-time items</v>
          </cell>
          <cell r="C53">
            <v>0</v>
          </cell>
          <cell r="D53">
            <v>0</v>
          </cell>
          <cell r="F53">
            <v>0</v>
          </cell>
          <cell r="G53" t="str">
            <v/>
          </cell>
          <cell r="I53">
            <v>0</v>
          </cell>
          <cell r="J53" t="str">
            <v/>
          </cell>
          <cell r="L53">
            <v>0</v>
          </cell>
          <cell r="M53" t="str">
            <v/>
          </cell>
        </row>
        <row r="55">
          <cell r="A55">
            <v>75</v>
          </cell>
          <cell r="B55" t="str">
            <v>Adj. EBITDA (ex. Founders Grant)</v>
          </cell>
          <cell r="C55">
            <v>147.06732321351745</v>
          </cell>
          <cell r="D55">
            <v>150.69099999999997</v>
          </cell>
          <cell r="F55">
            <v>3.6236767864825197</v>
          </cell>
          <cell r="G55">
            <v>2.4639578033398557E-2</v>
          </cell>
          <cell r="I55">
            <v>146.95699999999999</v>
          </cell>
          <cell r="J55">
            <v>2.5408793048306455E-2</v>
          </cell>
          <cell r="L55">
            <v>133.14899999999997</v>
          </cell>
          <cell r="M55">
            <v>0.13174714042163305</v>
          </cell>
        </row>
        <row r="56">
          <cell r="A56">
            <v>76</v>
          </cell>
          <cell r="B56" t="str">
            <v>Adj. EBITDA Margin</v>
          </cell>
          <cell r="C56">
            <v>0.48503095098053278</v>
          </cell>
          <cell r="D56">
            <v>0.50029049789679514</v>
          </cell>
          <cell r="F56">
            <v>152.59546916262357</v>
          </cell>
          <cell r="G56">
            <v>3.1460975604574948E-2</v>
          </cell>
          <cell r="I56">
            <v>0.5018817534800486</v>
          </cell>
          <cell r="J56">
            <v>-15.912555832534592</v>
          </cell>
          <cell r="L56">
            <v>0.47753095098053272</v>
          </cell>
          <cell r="M56">
            <v>227.5954691626242</v>
          </cell>
        </row>
        <row r="57">
          <cell r="A57">
            <v>77</v>
          </cell>
          <cell r="B57" t="str">
            <v>Year-over-Year Growth</v>
          </cell>
          <cell r="C57">
            <v>0.10453193950775064</v>
          </cell>
          <cell r="D57">
            <v>0.13174714042163305</v>
          </cell>
          <cell r="F57">
            <v>272.1520091388241</v>
          </cell>
          <cell r="G57">
            <v>0.26035297003041369</v>
          </cell>
          <cell r="I57">
            <v>0.15792583954488815</v>
          </cell>
          <cell r="J57">
            <v>-261.78699123255103</v>
          </cell>
          <cell r="L57">
            <v>0.23673162304248474</v>
          </cell>
          <cell r="M57">
            <v>-1049.8448262085169</v>
          </cell>
        </row>
        <row r="59">
          <cell r="A59" t="e">
            <v>#REF!</v>
          </cell>
          <cell r="B59" t="str">
            <v>Adj. EBITDA (ex. Founders Grant, excl. restructuring)</v>
          </cell>
          <cell r="C59">
            <v>147.06732321351745</v>
          </cell>
          <cell r="D59">
            <v>150.69099999999997</v>
          </cell>
          <cell r="F59">
            <v>3.6236767864825197</v>
          </cell>
          <cell r="G59">
            <v>2.4639578033398557E-2</v>
          </cell>
          <cell r="I59" t="e">
            <v>#REF!</v>
          </cell>
          <cell r="J59" t="str">
            <v/>
          </cell>
          <cell r="L59" t="e">
            <v>#REF!</v>
          </cell>
          <cell r="M59" t="str">
            <v/>
          </cell>
        </row>
        <row r="60">
          <cell r="A60">
            <v>80</v>
          </cell>
          <cell r="B60" t="str">
            <v>Adj. EBITDA Margin</v>
          </cell>
          <cell r="C60">
            <v>0.48503095098053278</v>
          </cell>
          <cell r="D60">
            <v>0.50029049789679514</v>
          </cell>
          <cell r="F60">
            <v>152.59546916262357</v>
          </cell>
          <cell r="G60">
            <v>3.1460975604574948E-2</v>
          </cell>
          <cell r="I60">
            <v>9.4469999999999992</v>
          </cell>
          <cell r="J60">
            <v>-89467.09502103203</v>
          </cell>
          <cell r="L60">
            <v>8.1679999999999993</v>
          </cell>
          <cell r="M60">
            <v>-76677.095021032044</v>
          </cell>
        </row>
        <row r="61">
          <cell r="A61">
            <v>81</v>
          </cell>
          <cell r="I61">
            <v>3.2263022007294778E-2</v>
          </cell>
          <cell r="J61">
            <v>-322.63022007294779</v>
          </cell>
          <cell r="L61">
            <v>2.9294045074382772E-2</v>
          </cell>
          <cell r="M61">
            <v>-292.94045074382774</v>
          </cell>
        </row>
        <row r="63">
          <cell r="A63">
            <v>80</v>
          </cell>
          <cell r="B63" t="str">
            <v>Depreciation</v>
          </cell>
          <cell r="C63">
            <v>10.006004062699217</v>
          </cell>
          <cell r="D63">
            <v>8.8379999999999992</v>
          </cell>
          <cell r="F63">
            <v>-1.1680040626992181</v>
          </cell>
          <cell r="G63">
            <v>-0.11673032065351152</v>
          </cell>
          <cell r="I63">
            <v>9.4469999999999992</v>
          </cell>
          <cell r="J63">
            <v>-6.4464909495077771E-2</v>
          </cell>
          <cell r="L63">
            <v>8.1679999999999993</v>
          </cell>
          <cell r="M63">
            <v>8.2027424094025525E-2</v>
          </cell>
        </row>
        <row r="64">
          <cell r="A64">
            <v>82</v>
          </cell>
          <cell r="B64" t="str">
            <v>% of Total Revenue</v>
          </cell>
          <cell r="C64">
            <v>10.94</v>
          </cell>
          <cell r="D64">
            <v>11.250999999999999</v>
          </cell>
          <cell r="F64">
            <v>0.31099999999999994</v>
          </cell>
          <cell r="G64">
            <v>2.8427787934186544E-2</v>
          </cell>
          <cell r="I64">
            <v>11.497999999999999</v>
          </cell>
          <cell r="J64">
            <v>-2.1481996869020636E-2</v>
          </cell>
          <cell r="L64">
            <v>11.84</v>
          </cell>
          <cell r="M64">
            <v>-4.9746621621621689E-2</v>
          </cell>
        </row>
        <row r="65">
          <cell r="A65">
            <v>66</v>
          </cell>
          <cell r="B65" t="str">
            <v>Amort. of Intangible Assets</v>
          </cell>
          <cell r="C65">
            <v>7.184234591602956E-2</v>
          </cell>
          <cell r="D65">
            <v>3.3203138407045696E-2</v>
          </cell>
          <cell r="F65">
            <v>-3.8639207508983864E-2</v>
          </cell>
          <cell r="G65">
            <v>-0.53783332123015537</v>
          </cell>
          <cell r="I65">
            <v>-8.494372478230483E-4</v>
          </cell>
          <cell r="J65">
            <v>-40.088394689706909</v>
          </cell>
          <cell r="L65">
            <v>-6.085044933534467E-2</v>
          </cell>
          <cell r="M65">
            <v>-1.5456514909867693</v>
          </cell>
        </row>
        <row r="67">
          <cell r="A67">
            <v>85</v>
          </cell>
          <cell r="B67">
            <v>0</v>
          </cell>
          <cell r="C67">
            <v>0</v>
          </cell>
          <cell r="D67">
            <v>0</v>
          </cell>
          <cell r="F67">
            <v>0</v>
          </cell>
          <cell r="G67" t="str">
            <v/>
          </cell>
          <cell r="I67">
            <v>0</v>
          </cell>
          <cell r="J67" t="str">
            <v/>
          </cell>
          <cell r="L67">
            <v>0</v>
          </cell>
          <cell r="M67" t="str">
            <v/>
          </cell>
        </row>
        <row r="68">
          <cell r="A68">
            <v>86</v>
          </cell>
          <cell r="B68">
            <v>0</v>
          </cell>
          <cell r="C68">
            <v>0</v>
          </cell>
          <cell r="D68">
            <v>0</v>
          </cell>
          <cell r="F68">
            <v>0</v>
          </cell>
          <cell r="G68" t="str">
            <v/>
          </cell>
          <cell r="I68">
            <v>0</v>
          </cell>
          <cell r="J68" t="str">
            <v/>
          </cell>
          <cell r="L68">
            <v>0</v>
          </cell>
          <cell r="M68" t="str">
            <v/>
          </cell>
        </row>
        <row r="69">
          <cell r="A69">
            <v>87</v>
          </cell>
          <cell r="B69">
            <v>0</v>
          </cell>
          <cell r="C69">
            <v>0</v>
          </cell>
          <cell r="D69">
            <v>0</v>
          </cell>
          <cell r="F69">
            <v>0</v>
          </cell>
          <cell r="G69" t="str">
            <v/>
          </cell>
          <cell r="I69">
            <v>0</v>
          </cell>
          <cell r="J69" t="str">
            <v/>
          </cell>
          <cell r="L69">
            <v>0</v>
          </cell>
          <cell r="M69" t="str">
            <v/>
          </cell>
        </row>
        <row r="71">
          <cell r="A71">
            <v>88</v>
          </cell>
          <cell r="B71" t="str">
            <v>Depreciation &amp; Amortization</v>
          </cell>
          <cell r="C71">
            <v>20.946004062699217</v>
          </cell>
          <cell r="D71">
            <v>20.088999999999999</v>
          </cell>
          <cell r="F71">
            <v>-0.85700406269921814</v>
          </cell>
          <cell r="G71">
            <v>-4.0914919148009599E-2</v>
          </cell>
          <cell r="I71">
            <v>20.945</v>
          </cell>
          <cell r="J71">
            <v>-4.0868942468369585E-2</v>
          </cell>
          <cell r="L71">
            <v>20.007999999999999</v>
          </cell>
          <cell r="M71">
            <v>4.0483806477409345E-3</v>
          </cell>
        </row>
        <row r="72">
          <cell r="A72">
            <v>89</v>
          </cell>
          <cell r="B72" t="str">
            <v>% of Total Revenue</v>
          </cell>
          <cell r="C72">
            <v>6.908033713936064E-2</v>
          </cell>
          <cell r="D72">
            <v>6.6694997128220787E-2</v>
          </cell>
          <cell r="F72">
            <v>-23.853400111398525</v>
          </cell>
          <cell r="G72">
            <v>-3.4529941658039909E-2</v>
          </cell>
          <cell r="I72">
            <v>7.1530538365913957E-2</v>
          </cell>
          <cell r="J72">
            <v>-48.355412376931696</v>
          </cell>
          <cell r="L72">
            <v>7.1757499246847517E-2</v>
          </cell>
          <cell r="M72">
            <v>-50.625021186267297</v>
          </cell>
        </row>
        <row r="74">
          <cell r="A74">
            <v>91</v>
          </cell>
          <cell r="B74" t="str">
            <v>Founders Grant</v>
          </cell>
          <cell r="C74">
            <v>0</v>
          </cell>
          <cell r="D74">
            <v>0</v>
          </cell>
          <cell r="F74">
            <v>0</v>
          </cell>
          <cell r="G74" t="str">
            <v/>
          </cell>
          <cell r="I74">
            <v>0</v>
          </cell>
          <cell r="J74" t="str">
            <v/>
          </cell>
          <cell r="L74">
            <v>0</v>
          </cell>
          <cell r="M74" t="str">
            <v/>
          </cell>
        </row>
        <row r="76">
          <cell r="A76">
            <v>93</v>
          </cell>
          <cell r="B76" t="str">
            <v>Income from Operations</v>
          </cell>
          <cell r="C76">
            <v>126.12131915081824</v>
          </cell>
          <cell r="D76">
            <v>130.60199999999998</v>
          </cell>
          <cell r="F76">
            <v>4.4806808491817378</v>
          </cell>
          <cell r="G76">
            <v>3.5526752172831744E-2</v>
          </cell>
          <cell r="I76">
            <v>126.012</v>
          </cell>
          <cell r="J76">
            <v>3.6425102371202556E-2</v>
          </cell>
          <cell r="L76">
            <v>113.14099999999998</v>
          </cell>
          <cell r="M76">
            <v>0.15432955338913401</v>
          </cell>
        </row>
        <row r="77">
          <cell r="A77">
            <v>94</v>
          </cell>
          <cell r="B77" t="str">
            <v>Operating Margin</v>
          </cell>
          <cell r="C77">
            <v>0.41595061384117216</v>
          </cell>
          <cell r="D77">
            <v>0.43359550076857434</v>
          </cell>
          <cell r="F77">
            <v>1.7644886927402181E-2</v>
          </cell>
          <cell r="G77">
            <v>4.2420629613831418E-2</v>
          </cell>
          <cell r="I77">
            <v>0.43035121511413466</v>
          </cell>
          <cell r="J77">
            <v>7.5386929105782929E-3</v>
          </cell>
          <cell r="L77">
            <v>0.40577345173368523</v>
          </cell>
          <cell r="M77">
            <v>6.8565473951088141E-2</v>
          </cell>
        </row>
        <row r="79">
          <cell r="A79">
            <v>96</v>
          </cell>
          <cell r="B79" t="str">
            <v xml:space="preserve">Interest Income </v>
          </cell>
          <cell r="C79">
            <v>1.0178101483515758</v>
          </cell>
          <cell r="D79">
            <v>0.93200000000000005</v>
          </cell>
          <cell r="F79">
            <v>-8.5810148351575743E-2</v>
          </cell>
          <cell r="G79">
            <v>-8.4308599683892038E-2</v>
          </cell>
          <cell r="I79">
            <v>0.90100000000000002</v>
          </cell>
          <cell r="J79">
            <v>3.4406215316315159E-2</v>
          </cell>
          <cell r="L79">
            <v>0.621</v>
          </cell>
          <cell r="M79">
            <v>0.50080515297906603</v>
          </cell>
        </row>
        <row r="80">
          <cell r="A80">
            <v>97</v>
          </cell>
          <cell r="B80" t="str">
            <v xml:space="preserve">Interest Expense </v>
          </cell>
          <cell r="C80">
            <v>-29.052814000000001</v>
          </cell>
          <cell r="D80">
            <v>-29.024000000000001</v>
          </cell>
          <cell r="F80">
            <v>2.8814000000000561E-2</v>
          </cell>
          <cell r="G80">
            <v>-9.9178000451183301E-4</v>
          </cell>
          <cell r="I80">
            <v>-29.039000000000001</v>
          </cell>
          <cell r="J80">
            <v>-5.1654671304113275E-4</v>
          </cell>
          <cell r="L80">
            <v>-22.904</v>
          </cell>
          <cell r="M80">
            <v>0.26720223541739441</v>
          </cell>
        </row>
        <row r="81">
          <cell r="A81">
            <v>98</v>
          </cell>
          <cell r="B81" t="str">
            <v xml:space="preserve">Other, Net </v>
          </cell>
          <cell r="C81">
            <v>0</v>
          </cell>
          <cell r="D81">
            <v>-0.88500000000000001</v>
          </cell>
          <cell r="F81">
            <v>-0.88500000000000001</v>
          </cell>
          <cell r="G81" t="str">
            <v/>
          </cell>
          <cell r="I81">
            <v>-0.77900000000000003</v>
          </cell>
          <cell r="J81">
            <v>0.13607188703465978</v>
          </cell>
          <cell r="L81">
            <v>-8.1000000000000003E-2</v>
          </cell>
          <cell r="M81">
            <v>9.9259259259259256</v>
          </cell>
        </row>
        <row r="85">
          <cell r="A85">
            <v>100</v>
          </cell>
          <cell r="B85" t="str">
            <v>Pretax Income</v>
          </cell>
          <cell r="C85">
            <v>98.086315299169812</v>
          </cell>
          <cell r="D85">
            <v>101.62499999999996</v>
          </cell>
          <cell r="F85">
            <v>3.5386847008301459</v>
          </cell>
          <cell r="G85">
            <v>3.6077251857580039E-2</v>
          </cell>
          <cell r="I85">
            <v>97.094999999999999</v>
          </cell>
          <cell r="J85">
            <v>4.6655337556001486E-2</v>
          </cell>
          <cell r="L85">
            <v>90.776999999999973</v>
          </cell>
          <cell r="M85">
            <v>0.11950163587692897</v>
          </cell>
        </row>
        <row r="87">
          <cell r="A87">
            <v>102</v>
          </cell>
          <cell r="B87" t="str">
            <v>Tax Expense</v>
          </cell>
          <cell r="C87">
            <v>-29.425894589750943</v>
          </cell>
          <cell r="D87">
            <v>-28.673999999999999</v>
          </cell>
          <cell r="F87">
            <v>0.75189458975094325</v>
          </cell>
          <cell r="G87">
            <v>-2.5552140393136247E-2</v>
          </cell>
          <cell r="I87">
            <v>-28.844999999999999</v>
          </cell>
          <cell r="J87">
            <v>-5.9282371294852032E-3</v>
          </cell>
          <cell r="L87">
            <v>-30.41</v>
          </cell>
          <cell r="M87">
            <v>-5.708648470897737E-2</v>
          </cell>
        </row>
        <row r="90">
          <cell r="A90">
            <v>107</v>
          </cell>
          <cell r="B90" t="str">
            <v>Net Income from Operations</v>
          </cell>
          <cell r="C90">
            <v>68.660420709418872</v>
          </cell>
          <cell r="D90">
            <v>72.950999999999965</v>
          </cell>
          <cell r="F90">
            <v>4.2905792905810927</v>
          </cell>
          <cell r="G90">
            <v>6.2489848536458448E-2</v>
          </cell>
          <cell r="I90">
            <v>68.25</v>
          </cell>
          <cell r="J90">
            <v>6.8879120879120403E-2</v>
          </cell>
          <cell r="L90">
            <v>60.366999999999976</v>
          </cell>
          <cell r="M90">
            <v>0.20845826362085229</v>
          </cell>
        </row>
        <row r="91">
          <cell r="A91">
            <v>109</v>
          </cell>
          <cell r="B91" t="str">
            <v xml:space="preserve">Income from discontinued operations, net </v>
          </cell>
          <cell r="C91">
            <v>0</v>
          </cell>
          <cell r="D91">
            <v>0</v>
          </cell>
          <cell r="F91">
            <v>0</v>
          </cell>
          <cell r="G91" t="str">
            <v/>
          </cell>
          <cell r="I91">
            <v>0</v>
          </cell>
          <cell r="J91" t="str">
            <v/>
          </cell>
          <cell r="L91">
            <v>0</v>
          </cell>
          <cell r="M91" t="str">
            <v/>
          </cell>
        </row>
        <row r="92">
          <cell r="A92">
            <v>111</v>
          </cell>
          <cell r="B92" t="str">
            <v>Net Income - GAAP</v>
          </cell>
          <cell r="C92">
            <v>68.660420709418872</v>
          </cell>
          <cell r="D92">
            <v>72.950999999999965</v>
          </cell>
          <cell r="F92">
            <v>4.2905792905810927</v>
          </cell>
          <cell r="G92">
            <v>6.2489848536458448E-2</v>
          </cell>
          <cell r="I92">
            <v>68.25</v>
          </cell>
          <cell r="J92">
            <v>6.8879120879120403E-2</v>
          </cell>
          <cell r="L92">
            <v>60.366999999999976</v>
          </cell>
          <cell r="M92">
            <v>0.20845826362085229</v>
          </cell>
        </row>
        <row r="93">
          <cell r="A93">
            <v>112</v>
          </cell>
          <cell r="B93" t="str">
            <v>Adjusted Net Income</v>
          </cell>
          <cell r="C93">
            <v>75.268420709418876</v>
          </cell>
          <cell r="D93">
            <v>80.509908044280408</v>
          </cell>
          <cell r="F93">
            <v>5.2414873348615316</v>
          </cell>
          <cell r="G93">
            <v>6.9637269992641526E-2</v>
          </cell>
          <cell r="I93">
            <v>76.332172099490194</v>
          </cell>
          <cell r="J93">
            <v>5.4730997820224614E-2</v>
          </cell>
          <cell r="L93">
            <v>68.240638476706636</v>
          </cell>
          <cell r="M93">
            <v>0.17979417897389371</v>
          </cell>
        </row>
        <row r="95">
          <cell r="A95">
            <v>114</v>
          </cell>
          <cell r="B95" t="str">
            <v>Allocations to unvested restricted stock units</v>
          </cell>
          <cell r="C95">
            <v>0</v>
          </cell>
          <cell r="D95">
            <v>0</v>
          </cell>
          <cell r="F95">
            <v>0</v>
          </cell>
          <cell r="G95" t="str">
            <v/>
          </cell>
          <cell r="I95">
            <v>0</v>
          </cell>
          <cell r="J95" t="str">
            <v/>
          </cell>
          <cell r="L95">
            <v>0</v>
          </cell>
          <cell r="M95" t="str">
            <v/>
          </cell>
        </row>
        <row r="97">
          <cell r="A97">
            <v>120</v>
          </cell>
          <cell r="B97" t="str">
            <v>Avg. Diluted Shares Outstanding</v>
          </cell>
          <cell r="C97">
            <v>93.213375776399147</v>
          </cell>
          <cell r="D97">
            <v>91.623999999999995</v>
          </cell>
          <cell r="F97">
            <v>-1.5893757763991516</v>
          </cell>
          <cell r="G97">
            <v>-1.7050941060344771E-2</v>
          </cell>
          <cell r="I97">
            <v>93.844999999999999</v>
          </cell>
          <cell r="J97">
            <v>-2.3666684426447926E-2</v>
          </cell>
          <cell r="L97">
            <v>99.998000000000005</v>
          </cell>
          <cell r="M97">
            <v>-8.3741674833496815E-2</v>
          </cell>
        </row>
        <row r="99">
          <cell r="A99">
            <v>122</v>
          </cell>
          <cell r="B99" t="str">
            <v>EPS from Continuing Ops</v>
          </cell>
          <cell r="C99">
            <v>0.7365940793102691</v>
          </cell>
          <cell r="D99">
            <v>0.79619968567187605</v>
          </cell>
          <cell r="F99">
            <v>5.9605606361606944E-2</v>
          </cell>
          <cell r="G99">
            <v>8.0920561318413409E-2</v>
          </cell>
          <cell r="I99">
            <v>0.72726304011934573</v>
          </cell>
          <cell r="J99">
            <v>9.4789150210655038E-2</v>
          </cell>
          <cell r="L99">
            <v>0.60368207364147253</v>
          </cell>
          <cell r="M99">
            <v>0.31890563002660888</v>
          </cell>
        </row>
        <row r="100">
          <cell r="A100">
            <v>123</v>
          </cell>
          <cell r="B100" t="str">
            <v>EPS to Common Stockholders</v>
          </cell>
          <cell r="C100">
            <v>0.7365940793102691</v>
          </cell>
          <cell r="D100">
            <v>0.79619968567187605</v>
          </cell>
          <cell r="F100">
            <v>5.9605606361606944E-2</v>
          </cell>
          <cell r="G100">
            <v>8.0920561318413409E-2</v>
          </cell>
          <cell r="I100">
            <v>0.72726304011934573</v>
          </cell>
          <cell r="J100">
            <v>9.4789150210655038E-2</v>
          </cell>
          <cell r="L100">
            <v>0.60368207364147253</v>
          </cell>
          <cell r="M100">
            <v>0.31890563002660888</v>
          </cell>
        </row>
        <row r="101">
          <cell r="A101">
            <v>124</v>
          </cell>
          <cell r="B101" t="str">
            <v>Adjusted EPS</v>
          </cell>
          <cell r="C101">
            <v>0.80748519279006969</v>
          </cell>
          <cell r="D101">
            <v>0.87869890033485132</v>
          </cell>
          <cell r="F101">
            <v>7.1213707544781624E-2</v>
          </cell>
          <cell r="G101">
            <v>8.8191967085761602E-2</v>
          </cell>
          <cell r="I101">
            <v>0.81338560498151413</v>
          </cell>
          <cell r="J101">
            <v>8.0298071361641021E-2</v>
          </cell>
          <cell r="L101">
            <v>0.6824200331677297</v>
          </cell>
          <cell r="M101">
            <v>0.28762178369238889</v>
          </cell>
        </row>
        <row r="104">
          <cell r="B104" t="str">
            <v>Fiscal Year ends Dec 31</v>
          </cell>
          <cell r="C104" t="str">
            <v>1Q17E</v>
          </cell>
          <cell r="D104" t="str">
            <v>1Q17A</v>
          </cell>
          <cell r="F104" t="str">
            <v>A - E</v>
          </cell>
          <cell r="G104" t="str">
            <v>% Diff</v>
          </cell>
          <cell r="H104">
            <v>0</v>
          </cell>
          <cell r="I104" t="str">
            <v>4Q16A</v>
          </cell>
          <cell r="J104" t="str">
            <v>QoQ</v>
          </cell>
          <cell r="K104">
            <v>0</v>
          </cell>
          <cell r="L104" t="str">
            <v>1Q16A</v>
          </cell>
          <cell r="M104" t="str">
            <v>YoY</v>
          </cell>
          <cell r="N104">
            <v>0</v>
          </cell>
        </row>
        <row r="106">
          <cell r="B106" t="str">
            <v>Run Rates (next 12 months subscription)</v>
          </cell>
        </row>
        <row r="107">
          <cell r="B107" t="str">
            <v>Subscription based fees</v>
          </cell>
          <cell r="M107" t="str">
            <v/>
          </cell>
        </row>
        <row r="108">
          <cell r="A108">
            <v>279</v>
          </cell>
          <cell r="B108" t="str">
            <v>Index</v>
          </cell>
          <cell r="C108">
            <v>417.96240237500001</v>
          </cell>
          <cell r="D108">
            <v>417.76499999999999</v>
          </cell>
          <cell r="F108">
            <v>-0.19740237500002422</v>
          </cell>
          <cell r="G108">
            <v>-4.7229696709161217E-4</v>
          </cell>
          <cell r="I108">
            <v>406.72899999999998</v>
          </cell>
          <cell r="J108">
            <v>2.7133545923698543E-2</v>
          </cell>
          <cell r="L108">
            <v>378.62200000000001</v>
          </cell>
          <cell r="M108">
            <v>0.10338279339288259</v>
          </cell>
        </row>
        <row r="109">
          <cell r="A109">
            <v>282</v>
          </cell>
          <cell r="B109" t="str">
            <v>Analytics</v>
          </cell>
          <cell r="C109">
            <v>457.53153199999997</v>
          </cell>
          <cell r="D109">
            <v>457.24900000000002</v>
          </cell>
          <cell r="F109">
            <v>-0.28253199999994649</v>
          </cell>
          <cell r="G109">
            <v>-6.1751372362228718E-4</v>
          </cell>
        </row>
        <row r="111">
          <cell r="A111">
            <v>285</v>
          </cell>
          <cell r="B111" t="str">
            <v>All other</v>
          </cell>
          <cell r="C111">
            <v>96.096256350000004</v>
          </cell>
          <cell r="D111">
            <v>91.239000000000004</v>
          </cell>
          <cell r="F111">
            <v>-4.8572563500000001</v>
          </cell>
          <cell r="G111">
            <v>-5.0545739599979767E-2</v>
          </cell>
          <cell r="I111">
            <v>88.073999999999998</v>
          </cell>
          <cell r="J111">
            <v>3.5935690442128188E-2</v>
          </cell>
          <cell r="L111">
            <v>86.99</v>
          </cell>
          <cell r="M111">
            <v>4.8844694792504972E-2</v>
          </cell>
        </row>
        <row r="113">
          <cell r="A113">
            <v>286</v>
          </cell>
          <cell r="B113" t="str">
            <v>Subscription based fees total</v>
          </cell>
          <cell r="C113">
            <v>971.59019072499996</v>
          </cell>
          <cell r="D113">
            <v>966.25300000000004</v>
          </cell>
          <cell r="F113">
            <v>-5.337190724999914</v>
          </cell>
          <cell r="G113">
            <v>-5.4932529948839015E-3</v>
          </cell>
          <cell r="I113">
            <v>946.3359999999999</v>
          </cell>
          <cell r="J113">
            <v>2.1046435938187003E-2</v>
          </cell>
          <cell r="L113">
            <v>912.63599999999997</v>
          </cell>
          <cell r="M113">
            <v>5.8749600059607721E-2</v>
          </cell>
        </row>
        <row r="123">
          <cell r="A123">
            <v>325</v>
          </cell>
          <cell r="B123" t="str">
            <v>Retention</v>
          </cell>
          <cell r="C123">
            <v>0.96549999999999991</v>
          </cell>
          <cell r="D123">
            <v>0.96549999999999991</v>
          </cell>
          <cell r="F123">
            <v>0</v>
          </cell>
          <cell r="G123">
            <v>0</v>
          </cell>
          <cell r="I123">
            <v>0.93400000000000005</v>
          </cell>
          <cell r="J123">
            <v>314.99999999999864</v>
          </cell>
          <cell r="L123">
            <v>0.96299999999999997</v>
          </cell>
          <cell r="M123">
            <v>24.999999999999467</v>
          </cell>
        </row>
        <row r="124">
          <cell r="A124">
            <v>325</v>
          </cell>
          <cell r="B124" t="str">
            <v>Equity indices</v>
          </cell>
          <cell r="C124">
            <v>0.96549999999999991</v>
          </cell>
          <cell r="D124">
            <v>0.96899999999999997</v>
          </cell>
          <cell r="F124">
            <v>35.000000000000583</v>
          </cell>
          <cell r="G124">
            <v>3.6250647332989328E-3</v>
          </cell>
          <cell r="I124">
            <v>0.93400000000000005</v>
          </cell>
          <cell r="J124">
            <v>349.9999999999992</v>
          </cell>
          <cell r="L124">
            <v>0.96299999999999997</v>
          </cell>
          <cell r="M124">
            <v>60.000000000000057</v>
          </cell>
        </row>
        <row r="125">
          <cell r="A125">
            <v>328</v>
          </cell>
          <cell r="B125" t="str">
            <v>Analytics</v>
          </cell>
          <cell r="C125">
            <v>0.93599999999999994</v>
          </cell>
          <cell r="D125">
            <v>0.93300000000000005</v>
          </cell>
          <cell r="F125">
            <v>-29.999999999998916</v>
          </cell>
          <cell r="G125">
            <v>-3.2051282051280827E-3</v>
          </cell>
          <cell r="I125">
            <v>0.874</v>
          </cell>
          <cell r="J125">
            <v>590.00000000000057</v>
          </cell>
          <cell r="L125">
            <v>0.94599999999999995</v>
          </cell>
          <cell r="M125">
            <v>-129.99999999999901</v>
          </cell>
        </row>
        <row r="126">
          <cell r="A126">
            <v>331</v>
          </cell>
          <cell r="B126" t="str">
            <v>All Other</v>
          </cell>
          <cell r="C126">
            <v>0.92700000000000005</v>
          </cell>
          <cell r="D126">
            <v>0.92400000000000004</v>
          </cell>
          <cell r="F126">
            <v>-30.000000000000028</v>
          </cell>
          <cell r="G126">
            <v>-3.2362459546925182E-3</v>
          </cell>
          <cell r="I126">
            <v>0.878</v>
          </cell>
          <cell r="J126">
            <v>460.0000000000004</v>
          </cell>
          <cell r="L126">
            <v>0.92200000000000004</v>
          </cell>
          <cell r="M126">
            <v>20.000000000000018</v>
          </cell>
        </row>
        <row r="127">
          <cell r="A127">
            <v>332</v>
          </cell>
          <cell r="B127" t="str">
            <v>Aggregate Retention Rate</v>
          </cell>
          <cell r="C127">
            <v>0.94717327945180974</v>
          </cell>
          <cell r="D127">
            <v>0.94699999999999995</v>
          </cell>
          <cell r="F127">
            <v>-1.7327945180978244</v>
          </cell>
          <cell r="G127">
            <v>-1.8294377129179917E-4</v>
          </cell>
          <cell r="I127">
            <v>0.89900000000000002</v>
          </cell>
          <cell r="J127">
            <v>479.99999999999932</v>
          </cell>
          <cell r="L127">
            <v>0.95099999999999996</v>
          </cell>
          <cell r="M127">
            <v>-40.000000000000036</v>
          </cell>
        </row>
        <row r="128">
          <cell r="A128">
            <v>31</v>
          </cell>
          <cell r="B128" t="str">
            <v>New recurring subscription sales</v>
          </cell>
          <cell r="C128">
            <v>33.588420000000006</v>
          </cell>
          <cell r="D128">
            <v>33.588420000000006</v>
          </cell>
          <cell r="F128">
            <v>0</v>
          </cell>
          <cell r="G128">
            <v>0</v>
          </cell>
          <cell r="I128">
            <v>28.768999999999998</v>
          </cell>
          <cell r="J128">
            <v>0.16752129027772988</v>
          </cell>
          <cell r="L128">
            <v>25.507999999999999</v>
          </cell>
          <cell r="M128">
            <v>0.31677983377763863</v>
          </cell>
        </row>
        <row r="129">
          <cell r="A129">
            <v>31</v>
          </cell>
          <cell r="B129" t="str">
            <v>New recurring subscription sales</v>
          </cell>
          <cell r="C129">
            <v>33.588420000000006</v>
          </cell>
          <cell r="D129">
            <v>30.187999999999999</v>
          </cell>
          <cell r="F129">
            <v>-3.4004200000000075</v>
          </cell>
          <cell r="G129">
            <v>-0.10123786709824423</v>
          </cell>
          <cell r="I129">
            <v>28.768999999999998</v>
          </cell>
          <cell r="J129">
            <v>4.9323925058222473E-2</v>
          </cell>
          <cell r="L129">
            <v>25.507999999999999</v>
          </cell>
          <cell r="M129">
            <v>0.18347185196801008</v>
          </cell>
        </row>
        <row r="130">
          <cell r="A130">
            <v>32</v>
          </cell>
          <cell r="B130" t="str">
            <v>Subscription cancellations</v>
          </cell>
          <cell r="C130">
            <v>-12.339916125000014</v>
          </cell>
          <cell r="D130">
            <v>-12.459</v>
          </cell>
          <cell r="F130">
            <v>-0.11908387499998518</v>
          </cell>
          <cell r="G130">
            <v>-9.650298575265559E-3</v>
          </cell>
          <cell r="I130">
            <v>-15.353999999999999</v>
          </cell>
          <cell r="J130">
            <v>-0.18855021492770607</v>
          </cell>
          <cell r="L130">
            <v>-10.914999999999999</v>
          </cell>
          <cell r="M130">
            <v>0.14145671094823653</v>
          </cell>
        </row>
        <row r="131">
          <cell r="A131">
            <v>33</v>
          </cell>
          <cell r="B131" t="str">
            <v>Net new recurring subscription sales</v>
          </cell>
          <cell r="C131">
            <v>21.24850387499999</v>
          </cell>
          <cell r="D131">
            <v>17.728999999999999</v>
          </cell>
          <cell r="F131">
            <v>-3.519503874999991</v>
          </cell>
          <cell r="G131">
            <v>-0.16563537346932355</v>
          </cell>
          <cell r="I131">
            <v>13.414999999999999</v>
          </cell>
          <cell r="J131">
            <v>0.3215803205367127</v>
          </cell>
          <cell r="L131">
            <v>14.593</v>
          </cell>
          <cell r="M131">
            <v>0.21489755362159935</v>
          </cell>
        </row>
        <row r="132">
          <cell r="A132">
            <v>38</v>
          </cell>
          <cell r="B132" t="str">
            <v>Non recurring sales</v>
          </cell>
          <cell r="C132">
            <v>6.0155000000000003</v>
          </cell>
          <cell r="D132">
            <v>7.1459999999999999</v>
          </cell>
          <cell r="F132">
            <v>1.1304999999999996</v>
          </cell>
          <cell r="G132">
            <v>0.18793117779070734</v>
          </cell>
          <cell r="I132">
            <v>7.94</v>
          </cell>
          <cell r="J132">
            <v>-0.10000000000000009</v>
          </cell>
          <cell r="L132">
            <v>4.1539999999999999</v>
          </cell>
          <cell r="M132">
            <v>0.72026961964371683</v>
          </cell>
        </row>
        <row r="134">
          <cell r="B134" t="str">
            <v>Perf Stats lookup</v>
          </cell>
          <cell r="C134" t="str">
            <v>bc</v>
          </cell>
          <cell r="D134" t="str">
            <v>bc</v>
          </cell>
          <cell r="I134" t="str">
            <v>ay</v>
          </cell>
          <cell r="L134" t="str">
            <v>au</v>
          </cell>
        </row>
        <row r="135">
          <cell r="B135" t="str">
            <v>Perf Stats lookup</v>
          </cell>
          <cell r="C135" t="str">
            <v>bc</v>
          </cell>
          <cell r="D135" t="str">
            <v>bc</v>
          </cell>
          <cell r="I135" t="str">
            <v>ay</v>
          </cell>
          <cell r="L135" t="str">
            <v>au</v>
          </cell>
        </row>
      </sheetData>
      <sheetData sheetId="4"/>
      <sheetData sheetId="5" refreshError="1">
        <row r="2">
          <cell r="B2" t="str">
            <v>Revenue Model</v>
          </cell>
        </row>
        <row r="4">
          <cell r="C4">
            <v>2006</v>
          </cell>
          <cell r="D4" t="str">
            <v>1Q07</v>
          </cell>
          <cell r="E4" t="str">
            <v>2Q07</v>
          </cell>
          <cell r="F4" t="str">
            <v>3Q07</v>
          </cell>
          <cell r="G4" t="str">
            <v>4Q07</v>
          </cell>
          <cell r="H4">
            <v>2007</v>
          </cell>
          <cell r="I4" t="str">
            <v>1Q08</v>
          </cell>
          <cell r="J4" t="str">
            <v>2Q08</v>
          </cell>
          <cell r="K4" t="str">
            <v>3Q08</v>
          </cell>
          <cell r="L4" t="str">
            <v>4Q08</v>
          </cell>
          <cell r="M4">
            <v>2008</v>
          </cell>
          <cell r="N4" t="str">
            <v>1Q09</v>
          </cell>
          <cell r="O4" t="str">
            <v>2Q09</v>
          </cell>
          <cell r="P4" t="str">
            <v>3Q09</v>
          </cell>
          <cell r="Q4" t="str">
            <v>4Q09</v>
          </cell>
          <cell r="R4">
            <v>2009</v>
          </cell>
          <cell r="S4" t="str">
            <v>1Q10</v>
          </cell>
          <cell r="T4" t="str">
            <v>2Q10</v>
          </cell>
          <cell r="U4" t="str">
            <v>3Q10</v>
          </cell>
          <cell r="V4" t="str">
            <v>4Q10</v>
          </cell>
          <cell r="W4">
            <v>2010</v>
          </cell>
          <cell r="X4" t="str">
            <v>1Q11</v>
          </cell>
          <cell r="Y4" t="str">
            <v>2Q11</v>
          </cell>
          <cell r="Z4" t="str">
            <v>3Q11</v>
          </cell>
          <cell r="AA4" t="str">
            <v>4Q11</v>
          </cell>
          <cell r="AB4">
            <v>2011</v>
          </cell>
          <cell r="AC4" t="str">
            <v>1Q12</v>
          </cell>
          <cell r="AD4" t="str">
            <v>2Q12</v>
          </cell>
          <cell r="AE4" t="str">
            <v>3Q12</v>
          </cell>
          <cell r="AF4" t="str">
            <v>4Q12</v>
          </cell>
          <cell r="AG4">
            <v>2012</v>
          </cell>
          <cell r="AH4" t="str">
            <v>1Q13</v>
          </cell>
          <cell r="AI4" t="str">
            <v>2Q13</v>
          </cell>
          <cell r="AJ4" t="str">
            <v>3Q13</v>
          </cell>
          <cell r="AK4" t="str">
            <v>4Q13</v>
          </cell>
          <cell r="AL4">
            <v>2013</v>
          </cell>
          <cell r="AM4" t="str">
            <v>1Q13R</v>
          </cell>
          <cell r="AN4" t="str">
            <v>2Q13R</v>
          </cell>
          <cell r="AO4" t="str">
            <v>3Q13R</v>
          </cell>
          <cell r="AP4" t="str">
            <v>4Q13R</v>
          </cell>
          <cell r="AQ4" t="str">
            <v>2013R</v>
          </cell>
          <cell r="AR4" t="str">
            <v>1Q14</v>
          </cell>
          <cell r="AS4" t="str">
            <v>2Q14</v>
          </cell>
          <cell r="AT4" t="str">
            <v>3Q14</v>
          </cell>
          <cell r="AU4" t="str">
            <v>4Q14</v>
          </cell>
          <cell r="AV4">
            <v>2014</v>
          </cell>
          <cell r="AW4" t="str">
            <v>1Q15</v>
          </cell>
          <cell r="AX4" t="str">
            <v>2Q15</v>
          </cell>
          <cell r="AY4" t="str">
            <v>3Q15</v>
          </cell>
          <cell r="AZ4" t="str">
            <v>4Q15</v>
          </cell>
          <cell r="BA4">
            <v>2015</v>
          </cell>
          <cell r="BB4" t="str">
            <v>1Q16</v>
          </cell>
          <cell r="BC4" t="str">
            <v>2Q16</v>
          </cell>
          <cell r="BD4" t="str">
            <v>3Q16</v>
          </cell>
          <cell r="BE4" t="str">
            <v>4Q16</v>
          </cell>
          <cell r="BF4">
            <v>2016</v>
          </cell>
          <cell r="BG4" t="str">
            <v>1Q17</v>
          </cell>
          <cell r="BH4" t="str">
            <v>2Q17E</v>
          </cell>
          <cell r="BI4" t="str">
            <v>3Q17E</v>
          </cell>
          <cell r="BJ4" t="str">
            <v>4Q17E</v>
          </cell>
          <cell r="BK4" t="str">
            <v>2017E</v>
          </cell>
          <cell r="BL4" t="str">
            <v>1Q18E</v>
          </cell>
          <cell r="BM4" t="str">
            <v>2Q18E</v>
          </cell>
          <cell r="BN4" t="str">
            <v>3Q18E</v>
          </cell>
          <cell r="BO4" t="str">
            <v>4Q18E</v>
          </cell>
          <cell r="BP4" t="str">
            <v>2018E</v>
          </cell>
          <cell r="BQ4" t="str">
            <v>1Q19E</v>
          </cell>
          <cell r="BR4" t="str">
            <v>2Q19E</v>
          </cell>
          <cell r="BS4" t="str">
            <v>3Q19E</v>
          </cell>
          <cell r="BT4" t="str">
            <v>4Q19E</v>
          </cell>
          <cell r="BU4" t="str">
            <v>2019E</v>
          </cell>
          <cell r="BV4" t="str">
            <v>1Q20E</v>
          </cell>
          <cell r="BW4" t="str">
            <v>2Q20E</v>
          </cell>
          <cell r="BX4" t="str">
            <v>3Q20E</v>
          </cell>
          <cell r="BY4" t="str">
            <v>4Q20E</v>
          </cell>
          <cell r="BZ4" t="str">
            <v>2020E</v>
          </cell>
          <cell r="CB4" t="str">
            <v>'16 - '20 Rev CAGR</v>
          </cell>
        </row>
        <row r="6">
          <cell r="B6" t="str">
            <v>Subscription - Consolidated</v>
          </cell>
        </row>
        <row r="7">
          <cell r="B7" t="str">
            <v>Annualized run rate</v>
          </cell>
          <cell r="C7">
            <v>264.31700000000001</v>
          </cell>
          <cell r="D7">
            <v>259.18</v>
          </cell>
          <cell r="E7">
            <v>269.98199999999997</v>
          </cell>
          <cell r="F7">
            <v>286.38599999999997</v>
          </cell>
          <cell r="G7">
            <v>295.471</v>
          </cell>
          <cell r="H7">
            <v>295.471</v>
          </cell>
          <cell r="I7">
            <v>314.74599999999998</v>
          </cell>
          <cell r="J7">
            <v>328.91099999999994</v>
          </cell>
          <cell r="K7">
            <v>337.53199999999998</v>
          </cell>
          <cell r="L7">
            <v>335.26499999999999</v>
          </cell>
          <cell r="M7">
            <v>335.26499999999999</v>
          </cell>
          <cell r="P7">
            <v>509.99800000000005</v>
          </cell>
          <cell r="Q7">
            <v>522.97400000000005</v>
          </cell>
          <cell r="R7">
            <v>522.97400000000005</v>
          </cell>
          <cell r="S7">
            <v>530.625</v>
          </cell>
          <cell r="T7">
            <v>542.86</v>
          </cell>
          <cell r="U7">
            <v>580.745</v>
          </cell>
          <cell r="V7">
            <v>584.81899999999996</v>
          </cell>
          <cell r="W7">
            <v>584.81899999999996</v>
          </cell>
          <cell r="X7">
            <v>608.56200000000001</v>
          </cell>
          <cell r="Y7">
            <v>624.97</v>
          </cell>
          <cell r="Z7">
            <v>635.74599999999998</v>
          </cell>
          <cell r="AA7">
            <v>639.101</v>
          </cell>
          <cell r="AB7">
            <v>639.101</v>
          </cell>
          <cell r="AC7">
            <v>654.26499999999999</v>
          </cell>
          <cell r="AD7">
            <v>661.75199999999995</v>
          </cell>
          <cell r="AE7">
            <v>670.52099999999996</v>
          </cell>
          <cell r="AF7">
            <v>709.95</v>
          </cell>
          <cell r="AG7">
            <v>709.95</v>
          </cell>
          <cell r="AH7">
            <v>724.88199999999995</v>
          </cell>
          <cell r="AI7">
            <v>736.37900000000002</v>
          </cell>
          <cell r="AJ7">
            <v>753.4319999999999</v>
          </cell>
          <cell r="AK7">
            <v>765.29099999999994</v>
          </cell>
          <cell r="AL7">
            <v>765.29099999999994</v>
          </cell>
          <cell r="AM7">
            <v>737.84499999999991</v>
          </cell>
          <cell r="AN7">
            <v>749.13999999999987</v>
          </cell>
          <cell r="AO7">
            <v>765.88299999999992</v>
          </cell>
          <cell r="AP7">
            <v>776.58199999999999</v>
          </cell>
          <cell r="AQ7">
            <v>776.58199999999999</v>
          </cell>
          <cell r="AR7">
            <v>793.39099999999996</v>
          </cell>
          <cell r="AS7">
            <v>809.90499999999997</v>
          </cell>
          <cell r="AT7">
            <v>823.41199999999992</v>
          </cell>
          <cell r="AU7">
            <v>832.17700000000013</v>
          </cell>
          <cell r="AV7">
            <v>832.17700000000013</v>
          </cell>
          <cell r="AW7">
            <v>840.24800000000005</v>
          </cell>
          <cell r="AX7">
            <v>861.53300000000002</v>
          </cell>
          <cell r="AY7">
            <v>874.33699999999999</v>
          </cell>
          <cell r="AZ7">
            <v>887.22227349999991</v>
          </cell>
          <cell r="BA7">
            <v>887.22227349999991</v>
          </cell>
          <cell r="BB7">
            <v>904.29727349999996</v>
          </cell>
          <cell r="BC7">
            <v>915.63027349999993</v>
          </cell>
          <cell r="BD7">
            <v>922.55527349999988</v>
          </cell>
          <cell r="BE7">
            <v>934.36927349999985</v>
          </cell>
          <cell r="BF7">
            <v>934.36927349999985</v>
          </cell>
          <cell r="BG7">
            <v>952.2182734999999</v>
          </cell>
          <cell r="BH7">
            <v>966.03337049999993</v>
          </cell>
          <cell r="BI7">
            <v>975.0934857499999</v>
          </cell>
          <cell r="BJ7">
            <v>989.75287449999996</v>
          </cell>
          <cell r="BK7">
            <v>989.75287449999996</v>
          </cell>
          <cell r="BL7">
            <v>1009.9430614375625</v>
          </cell>
          <cell r="BM7">
            <v>1025.74830213825</v>
          </cell>
          <cell r="BN7">
            <v>1036.5022875883751</v>
          </cell>
          <cell r="BO7">
            <v>1053.409171288625</v>
          </cell>
          <cell r="BP7">
            <v>1053.409171288625</v>
          </cell>
          <cell r="BQ7">
            <v>1075.8452934508853</v>
          </cell>
          <cell r="BR7">
            <v>1093.9135878559216</v>
          </cell>
          <cell r="BS7">
            <v>1106.6054610595413</v>
          </cell>
          <cell r="BT7">
            <v>1126.0507091471393</v>
          </cell>
          <cell r="BU7">
            <v>1126.0507091471393</v>
          </cell>
          <cell r="BV7">
            <v>1150.9483108880411</v>
          </cell>
          <cell r="BW7">
            <v>1171.5386447315911</v>
          </cell>
          <cell r="BX7">
            <v>1186.3947333795977</v>
          </cell>
          <cell r="BY7">
            <v>1208.638187437459</v>
          </cell>
          <cell r="BZ7">
            <v>1208.638187437459</v>
          </cell>
        </row>
        <row r="8">
          <cell r="B8" t="str">
            <v>Revenue</v>
          </cell>
        </row>
        <row r="9">
          <cell r="B9" t="str">
            <v>Subscription revenue - 1st quarter, 12.5%</v>
          </cell>
          <cell r="I9">
            <v>8.0993750000000002</v>
          </cell>
          <cell r="J9">
            <v>8.4369374999999991</v>
          </cell>
          <cell r="K9">
            <v>8.949562499999999</v>
          </cell>
          <cell r="L9">
            <v>9.2334687500000001</v>
          </cell>
          <cell r="U9">
            <v>19.956593750000003</v>
          </cell>
          <cell r="V9">
            <v>20.318124999999998</v>
          </cell>
          <cell r="W9">
            <v>40.274718750000005</v>
          </cell>
          <cell r="X9">
            <v>20.347312500000001</v>
          </cell>
          <cell r="Y9">
            <v>20.739125000000001</v>
          </cell>
          <cell r="Z9">
            <v>21.926562499999999</v>
          </cell>
          <cell r="AA9">
            <v>22.035718750000001</v>
          </cell>
          <cell r="AB9">
            <v>85.048718750000006</v>
          </cell>
          <cell r="AC9">
            <v>22.796218750000001</v>
          </cell>
          <cell r="AD9">
            <v>23.368718749999999</v>
          </cell>
          <cell r="AE9">
            <v>23.69503125</v>
          </cell>
          <cell r="AF9">
            <v>23.821249999999999</v>
          </cell>
          <cell r="AG9">
            <v>93.681218749999999</v>
          </cell>
          <cell r="AH9">
            <v>24.445156250000004</v>
          </cell>
          <cell r="AI9">
            <v>24.70521875</v>
          </cell>
          <cell r="AJ9">
            <v>25.012531249999999</v>
          </cell>
          <cell r="AK9">
            <v>26.260593750000002</v>
          </cell>
          <cell r="AL9">
            <v>100.4235</v>
          </cell>
          <cell r="AM9">
            <v>20.445781250000003</v>
          </cell>
          <cell r="AN9">
            <v>20.679749999999999</v>
          </cell>
          <cell r="AO9">
            <v>20.953781249999999</v>
          </cell>
          <cell r="AP9">
            <v>22.185937500000001</v>
          </cell>
          <cell r="AQ9">
            <v>84.265250000000009</v>
          </cell>
          <cell r="AR9">
            <v>20.806718750000002</v>
          </cell>
          <cell r="AS9">
            <v>21.107687499999997</v>
          </cell>
          <cell r="AT9">
            <v>21.5434375</v>
          </cell>
          <cell r="AU9">
            <v>21.84</v>
          </cell>
          <cell r="AV9">
            <v>85.297843749999998</v>
          </cell>
          <cell r="AW9">
            <v>22.067031249999999</v>
          </cell>
          <cell r="AX9">
            <v>23.01578125</v>
          </cell>
          <cell r="AY9">
            <v>23.250374999999998</v>
          </cell>
          <cell r="AZ9">
            <v>23.530531250000003</v>
          </cell>
          <cell r="BA9">
            <v>91.863718750000004</v>
          </cell>
          <cell r="BB9">
            <v>23.817125000000001</v>
          </cell>
          <cell r="BC9">
            <v>24.32603125</v>
          </cell>
          <cell r="BD9">
            <v>24.735531250000001</v>
          </cell>
          <cell r="BE9">
            <v>25.141321046874999</v>
          </cell>
          <cell r="BF9">
            <v>98.020008546875005</v>
          </cell>
          <cell r="BG9">
            <v>25.676663240269534</v>
          </cell>
          <cell r="BH9">
            <v>26.184926930445314</v>
          </cell>
          <cell r="BI9">
            <v>26.644130619265624</v>
          </cell>
          <cell r="BJ9">
            <v>27.206493925917968</v>
          </cell>
          <cell r="BK9">
            <v>105.71221471589844</v>
          </cell>
          <cell r="BL9">
            <v>27.805898757672065</v>
          </cell>
          <cell r="BM9">
            <v>28.395005652907994</v>
          </cell>
          <cell r="BN9">
            <v>28.926013549901533</v>
          </cell>
          <cell r="BO9">
            <v>29.578545184672993</v>
          </cell>
          <cell r="BP9">
            <v>114.70546314515458</v>
          </cell>
          <cell r="BQ9">
            <v>30.24758908847771</v>
          </cell>
          <cell r="BR9">
            <v>30.909898681892116</v>
          </cell>
          <cell r="BS9">
            <v>31.5087685792992</v>
          </cell>
          <cell r="BT9">
            <v>32.240870008450287</v>
          </cell>
          <cell r="BU9">
            <v>124.90712635811931</v>
          </cell>
          <cell r="BV9">
            <v>32.977377270745109</v>
          </cell>
          <cell r="BW9">
            <v>33.715844801898271</v>
          </cell>
          <cell r="BX9">
            <v>34.385165569696014</v>
          </cell>
          <cell r="BY9">
            <v>35.200081399468687</v>
          </cell>
          <cell r="BZ9">
            <v>136.27846904180808</v>
          </cell>
        </row>
        <row r="10">
          <cell r="B10" t="str">
            <v>Subscription revenue - 2nd quarter, 25%</v>
          </cell>
          <cell r="I10">
            <v>16.873874999999998</v>
          </cell>
          <cell r="J10">
            <v>17.899124999999998</v>
          </cell>
          <cell r="K10">
            <v>18.4669375</v>
          </cell>
          <cell r="L10">
            <v>19.671624999999999</v>
          </cell>
          <cell r="U10">
            <v>40.636249999999997</v>
          </cell>
          <cell r="V10">
            <v>40.797750000000001</v>
          </cell>
          <cell r="W10">
            <v>81.433999999999997</v>
          </cell>
          <cell r="X10">
            <v>41.478250000000003</v>
          </cell>
          <cell r="Y10">
            <v>43.853124999999999</v>
          </cell>
          <cell r="Z10">
            <v>44.071437500000002</v>
          </cell>
          <cell r="AA10">
            <v>44.8035</v>
          </cell>
          <cell r="AB10">
            <v>174.20631250000002</v>
          </cell>
          <cell r="AC10">
            <v>46.737437499999999</v>
          </cell>
          <cell r="AD10">
            <v>47.390062499999999</v>
          </cell>
          <cell r="AE10">
            <v>47.642499999999998</v>
          </cell>
          <cell r="AF10">
            <v>48.890312500000007</v>
          </cell>
          <cell r="AG10">
            <v>190.66031249999997</v>
          </cell>
          <cell r="AH10">
            <v>49.4104375</v>
          </cell>
          <cell r="AI10">
            <v>50.025062499999997</v>
          </cell>
          <cell r="AJ10">
            <v>52.521187500000003</v>
          </cell>
          <cell r="AK10">
            <v>53.005375000000001</v>
          </cell>
          <cell r="AL10">
            <v>204.9620625</v>
          </cell>
          <cell r="AM10">
            <v>41.359499999999997</v>
          </cell>
          <cell r="AN10">
            <v>41.907562499999997</v>
          </cell>
          <cell r="AO10">
            <v>44.371875000000003</v>
          </cell>
          <cell r="AP10">
            <v>46.119500000000002</v>
          </cell>
          <cell r="AQ10">
            <v>173.75843750000001</v>
          </cell>
          <cell r="AR10">
            <v>42.215374999999995</v>
          </cell>
          <cell r="AS10">
            <v>43.086874999999999</v>
          </cell>
          <cell r="AT10">
            <v>43.68</v>
          </cell>
          <cell r="AU10">
            <v>42.436250000000001</v>
          </cell>
          <cell r="AV10">
            <v>171.41849999999999</v>
          </cell>
          <cell r="AW10">
            <v>44.921250000000001</v>
          </cell>
          <cell r="AX10">
            <v>46.500749999999996</v>
          </cell>
          <cell r="AY10">
            <v>47.061062500000006</v>
          </cell>
          <cell r="AZ10">
            <v>47.634250000000002</v>
          </cell>
          <cell r="BA10">
            <v>186.11731250000003</v>
          </cell>
          <cell r="BB10">
            <v>48.6520625</v>
          </cell>
          <cell r="BC10">
            <v>49.471062500000002</v>
          </cell>
          <cell r="BD10">
            <v>50.282642093749999</v>
          </cell>
          <cell r="BE10">
            <v>51.353326480539067</v>
          </cell>
          <cell r="BF10">
            <v>199.75909357428907</v>
          </cell>
          <cell r="BG10">
            <v>52.369853860890629</v>
          </cell>
          <cell r="BH10">
            <v>53.288261238531248</v>
          </cell>
          <cell r="BI10">
            <v>54.412987851835936</v>
          </cell>
          <cell r="BJ10">
            <v>55.611797515344129</v>
          </cell>
          <cell r="BK10">
            <v>215.68290046660195</v>
          </cell>
          <cell r="BL10">
            <v>56.790011305815987</v>
          </cell>
          <cell r="BM10">
            <v>57.852027099803067</v>
          </cell>
          <cell r="BN10">
            <v>59.157090369345987</v>
          </cell>
          <cell r="BO10">
            <v>60.49517817695542</v>
          </cell>
          <cell r="BP10">
            <v>234.29430695192045</v>
          </cell>
          <cell r="BQ10">
            <v>61.819797363784232</v>
          </cell>
          <cell r="BR10">
            <v>63.017537158598401</v>
          </cell>
          <cell r="BS10">
            <v>64.481740016900574</v>
          </cell>
          <cell r="BT10">
            <v>65.954754541490217</v>
          </cell>
          <cell r="BU10">
            <v>255.27382908077342</v>
          </cell>
          <cell r="BV10">
            <v>67.431689603796542</v>
          </cell>
          <cell r="BW10">
            <v>68.770331139392027</v>
          </cell>
          <cell r="BX10">
            <v>70.400162798937373</v>
          </cell>
          <cell r="BY10">
            <v>72.02217736299275</v>
          </cell>
          <cell r="BZ10">
            <v>278.62436090511869</v>
          </cell>
        </row>
        <row r="11">
          <cell r="B11" t="str">
            <v>Subscription revenue - 3rd quarter, 25%</v>
          </cell>
          <cell r="I11">
            <v>17.899124999999998</v>
          </cell>
          <cell r="J11">
            <v>18.4669375</v>
          </cell>
          <cell r="K11">
            <v>19.671624999999999</v>
          </cell>
          <cell r="L11">
            <v>20.556937499999997</v>
          </cell>
          <cell r="U11">
            <v>40.797750000000001</v>
          </cell>
          <cell r="V11">
            <v>41.478250000000003</v>
          </cell>
          <cell r="W11">
            <v>82.27600000000001</v>
          </cell>
          <cell r="X11">
            <v>43.853124999999999</v>
          </cell>
          <cell r="Y11">
            <v>44.071437500000002</v>
          </cell>
          <cell r="Z11">
            <v>45.592437500000003</v>
          </cell>
          <cell r="AA11">
            <v>46.737437499999999</v>
          </cell>
          <cell r="AB11">
            <v>180.25443749999999</v>
          </cell>
          <cell r="AC11">
            <v>47.390062499999999</v>
          </cell>
          <cell r="AD11">
            <v>47.642499999999998</v>
          </cell>
          <cell r="AE11">
            <v>48.890312500000007</v>
          </cell>
          <cell r="AF11">
            <v>49.4104375</v>
          </cell>
          <cell r="AG11">
            <v>193.33331250000001</v>
          </cell>
          <cell r="AH11">
            <v>50.025062499999997</v>
          </cell>
          <cell r="AI11">
            <v>52.521187500000003</v>
          </cell>
          <cell r="AJ11">
            <v>53.005375000000001</v>
          </cell>
          <cell r="AK11">
            <v>53.803687500000002</v>
          </cell>
          <cell r="AL11">
            <v>209.3553125</v>
          </cell>
          <cell r="AM11">
            <v>41.907562499999997</v>
          </cell>
          <cell r="AN11">
            <v>44.371875000000003</v>
          </cell>
          <cell r="AO11">
            <v>46.119500000000002</v>
          </cell>
          <cell r="AP11">
            <v>46.8233125</v>
          </cell>
          <cell r="AQ11">
            <v>179.22224999999997</v>
          </cell>
          <cell r="AR11">
            <v>43.086874999999999</v>
          </cell>
          <cell r="AS11">
            <v>43.68</v>
          </cell>
          <cell r="AT11">
            <v>45.192812500000002</v>
          </cell>
          <cell r="AU11">
            <v>46.006875000000001</v>
          </cell>
          <cell r="AV11">
            <v>177.96656250000001</v>
          </cell>
          <cell r="AW11">
            <v>45.742687500000002</v>
          </cell>
          <cell r="AX11">
            <v>47.061062500000006</v>
          </cell>
          <cell r="AY11">
            <v>47.634250000000002</v>
          </cell>
          <cell r="AZ11">
            <v>48.6520625</v>
          </cell>
          <cell r="BA11">
            <v>189.09006250000002</v>
          </cell>
          <cell r="BB11">
            <v>49.471062500000002</v>
          </cell>
          <cell r="BC11">
            <v>50.282642093749999</v>
          </cell>
          <cell r="BD11">
            <v>51.353326480539067</v>
          </cell>
          <cell r="BE11">
            <v>52.369853860890629</v>
          </cell>
          <cell r="BF11">
            <v>203.4768849351797</v>
          </cell>
          <cell r="BG11">
            <v>53.288261238531248</v>
          </cell>
          <cell r="BH11">
            <v>54.412987851835936</v>
          </cell>
          <cell r="BI11">
            <v>55.611797515344129</v>
          </cell>
          <cell r="BJ11">
            <v>56.790011305815987</v>
          </cell>
          <cell r="BK11">
            <v>220.10305791152732</v>
          </cell>
          <cell r="BL11">
            <v>57.852027099803067</v>
          </cell>
          <cell r="BM11">
            <v>59.157090369345987</v>
          </cell>
          <cell r="BN11">
            <v>60.49517817695542</v>
          </cell>
          <cell r="BO11">
            <v>61.819797363784232</v>
          </cell>
          <cell r="BP11">
            <v>239.32409300988871</v>
          </cell>
          <cell r="BQ11">
            <v>63.017537158598401</v>
          </cell>
          <cell r="BR11">
            <v>64.481740016900574</v>
          </cell>
          <cell r="BS11">
            <v>65.954754541490217</v>
          </cell>
          <cell r="BT11">
            <v>67.431689603796542</v>
          </cell>
          <cell r="BU11">
            <v>260.88572132078571</v>
          </cell>
          <cell r="BV11">
            <v>68.770331139392027</v>
          </cell>
          <cell r="BW11">
            <v>70.400162798937373</v>
          </cell>
          <cell r="BX11">
            <v>72.02217736299275</v>
          </cell>
          <cell r="BY11">
            <v>73.669536565937932</v>
          </cell>
          <cell r="BZ11">
            <v>284.86220786726005</v>
          </cell>
        </row>
        <row r="12">
          <cell r="B12" t="str">
            <v>Subscription revenue - 4th quarter, 25%</v>
          </cell>
          <cell r="I12">
            <v>18.4669375</v>
          </cell>
          <cell r="J12">
            <v>19.671624999999999</v>
          </cell>
          <cell r="K12">
            <v>20.556937499999997</v>
          </cell>
          <cell r="L12">
            <v>21.095749999999999</v>
          </cell>
          <cell r="U12">
            <v>41.478250000000003</v>
          </cell>
          <cell r="V12">
            <v>43.853124999999999</v>
          </cell>
          <cell r="W12">
            <v>85.331375000000008</v>
          </cell>
          <cell r="X12">
            <v>44.071437500000002</v>
          </cell>
          <cell r="Y12">
            <v>45.592437500000003</v>
          </cell>
          <cell r="Z12">
            <v>46.737437499999999</v>
          </cell>
          <cell r="AA12">
            <v>47.390062499999999</v>
          </cell>
          <cell r="AB12">
            <v>183.79137500000002</v>
          </cell>
          <cell r="AC12">
            <v>47.642499999999998</v>
          </cell>
          <cell r="AD12">
            <v>48.890312500000007</v>
          </cell>
          <cell r="AE12">
            <v>49.4104375</v>
          </cell>
          <cell r="AF12">
            <v>50.025062499999997</v>
          </cell>
          <cell r="AG12">
            <v>195.9683125</v>
          </cell>
          <cell r="AH12">
            <v>52.521187500000003</v>
          </cell>
          <cell r="AI12">
            <v>53.005375000000001</v>
          </cell>
          <cell r="AJ12">
            <v>53.803687500000002</v>
          </cell>
          <cell r="AK12">
            <v>54.927250000000001</v>
          </cell>
          <cell r="AL12">
            <v>214.25749999999999</v>
          </cell>
          <cell r="AM12">
            <v>44.371875000000003</v>
          </cell>
          <cell r="AN12">
            <v>46.119500000000002</v>
          </cell>
          <cell r="AO12">
            <v>46.8233125</v>
          </cell>
          <cell r="AP12">
            <v>47.870312499999997</v>
          </cell>
          <cell r="AQ12">
            <v>185.185</v>
          </cell>
          <cell r="AR12">
            <v>43.68</v>
          </cell>
          <cell r="AS12">
            <v>45.218187499999999</v>
          </cell>
          <cell r="AT12">
            <v>46.0315625</v>
          </cell>
          <cell r="AU12">
            <v>46.500749999999996</v>
          </cell>
          <cell r="AV12">
            <v>181.43049999999999</v>
          </cell>
          <cell r="AW12">
            <v>46.273875000000004</v>
          </cell>
          <cell r="AX12">
            <v>47.634250000000002</v>
          </cell>
          <cell r="AY12">
            <v>48.6520625</v>
          </cell>
          <cell r="AZ12">
            <v>49.471062500000002</v>
          </cell>
          <cell r="BA12">
            <v>192.03125</v>
          </cell>
          <cell r="BB12">
            <v>50.282642093749999</v>
          </cell>
          <cell r="BC12">
            <v>51.353326480539067</v>
          </cell>
          <cell r="BD12">
            <v>52.369853860890629</v>
          </cell>
          <cell r="BE12">
            <v>53.288261238531248</v>
          </cell>
          <cell r="BF12">
            <v>207.29408367371096</v>
          </cell>
          <cell r="BG12">
            <v>54.412987851835936</v>
          </cell>
          <cell r="BH12">
            <v>55.611797515344129</v>
          </cell>
          <cell r="BI12">
            <v>56.790011305815987</v>
          </cell>
          <cell r="BJ12">
            <v>57.852027099803067</v>
          </cell>
          <cell r="BK12">
            <v>224.66682377279915</v>
          </cell>
          <cell r="BL12">
            <v>59.157090369345987</v>
          </cell>
          <cell r="BM12">
            <v>60.49517817695542</v>
          </cell>
          <cell r="BN12">
            <v>61.819797363784232</v>
          </cell>
          <cell r="BO12">
            <v>63.017537158598401</v>
          </cell>
          <cell r="BP12">
            <v>244.48960306868403</v>
          </cell>
          <cell r="BQ12">
            <v>64.481740016900574</v>
          </cell>
          <cell r="BR12">
            <v>65.954754541490217</v>
          </cell>
          <cell r="BS12">
            <v>67.431689603796542</v>
          </cell>
          <cell r="BT12">
            <v>68.770331139392027</v>
          </cell>
          <cell r="BU12">
            <v>266.63851530157933</v>
          </cell>
          <cell r="BV12">
            <v>70.400162798937373</v>
          </cell>
          <cell r="BW12">
            <v>72.02217736299275</v>
          </cell>
          <cell r="BX12">
            <v>73.669536565937932</v>
          </cell>
          <cell r="BY12">
            <v>75.166179017697814</v>
          </cell>
          <cell r="BZ12">
            <v>291.25805574556585</v>
          </cell>
        </row>
        <row r="13">
          <cell r="B13" t="str">
            <v>Subscription revenue - 5th quarter, 12.5%</v>
          </cell>
          <cell r="I13">
            <v>9.8358124999999994</v>
          </cell>
          <cell r="J13">
            <v>10.278468749999998</v>
          </cell>
          <cell r="K13">
            <v>10.547874999999999</v>
          </cell>
          <cell r="L13">
            <v>10.47703125</v>
          </cell>
          <cell r="U13">
            <v>21.926562499999999</v>
          </cell>
          <cell r="V13">
            <v>22.035718750000001</v>
          </cell>
          <cell r="W13">
            <v>43.962281250000004</v>
          </cell>
          <cell r="X13">
            <v>22.796218750000001</v>
          </cell>
          <cell r="Y13">
            <v>23.368718749999999</v>
          </cell>
          <cell r="Z13">
            <v>23.69503125</v>
          </cell>
          <cell r="AA13">
            <v>23.821249999999999</v>
          </cell>
          <cell r="AB13">
            <v>93.681218749999999</v>
          </cell>
          <cell r="AC13">
            <v>24.445156250000004</v>
          </cell>
          <cell r="AD13">
            <v>24.70521875</v>
          </cell>
          <cell r="AE13">
            <v>25.012531249999999</v>
          </cell>
          <cell r="AF13">
            <v>26.260593750000002</v>
          </cell>
          <cell r="AG13">
            <v>100.4235</v>
          </cell>
          <cell r="AH13">
            <v>26.5026875</v>
          </cell>
          <cell r="AI13">
            <v>26.901843750000001</v>
          </cell>
          <cell r="AJ13">
            <v>27.463625</v>
          </cell>
          <cell r="AK13">
            <v>27.877343749999998</v>
          </cell>
          <cell r="AL13">
            <v>108.74549999999999</v>
          </cell>
          <cell r="AM13">
            <v>23.059750000000001</v>
          </cell>
          <cell r="AN13">
            <v>23.41165625</v>
          </cell>
          <cell r="AO13">
            <v>23.935156249999999</v>
          </cell>
          <cell r="AP13">
            <v>24.268531250000002</v>
          </cell>
          <cell r="AQ13">
            <v>94.675093750000002</v>
          </cell>
          <cell r="AR13">
            <v>22.60909375</v>
          </cell>
          <cell r="AS13">
            <v>23.01578125</v>
          </cell>
          <cell r="AT13">
            <v>23.250374999999998</v>
          </cell>
          <cell r="AU13">
            <v>23.530531250000003</v>
          </cell>
          <cell r="AV13">
            <v>92.40578124999999</v>
          </cell>
          <cell r="AW13">
            <v>23.817125000000001</v>
          </cell>
          <cell r="AX13">
            <v>24.32603125</v>
          </cell>
          <cell r="AY13">
            <v>24.735531250000001</v>
          </cell>
          <cell r="AZ13">
            <v>25.141321046874999</v>
          </cell>
          <cell r="BA13">
            <v>98.020008546875005</v>
          </cell>
          <cell r="BB13">
            <v>25.676663240269534</v>
          </cell>
          <cell r="BC13">
            <v>26.184926930445314</v>
          </cell>
          <cell r="BD13">
            <v>26.644130619265624</v>
          </cell>
          <cell r="BE13">
            <v>27.206493925917968</v>
          </cell>
          <cell r="BF13">
            <v>105.71221471589844</v>
          </cell>
          <cell r="BG13">
            <v>27.805898757672065</v>
          </cell>
          <cell r="BH13">
            <v>28.395005652907994</v>
          </cell>
          <cell r="BI13">
            <v>28.926013549901533</v>
          </cell>
          <cell r="BJ13">
            <v>29.578545184672993</v>
          </cell>
          <cell r="BK13">
            <v>114.70546314515458</v>
          </cell>
          <cell r="BL13">
            <v>30.24758908847771</v>
          </cell>
          <cell r="BM13">
            <v>30.909898681892116</v>
          </cell>
          <cell r="BN13">
            <v>31.5087685792992</v>
          </cell>
          <cell r="BO13">
            <v>32.240870008450287</v>
          </cell>
          <cell r="BP13">
            <v>124.90712635811931</v>
          </cell>
          <cell r="BQ13">
            <v>32.977377270745109</v>
          </cell>
          <cell r="BR13">
            <v>33.715844801898271</v>
          </cell>
          <cell r="BS13">
            <v>34.385165569696014</v>
          </cell>
          <cell r="BT13">
            <v>35.200081399468687</v>
          </cell>
          <cell r="BU13">
            <v>136.27846904180808</v>
          </cell>
          <cell r="BV13">
            <v>36.011088681496375</v>
          </cell>
          <cell r="BW13">
            <v>36.834768282968966</v>
          </cell>
          <cell r="BX13">
            <v>37.583089508848907</v>
          </cell>
          <cell r="BY13">
            <v>38.490184110998221</v>
          </cell>
          <cell r="BZ13">
            <v>148.91913058431248</v>
          </cell>
        </row>
        <row r="15">
          <cell r="B15" t="str">
            <v>New sales in period (not annualized)</v>
          </cell>
          <cell r="D15">
            <v>-1.7008789999999974</v>
          </cell>
          <cell r="E15">
            <v>15.09715124999996</v>
          </cell>
          <cell r="F15">
            <v>21.492102249999995</v>
          </cell>
          <cell r="G15">
            <v>15.759004250000036</v>
          </cell>
          <cell r="H15">
            <v>50.647378749999987</v>
          </cell>
          <cell r="I15">
            <v>21.786503499999981</v>
          </cell>
          <cell r="J15">
            <v>21.108568499999961</v>
          </cell>
          <cell r="K15">
            <v>14.825891000000034</v>
          </cell>
          <cell r="L15">
            <v>12.0633435</v>
          </cell>
          <cell r="M15">
            <v>69.784306499999971</v>
          </cell>
          <cell r="P15">
            <v>23.469000000000001</v>
          </cell>
          <cell r="Q15">
            <v>27.757000000000001</v>
          </cell>
          <cell r="R15">
            <v>51.225999999999999</v>
          </cell>
          <cell r="S15">
            <v>26.831</v>
          </cell>
          <cell r="T15">
            <v>33.847000000000001</v>
          </cell>
          <cell r="U15">
            <v>35.372999999999998</v>
          </cell>
          <cell r="V15">
            <v>33.741999999999997</v>
          </cell>
          <cell r="W15">
            <v>129.79299999999998</v>
          </cell>
          <cell r="X15">
            <v>34.612000000000002</v>
          </cell>
          <cell r="Y15">
            <v>30.297999999999998</v>
          </cell>
          <cell r="Z15">
            <v>31.661000000000001</v>
          </cell>
          <cell r="AA15">
            <v>31.299193750000004</v>
          </cell>
          <cell r="AB15">
            <v>127.87019375</v>
          </cell>
          <cell r="AC15">
            <v>33.506</v>
          </cell>
          <cell r="AD15">
            <v>28.452999999999999</v>
          </cell>
          <cell r="AE15">
            <v>27.164000000000001</v>
          </cell>
          <cell r="AF15">
            <v>29.742000000000001</v>
          </cell>
          <cell r="AG15">
            <v>118.86500000000001</v>
          </cell>
          <cell r="AH15">
            <v>30.928000000000001</v>
          </cell>
          <cell r="AI15">
            <v>31.132999999999999</v>
          </cell>
          <cell r="AJ15">
            <v>30.157</v>
          </cell>
          <cell r="AK15">
            <v>36.145000000000003</v>
          </cell>
          <cell r="AL15">
            <v>128.363</v>
          </cell>
          <cell r="AM15">
            <v>25.675999999999998</v>
          </cell>
          <cell r="AN15">
            <v>27.526</v>
          </cell>
          <cell r="AO15">
            <v>26.696999999999999</v>
          </cell>
          <cell r="AP15">
            <v>31.082000000000001</v>
          </cell>
          <cell r="AQ15">
            <v>110.98099999999999</v>
          </cell>
          <cell r="AR15">
            <v>30.422000000000001</v>
          </cell>
          <cell r="AS15">
            <v>29.077999999999999</v>
          </cell>
          <cell r="AT15">
            <v>26.210999999999999</v>
          </cell>
          <cell r="AU15">
            <v>31.931999999999999</v>
          </cell>
          <cell r="AV15">
            <v>117.643</v>
          </cell>
          <cell r="AW15">
            <v>29.524999999999999</v>
          </cell>
          <cell r="AX15">
            <v>29.574999999999999</v>
          </cell>
          <cell r="AY15">
            <v>25.507999999999999</v>
          </cell>
          <cell r="AZ15">
            <v>29.102</v>
          </cell>
          <cell r="BA15">
            <v>113.71</v>
          </cell>
          <cell r="BB15">
            <v>28.012</v>
          </cell>
          <cell r="BC15">
            <v>26.686999999999998</v>
          </cell>
          <cell r="BD15">
            <v>23.198</v>
          </cell>
          <cell r="BE15">
            <v>34.160000000000004</v>
          </cell>
          <cell r="BF15">
            <v>112.05699999999999</v>
          </cell>
          <cell r="BG15">
            <v>30.308</v>
          </cell>
          <cell r="BH15">
            <v>29.417920000000002</v>
          </cell>
          <cell r="BI15">
            <v>25.574760000000001</v>
          </cell>
          <cell r="BJ15">
            <v>37.661460000000005</v>
          </cell>
          <cell r="BK15">
            <v>122.96214000000001</v>
          </cell>
          <cell r="BL15">
            <v>32.855350000000008</v>
          </cell>
          <cell r="BM15">
            <v>31.918644800000006</v>
          </cell>
          <cell r="BN15">
            <v>27.760062000000005</v>
          </cell>
          <cell r="BO15">
            <v>40.876354200000009</v>
          </cell>
          <cell r="BP15">
            <v>133.41041100000001</v>
          </cell>
          <cell r="BQ15">
            <v>35.623593500000013</v>
          </cell>
          <cell r="BR15">
            <v>34.638567376000012</v>
          </cell>
          <cell r="BS15">
            <v>30.137842020000008</v>
          </cell>
          <cell r="BT15">
            <v>44.374150194000009</v>
          </cell>
          <cell r="BU15">
            <v>144.77415309000003</v>
          </cell>
          <cell r="BV15">
            <v>38.632450945000016</v>
          </cell>
          <cell r="BW15">
            <v>37.597446276320014</v>
          </cell>
          <cell r="BX15">
            <v>32.725524209400007</v>
          </cell>
          <cell r="BY15">
            <v>48.180437027580012</v>
          </cell>
          <cell r="BZ15">
            <v>157.13585845830005</v>
          </cell>
        </row>
        <row r="16">
          <cell r="B16" t="str">
            <v>y/y change</v>
          </cell>
          <cell r="I16">
            <v>-13.808967304552537</v>
          </cell>
          <cell r="J16">
            <v>0.39818222328533781</v>
          </cell>
          <cell r="K16">
            <v>-0.31017027429226762</v>
          </cell>
          <cell r="L16">
            <v>-0.23451105738486155</v>
          </cell>
          <cell r="U16">
            <v>0.50722229323788803</v>
          </cell>
          <cell r="V16">
            <v>0.21562128472097108</v>
          </cell>
          <cell r="W16">
            <v>1.533732870026939</v>
          </cell>
          <cell r="X16">
            <v>0.29000037270321655</v>
          </cell>
          <cell r="Y16">
            <v>-0.10485419682689756</v>
          </cell>
          <cell r="Z16">
            <v>-0.10493879512622617</v>
          </cell>
          <cell r="AA16">
            <v>-7.2396605121213709E-2</v>
          </cell>
          <cell r="AB16">
            <v>-1.4814406400961322E-2</v>
          </cell>
          <cell r="AC16">
            <v>-3.1954235525251451E-2</v>
          </cell>
          <cell r="AD16">
            <v>-6.0895108588025604E-2</v>
          </cell>
          <cell r="AE16">
            <v>-0.14203594327405955</v>
          </cell>
          <cell r="AF16">
            <v>-4.9751880589576025E-2</v>
          </cell>
          <cell r="AG16">
            <v>-7.0424494449473629E-2</v>
          </cell>
          <cell r="AH16">
            <v>-7.6941443323583769E-2</v>
          </cell>
          <cell r="AI16">
            <v>9.4190419287948579E-2</v>
          </cell>
          <cell r="AJ16">
            <v>0.11018259461051394</v>
          </cell>
          <cell r="AK16">
            <v>0.21528478246251104</v>
          </cell>
          <cell r="AL16">
            <v>3.8539571697489006E-3</v>
          </cell>
          <cell r="AR16">
            <v>0.1848418756815704</v>
          </cell>
          <cell r="AS16">
            <v>5.6383056019763123E-2</v>
          </cell>
          <cell r="AT16">
            <v>-1.8204292617148066E-2</v>
          </cell>
          <cell r="AU16">
            <v>2.7347017566437204E-2</v>
          </cell>
          <cell r="AV16">
            <v>6.0028293131256794E-2</v>
          </cell>
          <cell r="AW16">
            <v>-2.9485240944053692E-2</v>
          </cell>
          <cell r="AX16">
            <v>1.7091959557053338E-2</v>
          </cell>
          <cell r="AY16">
            <v>-2.6820800427301505E-2</v>
          </cell>
          <cell r="AZ16">
            <v>-8.8625829888513086E-2</v>
          </cell>
          <cell r="BA16">
            <v>-3.3431653392042127E-2</v>
          </cell>
          <cell r="BB16">
            <v>-5.1244707874682383E-2</v>
          </cell>
          <cell r="BC16">
            <v>-9.7650042265426951E-2</v>
          </cell>
          <cell r="BD16">
            <v>-9.055982436882537E-2</v>
          </cell>
          <cell r="BE16">
            <v>0.17380248780152585</v>
          </cell>
          <cell r="BF16">
            <v>-1.4536980036936153E-2</v>
          </cell>
          <cell r="BG16">
            <v>8.1964872197629601E-2</v>
          </cell>
          <cell r="BH16">
            <v>0.1023314722524078</v>
          </cell>
          <cell r="BI16">
            <v>0.10245538408483501</v>
          </cell>
          <cell r="BJ16">
            <v>0.10250175644028103</v>
          </cell>
          <cell r="BK16">
            <v>9.7317793622888615E-2</v>
          </cell>
          <cell r="BL16">
            <v>8.4048766002375874E-2</v>
          </cell>
          <cell r="BM16">
            <v>8.5006852965811452E-2</v>
          </cell>
          <cell r="BN16">
            <v>8.5447605373422997E-2</v>
          </cell>
          <cell r="BO16">
            <v>8.5362973182664836E-2</v>
          </cell>
          <cell r="BP16">
            <v>8.4971447308903381E-2</v>
          </cell>
          <cell r="BQ16">
            <v>8.4255486549374758E-2</v>
          </cell>
          <cell r="BR16">
            <v>8.5214224884635703E-2</v>
          </cell>
          <cell r="BS16">
            <v>8.565470855216395E-2</v>
          </cell>
          <cell r="BT16">
            <v>8.5570155716088836E-2</v>
          </cell>
          <cell r="BU16">
            <v>8.5178825286731374E-2</v>
          </cell>
          <cell r="BV16">
            <v>8.4462490989293482E-2</v>
          </cell>
          <cell r="BW16">
            <v>8.542151493165151E-2</v>
          </cell>
          <cell r="BX16">
            <v>8.5861561942051745E-2</v>
          </cell>
          <cell r="BY16">
            <v>8.5777120619532798E-2</v>
          </cell>
          <cell r="BZ16">
            <v>8.5386134917434298E-2</v>
          </cell>
        </row>
        <row r="19">
          <cell r="B19" t="str">
            <v>Aggregate New Sales</v>
          </cell>
          <cell r="P19">
            <v>23.469000000000001</v>
          </cell>
          <cell r="Q19">
            <v>27.757000000000001</v>
          </cell>
          <cell r="S19">
            <v>26.831</v>
          </cell>
          <cell r="T19">
            <v>33.847000000000001</v>
          </cell>
          <cell r="U19">
            <v>35.372999999999998</v>
          </cell>
          <cell r="V19">
            <v>33.741999999999997</v>
          </cell>
          <cell r="X19">
            <v>34.612000000000002</v>
          </cell>
          <cell r="Y19">
            <v>30.297999999999998</v>
          </cell>
          <cell r="Z19">
            <v>31.661000000000001</v>
          </cell>
          <cell r="AA19">
            <v>31.299193750000004</v>
          </cell>
          <cell r="AC19">
            <v>33.506</v>
          </cell>
          <cell r="AD19">
            <v>28.452999999999999</v>
          </cell>
          <cell r="AE19">
            <v>27.164000000000001</v>
          </cell>
          <cell r="AF19">
            <v>29.742000000000001</v>
          </cell>
          <cell r="AH19">
            <v>30.928000000000001</v>
          </cell>
          <cell r="AI19">
            <v>31.132999999999999</v>
          </cell>
          <cell r="AJ19">
            <v>30.157</v>
          </cell>
          <cell r="AK19">
            <v>36.145000000000003</v>
          </cell>
          <cell r="AM19">
            <v>25.675999999999998</v>
          </cell>
          <cell r="AN19">
            <v>27.526</v>
          </cell>
          <cell r="AO19">
            <v>26.696999999999999</v>
          </cell>
          <cell r="AP19">
            <v>31.082000000000001</v>
          </cell>
          <cell r="AR19">
            <v>30.422000000000001</v>
          </cell>
          <cell r="AS19">
            <v>29.077999999999999</v>
          </cell>
          <cell r="AT19">
            <v>26.210999999999999</v>
          </cell>
          <cell r="AU19">
            <v>31.931999999999999</v>
          </cell>
          <cell r="AW19">
            <v>29.524999999999999</v>
          </cell>
          <cell r="AX19">
            <v>29.574999999999999</v>
          </cell>
          <cell r="AY19">
            <v>25.507999999999999</v>
          </cell>
          <cell r="AZ19">
            <v>29.102</v>
          </cell>
          <cell r="BB19">
            <v>28.012</v>
          </cell>
          <cell r="BC19">
            <v>26.686999999999998</v>
          </cell>
          <cell r="BD19">
            <v>23.198</v>
          </cell>
          <cell r="BE19">
            <v>34.160000000000004</v>
          </cell>
          <cell r="BG19">
            <v>30.308</v>
          </cell>
          <cell r="BH19">
            <v>29.417920000000002</v>
          </cell>
          <cell r="BI19">
            <v>25.574760000000001</v>
          </cell>
          <cell r="BJ19">
            <v>37.661460000000005</v>
          </cell>
          <cell r="BL19">
            <v>32.855350000000008</v>
          </cell>
          <cell r="BM19">
            <v>31.918644800000006</v>
          </cell>
          <cell r="BN19">
            <v>27.760062000000005</v>
          </cell>
          <cell r="BO19">
            <v>40.876354200000009</v>
          </cell>
          <cell r="BQ19">
            <v>35.623593500000013</v>
          </cell>
          <cell r="BR19">
            <v>34.638567376000012</v>
          </cell>
          <cell r="BS19">
            <v>30.137842020000008</v>
          </cell>
          <cell r="BT19">
            <v>44.374150194000009</v>
          </cell>
          <cell r="BV19">
            <v>38.632450945000016</v>
          </cell>
          <cell r="BW19">
            <v>37.597446276320014</v>
          </cell>
          <cell r="BX19">
            <v>32.725524209400007</v>
          </cell>
          <cell r="BY19">
            <v>48.180437027580012</v>
          </cell>
        </row>
        <row r="28">
          <cell r="B28" t="str">
            <v>Cancellations in period (not annualized)</v>
          </cell>
          <cell r="D28">
            <v>-3.4361210000000031</v>
          </cell>
          <cell r="E28">
            <v>-4.2951512499999964</v>
          </cell>
          <cell r="F28">
            <v>-5.0881022499999977</v>
          </cell>
          <cell r="G28">
            <v>-6.6740042499999985</v>
          </cell>
          <cell r="H28">
            <v>-19.493378749999998</v>
          </cell>
          <cell r="I28">
            <v>-2.5115035000000021</v>
          </cell>
          <cell r="J28">
            <v>-6.9435684999999978</v>
          </cell>
          <cell r="K28">
            <v>-6.2048909999999973</v>
          </cell>
          <cell r="L28">
            <v>-14.330343499999996</v>
          </cell>
          <cell r="M28">
            <v>-29.990306499999996</v>
          </cell>
          <cell r="N28">
            <v>-22.692</v>
          </cell>
          <cell r="O28">
            <v>-23.712</v>
          </cell>
          <cell r="P28">
            <v>-28.69</v>
          </cell>
          <cell r="Q28">
            <v>-28.64</v>
          </cell>
          <cell r="R28">
            <v>-103.73399999999999</v>
          </cell>
          <cell r="S28">
            <v>-19.379000000000001</v>
          </cell>
          <cell r="T28">
            <v>-18.222000000000001</v>
          </cell>
          <cell r="U28">
            <v>-19.654</v>
          </cell>
          <cell r="V28">
            <v>-30.173999999999999</v>
          </cell>
          <cell r="W28">
            <v>-87.429000000000002</v>
          </cell>
          <cell r="X28">
            <v>-14.401999999999999</v>
          </cell>
          <cell r="Y28">
            <v>-14.965</v>
          </cell>
          <cell r="Z28">
            <v>-15.364000000000001</v>
          </cell>
          <cell r="AA28">
            <v>-27.245000000000001</v>
          </cell>
          <cell r="AB28">
            <v>-71.975999999999999</v>
          </cell>
          <cell r="AC28">
            <v>-13.497999999999999</v>
          </cell>
          <cell r="AD28">
            <v>-17.228999999999999</v>
          </cell>
          <cell r="AE28">
            <v>-19.134</v>
          </cell>
          <cell r="AF28">
            <v>-28.725000000000001</v>
          </cell>
          <cell r="AG28">
            <v>-78.585999999999999</v>
          </cell>
          <cell r="AH28">
            <v>-16.690999999999999</v>
          </cell>
          <cell r="AI28">
            <v>-16.082000000000001</v>
          </cell>
          <cell r="AJ28">
            <v>-16.457999999999998</v>
          </cell>
          <cell r="AK28">
            <v>-23.756</v>
          </cell>
          <cell r="AL28">
            <v>-72.986999999999995</v>
          </cell>
          <cell r="AM28">
            <v>-13.994999999999999</v>
          </cell>
          <cell r="AN28">
            <v>-14.154</v>
          </cell>
          <cell r="AO28">
            <v>-13.345000000000001</v>
          </cell>
          <cell r="AP28">
            <v>-21.077000000000002</v>
          </cell>
          <cell r="AQ28">
            <v>-62.570999999999998</v>
          </cell>
          <cell r="AR28">
            <v>-12.717469999999997</v>
          </cell>
          <cell r="AS28">
            <v>-11.281721999999998</v>
          </cell>
          <cell r="AT28">
            <v>-9.5609360000000017</v>
          </cell>
          <cell r="AU28">
            <v>-14.110261999999999</v>
          </cell>
          <cell r="AV28">
            <v>-47.67038999999999</v>
          </cell>
          <cell r="AW28">
            <v>-9.8464387499999937</v>
          </cell>
          <cell r="AX28">
            <v>-10.385400000000002</v>
          </cell>
          <cell r="AY28">
            <v>-8.8714547500000052</v>
          </cell>
          <cell r="AZ28">
            <v>-16.216726499999996</v>
          </cell>
          <cell r="BA28">
            <v>-45.32002</v>
          </cell>
          <cell r="BB28">
            <v>-10.936999999999999</v>
          </cell>
          <cell r="BC28">
            <v>-15.354000000000001</v>
          </cell>
          <cell r="BD28">
            <v>-16.273</v>
          </cell>
          <cell r="BE28">
            <v>-22.346</v>
          </cell>
          <cell r="BF28">
            <v>-64.91</v>
          </cell>
          <cell r="BG28">
            <v>-12.459</v>
          </cell>
          <cell r="BH28">
            <v>-15.602822999999999</v>
          </cell>
          <cell r="BI28">
            <v>-16.514644749999999</v>
          </cell>
          <cell r="BJ28">
            <v>-23.002071249999997</v>
          </cell>
          <cell r="BK28">
            <v>-67.578538999999992</v>
          </cell>
          <cell r="BL28">
            <v>-12.665163062437497</v>
          </cell>
          <cell r="BM28">
            <v>-16.113404099312501</v>
          </cell>
          <cell r="BN28">
            <v>-17.006076549875001</v>
          </cell>
          <cell r="BO28">
            <v>-23.969470499749992</v>
          </cell>
          <cell r="BP28">
            <v>-69.754114211374983</v>
          </cell>
          <cell r="BQ28">
            <v>-13.187471337739659</v>
          </cell>
          <cell r="BR28">
            <v>-16.570272970963718</v>
          </cell>
          <cell r="BS28">
            <v>-17.445968816380404</v>
          </cell>
          <cell r="BT28">
            <v>-24.928902106402212</v>
          </cell>
          <cell r="BU28">
            <v>-72.132615231486</v>
          </cell>
          <cell r="BV28">
            <v>-13.734849204098381</v>
          </cell>
          <cell r="BW28">
            <v>-17.007112432769887</v>
          </cell>
          <cell r="BX28">
            <v>-17.869435561393395</v>
          </cell>
          <cell r="BY28">
            <v>-25.93698296971862</v>
          </cell>
          <cell r="BZ28">
            <v>-74.548380167980284</v>
          </cell>
        </row>
        <row r="29">
          <cell r="B29" t="str">
            <v>Cancellation rate (as % of beg. of year run rate), annualized</v>
          </cell>
          <cell r="D29">
            <v>5.2000000000000046E-2</v>
          </cell>
          <cell r="E29">
            <v>6.4999999999999947E-2</v>
          </cell>
          <cell r="F29">
            <v>7.6999999999999957E-2</v>
          </cell>
          <cell r="G29">
            <v>0.10099999999999998</v>
          </cell>
          <cell r="H29">
            <v>8.1999999999999962E-2</v>
          </cell>
          <cell r="I29">
            <v>3.400000000000003E-2</v>
          </cell>
          <cell r="J29">
            <v>9.3999999999999972E-2</v>
          </cell>
          <cell r="K29">
            <v>8.3999999999999964E-2</v>
          </cell>
          <cell r="L29">
            <v>0.19399999999999995</v>
          </cell>
          <cell r="N29">
            <v>0.14400000000000002</v>
          </cell>
          <cell r="O29">
            <v>0.14900000000000002</v>
          </cell>
          <cell r="P29">
            <v>0.18100000000000005</v>
          </cell>
          <cell r="Q29">
            <v>0.18000000000000005</v>
          </cell>
          <cell r="S29">
            <v>0.11899999999999999</v>
          </cell>
          <cell r="T29">
            <v>0.11199999999999999</v>
          </cell>
          <cell r="U29">
            <v>0.11899999999999999</v>
          </cell>
          <cell r="V29">
            <v>0.18200000000000005</v>
          </cell>
          <cell r="W29">
            <v>0.1329999999999999</v>
          </cell>
          <cell r="X29">
            <v>8.1999999999999962E-2</v>
          </cell>
          <cell r="Y29">
            <v>0.10235645558711329</v>
          </cell>
          <cell r="Z29">
            <v>0.105085505087899</v>
          </cell>
          <cell r="AA29">
            <v>0.18634825475916483</v>
          </cell>
          <cell r="AB29">
            <v>0.10125000000000006</v>
          </cell>
          <cell r="AC29">
            <v>8.448116964298287E-2</v>
          </cell>
          <cell r="AD29">
            <v>0.10783272127566691</v>
          </cell>
          <cell r="AE29">
            <v>0.1169801227331433</v>
          </cell>
          <cell r="AF29">
            <v>0.17978379004257544</v>
          </cell>
          <cell r="AG29">
            <v>0.1027499999999999</v>
          </cell>
          <cell r="AH29">
            <v>9.4040425382069151E-2</v>
          </cell>
          <cell r="AI29">
            <v>9.0609197830833155E-2</v>
          </cell>
          <cell r="AJ29">
            <v>9.2727656877244866E-2</v>
          </cell>
          <cell r="AK29">
            <v>0.13384604549616169</v>
          </cell>
          <cell r="AL29">
            <v>8.6749999999999994E-2</v>
          </cell>
          <cell r="AM29">
            <v>7.314864541723344E-2</v>
          </cell>
          <cell r="AN29">
            <v>7.3979701838908341E-2</v>
          </cell>
          <cell r="AO29">
            <v>6.9751244951266916E-2</v>
          </cell>
          <cell r="AP29">
            <v>0.11016463018642583</v>
          </cell>
          <cell r="AQ29">
            <v>8.5250000000000048E-2</v>
          </cell>
          <cell r="AR29">
            <v>6.6471290006023837E-2</v>
          </cell>
          <cell r="AS29">
            <v>5.8966965507238421E-2</v>
          </cell>
          <cell r="AT29">
            <v>4.9972812956117357E-2</v>
          </cell>
          <cell r="AU29">
            <v>7.3751093374938417E-2</v>
          </cell>
          <cell r="AV29">
            <v>7.0249999999999924E-2</v>
          </cell>
          <cell r="AW29">
            <v>5.0716801316538336E-2</v>
          </cell>
          <cell r="AX29">
            <v>5.2359555376857075E-2</v>
          </cell>
          <cell r="AY29">
            <v>4.2642153051574386E-2</v>
          </cell>
          <cell r="AZ29">
            <v>7.794844846709291E-2</v>
          </cell>
          <cell r="BA29">
            <v>6.0987112116773323E-2</v>
          </cell>
          <cell r="BB29">
            <v>4.9308951439438815E-2</v>
          </cell>
          <cell r="BC29">
            <v>6.922278873558961E-2</v>
          </cell>
          <cell r="BD29">
            <v>7.3366057124804596E-2</v>
          </cell>
          <cell r="BE29">
            <v>0.1007458927371034</v>
          </cell>
          <cell r="BF29">
            <v>7.3160922509234005E-2</v>
          </cell>
          <cell r="BG29">
            <v>5.3336514174232429E-2</v>
          </cell>
          <cell r="BH29">
            <v>6.6795103146122456E-2</v>
          </cell>
          <cell r="BI29">
            <v>7.0698578039231727E-2</v>
          </cell>
          <cell r="BJ29">
            <v>9.8471008850014377E-2</v>
          </cell>
          <cell r="BK29">
            <v>7.2325301052400315E-2</v>
          </cell>
          <cell r="BL29">
            <v>5.1185152935617963E-2</v>
          </cell>
          <cell r="BM29">
            <v>6.5120918623055746E-2</v>
          </cell>
          <cell r="BN29">
            <v>6.8728576548832243E-2</v>
          </cell>
          <cell r="BO29">
            <v>9.6870526440688776E-2</v>
          </cell>
          <cell r="BP29">
            <v>7.0476293637048659E-2</v>
          </cell>
          <cell r="BQ29">
            <v>5.0075399748447436E-2</v>
          </cell>
          <cell r="BR29">
            <v>6.2920557073538552E-2</v>
          </cell>
          <cell r="BS29">
            <v>6.624574492754387E-2</v>
          </cell>
          <cell r="BT29">
            <v>9.4659901530596835E-2</v>
          </cell>
          <cell r="BU29">
            <v>6.8475400820031673E-2</v>
          </cell>
          <cell r="BV29">
            <v>4.8789451816076856E-2</v>
          </cell>
          <cell r="BW29">
            <v>6.0413309257274644E-2</v>
          </cell>
          <cell r="BX29">
            <v>6.3476486151951519E-2</v>
          </cell>
          <cell r="BY29">
            <v>9.2134333770325705E-2</v>
          </cell>
          <cell r="BZ29">
            <v>6.6203395248907171E-2</v>
          </cell>
        </row>
        <row r="31">
          <cell r="B31" t="str">
            <v>Retention rate</v>
          </cell>
          <cell r="D31">
            <v>0.94799999999999995</v>
          </cell>
          <cell r="E31">
            <v>0.93500000000000005</v>
          </cell>
          <cell r="F31">
            <v>0.92300000000000004</v>
          </cell>
          <cell r="G31">
            <v>0.89900000000000002</v>
          </cell>
          <cell r="H31">
            <v>0.91800000000000004</v>
          </cell>
          <cell r="I31">
            <v>0.96599999999999997</v>
          </cell>
          <cell r="J31">
            <v>0.90600000000000003</v>
          </cell>
          <cell r="K31">
            <v>0.91600000000000004</v>
          </cell>
          <cell r="L31">
            <v>0.80600000000000005</v>
          </cell>
          <cell r="N31">
            <v>0.85599999999999998</v>
          </cell>
          <cell r="O31">
            <v>0.85099999999999998</v>
          </cell>
          <cell r="P31">
            <v>0.81899999999999995</v>
          </cell>
          <cell r="Q31">
            <v>0.82</v>
          </cell>
          <cell r="S31">
            <v>0.88100000000000001</v>
          </cell>
          <cell r="T31">
            <v>0.88800000000000001</v>
          </cell>
          <cell r="U31">
            <v>0.88100000000000001</v>
          </cell>
          <cell r="V31">
            <v>0.81799999999999995</v>
          </cell>
          <cell r="W31">
            <v>0.8670000000000001</v>
          </cell>
          <cell r="X31">
            <v>0.91800000000000004</v>
          </cell>
          <cell r="Y31">
            <v>0.91900000000000004</v>
          </cell>
          <cell r="Z31">
            <v>0.91300000000000003</v>
          </cell>
          <cell r="AA31">
            <v>0.84499999999999997</v>
          </cell>
          <cell r="AB31">
            <v>0.89874999999999994</v>
          </cell>
          <cell r="AC31">
            <v>0.93</v>
          </cell>
          <cell r="AD31">
            <v>0.91</v>
          </cell>
          <cell r="AE31">
            <v>0.9</v>
          </cell>
          <cell r="AF31">
            <v>0.84899999999999998</v>
          </cell>
          <cell r="AG31">
            <v>0.8972500000000001</v>
          </cell>
          <cell r="AH31">
            <v>0.92100000000000004</v>
          </cell>
          <cell r="AI31">
            <v>0.92300000000000004</v>
          </cell>
          <cell r="AJ31">
            <v>0.92200000000000004</v>
          </cell>
          <cell r="AK31">
            <v>0.88700000000000001</v>
          </cell>
          <cell r="AL31">
            <v>0.91325000000000001</v>
          </cell>
          <cell r="AM31">
            <v>0.92400000000000004</v>
          </cell>
          <cell r="AN31">
            <v>0.92300000000000004</v>
          </cell>
          <cell r="AO31">
            <v>0.92700000000000005</v>
          </cell>
          <cell r="AP31">
            <v>0.88500000000000001</v>
          </cell>
          <cell r="AQ31">
            <v>0.91474999999999995</v>
          </cell>
          <cell r="AR31">
            <v>0.92800000000000005</v>
          </cell>
          <cell r="AS31">
            <v>0.93200000000000005</v>
          </cell>
          <cell r="AT31">
            <v>0.94599999999999995</v>
          </cell>
          <cell r="AU31">
            <v>0.91300000000000003</v>
          </cell>
          <cell r="AV31">
            <v>0.92975000000000008</v>
          </cell>
          <cell r="AW31">
            <v>0.94399999999999995</v>
          </cell>
          <cell r="AX31">
            <v>0.94199999999999995</v>
          </cell>
          <cell r="AY31">
            <v>0.94799999999999995</v>
          </cell>
          <cell r="AZ31">
            <v>0.92205155153290708</v>
          </cell>
          <cell r="BA31">
            <v>0.93901288788322668</v>
          </cell>
          <cell r="BB31">
            <v>0.95069104856056119</v>
          </cell>
          <cell r="BC31">
            <v>0.93077721126441038</v>
          </cell>
          <cell r="BD31">
            <v>0.9266339428751954</v>
          </cell>
          <cell r="BE31">
            <v>0.89925410726289656</v>
          </cell>
          <cell r="BF31">
            <v>0.92683907749076599</v>
          </cell>
          <cell r="BG31">
            <v>0.94666348582576754</v>
          </cell>
          <cell r="BH31">
            <v>0.93320489685387753</v>
          </cell>
          <cell r="BI31">
            <v>0.92930142196076826</v>
          </cell>
          <cell r="BJ31">
            <v>0.90152899114998564</v>
          </cell>
          <cell r="BK31">
            <v>0.92767469894759969</v>
          </cell>
          <cell r="BL31">
            <v>0.94881484706438202</v>
          </cell>
          <cell r="BM31">
            <v>0.93487908137694431</v>
          </cell>
          <cell r="BN31">
            <v>0.93127142345116776</v>
          </cell>
          <cell r="BO31">
            <v>0.90312947355931117</v>
          </cell>
          <cell r="BP31">
            <v>0.92952370636295134</v>
          </cell>
          <cell r="BQ31">
            <v>0.94992460025155256</v>
          </cell>
          <cell r="BR31">
            <v>0.9370794429264615</v>
          </cell>
          <cell r="BS31">
            <v>0.93375425507245613</v>
          </cell>
          <cell r="BT31">
            <v>0.90534009846940311</v>
          </cell>
          <cell r="BU31">
            <v>0.93152459917996833</v>
          </cell>
          <cell r="BV31">
            <v>0.95121054818392314</v>
          </cell>
          <cell r="BW31">
            <v>0.93958669074272538</v>
          </cell>
          <cell r="BX31">
            <v>0.93652351384804844</v>
          </cell>
          <cell r="BY31">
            <v>0.90786566622967424</v>
          </cell>
          <cell r="BZ31">
            <v>0.93379660475109283</v>
          </cell>
        </row>
        <row r="33">
          <cell r="B33" t="str">
            <v>Cancellation rate (as % of beg. of qtr run rate)</v>
          </cell>
          <cell r="D33">
            <v>5.2000000000000046E-2</v>
          </cell>
          <cell r="E33">
            <v>6.6288313141446037E-2</v>
          </cell>
          <cell r="F33">
            <v>7.5384318213806825E-2</v>
          </cell>
          <cell r="G33">
            <v>9.3216906552694601E-2</v>
          </cell>
          <cell r="H33">
            <v>7.3749999999999996E-2</v>
          </cell>
          <cell r="I33">
            <v>3.400000000000003E-2</v>
          </cell>
          <cell r="J33">
            <v>8.8243453451354398E-2</v>
          </cell>
          <cell r="K33">
            <v>7.5459817397411436E-2</v>
          </cell>
          <cell r="L33">
            <v>0.16982500622163227</v>
          </cell>
          <cell r="S33">
            <v>0.14822151770451303</v>
          </cell>
          <cell r="T33">
            <v>0.13736254416961133</v>
          </cell>
          <cell r="U33">
            <v>0.14481818516744649</v>
          </cell>
          <cell r="V33">
            <v>0.20782959818853369</v>
          </cell>
          <cell r="W33">
            <v>0.16717657091939561</v>
          </cell>
          <cell r="X33">
            <v>9.8505691504550977E-2</v>
          </cell>
          <cell r="Y33">
            <v>9.8363026281627838E-2</v>
          </cell>
          <cell r="Z33">
            <v>9.833432004736227E-2</v>
          </cell>
          <cell r="AA33">
            <v>0.17142066171080905</v>
          </cell>
          <cell r="AB33">
            <v>0.12307397673468203</v>
          </cell>
          <cell r="AC33">
            <v>8.448116964298287E-2</v>
          </cell>
          <cell r="AD33">
            <v>0.10533346579749796</v>
          </cell>
          <cell r="AE33">
            <v>0.11565662060711566</v>
          </cell>
          <cell r="AF33">
            <v>0.17135928628633557</v>
          </cell>
          <cell r="AG33">
            <v>0.12296335008081664</v>
          </cell>
          <cell r="AH33">
            <v>9.4040425382069151E-2</v>
          </cell>
          <cell r="AI33">
            <v>8.8742719504691814E-2</v>
          </cell>
          <cell r="AJ33">
            <v>8.9399616230229254E-2</v>
          </cell>
          <cell r="AK33">
            <v>0.12612153452468175</v>
          </cell>
          <cell r="AL33">
            <v>0.10280583139657722</v>
          </cell>
          <cell r="AM33">
            <v>7.314864541723344E-2</v>
          </cell>
          <cell r="AN33">
            <v>7.6731562862118741E-2</v>
          </cell>
          <cell r="AO33">
            <v>7.1255039111514554E-2</v>
          </cell>
          <cell r="AP33">
            <v>0.11007947689137899</v>
          </cell>
          <cell r="AQ33">
            <v>8.1761055598458629E-2</v>
          </cell>
          <cell r="AR33">
            <v>6.6471290006023837E-2</v>
          </cell>
          <cell r="AS33">
            <v>5.6878497487367508E-2</v>
          </cell>
          <cell r="AT33">
            <v>4.7220036917910137E-2</v>
          </cell>
          <cell r="AU33">
            <v>6.8545330891461378E-2</v>
          </cell>
          <cell r="AV33">
            <v>6.2290540461079506E-2</v>
          </cell>
          <cell r="AW33">
            <v>5.0716801316538336E-2</v>
          </cell>
          <cell r="AX33">
            <v>4.9439689234606933E-2</v>
          </cell>
          <cell r="AY33">
            <v>4.1189158163413384E-2</v>
          </cell>
          <cell r="AZ33">
            <v>7.4189821544781917E-2</v>
          </cell>
          <cell r="BA33">
            <v>5.4459592130039633E-2</v>
          </cell>
          <cell r="BB33">
            <v>4.9308951439438815E-2</v>
          </cell>
          <cell r="BC33">
            <v>6.7915719531360511E-2</v>
          </cell>
          <cell r="BD33">
            <v>7.1089829469252477E-2</v>
          </cell>
          <cell r="BE33">
            <v>9.6887419721632548E-2</v>
          </cell>
          <cell r="BF33">
            <v>7.3160922509234103E-2</v>
          </cell>
          <cell r="BG33">
            <v>5.3336514174232429E-2</v>
          </cell>
          <cell r="BH33">
            <v>6.5543052193904369E-2</v>
          </cell>
          <cell r="BI33">
            <v>6.8381259920461512E-2</v>
          </cell>
          <cell r="BJ33">
            <v>9.4358424442997052E-2</v>
          </cell>
          <cell r="BK33">
            <v>7.2325301052400245E-2</v>
          </cell>
          <cell r="BL33">
            <v>5.1185152935617963E-2</v>
          </cell>
          <cell r="BM33">
            <v>6.3819059567087E-2</v>
          </cell>
          <cell r="BN33">
            <v>6.6316762170308435E-2</v>
          </cell>
          <cell r="BO33">
            <v>9.2501370375244016E-2</v>
          </cell>
          <cell r="BP33">
            <v>7.0476293637048673E-2</v>
          </cell>
          <cell r="BQ33">
            <v>5.0075399748447436E-2</v>
          </cell>
          <cell r="BR33">
            <v>6.1608385784959287E-2</v>
          </cell>
          <cell r="BS33">
            <v>6.3792858997481244E-2</v>
          </cell>
          <cell r="BT33">
            <v>9.0109449062481736E-2</v>
          </cell>
          <cell r="BU33">
            <v>6.8475400820031673E-2</v>
          </cell>
          <cell r="BV33">
            <v>4.8789451816076856E-2</v>
          </cell>
          <cell r="BW33">
            <v>5.9106433440603956E-2</v>
          </cell>
          <cell r="BX33">
            <v>6.1011851864220576E-2</v>
          </cell>
          <cell r="BY33">
            <v>8.7448071843116815E-2</v>
          </cell>
          <cell r="BZ33">
            <v>6.6203395248907185E-2</v>
          </cell>
        </row>
        <row r="40">
          <cell r="I40">
            <v>71.175124999999994</v>
          </cell>
          <cell r="J40">
            <v>74.753093750000005</v>
          </cell>
          <cell r="K40">
            <v>78.192937499999999</v>
          </cell>
          <cell r="L40">
            <v>81.034812499999987</v>
          </cell>
          <cell r="U40">
            <v>164.79540624999998</v>
          </cell>
          <cell r="V40">
            <v>168.48296875</v>
          </cell>
          <cell r="X40">
            <v>172.54634375000001</v>
          </cell>
          <cell r="Y40">
            <v>177.62484375</v>
          </cell>
          <cell r="Z40">
            <v>182.02290625000001</v>
          </cell>
          <cell r="AA40">
            <v>184.78796874999998</v>
          </cell>
          <cell r="AB40">
            <v>716.98206249999998</v>
          </cell>
          <cell r="AC40">
            <v>189.01137500000002</v>
          </cell>
          <cell r="AD40">
            <v>191.9968125</v>
          </cell>
          <cell r="AE40">
            <v>194.6508125</v>
          </cell>
          <cell r="AF40">
            <v>198.40765625</v>
          </cell>
          <cell r="AG40">
            <v>774.06665625000005</v>
          </cell>
          <cell r="AH40">
            <v>202.90453124999999</v>
          </cell>
          <cell r="AI40">
            <v>207.15868749999998</v>
          </cell>
          <cell r="AJ40">
            <v>211.80640625000001</v>
          </cell>
          <cell r="AK40">
            <v>215.87424999999999</v>
          </cell>
          <cell r="AL40">
            <v>837.74387499999989</v>
          </cell>
        </row>
        <row r="41">
          <cell r="P41">
            <v>1.9410000000000001</v>
          </cell>
          <cell r="S41">
            <v>7.4519999999999982</v>
          </cell>
          <cell r="T41">
            <v>15.625</v>
          </cell>
          <cell r="U41">
            <v>15.718999999999998</v>
          </cell>
          <cell r="V41">
            <v>3.5679999999999978</v>
          </cell>
          <cell r="X41">
            <v>12.967000000000001</v>
          </cell>
          <cell r="Y41">
            <v>7.9450000000000003</v>
          </cell>
          <cell r="Z41">
            <v>6.2610000000000001</v>
          </cell>
          <cell r="AA41">
            <v>7.4589999999999996</v>
          </cell>
          <cell r="AB41">
            <v>34.631999999999998</v>
          </cell>
          <cell r="AC41">
            <v>7.8070000000000004</v>
          </cell>
          <cell r="AD41">
            <v>6.367</v>
          </cell>
          <cell r="AE41">
            <v>3.8780000000000001</v>
          </cell>
          <cell r="AF41">
            <v>7.4429999999999996</v>
          </cell>
          <cell r="AG41">
            <v>25.494999999999997</v>
          </cell>
          <cell r="AH41">
            <v>8.9350000000000005</v>
          </cell>
          <cell r="AI41">
            <v>6.6639999999999997</v>
          </cell>
          <cell r="AJ41">
            <v>4.359</v>
          </cell>
          <cell r="AK41">
            <v>7.157</v>
          </cell>
          <cell r="AL41">
            <v>27.114999999999998</v>
          </cell>
        </row>
        <row r="42">
          <cell r="A42" t="str">
            <v>Revenue by Type Summary</v>
          </cell>
        </row>
        <row r="43">
          <cell r="I43">
            <v>14.187875000000005</v>
          </cell>
          <cell r="J43">
            <v>15.13490625</v>
          </cell>
          <cell r="K43">
            <v>13.89406249999999</v>
          </cell>
          <cell r="L43">
            <v>12.909187500000002</v>
          </cell>
          <cell r="U43">
            <v>12.803593749999999</v>
          </cell>
          <cell r="V43">
            <v>14.79003125</v>
          </cell>
        </row>
        <row r="44">
          <cell r="B44" t="str">
            <v>Total recurring subscription revenue</v>
          </cell>
          <cell r="D44">
            <v>74.022000000000006</v>
          </cell>
          <cell r="E44">
            <v>74.108000000000004</v>
          </cell>
          <cell r="F44">
            <v>75.875999999999991</v>
          </cell>
          <cell r="G44">
            <v>82.977000000000004</v>
          </cell>
          <cell r="H44">
            <v>306.98299999999995</v>
          </cell>
          <cell r="I44">
            <v>85.363</v>
          </cell>
          <cell r="J44">
            <v>89.888000000000005</v>
          </cell>
          <cell r="K44">
            <v>92.086999999999989</v>
          </cell>
          <cell r="L44">
            <v>93.943999999999988</v>
          </cell>
          <cell r="U44">
            <v>161.88</v>
          </cell>
          <cell r="V44">
            <v>179.70499999999998</v>
          </cell>
          <cell r="W44">
            <v>-105.86</v>
          </cell>
          <cell r="X44">
            <v>172.46199999999999</v>
          </cell>
          <cell r="Y44">
            <v>182.25100000000003</v>
          </cell>
          <cell r="Z44">
            <v>183.73499999999999</v>
          </cell>
          <cell r="AA44">
            <v>187.61799999999999</v>
          </cell>
          <cell r="AB44">
            <v>726.06600000000003</v>
          </cell>
          <cell r="AC44">
            <v>186.636</v>
          </cell>
          <cell r="AD44">
            <v>198.10400000000001</v>
          </cell>
          <cell r="AE44">
            <v>197.51700000000005</v>
          </cell>
          <cell r="AF44">
            <v>201.499</v>
          </cell>
          <cell r="AG44">
            <v>783.75600000000009</v>
          </cell>
          <cell r="AH44">
            <v>206.45899999999997</v>
          </cell>
          <cell r="AI44">
            <v>214.26400000000001</v>
          </cell>
          <cell r="AJ44">
            <v>216.87499999999997</v>
          </cell>
          <cell r="AK44">
            <v>219.98099999999999</v>
          </cell>
          <cell r="AL44">
            <v>857.57899999999995</v>
          </cell>
          <cell r="AM44">
            <v>179.7</v>
          </cell>
          <cell r="AN44">
            <v>186.29999999999998</v>
          </cell>
          <cell r="AO44">
            <v>189.2</v>
          </cell>
          <cell r="AP44">
            <v>193.4</v>
          </cell>
          <cell r="AQ44">
            <v>748.6</v>
          </cell>
          <cell r="AR44">
            <v>195</v>
          </cell>
          <cell r="AS44">
            <v>205.3</v>
          </cell>
          <cell r="AT44">
            <v>199.8</v>
          </cell>
          <cell r="AU44">
            <v>201.1</v>
          </cell>
          <cell r="AV44">
            <v>801.2</v>
          </cell>
          <cell r="AW44">
            <v>212.3</v>
          </cell>
          <cell r="AX44">
            <v>215.6</v>
          </cell>
          <cell r="AY44">
            <v>213.76499999999999</v>
          </cell>
          <cell r="AZ44">
            <v>215.90299999999999</v>
          </cell>
          <cell r="BA44">
            <v>857.56799999999998</v>
          </cell>
          <cell r="BB44">
            <v>225.33799999999997</v>
          </cell>
          <cell r="BC44">
            <v>232.732</v>
          </cell>
          <cell r="BD44">
            <v>226.50800000000001</v>
          </cell>
          <cell r="BE44">
            <v>229.09099999999998</v>
          </cell>
          <cell r="BF44">
            <v>913.66899999999998</v>
          </cell>
          <cell r="BG44">
            <v>238.09899999999999</v>
          </cell>
          <cell r="BH44">
            <v>246.25562365625001</v>
          </cell>
          <cell r="BI44">
            <v>242.30036707031252</v>
          </cell>
          <cell r="BJ44">
            <v>244.86597560937497</v>
          </cell>
          <cell r="BK44">
            <v>971.5209663359376</v>
          </cell>
          <cell r="BL44">
            <v>255.64985276367386</v>
          </cell>
          <cell r="BM44">
            <v>263.35377556916796</v>
          </cell>
          <cell r="BN44">
            <v>260.35419954031255</v>
          </cell>
          <cell r="BO44">
            <v>263.59260656615629</v>
          </cell>
          <cell r="BP44">
            <v>1042.9504344393106</v>
          </cell>
          <cell r="BQ44">
            <v>274.88667114121716</v>
          </cell>
          <cell r="BR44">
            <v>283.17499941137322</v>
          </cell>
          <cell r="BS44">
            <v>280.77717944702442</v>
          </cell>
          <cell r="BT44">
            <v>284.63602452088946</v>
          </cell>
          <cell r="BU44">
            <v>1123.4748745205043</v>
          </cell>
          <cell r="BV44">
            <v>296.56741266237913</v>
          </cell>
          <cell r="BW44">
            <v>305.50820517209172</v>
          </cell>
          <cell r="BX44">
            <v>303.77929586847813</v>
          </cell>
          <cell r="BY44">
            <v>308.32434883150182</v>
          </cell>
          <cell r="BZ44">
            <v>1214.1792625344508</v>
          </cell>
          <cell r="CB44">
            <v>5.85193080680384E-2</v>
          </cell>
        </row>
        <row r="45">
          <cell r="B45" t="str">
            <v>y/y change</v>
          </cell>
          <cell r="I45">
            <v>0.15321120747885764</v>
          </cell>
          <cell r="J45">
            <v>0.21293247692556805</v>
          </cell>
          <cell r="K45">
            <v>0.2136512204122516</v>
          </cell>
          <cell r="L45">
            <v>0.13216915530809725</v>
          </cell>
          <cell r="Z45">
            <v>0.13500741289844331</v>
          </cell>
          <cell r="AA45">
            <v>4.4033276759133155E-2</v>
          </cell>
          <cell r="AC45">
            <v>8.2186220732683113E-2</v>
          </cell>
          <cell r="AD45">
            <v>8.6984433555920004E-2</v>
          </cell>
          <cell r="AE45">
            <v>7.501020491468724E-2</v>
          </cell>
          <cell r="AF45">
            <v>7.398543849737238E-2</v>
          </cell>
          <cell r="AG45">
            <v>7.9455586682202428E-2</v>
          </cell>
          <cell r="AH45">
            <v>0.10621209198654058</v>
          </cell>
          <cell r="AI45">
            <v>8.1573315026450821E-2</v>
          </cell>
          <cell r="AJ45">
            <v>9.8006753849035233E-2</v>
          </cell>
          <cell r="AK45">
            <v>9.172253956595311E-2</v>
          </cell>
          <cell r="AL45">
            <v>9.4191304436584744E-2</v>
          </cell>
          <cell r="AR45">
            <v>8.5141903171953359E-2</v>
          </cell>
          <cell r="AS45">
            <v>0.10198604401502975</v>
          </cell>
          <cell r="AT45">
            <v>5.602536997885843E-2</v>
          </cell>
          <cell r="AU45">
            <v>3.9813857290589283E-2</v>
          </cell>
          <cell r="AV45">
            <v>7.0264493721613697E-2</v>
          </cell>
          <cell r="AW45">
            <v>8.8717948717948802E-2</v>
          </cell>
          <cell r="AX45">
            <v>5.0170482221139734E-2</v>
          </cell>
          <cell r="AY45">
            <v>6.9894894894894755E-2</v>
          </cell>
          <cell r="AZ45">
            <v>7.3610144206862183E-2</v>
          </cell>
          <cell r="BA45">
            <v>7.0354468297553652E-2</v>
          </cell>
          <cell r="BB45">
            <v>6.1413094677343238E-2</v>
          </cell>
          <cell r="BC45">
            <v>7.9461966604823742E-2</v>
          </cell>
          <cell r="BD45">
            <v>5.9612190957359923E-2</v>
          </cell>
          <cell r="BE45">
            <v>6.1082986341088219E-2</v>
          </cell>
          <cell r="BF45">
            <v>6.5418718982051649E-2</v>
          </cell>
          <cell r="BG45">
            <v>5.6630483984059676E-2</v>
          </cell>
          <cell r="BH45">
            <v>5.8108140076353898E-2</v>
          </cell>
          <cell r="BI45">
            <v>6.9721012371803726E-2</v>
          </cell>
          <cell r="BJ45">
            <v>6.8858993192115747E-2</v>
          </cell>
          <cell r="BK45">
            <v>6.331829835086622E-2</v>
          </cell>
          <cell r="BL45">
            <v>7.3712416951242421E-2</v>
          </cell>
          <cell r="BM45">
            <v>6.9432533799859142E-2</v>
          </cell>
          <cell r="BN45">
            <v>7.4510132561049991E-2</v>
          </cell>
          <cell r="BO45">
            <v>7.6477064280482843E-2</v>
          </cell>
          <cell r="BP45">
            <v>7.3523341830456834E-2</v>
          </cell>
          <cell r="BQ45">
            <v>7.5246741469184641E-2</v>
          </cell>
          <cell r="BR45">
            <v>7.5264627588372601E-2</v>
          </cell>
          <cell r="BS45">
            <v>7.8443059273755278E-2</v>
          </cell>
          <cell r="BT45">
            <v>7.983311151578798E-2</v>
          </cell>
          <cell r="BU45">
            <v>7.7208309639837935E-2</v>
          </cell>
          <cell r="BV45">
            <v>7.8871563437951986E-2</v>
          </cell>
          <cell r="BW45">
            <v>7.8867152139637353E-2</v>
          </cell>
          <cell r="BX45">
            <v>8.1923026888278905E-2</v>
          </cell>
          <cell r="BY45">
            <v>8.322321234806962E-2</v>
          </cell>
          <cell r="BZ45">
            <v>8.0735573238928771E-2</v>
          </cell>
        </row>
        <row r="46">
          <cell r="B46" t="str">
            <v>Constant currency y/y chg</v>
          </cell>
          <cell r="AY46">
            <v>8.5999999999999993E-2</v>
          </cell>
          <cell r="AZ46">
            <v>8.1000000000000003E-2</v>
          </cell>
        </row>
        <row r="48">
          <cell r="B48" t="str">
            <v>Total non-recurring</v>
          </cell>
          <cell r="AM48">
            <v>3.3660000000000041</v>
          </cell>
          <cell r="AN48">
            <v>5.0530000000000026</v>
          </cell>
          <cell r="AO48">
            <v>2.6919999999999984</v>
          </cell>
          <cell r="AP48">
            <v>4.1930000000000032</v>
          </cell>
          <cell r="AQ48">
            <v>15.304000000000009</v>
          </cell>
          <cell r="AR48">
            <v>3.8</v>
          </cell>
          <cell r="AS48">
            <v>4.9000000000000004</v>
          </cell>
          <cell r="AT48">
            <v>5.0999999999999996</v>
          </cell>
          <cell r="AU48">
            <v>4.5999999999999996</v>
          </cell>
          <cell r="AV48">
            <v>18.399999999999999</v>
          </cell>
          <cell r="AW48">
            <v>4.5999999999999996</v>
          </cell>
          <cell r="AX48">
            <v>3.8</v>
          </cell>
          <cell r="AY48">
            <v>4.2759999999999998</v>
          </cell>
          <cell r="AZ48">
            <v>6.7919999999999998</v>
          </cell>
          <cell r="BA48">
            <v>19.467999999999996</v>
          </cell>
          <cell r="BB48">
            <v>4.7910000000000004</v>
          </cell>
          <cell r="BC48">
            <v>8.23</v>
          </cell>
          <cell r="BD48">
            <v>5.8029999999999999</v>
          </cell>
          <cell r="BE48">
            <v>7.9470000000000001</v>
          </cell>
          <cell r="BF48">
            <v>26.771000000000001</v>
          </cell>
          <cell r="BG48">
            <v>5.3820000000000006</v>
          </cell>
          <cell r="BH48">
            <v>5.6110000000000007</v>
          </cell>
          <cell r="BI48">
            <v>5.7150000000000007</v>
          </cell>
          <cell r="BJ48">
            <v>6.0350000000000001</v>
          </cell>
          <cell r="BK48">
            <v>22.743000000000002</v>
          </cell>
          <cell r="BL48">
            <v>6.0940000000000003</v>
          </cell>
          <cell r="BM48">
            <v>6.0780000000000003</v>
          </cell>
          <cell r="BN48">
            <v>6.0650000000000004</v>
          </cell>
          <cell r="BO48">
            <v>6.0350000000000001</v>
          </cell>
          <cell r="BP48">
            <v>24.272000000000002</v>
          </cell>
          <cell r="BQ48">
            <v>6.0940000000000003</v>
          </cell>
          <cell r="BR48">
            <v>6.0780000000000003</v>
          </cell>
          <cell r="BS48">
            <v>6.0650000000000004</v>
          </cell>
          <cell r="BT48">
            <v>6.0350000000000001</v>
          </cell>
          <cell r="BU48">
            <v>24.272000000000002</v>
          </cell>
          <cell r="BV48">
            <v>6.0940000000000003</v>
          </cell>
          <cell r="BW48">
            <v>6.0780000000000003</v>
          </cell>
          <cell r="BX48">
            <v>6.0650000000000004</v>
          </cell>
          <cell r="BY48">
            <v>6.0350000000000001</v>
          </cell>
          <cell r="BZ48">
            <v>24.272000000000002</v>
          </cell>
          <cell r="CB48">
            <v>-1.9408343037136455E-2</v>
          </cell>
        </row>
        <row r="49">
          <cell r="B49" t="str">
            <v>y/y change</v>
          </cell>
          <cell r="AR49">
            <v>0.12893642305406861</v>
          </cell>
          <cell r="AS49">
            <v>-3.0279042153176783E-2</v>
          </cell>
          <cell r="AT49">
            <v>0.8945022288261526</v>
          </cell>
          <cell r="AU49">
            <v>9.7066539470545221E-2</v>
          </cell>
          <cell r="AV49">
            <v>0.20230005227391445</v>
          </cell>
          <cell r="AW49">
            <v>0.21052631578947367</v>
          </cell>
          <cell r="AX49">
            <v>-0.22448979591836749</v>
          </cell>
          <cell r="AY49">
            <v>-0.16156862745098033</v>
          </cell>
          <cell r="AZ49">
            <v>0.47652173913043483</v>
          </cell>
          <cell r="BA49">
            <v>5.8043478260869419E-2</v>
          </cell>
          <cell r="BB49">
            <v>4.1521739130434998E-2</v>
          </cell>
          <cell r="BC49">
            <v>1.1657894736842107</v>
          </cell>
          <cell r="BD49">
            <v>0.35710944808232004</v>
          </cell>
          <cell r="BE49">
            <v>0.170053003533569</v>
          </cell>
          <cell r="BF49">
            <v>0.37512841586192747</v>
          </cell>
          <cell r="BG49">
            <v>0.12335629304946782</v>
          </cell>
          <cell r="BH49">
            <v>-0.31822600243013366</v>
          </cell>
          <cell r="BI49">
            <v>-1.5164570049973958E-2</v>
          </cell>
          <cell r="BJ49">
            <v>-0.24059393481817037</v>
          </cell>
          <cell r="BK49">
            <v>-0.15046132008516677</v>
          </cell>
          <cell r="BL49">
            <v>0.13229282794500175</v>
          </cell>
          <cell r="BM49">
            <v>8.3229370878631137E-2</v>
          </cell>
          <cell r="BN49">
            <v>6.1242344706911478E-2</v>
          </cell>
          <cell r="BO49">
            <v>0</v>
          </cell>
          <cell r="BP49">
            <v>6.72294772017763E-2</v>
          </cell>
          <cell r="BQ49">
            <v>0</v>
          </cell>
          <cell r="BR49">
            <v>0</v>
          </cell>
          <cell r="BS49">
            <v>0</v>
          </cell>
          <cell r="BT49">
            <v>0</v>
          </cell>
          <cell r="BU49">
            <v>0</v>
          </cell>
          <cell r="BV49">
            <v>0</v>
          </cell>
          <cell r="BW49">
            <v>0</v>
          </cell>
          <cell r="BX49">
            <v>0</v>
          </cell>
          <cell r="BY49">
            <v>0</v>
          </cell>
          <cell r="BZ49">
            <v>0</v>
          </cell>
        </row>
        <row r="51">
          <cell r="B51" t="str">
            <v>Asset-based fees</v>
          </cell>
          <cell r="I51">
            <v>19.588000000000001</v>
          </cell>
          <cell r="J51">
            <v>18.306999999999999</v>
          </cell>
          <cell r="K51">
            <v>18.312000000000001</v>
          </cell>
          <cell r="L51">
            <v>13.472</v>
          </cell>
          <cell r="M51">
            <v>69.678999999999988</v>
          </cell>
          <cell r="N51">
            <v>13.182</v>
          </cell>
          <cell r="O51">
            <v>15.22</v>
          </cell>
          <cell r="P51">
            <v>20.151</v>
          </cell>
          <cell r="Q51">
            <v>22.760999999999999</v>
          </cell>
          <cell r="R51">
            <v>71.313999999999993</v>
          </cell>
          <cell r="S51">
            <v>24.984999999999999</v>
          </cell>
          <cell r="T51">
            <v>25.696000000000002</v>
          </cell>
          <cell r="U51">
            <v>25.134</v>
          </cell>
          <cell r="V51">
            <v>30.045000000000002</v>
          </cell>
          <cell r="W51">
            <v>105.86</v>
          </cell>
          <cell r="X51">
            <v>37.869</v>
          </cell>
          <cell r="Y51">
            <v>36.286999999999999</v>
          </cell>
          <cell r="Z51">
            <v>35.03</v>
          </cell>
          <cell r="AA51">
            <v>31.056999999999999</v>
          </cell>
          <cell r="AB51">
            <v>140.24299999999999</v>
          </cell>
          <cell r="AC51">
            <v>34.609000000000002</v>
          </cell>
          <cell r="AD51">
            <v>34.094000000000001</v>
          </cell>
          <cell r="AE51">
            <v>34.042000000000002</v>
          </cell>
          <cell r="AF51">
            <v>38.137999999999998</v>
          </cell>
          <cell r="AG51">
            <v>140.88300000000001</v>
          </cell>
          <cell r="AH51">
            <v>36.515000000000001</v>
          </cell>
          <cell r="AI51">
            <v>36.97</v>
          </cell>
          <cell r="AJ51">
            <v>36.801000000000002</v>
          </cell>
          <cell r="AK51">
            <v>39.200000000000003</v>
          </cell>
          <cell r="AL51">
            <v>149.48599999999999</v>
          </cell>
          <cell r="AM51">
            <v>36.515000000000001</v>
          </cell>
          <cell r="AN51">
            <v>36.97</v>
          </cell>
          <cell r="AO51">
            <v>36.801000000000002</v>
          </cell>
          <cell r="AP51">
            <v>39.200000000000003</v>
          </cell>
          <cell r="AQ51">
            <v>149.48599999999999</v>
          </cell>
          <cell r="AR51">
            <v>40.9</v>
          </cell>
          <cell r="AS51">
            <v>44.094999999999999</v>
          </cell>
          <cell r="AT51">
            <v>46.656999999999996</v>
          </cell>
          <cell r="AU51">
            <v>45.453000000000003</v>
          </cell>
          <cell r="AV51">
            <v>177.10499999999999</v>
          </cell>
          <cell r="AW51">
            <v>45.88</v>
          </cell>
          <cell r="AX51">
            <v>51.16</v>
          </cell>
          <cell r="AY51">
            <v>50.735999999999997</v>
          </cell>
          <cell r="AZ51">
            <v>50.198</v>
          </cell>
          <cell r="BA51">
            <v>197.97399999999999</v>
          </cell>
          <cell r="BB51">
            <v>48.698999999999998</v>
          </cell>
          <cell r="BC51">
            <v>49.634</v>
          </cell>
          <cell r="BD51">
            <v>56.122</v>
          </cell>
          <cell r="BE51">
            <v>55.774000000000001</v>
          </cell>
          <cell r="BF51">
            <v>210.20699999999999</v>
          </cell>
          <cell r="BG51">
            <v>57.508000000000003</v>
          </cell>
          <cell r="BH51">
            <v>59.651463787500006</v>
          </cell>
          <cell r="BI51">
            <v>63.398514487062513</v>
          </cell>
          <cell r="BJ51">
            <v>63.13117788628594</v>
          </cell>
          <cell r="BK51">
            <v>243.68115616084845</v>
          </cell>
          <cell r="BL51">
            <v>62.054948044824663</v>
          </cell>
          <cell r="BM51">
            <v>62.221096696353591</v>
          </cell>
          <cell r="BN51">
            <v>66.872838300026558</v>
          </cell>
          <cell r="BO51">
            <v>66.689299280832657</v>
          </cell>
          <cell r="BP51">
            <v>257.83818232203743</v>
          </cell>
          <cell r="BQ51">
            <v>64.893351175383401</v>
          </cell>
          <cell r="BR51">
            <v>65.086926102450235</v>
          </cell>
          <cell r="BS51">
            <v>70.562964889465619</v>
          </cell>
          <cell r="BT51">
            <v>70.359567012629483</v>
          </cell>
          <cell r="BU51">
            <v>270.90280917992874</v>
          </cell>
          <cell r="BV51">
            <v>67.698960991607038</v>
          </cell>
          <cell r="BW51">
            <v>67.817940307907691</v>
          </cell>
          <cell r="BX51">
            <v>74.039494312719597</v>
          </cell>
          <cell r="BY51">
            <v>73.723158182227706</v>
          </cell>
          <cell r="BZ51">
            <v>283.27955379446206</v>
          </cell>
          <cell r="CB51">
            <v>6.1484388071944451E-2</v>
          </cell>
        </row>
        <row r="52">
          <cell r="B52" t="str">
            <v>y/y change</v>
          </cell>
          <cell r="Z52">
            <v>0.3937296092941831</v>
          </cell>
          <cell r="AA52">
            <v>3.3682809119653712E-2</v>
          </cell>
          <cell r="AC52">
            <v>-8.6086244685626756E-2</v>
          </cell>
          <cell r="AD52">
            <v>-6.0434866481108851E-2</v>
          </cell>
          <cell r="AE52">
            <v>-2.8204396231801265E-2</v>
          </cell>
          <cell r="AF52">
            <v>0.22800012879544074</v>
          </cell>
          <cell r="AG52">
            <v>4.5635076260490681E-3</v>
          </cell>
          <cell r="AH52">
            <v>5.5072380016758515E-2</v>
          </cell>
          <cell r="AI52">
            <v>8.4355018478324606E-2</v>
          </cell>
          <cell r="AJ52">
            <v>8.104694201280771E-2</v>
          </cell>
          <cell r="AK52">
            <v>2.7846242592689752E-2</v>
          </cell>
          <cell r="AL52">
            <v>6.1064855234485238E-2</v>
          </cell>
          <cell r="AR52">
            <v>0.12008763521840327</v>
          </cell>
          <cell r="AS52">
            <v>0.1927238301325398</v>
          </cell>
          <cell r="AT52">
            <v>0.26781880927148705</v>
          </cell>
          <cell r="AU52">
            <v>0.15951530612244902</v>
          </cell>
          <cell r="AV52">
            <v>0.18475977683528888</v>
          </cell>
          <cell r="AW52">
            <v>0.12176039119804405</v>
          </cell>
          <cell r="AX52">
            <v>0.1602222474203423</v>
          </cell>
          <cell r="AY52">
            <v>8.7425252373706019E-2</v>
          </cell>
          <cell r="AZ52">
            <v>0.10439354938067891</v>
          </cell>
          <cell r="BA52">
            <v>0.11783405324524998</v>
          </cell>
          <cell r="BB52">
            <v>6.1442894507410584E-2</v>
          </cell>
          <cell r="BC52">
            <v>-2.9827990617669942E-2</v>
          </cell>
          <cell r="BD52">
            <v>0.1061573636076949</v>
          </cell>
          <cell r="BE52">
            <v>0.11108012271405232</v>
          </cell>
          <cell r="BF52">
            <v>6.1790942244941194E-2</v>
          </cell>
          <cell r="BG52">
            <v>0.18088667118421342</v>
          </cell>
          <cell r="BH52">
            <v>0.20182664680460993</v>
          </cell>
          <cell r="BI52">
            <v>0.12965529537547682</v>
          </cell>
          <cell r="BJ52">
            <v>0.13191052975016926</v>
          </cell>
          <cell r="BK52">
            <v>0.15924377475939644</v>
          </cell>
          <cell r="BL52">
            <v>7.906635676470497E-2</v>
          </cell>
          <cell r="BM52">
            <v>4.3077449331462292E-2</v>
          </cell>
          <cell r="BN52">
            <v>5.4801344180911871E-2</v>
          </cell>
          <cell r="BO52">
            <v>5.6360763630226129E-2</v>
          </cell>
          <cell r="BP52">
            <v>5.809651589080711E-2</v>
          </cell>
          <cell r="BQ52">
            <v>4.5740158037171463E-2</v>
          </cell>
          <cell r="BR52">
            <v>4.6058805746903353E-2</v>
          </cell>
          <cell r="BS52">
            <v>5.5181246725063859E-2</v>
          </cell>
          <cell r="BT52">
            <v>5.5035332075406895E-2</v>
          </cell>
          <cell r="BU52">
            <v>5.0669868753471681E-2</v>
          </cell>
          <cell r="BV52">
            <v>4.32341644468488E-2</v>
          </cell>
          <cell r="BW52">
            <v>4.1959489700876373E-2</v>
          </cell>
          <cell r="BX52">
            <v>4.9268471480752529E-2</v>
          </cell>
          <cell r="BY52">
            <v>4.7805740035245847E-2</v>
          </cell>
          <cell r="BZ52">
            <v>4.5687029425792725E-2</v>
          </cell>
        </row>
        <row r="54">
          <cell r="B54" t="str">
            <v>Total Revenue</v>
          </cell>
          <cell r="I54">
            <v>0.79290624999999992</v>
          </cell>
          <cell r="J54">
            <v>0.81231249999999999</v>
          </cell>
          <cell r="K54">
            <v>0.92671875000000004</v>
          </cell>
          <cell r="L54">
            <v>0.97434374999999995</v>
          </cell>
          <cell r="U54">
            <v>-12.152843750000001</v>
          </cell>
          <cell r="V54">
            <v>-17.189718750000001</v>
          </cell>
          <cell r="W54">
            <v>12.376531249999999</v>
          </cell>
          <cell r="X54">
            <v>-25.13715625</v>
          </cell>
          <cell r="Y54">
            <v>-23.42353125</v>
          </cell>
          <cell r="Z54">
            <v>-21.30590625</v>
          </cell>
          <cell r="AA54">
            <v>-17.195249999999998</v>
          </cell>
          <cell r="AB54">
            <v>-87.061843749999994</v>
          </cell>
          <cell r="AC54">
            <v>-20.25390625</v>
          </cell>
          <cell r="AD54">
            <v>-19.614250000000002</v>
          </cell>
          <cell r="AE54">
            <v>-19.4074375</v>
          </cell>
          <cell r="AF54">
            <v>-23.229406249999997</v>
          </cell>
          <cell r="AG54">
            <v>-82.504999999999995</v>
          </cell>
          <cell r="AH54">
            <v>-21.329843750000002</v>
          </cell>
          <cell r="AI54">
            <v>-21.63640625</v>
          </cell>
          <cell r="AJ54">
            <v>-21.291687500000002</v>
          </cell>
          <cell r="AK54">
            <v>-24.123250000000002</v>
          </cell>
          <cell r="AL54">
            <v>-88.381187499999996</v>
          </cell>
          <cell r="AM54">
            <v>219.58100000000002</v>
          </cell>
          <cell r="AN54">
            <v>228.32299999999998</v>
          </cell>
          <cell r="AO54">
            <v>228.69299999999998</v>
          </cell>
          <cell r="AP54">
            <v>236.79300000000001</v>
          </cell>
          <cell r="AQ54">
            <v>913.39</v>
          </cell>
          <cell r="AR54">
            <v>239.70000000000002</v>
          </cell>
          <cell r="AS54">
            <v>254.29500000000002</v>
          </cell>
          <cell r="AT54">
            <v>251.55700000000002</v>
          </cell>
          <cell r="AU54">
            <v>251.15299999999999</v>
          </cell>
          <cell r="AV54">
            <v>996.70500000000004</v>
          </cell>
          <cell r="AW54">
            <v>262.78000000000003</v>
          </cell>
          <cell r="AX54">
            <v>270.56</v>
          </cell>
          <cell r="AY54">
            <v>268.77699999999999</v>
          </cell>
          <cell r="AZ54">
            <v>272.89299999999997</v>
          </cell>
          <cell r="BA54">
            <v>1075.01</v>
          </cell>
          <cell r="BB54">
            <v>278.82799999999997</v>
          </cell>
          <cell r="BC54">
            <v>290.596</v>
          </cell>
          <cell r="BD54">
            <v>288.43299999999999</v>
          </cell>
          <cell r="BE54">
            <v>292.81200000000001</v>
          </cell>
          <cell r="BF54">
            <v>1150.6469999999999</v>
          </cell>
          <cell r="BG54">
            <v>300.98899999999998</v>
          </cell>
          <cell r="BH54">
            <v>311.51808744375001</v>
          </cell>
          <cell r="BI54">
            <v>311.41388155737502</v>
          </cell>
          <cell r="BJ54">
            <v>314.03215349566091</v>
          </cell>
          <cell r="BK54">
            <v>1237.9451224967861</v>
          </cell>
          <cell r="BL54">
            <v>323.79880080849853</v>
          </cell>
          <cell r="BM54">
            <v>331.65287226552152</v>
          </cell>
          <cell r="BN54">
            <v>333.29203784033911</v>
          </cell>
          <cell r="BO54">
            <v>336.31690584698896</v>
          </cell>
          <cell r="BP54">
            <v>1325.060616761348</v>
          </cell>
          <cell r="BQ54">
            <v>345.87402231660053</v>
          </cell>
          <cell r="BR54">
            <v>354.33992551382346</v>
          </cell>
          <cell r="BS54">
            <v>357.40514433649003</v>
          </cell>
          <cell r="BT54">
            <v>361.03059153351899</v>
          </cell>
          <cell r="BU54">
            <v>1418.6496837004329</v>
          </cell>
          <cell r="BV54">
            <v>370.36037365398613</v>
          </cell>
          <cell r="BW54">
            <v>379.40414547999939</v>
          </cell>
          <cell r="BX54">
            <v>383.8837901811977</v>
          </cell>
          <cell r="BY54">
            <v>388.08250701372958</v>
          </cell>
          <cell r="BZ54">
            <v>1521.7308163289129</v>
          </cell>
          <cell r="CB54">
            <v>5.7497002929262742E-2</v>
          </cell>
        </row>
        <row r="55">
          <cell r="B55" t="str">
            <v>y/y change</v>
          </cell>
          <cell r="Z55">
            <v>0.75316219711950128</v>
          </cell>
          <cell r="AA55">
            <v>3.2177664337851297E-4</v>
          </cell>
          <cell r="AC55">
            <v>-0.19426421793435766</v>
          </cell>
          <cell r="AD55">
            <v>-0.16262625858344903</v>
          </cell>
          <cell r="AE55">
            <v>-8.9105280372666629E-2</v>
          </cell>
          <cell r="AF55">
            <v>0.35091994882307609</v>
          </cell>
          <cell r="AG55">
            <v>-5.2340308379926759E-2</v>
          </cell>
          <cell r="AH55">
            <v>5.3122468659595024E-2</v>
          </cell>
          <cell r="AI55">
            <v>0.10309628203984333</v>
          </cell>
          <cell r="AJ55">
            <v>9.7089067013612862E-2</v>
          </cell>
          <cell r="AK55">
            <v>3.8478975328954279E-2</v>
          </cell>
          <cell r="AL55">
            <v>7.1222198654627089E-2</v>
          </cell>
          <cell r="AR55">
            <v>9.1624503030772297E-2</v>
          </cell>
          <cell r="AS55">
            <v>0.11375113326296526</v>
          </cell>
          <cell r="AT55">
            <v>9.9976824826295774E-2</v>
          </cell>
          <cell r="AU55">
            <v>6.0643684568378209E-2</v>
          </cell>
          <cell r="AV55">
            <v>9.1215143585982039E-2</v>
          </cell>
          <cell r="AW55">
            <v>9.6287025448477337E-2</v>
          </cell>
          <cell r="AX55">
            <v>6.3961147486187198E-2</v>
          </cell>
          <cell r="AY55">
            <v>6.8453670539877498E-2</v>
          </cell>
          <cell r="AZ55">
            <v>8.656078167491521E-2</v>
          </cell>
          <cell r="BA55">
            <v>7.8563867944878352E-2</v>
          </cell>
          <cell r="BB55">
            <v>6.1070096658801809E-2</v>
          </cell>
          <cell r="BC55">
            <v>7.4053814311058508E-2</v>
          </cell>
          <cell r="BD55">
            <v>7.3131257510873349E-2</v>
          </cell>
          <cell r="BE55">
            <v>7.2991978541040003E-2</v>
          </cell>
          <cell r="BF55">
            <v>7.0359345494460435E-2</v>
          </cell>
          <cell r="BG55">
            <v>7.9479105398310157E-2</v>
          </cell>
          <cell r="BH55">
            <v>7.1997162534067849E-2</v>
          </cell>
          <cell r="BI55">
            <v>7.9674938572822818E-2</v>
          </cell>
          <cell r="BJ55">
            <v>7.2470231737978175E-2</v>
          </cell>
          <cell r="BK55">
            <v>7.5868726461535196E-2</v>
          </cell>
          <cell r="BL55">
            <v>7.5782838603731584E-2</v>
          </cell>
          <cell r="BM55">
            <v>6.4634400483751131E-2</v>
          </cell>
          <cell r="BN55">
            <v>7.0254274387358207E-2</v>
          </cell>
          <cell r="BO55">
            <v>7.0963282273055484E-2</v>
          </cell>
          <cell r="BP55">
            <v>7.037104689169138E-2</v>
          </cell>
          <cell r="BQ55">
            <v>6.8175735836519591E-2</v>
          </cell>
          <cell r="BR55">
            <v>6.8406020708720705E-2</v>
          </cell>
          <cell r="BS55">
            <v>7.2348282462427527E-2</v>
          </cell>
          <cell r="BT55">
            <v>7.3483328541841919E-2</v>
          </cell>
          <cell r="BU55">
            <v>7.0630026849511918E-2</v>
          </cell>
          <cell r="BV55">
            <v>7.0795578035553364E-2</v>
          </cell>
          <cell r="BW55">
            <v>7.0734958613062338E-2</v>
          </cell>
          <cell r="BX55">
            <v>7.4085799447191292E-2</v>
          </cell>
          <cell r="BY55">
            <v>7.492970433697721E-2</v>
          </cell>
          <cell r="BZ55">
            <v>7.2661442647067753E-2</v>
          </cell>
        </row>
        <row r="57">
          <cell r="C57">
            <v>2006</v>
          </cell>
          <cell r="D57" t="str">
            <v>1Q07</v>
          </cell>
          <cell r="E57" t="str">
            <v>2Q07</v>
          </cell>
          <cell r="F57" t="str">
            <v>3Q07</v>
          </cell>
          <cell r="G57" t="str">
            <v>4Q07</v>
          </cell>
          <cell r="H57">
            <v>2007</v>
          </cell>
          <cell r="I57" t="str">
            <v>1Q08</v>
          </cell>
          <cell r="J57" t="str">
            <v>2Q08</v>
          </cell>
          <cell r="K57" t="str">
            <v>3Q08</v>
          </cell>
          <cell r="L57" t="str">
            <v>4Q08</v>
          </cell>
          <cell r="M57">
            <v>2008</v>
          </cell>
          <cell r="N57" t="str">
            <v>1Q09</v>
          </cell>
          <cell r="O57" t="str">
            <v>2Q09</v>
          </cell>
          <cell r="P57" t="str">
            <v>3Q09</v>
          </cell>
          <cell r="Q57" t="str">
            <v>4Q09</v>
          </cell>
          <cell r="R57">
            <v>2009</v>
          </cell>
          <cell r="S57" t="str">
            <v>1Q10</v>
          </cell>
          <cell r="T57" t="str">
            <v>2Q10</v>
          </cell>
          <cell r="U57" t="str">
            <v>3Q10</v>
          </cell>
          <cell r="V57" t="str">
            <v>4Q10</v>
          </cell>
          <cell r="W57">
            <v>2010</v>
          </cell>
          <cell r="X57" t="str">
            <v>1Q11</v>
          </cell>
          <cell r="Y57" t="str">
            <v>2Q11</v>
          </cell>
          <cell r="Z57" t="str">
            <v>3Q11</v>
          </cell>
          <cell r="AA57" t="str">
            <v>4Q11</v>
          </cell>
          <cell r="AB57">
            <v>2011</v>
          </cell>
          <cell r="AC57" t="str">
            <v>1Q12</v>
          </cell>
          <cell r="AD57" t="str">
            <v>2Q12</v>
          </cell>
          <cell r="AE57" t="str">
            <v>3Q12</v>
          </cell>
          <cell r="AF57" t="str">
            <v>4Q12</v>
          </cell>
          <cell r="AG57">
            <v>2012</v>
          </cell>
          <cell r="AH57" t="str">
            <v>1Q13</v>
          </cell>
          <cell r="AI57" t="str">
            <v>2Q13</v>
          </cell>
          <cell r="AJ57" t="str">
            <v>3Q13</v>
          </cell>
          <cell r="AK57" t="str">
            <v>4Q13</v>
          </cell>
          <cell r="AL57">
            <v>2013</v>
          </cell>
          <cell r="AM57" t="str">
            <v>1Q13R</v>
          </cell>
          <cell r="AN57" t="str">
            <v>2Q13R</v>
          </cell>
          <cell r="AO57" t="str">
            <v>3Q13R</v>
          </cell>
          <cell r="AP57" t="str">
            <v>4Q13R</v>
          </cell>
          <cell r="AQ57" t="str">
            <v>2013R</v>
          </cell>
          <cell r="AR57" t="str">
            <v>1Q14</v>
          </cell>
          <cell r="AS57" t="str">
            <v>2Q14</v>
          </cell>
          <cell r="AT57" t="str">
            <v>3Q14</v>
          </cell>
          <cell r="AU57" t="str">
            <v>4Q14</v>
          </cell>
          <cell r="AV57">
            <v>2014</v>
          </cell>
          <cell r="AW57" t="str">
            <v>1Q15</v>
          </cell>
          <cell r="AX57" t="str">
            <v>2Q15</v>
          </cell>
          <cell r="AY57" t="str">
            <v>3Q15</v>
          </cell>
          <cell r="AZ57" t="str">
            <v>4Q15</v>
          </cell>
          <cell r="BA57">
            <v>2015</v>
          </cell>
          <cell r="BB57" t="str">
            <v>1Q16</v>
          </cell>
          <cell r="BC57" t="str">
            <v>2Q16</v>
          </cell>
          <cell r="BD57" t="str">
            <v>3Q16</v>
          </cell>
          <cell r="BE57" t="str">
            <v>4Q16</v>
          </cell>
          <cell r="BF57">
            <v>2016</v>
          </cell>
          <cell r="BG57" t="str">
            <v>1Q17</v>
          </cell>
          <cell r="BH57" t="str">
            <v>2Q17E</v>
          </cell>
          <cell r="BI57" t="str">
            <v>3Q17E</v>
          </cell>
          <cell r="BJ57" t="str">
            <v>4Q17E</v>
          </cell>
          <cell r="BK57" t="str">
            <v>2017E</v>
          </cell>
          <cell r="BL57" t="str">
            <v>1Q18E</v>
          </cell>
          <cell r="BM57" t="str">
            <v>2Q18E</v>
          </cell>
          <cell r="BN57" t="str">
            <v>3Q18E</v>
          </cell>
          <cell r="BO57" t="str">
            <v>4Q18E</v>
          </cell>
          <cell r="BP57" t="str">
            <v>2018E</v>
          </cell>
          <cell r="BQ57" t="str">
            <v>1Q19E</v>
          </cell>
          <cell r="BR57" t="str">
            <v>2Q19E</v>
          </cell>
          <cell r="BS57" t="str">
            <v>3Q19E</v>
          </cell>
          <cell r="BT57" t="str">
            <v>4Q19E</v>
          </cell>
          <cell r="BU57" t="str">
            <v>2019E</v>
          </cell>
          <cell r="BV57" t="str">
            <v>1Q20E</v>
          </cell>
          <cell r="BW57" t="str">
            <v>2Q20E</v>
          </cell>
          <cell r="BX57" t="str">
            <v>3Q20E</v>
          </cell>
          <cell r="BY57" t="str">
            <v>4Q20E</v>
          </cell>
          <cell r="BZ57" t="str">
            <v>2020E</v>
          </cell>
        </row>
        <row r="58">
          <cell r="B58" t="str">
            <v>Asset Based Fees</v>
          </cell>
        </row>
        <row r="59">
          <cell r="B59" t="str">
            <v>AUMs in ETFs linked to MSCI Indices (beginning)</v>
          </cell>
          <cell r="I59">
            <v>191.7</v>
          </cell>
          <cell r="J59">
            <v>179.2</v>
          </cell>
          <cell r="K59">
            <v>199.6</v>
          </cell>
          <cell r="L59">
            <v>166.3</v>
          </cell>
          <cell r="N59">
            <v>119.00000000000001</v>
          </cell>
          <cell r="O59">
            <v>107.8</v>
          </cell>
          <cell r="P59">
            <v>175.9</v>
          </cell>
          <cell r="Q59">
            <v>199.2</v>
          </cell>
          <cell r="R59">
            <v>127.80000000000001</v>
          </cell>
          <cell r="S59">
            <v>243</v>
          </cell>
          <cell r="T59">
            <v>255.4</v>
          </cell>
          <cell r="U59">
            <v>236.79999999999998</v>
          </cell>
          <cell r="V59">
            <v>290.7</v>
          </cell>
          <cell r="W59">
            <v>243</v>
          </cell>
          <cell r="X59">
            <v>333.29999999999995</v>
          </cell>
          <cell r="Y59">
            <v>350.09999999999997</v>
          </cell>
          <cell r="Z59">
            <v>360.49999999999994</v>
          </cell>
          <cell r="AA59">
            <v>290.09999999999991</v>
          </cell>
          <cell r="AB59">
            <v>333.3</v>
          </cell>
          <cell r="AC59">
            <v>301.59999999999991</v>
          </cell>
          <cell r="AD59">
            <v>354.69999999999987</v>
          </cell>
          <cell r="AE59">
            <v>327.39999999999986</v>
          </cell>
          <cell r="AF59">
            <v>363.69999999999987</v>
          </cell>
          <cell r="AG59">
            <v>301.59999999999997</v>
          </cell>
          <cell r="AH59">
            <v>402.29999999999984</v>
          </cell>
          <cell r="AI59">
            <v>357.29999999999984</v>
          </cell>
          <cell r="AJ59">
            <v>269.69999999999987</v>
          </cell>
          <cell r="AK59">
            <v>302.59999999999985</v>
          </cell>
          <cell r="AL59">
            <v>402.29999999999995</v>
          </cell>
          <cell r="AM59">
            <v>402.29999999999984</v>
          </cell>
          <cell r="AN59">
            <v>357.29999999999984</v>
          </cell>
          <cell r="AO59">
            <v>269.69999999999987</v>
          </cell>
          <cell r="AP59">
            <v>302.59999999999985</v>
          </cell>
          <cell r="AQ59">
            <v>402.29999999999995</v>
          </cell>
          <cell r="AR59">
            <v>332.89999999999981</v>
          </cell>
          <cell r="AS59">
            <v>340.79999999999984</v>
          </cell>
          <cell r="AT59">
            <v>378.69999999999982</v>
          </cell>
          <cell r="AU59">
            <v>377.89999999999981</v>
          </cell>
          <cell r="AV59">
            <v>332.89999999999992</v>
          </cell>
          <cell r="AW59">
            <v>373.29999999999978</v>
          </cell>
          <cell r="AX59">
            <v>417.99999999999977</v>
          </cell>
          <cell r="AY59">
            <v>435.39999999999981</v>
          </cell>
          <cell r="AZ59">
            <v>390.19999999999982</v>
          </cell>
          <cell r="BA59">
            <v>373.2999999999999</v>
          </cell>
          <cell r="BB59">
            <v>433.4</v>
          </cell>
          <cell r="BC59">
            <v>438.3</v>
          </cell>
          <cell r="BD59">
            <v>439.7</v>
          </cell>
          <cell r="BE59">
            <v>474.9</v>
          </cell>
          <cell r="BF59">
            <v>433.39999999999986</v>
          </cell>
          <cell r="BG59">
            <v>481.4</v>
          </cell>
          <cell r="BH59">
            <v>555.69999999999993</v>
          </cell>
          <cell r="BI59">
            <v>567.73500000000001</v>
          </cell>
          <cell r="BJ59">
            <v>579.7700000000001</v>
          </cell>
          <cell r="BK59">
            <v>481.39999999999986</v>
          </cell>
          <cell r="BL59">
            <v>591.80500000000018</v>
          </cell>
          <cell r="BM59">
            <v>606.60012500000028</v>
          </cell>
          <cell r="BN59">
            <v>621.39525000000037</v>
          </cell>
          <cell r="BO59">
            <v>636.19037500000047</v>
          </cell>
          <cell r="BP59">
            <v>591.80499999999984</v>
          </cell>
          <cell r="BQ59">
            <v>650.98550000000057</v>
          </cell>
          <cell r="BR59">
            <v>667.2601375000005</v>
          </cell>
          <cell r="BS59">
            <v>683.53477500000042</v>
          </cell>
          <cell r="BT59">
            <v>699.80941250000035</v>
          </cell>
          <cell r="BU59">
            <v>650.98549999999977</v>
          </cell>
          <cell r="BV59">
            <v>716.08405000000027</v>
          </cell>
          <cell r="BW59">
            <v>732.3586875000002</v>
          </cell>
          <cell r="BX59">
            <v>748.63332500000013</v>
          </cell>
          <cell r="BY59">
            <v>764.90796250000005</v>
          </cell>
          <cell r="BZ59">
            <v>716.08404999999971</v>
          </cell>
        </row>
        <row r="60">
          <cell r="B60" t="str">
            <v>Flows</v>
          </cell>
          <cell r="I60">
            <v>2.7</v>
          </cell>
          <cell r="J60">
            <v>10.5</v>
          </cell>
          <cell r="K60">
            <v>-2.1</v>
          </cell>
          <cell r="L60">
            <v>15.9</v>
          </cell>
          <cell r="N60">
            <v>2.4</v>
          </cell>
          <cell r="O60">
            <v>25.9</v>
          </cell>
          <cell r="P60">
            <v>3.2</v>
          </cell>
          <cell r="Q60">
            <v>17</v>
          </cell>
          <cell r="R60">
            <v>48.5</v>
          </cell>
          <cell r="S60">
            <v>4.9000000000000004</v>
          </cell>
          <cell r="T60">
            <v>11.8</v>
          </cell>
          <cell r="U60">
            <v>14.9</v>
          </cell>
          <cell r="V60">
            <v>21.9</v>
          </cell>
          <cell r="W60">
            <v>53.5</v>
          </cell>
          <cell r="X60">
            <v>6.7</v>
          </cell>
          <cell r="Y60">
            <v>14.2</v>
          </cell>
          <cell r="Z60">
            <v>0</v>
          </cell>
          <cell r="AA60">
            <v>1</v>
          </cell>
          <cell r="AB60">
            <v>21.9</v>
          </cell>
          <cell r="AC60">
            <v>15.2</v>
          </cell>
          <cell r="AD60">
            <v>0.3</v>
          </cell>
          <cell r="AE60">
            <v>15.2</v>
          </cell>
          <cell r="AF60">
            <v>25.9</v>
          </cell>
          <cell r="AG60">
            <v>56.599999999999994</v>
          </cell>
          <cell r="AH60">
            <v>-61</v>
          </cell>
          <cell r="AI60">
            <v>-74.400000000000006</v>
          </cell>
          <cell r="AJ60">
            <v>12.7</v>
          </cell>
          <cell r="AK60">
            <v>19.399999999999999</v>
          </cell>
          <cell r="AL60">
            <v>-103.30000000000001</v>
          </cell>
          <cell r="AM60">
            <v>-61</v>
          </cell>
          <cell r="AN60">
            <v>-74.400000000000006</v>
          </cell>
          <cell r="AO60">
            <v>12.7</v>
          </cell>
          <cell r="AP60">
            <v>19.399999999999999</v>
          </cell>
          <cell r="AQ60">
            <v>-103.30000000000001</v>
          </cell>
          <cell r="AR60">
            <v>6.6</v>
          </cell>
          <cell r="AS60">
            <v>22.7</v>
          </cell>
          <cell r="AT60">
            <v>16.399999999999999</v>
          </cell>
          <cell r="AU60">
            <v>3.7</v>
          </cell>
          <cell r="AV60">
            <v>49.4</v>
          </cell>
          <cell r="AW60">
            <v>31.7</v>
          </cell>
          <cell r="AX60">
            <v>24.3</v>
          </cell>
          <cell r="AY60">
            <v>3</v>
          </cell>
          <cell r="AZ60">
            <v>28.7</v>
          </cell>
          <cell r="BA60">
            <v>87.7</v>
          </cell>
          <cell r="BB60">
            <v>6.6</v>
          </cell>
          <cell r="BC60">
            <v>3.9</v>
          </cell>
          <cell r="BD60">
            <v>11.5</v>
          </cell>
          <cell r="BE60">
            <v>15.2</v>
          </cell>
          <cell r="BF60">
            <v>37.200000000000003</v>
          </cell>
          <cell r="BG60">
            <v>38.5</v>
          </cell>
          <cell r="BH60">
            <v>6.0174999999999983</v>
          </cell>
          <cell r="BI60">
            <v>6.0174999999999983</v>
          </cell>
          <cell r="BJ60">
            <v>6.0174999999999983</v>
          </cell>
          <cell r="BK60">
            <v>56.552499999999995</v>
          </cell>
          <cell r="BL60">
            <v>7.3975624999999985</v>
          </cell>
          <cell r="BM60">
            <v>7.3975624999999985</v>
          </cell>
          <cell r="BN60">
            <v>7.3975624999999985</v>
          </cell>
          <cell r="BO60">
            <v>7.3975624999999985</v>
          </cell>
          <cell r="BP60">
            <v>29.590249999999994</v>
          </cell>
          <cell r="BQ60">
            <v>8.1373187499999968</v>
          </cell>
          <cell r="BR60">
            <v>8.1373187499999968</v>
          </cell>
          <cell r="BS60">
            <v>8.1373187499999968</v>
          </cell>
          <cell r="BT60">
            <v>8.1373187499999968</v>
          </cell>
          <cell r="BU60">
            <v>32.549274999999987</v>
          </cell>
          <cell r="BV60">
            <v>8.1373187499999968</v>
          </cell>
          <cell r="BW60">
            <v>8.1373187499999968</v>
          </cell>
          <cell r="BX60">
            <v>8.1373187499999968</v>
          </cell>
          <cell r="BY60">
            <v>8.1373187499999968</v>
          </cell>
          <cell r="BZ60">
            <v>32.549274999999987</v>
          </cell>
        </row>
        <row r="61">
          <cell r="B61" t="str">
            <v>BULL</v>
          </cell>
          <cell r="BE61">
            <v>7.5844999999999985</v>
          </cell>
          <cell r="BG61">
            <v>8.4244999999999983</v>
          </cell>
          <cell r="BH61">
            <v>8.4244999999999983</v>
          </cell>
          <cell r="BI61">
            <v>8.4244999999999983</v>
          </cell>
          <cell r="BJ61">
            <v>8.4244999999999983</v>
          </cell>
          <cell r="BL61">
            <v>10.356587499999998</v>
          </cell>
          <cell r="BM61">
            <v>10.356587499999998</v>
          </cell>
          <cell r="BN61">
            <v>10.356587499999998</v>
          </cell>
          <cell r="BO61">
            <v>10.356587499999998</v>
          </cell>
          <cell r="BQ61">
            <v>11.392246249999998</v>
          </cell>
          <cell r="BR61">
            <v>11.392246249999998</v>
          </cell>
          <cell r="BS61">
            <v>11.392246249999998</v>
          </cell>
          <cell r="BT61">
            <v>11.392246249999998</v>
          </cell>
          <cell r="BV61">
            <v>12.531470874999997</v>
          </cell>
          <cell r="BW61">
            <v>12.531470874999997</v>
          </cell>
          <cell r="BX61">
            <v>12.531470874999997</v>
          </cell>
          <cell r="BY61">
            <v>12.531470874999997</v>
          </cell>
        </row>
        <row r="62">
          <cell r="B62" t="str">
            <v>BASE</v>
          </cell>
          <cell r="X62">
            <v>6.7</v>
          </cell>
          <cell r="Y62">
            <v>14.2</v>
          </cell>
          <cell r="Z62">
            <v>0</v>
          </cell>
          <cell r="AA62">
            <v>1</v>
          </cell>
          <cell r="AB62">
            <v>-0.59065420560747661</v>
          </cell>
          <cell r="AC62">
            <v>15.2</v>
          </cell>
          <cell r="AD62">
            <v>0.3</v>
          </cell>
          <cell r="AE62">
            <v>15.2</v>
          </cell>
          <cell r="AF62">
            <v>25.9</v>
          </cell>
          <cell r="AG62">
            <v>1.5844748858447488</v>
          </cell>
          <cell r="AH62">
            <v>-61</v>
          </cell>
          <cell r="AI62">
            <v>-74.400000000000006</v>
          </cell>
          <cell r="AJ62">
            <v>12.7</v>
          </cell>
          <cell r="AK62">
            <v>19.399999999999999</v>
          </cell>
          <cell r="AM62">
            <v>-61</v>
          </cell>
          <cell r="AN62">
            <v>-74.400000000000006</v>
          </cell>
          <cell r="AO62">
            <v>12.7</v>
          </cell>
          <cell r="AP62">
            <v>19.399999999999999</v>
          </cell>
          <cell r="AR62">
            <v>6.6</v>
          </cell>
          <cell r="AS62">
            <v>22.7</v>
          </cell>
          <cell r="AT62">
            <v>16.399999999999999</v>
          </cell>
          <cell r="AU62">
            <v>3.7</v>
          </cell>
          <cell r="AW62">
            <v>31.7</v>
          </cell>
          <cell r="AX62">
            <v>24.3</v>
          </cell>
          <cell r="AY62">
            <v>3</v>
          </cell>
          <cell r="AZ62">
            <v>28.7</v>
          </cell>
          <cell r="BB62">
            <v>6.6</v>
          </cell>
          <cell r="BC62">
            <v>3.9</v>
          </cell>
          <cell r="BD62">
            <v>11.5</v>
          </cell>
          <cell r="BE62">
            <v>15.2</v>
          </cell>
          <cell r="BG62">
            <v>38.5</v>
          </cell>
          <cell r="BH62">
            <v>6.0174999999999983</v>
          </cell>
          <cell r="BI62">
            <v>6.0174999999999983</v>
          </cell>
          <cell r="BJ62">
            <v>6.0174999999999983</v>
          </cell>
          <cell r="BL62">
            <v>7.3975624999999985</v>
          </cell>
          <cell r="BM62">
            <v>7.3975624999999985</v>
          </cell>
          <cell r="BN62">
            <v>7.3975624999999985</v>
          </cell>
          <cell r="BO62">
            <v>7.3975624999999985</v>
          </cell>
          <cell r="BQ62">
            <v>8.1373187499999968</v>
          </cell>
          <cell r="BR62">
            <v>8.1373187499999968</v>
          </cell>
          <cell r="BS62">
            <v>8.1373187499999968</v>
          </cell>
          <cell r="BT62">
            <v>8.1373187499999968</v>
          </cell>
          <cell r="BV62">
            <v>8.1373187499999968</v>
          </cell>
          <cell r="BW62">
            <v>8.1373187499999968</v>
          </cell>
          <cell r="BX62">
            <v>8.1373187499999968</v>
          </cell>
          <cell r="BY62">
            <v>8.1373187499999968</v>
          </cell>
        </row>
        <row r="63">
          <cell r="B63" t="str">
            <v>BEAR</v>
          </cell>
          <cell r="BE63">
            <v>3.2504999999999988</v>
          </cell>
          <cell r="BG63">
            <v>3.6104999999999987</v>
          </cell>
          <cell r="BH63">
            <v>3.6104999999999987</v>
          </cell>
          <cell r="BI63">
            <v>3.6104999999999987</v>
          </cell>
          <cell r="BJ63">
            <v>3.6104999999999987</v>
          </cell>
          <cell r="BL63">
            <v>4.4385374999999989</v>
          </cell>
          <cell r="BM63">
            <v>4.4385374999999989</v>
          </cell>
          <cell r="BN63">
            <v>4.4385374999999989</v>
          </cell>
          <cell r="BO63">
            <v>4.4385374999999989</v>
          </cell>
          <cell r="BQ63">
            <v>4.8823912499999977</v>
          </cell>
          <cell r="BR63">
            <v>4.8823912499999977</v>
          </cell>
          <cell r="BS63">
            <v>4.8823912499999977</v>
          </cell>
          <cell r="BT63">
            <v>4.8823912499999977</v>
          </cell>
          <cell r="BV63">
            <v>5.3706303749999975</v>
          </cell>
          <cell r="BW63">
            <v>5.3706303749999975</v>
          </cell>
          <cell r="BX63">
            <v>5.3706303749999975</v>
          </cell>
          <cell r="BY63">
            <v>5.3706303749999975</v>
          </cell>
        </row>
        <row r="64">
          <cell r="B64" t="str">
            <v>Market appreciation</v>
          </cell>
          <cell r="I64">
            <v>-15.2</v>
          </cell>
          <cell r="J64">
            <v>9.9</v>
          </cell>
          <cell r="K64">
            <v>-31.2</v>
          </cell>
          <cell r="L64">
            <v>-63.2</v>
          </cell>
          <cell r="N64">
            <v>-13.6</v>
          </cell>
          <cell r="O64">
            <v>42.2</v>
          </cell>
          <cell r="P64">
            <v>20.100000000000001</v>
          </cell>
          <cell r="Q64">
            <v>18</v>
          </cell>
          <cell r="R64">
            <v>66.7</v>
          </cell>
          <cell r="S64">
            <v>7.5</v>
          </cell>
          <cell r="T64">
            <v>-30.4</v>
          </cell>
          <cell r="U64">
            <v>39</v>
          </cell>
          <cell r="V64">
            <v>20.7</v>
          </cell>
          <cell r="W64">
            <v>36.799999999999997</v>
          </cell>
          <cell r="X64">
            <v>10.1</v>
          </cell>
          <cell r="Y64">
            <v>-3.8</v>
          </cell>
          <cell r="Z64">
            <v>-70.400000000000006</v>
          </cell>
          <cell r="AA64">
            <v>10.5</v>
          </cell>
          <cell r="AB64">
            <v>-53.600000000000009</v>
          </cell>
          <cell r="AC64">
            <v>37.9</v>
          </cell>
          <cell r="AD64">
            <v>-27.6</v>
          </cell>
          <cell r="AE64">
            <v>21.1</v>
          </cell>
          <cell r="AF64">
            <v>12.7</v>
          </cell>
          <cell r="AG64">
            <v>44.099999999999994</v>
          </cell>
          <cell r="AH64">
            <v>16</v>
          </cell>
          <cell r="AI64">
            <v>-13.2</v>
          </cell>
          <cell r="AJ64">
            <v>20.2</v>
          </cell>
          <cell r="AK64">
            <v>10.9</v>
          </cell>
          <cell r="AL64">
            <v>33.9</v>
          </cell>
          <cell r="AM64">
            <v>16</v>
          </cell>
          <cell r="AN64">
            <v>-13.2</v>
          </cell>
          <cell r="AO64">
            <v>20.2</v>
          </cell>
          <cell r="AP64">
            <v>10.9</v>
          </cell>
          <cell r="AQ64">
            <v>33.9</v>
          </cell>
          <cell r="AR64">
            <v>1.3</v>
          </cell>
          <cell r="AS64">
            <v>15.2</v>
          </cell>
          <cell r="AT64">
            <v>-17.2</v>
          </cell>
          <cell r="AU64">
            <v>-8.3000000000000007</v>
          </cell>
          <cell r="AV64">
            <v>-9</v>
          </cell>
          <cell r="AW64">
            <v>13</v>
          </cell>
          <cell r="AX64">
            <v>-6.9</v>
          </cell>
          <cell r="AY64">
            <v>-48.2</v>
          </cell>
          <cell r="AZ64">
            <v>14.5</v>
          </cell>
          <cell r="BA64">
            <v>-27.6</v>
          </cell>
          <cell r="BB64">
            <v>-1.7</v>
          </cell>
          <cell r="BC64">
            <v>-2.5</v>
          </cell>
          <cell r="BD64">
            <v>23.7</v>
          </cell>
          <cell r="BE64">
            <v>-8.6999999999999993</v>
          </cell>
          <cell r="BF64">
            <v>10.8</v>
          </cell>
          <cell r="BG64">
            <v>35.799999999999997</v>
          </cell>
          <cell r="BH64">
            <v>6.0174999999999983</v>
          </cell>
          <cell r="BI64">
            <v>6.0174999999999983</v>
          </cell>
          <cell r="BJ64">
            <v>6.0174999999999983</v>
          </cell>
          <cell r="BK64">
            <v>53.852499999999992</v>
          </cell>
          <cell r="BL64">
            <v>7.3975624999999985</v>
          </cell>
          <cell r="BM64">
            <v>7.3975624999999985</v>
          </cell>
          <cell r="BN64">
            <v>7.3975624999999985</v>
          </cell>
          <cell r="BO64">
            <v>7.3975624999999985</v>
          </cell>
          <cell r="BP64">
            <v>29.590249999999994</v>
          </cell>
          <cell r="BQ64">
            <v>8.1373187499999968</v>
          </cell>
          <cell r="BR64">
            <v>8.1373187499999968</v>
          </cell>
          <cell r="BS64">
            <v>8.1373187499999968</v>
          </cell>
          <cell r="BT64">
            <v>8.1373187499999968</v>
          </cell>
          <cell r="BU64">
            <v>32.549274999999987</v>
          </cell>
          <cell r="BV64">
            <v>8.1373187499999968</v>
          </cell>
          <cell r="BW64">
            <v>8.1373187499999968</v>
          </cell>
          <cell r="BX64">
            <v>8.1373187499999968</v>
          </cell>
          <cell r="BY64">
            <v>8.1373187499999968</v>
          </cell>
          <cell r="BZ64">
            <v>32.549274999999987</v>
          </cell>
        </row>
        <row r="65">
          <cell r="B65" t="str">
            <v>BULL</v>
          </cell>
          <cell r="BE65">
            <v>7.5844999999999985</v>
          </cell>
          <cell r="BG65">
            <v>8.4244999999999983</v>
          </cell>
          <cell r="BH65">
            <v>8.4244999999999983</v>
          </cell>
          <cell r="BI65">
            <v>8.4244999999999983</v>
          </cell>
          <cell r="BJ65">
            <v>8.4244999999999983</v>
          </cell>
          <cell r="BL65">
            <v>10.356587499999998</v>
          </cell>
          <cell r="BM65">
            <v>10.356587499999998</v>
          </cell>
          <cell r="BN65">
            <v>10.356587499999998</v>
          </cell>
          <cell r="BO65">
            <v>10.356587499999998</v>
          </cell>
          <cell r="BQ65">
            <v>11.392246249999998</v>
          </cell>
          <cell r="BR65">
            <v>11.392246249999998</v>
          </cell>
          <cell r="BS65">
            <v>11.392246249999998</v>
          </cell>
          <cell r="BT65">
            <v>11.392246249999998</v>
          </cell>
          <cell r="BV65">
            <v>12.531470874999997</v>
          </cell>
          <cell r="BW65">
            <v>12.531470874999997</v>
          </cell>
          <cell r="BX65">
            <v>12.531470874999997</v>
          </cell>
          <cell r="BY65">
            <v>12.531470874999997</v>
          </cell>
        </row>
        <row r="66">
          <cell r="B66" t="str">
            <v>BASE</v>
          </cell>
          <cell r="AC66">
            <v>37.9</v>
          </cell>
          <cell r="AD66">
            <v>-27.6</v>
          </cell>
          <cell r="AE66">
            <v>21.1</v>
          </cell>
          <cell r="AF66">
            <v>12.7</v>
          </cell>
          <cell r="AH66">
            <v>16</v>
          </cell>
          <cell r="AI66">
            <v>-13.2</v>
          </cell>
          <cell r="AJ66">
            <v>20.2</v>
          </cell>
          <cell r="AK66">
            <v>10.9</v>
          </cell>
          <cell r="AM66">
            <v>16</v>
          </cell>
          <cell r="AN66">
            <v>-13.2</v>
          </cell>
          <cell r="AO66">
            <v>20.2</v>
          </cell>
          <cell r="AP66">
            <v>10.9</v>
          </cell>
          <cell r="AR66">
            <v>1.3</v>
          </cell>
          <cell r="AS66">
            <v>15.2</v>
          </cell>
          <cell r="AT66">
            <v>-17.2</v>
          </cell>
          <cell r="AU66">
            <v>-8.3000000000000007</v>
          </cell>
          <cell r="AW66">
            <v>13</v>
          </cell>
          <cell r="AX66">
            <v>-6.9</v>
          </cell>
          <cell r="AY66">
            <v>-48.2</v>
          </cell>
          <cell r="AZ66">
            <v>14.5</v>
          </cell>
          <cell r="BA66">
            <v>-27.6</v>
          </cell>
          <cell r="BB66">
            <v>-1.7</v>
          </cell>
          <cell r="BC66">
            <v>-2.5</v>
          </cell>
          <cell r="BD66">
            <v>23.7</v>
          </cell>
          <cell r="BE66">
            <v>-8.6999999999999993</v>
          </cell>
          <cell r="BG66">
            <v>35.799999999999997</v>
          </cell>
          <cell r="BH66">
            <v>6.0174999999999983</v>
          </cell>
          <cell r="BI66">
            <v>6.0174999999999983</v>
          </cell>
          <cell r="BJ66">
            <v>6.0174999999999983</v>
          </cell>
          <cell r="BL66">
            <v>7.3975624999999985</v>
          </cell>
          <cell r="BM66">
            <v>7.3975624999999985</v>
          </cell>
          <cell r="BN66">
            <v>7.3975624999999985</v>
          </cell>
          <cell r="BO66">
            <v>7.3975624999999985</v>
          </cell>
          <cell r="BQ66">
            <v>8.1373187499999968</v>
          </cell>
          <cell r="BR66">
            <v>8.1373187499999968</v>
          </cell>
          <cell r="BS66">
            <v>8.1373187499999968</v>
          </cell>
          <cell r="BT66">
            <v>8.1373187499999968</v>
          </cell>
          <cell r="BV66">
            <v>8.1373187499999968</v>
          </cell>
          <cell r="BW66">
            <v>8.1373187499999968</v>
          </cell>
          <cell r="BX66">
            <v>8.1373187499999968</v>
          </cell>
          <cell r="BY66">
            <v>8.1373187499999968</v>
          </cell>
        </row>
        <row r="67">
          <cell r="B67" t="str">
            <v>BEAR</v>
          </cell>
          <cell r="BE67">
            <v>0</v>
          </cell>
          <cell r="BG67">
            <v>0</v>
          </cell>
          <cell r="BH67">
            <v>0</v>
          </cell>
          <cell r="BI67">
            <v>0</v>
          </cell>
          <cell r="BJ67">
            <v>0</v>
          </cell>
          <cell r="BL67">
            <v>0</v>
          </cell>
          <cell r="BM67">
            <v>0</v>
          </cell>
          <cell r="BN67">
            <v>0</v>
          </cell>
          <cell r="BO67">
            <v>0</v>
          </cell>
          <cell r="BQ67">
            <v>0</v>
          </cell>
          <cell r="BR67">
            <v>0</v>
          </cell>
          <cell r="BS67">
            <v>0</v>
          </cell>
          <cell r="BT67">
            <v>0</v>
          </cell>
          <cell r="BV67">
            <v>0</v>
          </cell>
          <cell r="BW67">
            <v>0</v>
          </cell>
          <cell r="BX67">
            <v>0</v>
          </cell>
          <cell r="BY67">
            <v>0</v>
          </cell>
        </row>
        <row r="68">
          <cell r="B68" t="str">
            <v>AUMs in ETFs linked to MSCI Indices (ending)</v>
          </cell>
          <cell r="H68">
            <v>191.7</v>
          </cell>
          <cell r="I68">
            <v>179.2</v>
          </cell>
          <cell r="J68">
            <v>199.6</v>
          </cell>
          <cell r="K68">
            <v>166.3</v>
          </cell>
          <cell r="L68">
            <v>119.00000000000001</v>
          </cell>
          <cell r="M68">
            <v>119.00000000000001</v>
          </cell>
          <cell r="N68">
            <v>107.80000000000003</v>
          </cell>
          <cell r="O68">
            <v>175.89999999999998</v>
          </cell>
          <cell r="P68">
            <v>199.2</v>
          </cell>
          <cell r="Q68">
            <v>234.2</v>
          </cell>
          <cell r="R68">
            <v>243</v>
          </cell>
          <cell r="S68">
            <v>255.4</v>
          </cell>
          <cell r="T68">
            <v>236.79999999999998</v>
          </cell>
          <cell r="U68">
            <v>290.7</v>
          </cell>
          <cell r="V68">
            <v>333.29999999999995</v>
          </cell>
          <cell r="W68">
            <v>333.3</v>
          </cell>
          <cell r="X68">
            <v>350.09999999999997</v>
          </cell>
          <cell r="Y68">
            <v>360.49999999999994</v>
          </cell>
          <cell r="Z68">
            <v>290.09999999999991</v>
          </cell>
          <cell r="AA68">
            <v>301.59999999999991</v>
          </cell>
          <cell r="AB68">
            <v>301.59999999999997</v>
          </cell>
          <cell r="AC68">
            <v>354.69999999999987</v>
          </cell>
          <cell r="AD68">
            <v>327.39999999999986</v>
          </cell>
          <cell r="AE68">
            <v>363.69999999999987</v>
          </cell>
          <cell r="AF68">
            <v>402.29999999999984</v>
          </cell>
          <cell r="AG68">
            <v>402.29999999999995</v>
          </cell>
          <cell r="AH68">
            <v>357.29999999999984</v>
          </cell>
          <cell r="AI68">
            <v>269.69999999999987</v>
          </cell>
          <cell r="AJ68">
            <v>302.59999999999985</v>
          </cell>
          <cell r="AK68">
            <v>332.89999999999981</v>
          </cell>
          <cell r="AL68">
            <v>332.89999999999992</v>
          </cell>
          <cell r="AM68">
            <v>357.29999999999984</v>
          </cell>
          <cell r="AN68">
            <v>269.69999999999987</v>
          </cell>
          <cell r="AO68">
            <v>302.59999999999985</v>
          </cell>
          <cell r="AP68">
            <v>332.89999999999981</v>
          </cell>
          <cell r="AQ68">
            <v>332.89999999999992</v>
          </cell>
          <cell r="AR68">
            <v>340.79999999999984</v>
          </cell>
          <cell r="AS68">
            <v>378.69999999999982</v>
          </cell>
          <cell r="AT68">
            <v>377.89999999999981</v>
          </cell>
          <cell r="AU68">
            <v>373.29999999999978</v>
          </cell>
          <cell r="AV68">
            <v>373.2999999999999</v>
          </cell>
          <cell r="AW68">
            <v>417.99999999999977</v>
          </cell>
          <cell r="AX68">
            <v>435.39999999999981</v>
          </cell>
          <cell r="AY68">
            <v>390.19999999999982</v>
          </cell>
          <cell r="AZ68">
            <v>433.4</v>
          </cell>
          <cell r="BA68">
            <v>433.39999999999986</v>
          </cell>
          <cell r="BB68">
            <v>438.3</v>
          </cell>
          <cell r="BC68">
            <v>439.7</v>
          </cell>
          <cell r="BD68">
            <v>474.9</v>
          </cell>
          <cell r="BE68">
            <v>481.4</v>
          </cell>
          <cell r="BF68">
            <v>481.39999999999986</v>
          </cell>
          <cell r="BG68">
            <v>555.69999999999993</v>
          </cell>
          <cell r="BH68">
            <v>567.73500000000001</v>
          </cell>
          <cell r="BI68">
            <v>579.7700000000001</v>
          </cell>
          <cell r="BJ68">
            <v>591.80500000000018</v>
          </cell>
          <cell r="BK68">
            <v>591.80499999999984</v>
          </cell>
          <cell r="BL68">
            <v>606.60012500000028</v>
          </cell>
          <cell r="BM68">
            <v>621.39525000000037</v>
          </cell>
          <cell r="BN68">
            <v>636.19037500000047</v>
          </cell>
          <cell r="BO68">
            <v>650.98550000000057</v>
          </cell>
          <cell r="BP68">
            <v>650.98549999999977</v>
          </cell>
          <cell r="BQ68">
            <v>667.2601375000005</v>
          </cell>
          <cell r="BR68">
            <v>683.53477500000042</v>
          </cell>
          <cell r="BS68">
            <v>699.80941250000035</v>
          </cell>
          <cell r="BT68">
            <v>716.08405000000027</v>
          </cell>
          <cell r="BU68">
            <v>716.08404999999971</v>
          </cell>
          <cell r="BV68">
            <v>732.3586875000002</v>
          </cell>
          <cell r="BW68">
            <v>748.63332500000013</v>
          </cell>
          <cell r="BX68">
            <v>764.90796250000005</v>
          </cell>
          <cell r="BY68">
            <v>781.18259999999998</v>
          </cell>
          <cell r="BZ68">
            <v>781.18259999999964</v>
          </cell>
        </row>
        <row r="69">
          <cell r="B69" t="str">
            <v>Change in Ending Balance</v>
          </cell>
          <cell r="I69">
            <v>-6.5206051121544095E-2</v>
          </cell>
          <cell r="J69">
            <v>0.11383928571428581</v>
          </cell>
          <cell r="K69">
            <v>-0.16683366733466931</v>
          </cell>
          <cell r="L69">
            <v>-0.28442573662056525</v>
          </cell>
          <cell r="M69">
            <v>-0.37923839332290021</v>
          </cell>
          <cell r="N69">
            <v>-9.4117647058823417E-2</v>
          </cell>
          <cell r="O69">
            <v>0.63172541743970245</v>
          </cell>
          <cell r="P69">
            <v>0.13246162592382049</v>
          </cell>
          <cell r="Q69">
            <v>0.17570281124497988</v>
          </cell>
          <cell r="R69">
            <v>1.0420168067226889</v>
          </cell>
          <cell r="S69">
            <v>5.1028806584362263E-2</v>
          </cell>
          <cell r="T69">
            <v>-7.2826938136256958E-2</v>
          </cell>
          <cell r="U69">
            <v>0.2276182432432432</v>
          </cell>
          <cell r="V69">
            <v>0.14654282765737858</v>
          </cell>
          <cell r="W69">
            <v>0.3716049382716049</v>
          </cell>
          <cell r="X69">
            <v>5.0405040504050369E-2</v>
          </cell>
          <cell r="Y69">
            <v>2.9705798343330425E-2</v>
          </cell>
          <cell r="Z69">
            <v>-0.19528432732316237</v>
          </cell>
          <cell r="AA69">
            <v>3.9641502930024108E-2</v>
          </cell>
          <cell r="AB69">
            <v>-9.5109510951095211E-2</v>
          </cell>
          <cell r="AC69">
            <v>0.1760610079575593</v>
          </cell>
          <cell r="AD69">
            <v>-7.6966450521567586E-2</v>
          </cell>
          <cell r="AE69">
            <v>0.11087354917532077</v>
          </cell>
          <cell r="AF69">
            <v>0.10613142700027489</v>
          </cell>
          <cell r="AG69">
            <v>0.33388594164456231</v>
          </cell>
          <cell r="AH69">
            <v>-0.11185682326621949</v>
          </cell>
          <cell r="AI69">
            <v>-0.24517212426532331</v>
          </cell>
          <cell r="AJ69">
            <v>0.12198739340007414</v>
          </cell>
          <cell r="AK69">
            <v>0.10013218770654309</v>
          </cell>
          <cell r="AL69">
            <v>-0.17250807854834715</v>
          </cell>
          <cell r="AM69">
            <v>7.3295283869029504E-2</v>
          </cell>
          <cell r="AN69">
            <v>-0.24517212426532331</v>
          </cell>
          <cell r="AO69">
            <v>0.12198739340007414</v>
          </cell>
          <cell r="AP69">
            <v>0.10013218770654309</v>
          </cell>
          <cell r="AQ69">
            <v>-0.17250807854834715</v>
          </cell>
          <cell r="AR69">
            <v>2.3730850105136536E-2</v>
          </cell>
          <cell r="AS69">
            <v>0.11120892018779349</v>
          </cell>
          <cell r="AT69">
            <v>-2.1124900977026462E-3</v>
          </cell>
          <cell r="AU69">
            <v>-1.217253241598315E-2</v>
          </cell>
          <cell r="AV69">
            <v>0.12135776509462293</v>
          </cell>
          <cell r="AW69">
            <v>0.11974283418162313</v>
          </cell>
          <cell r="AX69">
            <v>4.1626794258373234E-2</v>
          </cell>
          <cell r="AY69">
            <v>-0.10381258612769872</v>
          </cell>
          <cell r="AZ69">
            <v>0.11071245515120487</v>
          </cell>
          <cell r="BA69">
            <v>0.16099651754620936</v>
          </cell>
          <cell r="BB69">
            <v>1.1305952930318774E-2</v>
          </cell>
          <cell r="BC69">
            <v>3.1941592516540052E-3</v>
          </cell>
          <cell r="BD69">
            <v>8.0054582670002317E-2</v>
          </cell>
          <cell r="BE69">
            <v>1.3687092019372571E-2</v>
          </cell>
          <cell r="BF69">
            <v>0.11075219197046615</v>
          </cell>
          <cell r="BG69">
            <v>0.15434150394682189</v>
          </cell>
          <cell r="BH69">
            <v>2.1657369084038258E-2</v>
          </cell>
          <cell r="BI69">
            <v>2.1198270319779722E-2</v>
          </cell>
          <cell r="BJ69">
            <v>2.0758231712575848E-2</v>
          </cell>
          <cell r="BK69">
            <v>0.22934150394682185</v>
          </cell>
          <cell r="BL69">
            <v>2.5000000000000799E-2</v>
          </cell>
          <cell r="BM69">
            <v>2.4390243902439268E-2</v>
          </cell>
          <cell r="BN69">
            <v>2.3809523809523947E-2</v>
          </cell>
          <cell r="BO69">
            <v>2.3255813953488413E-2</v>
          </cell>
          <cell r="BP69">
            <v>9.9999999999999867E-2</v>
          </cell>
          <cell r="BQ69">
            <v>2.5000000000001021E-2</v>
          </cell>
          <cell r="BR69">
            <v>2.4390243902438824E-2</v>
          </cell>
          <cell r="BS69">
            <v>2.3809523809523725E-2</v>
          </cell>
          <cell r="BT69">
            <v>2.3255813953488191E-2</v>
          </cell>
          <cell r="BU69">
            <v>9.9999999999999867E-2</v>
          </cell>
          <cell r="BV69">
            <v>2.2727272727273373E-2</v>
          </cell>
          <cell r="BW69">
            <v>2.2222222222222143E-2</v>
          </cell>
          <cell r="BX69">
            <v>2.1739130434782483E-2</v>
          </cell>
          <cell r="BY69">
            <v>2.1276595744680771E-2</v>
          </cell>
          <cell r="BZ69">
            <v>9.0909090909090828E-2</v>
          </cell>
        </row>
        <row r="71">
          <cell r="B71" t="str">
            <v>Fee % annualized</v>
          </cell>
          <cell r="I71">
            <v>4.2249662981935836E-4</v>
          </cell>
          <cell r="J71">
            <v>3.8663146779303068E-4</v>
          </cell>
          <cell r="K71">
            <v>4.0037168625307461E-4</v>
          </cell>
          <cell r="L71">
            <v>3.7776375744830003E-4</v>
          </cell>
          <cell r="N71">
            <v>4.6497354497354495E-4</v>
          </cell>
          <cell r="O71">
            <v>4.2918575960521679E-4</v>
          </cell>
          <cell r="P71">
            <v>4.2977339376166357E-4</v>
          </cell>
          <cell r="Q71">
            <v>4.2013844023996305E-4</v>
          </cell>
          <cell r="S71">
            <v>4.0104333868378812E-4</v>
          </cell>
          <cell r="T71">
            <v>4.1765136123527022E-4</v>
          </cell>
          <cell r="U71">
            <v>3.8117914691943131E-4</v>
          </cell>
          <cell r="V71">
            <v>3.8519230769230769E-4</v>
          </cell>
          <cell r="X71">
            <v>4.433011413520633E-4</v>
          </cell>
          <cell r="Y71">
            <v>4.0852237545736006E-4</v>
          </cell>
          <cell r="Z71">
            <v>4.3074085459575786E-4</v>
          </cell>
          <cell r="AA71">
            <v>4.1990197735338868E-4</v>
          </cell>
          <cell r="AC71">
            <v>4.2186804814871266E-4</v>
          </cell>
          <cell r="AD71">
            <v>3.9987098665884792E-4</v>
          </cell>
          <cell r="AE71">
            <v>3.940616408623935E-4</v>
          </cell>
          <cell r="AF71">
            <v>3.9830809399477816E-4</v>
          </cell>
          <cell r="AH71">
            <v>3.8457082675092172E-4</v>
          </cell>
          <cell r="AI71">
            <v>4.717065390749603E-4</v>
          </cell>
          <cell r="AJ71">
            <v>5.1442949502009463E-4</v>
          </cell>
          <cell r="AK71">
            <v>4.9346970889063756E-4</v>
          </cell>
          <cell r="AM71">
            <v>3.8457082675092172E-4</v>
          </cell>
          <cell r="AN71">
            <v>4.717065390749603E-4</v>
          </cell>
          <cell r="AO71">
            <v>5.1442949502009463E-4</v>
          </cell>
          <cell r="AP71">
            <v>4.9346970889063756E-4</v>
          </cell>
          <cell r="AR71">
            <v>4.8567611696600892E-4</v>
          </cell>
          <cell r="AS71">
            <v>4.9028492008339143E-4</v>
          </cell>
          <cell r="AT71">
            <v>3.6161776367961955E-4</v>
          </cell>
          <cell r="AU71">
            <v>3.429179978700748E-4</v>
          </cell>
          <cell r="AW71">
            <v>3.3565019588019737E-4</v>
          </cell>
          <cell r="AX71">
            <v>3.5247246308882135E-4</v>
          </cell>
          <cell r="AY71">
            <v>3.4593023255813973E-4</v>
          </cell>
          <cell r="AZ71">
            <v>3.4191355026712007E-4</v>
          </cell>
          <cell r="BB71">
            <v>3.0560972811747157E-4</v>
          </cell>
          <cell r="BC71">
            <v>3.1526195899772211E-4</v>
          </cell>
          <cell r="BD71">
            <v>3.227640498578614E-4</v>
          </cell>
          <cell r="BE71">
            <v>3.1036285684408658E-4</v>
          </cell>
          <cell r="BG71">
            <v>3.1009545849002029E-4</v>
          </cell>
        </row>
        <row r="72">
          <cell r="B72" t="str">
            <v>Fee % reported</v>
          </cell>
          <cell r="AE72">
            <v>3.6999999999999999E-4</v>
          </cell>
          <cell r="AF72">
            <v>3.6999999999999999E-4</v>
          </cell>
          <cell r="AH72">
            <v>3.6000000000000002E-4</v>
          </cell>
          <cell r="AI72">
            <v>3.6000000000000002E-4</v>
          </cell>
          <cell r="AJ72">
            <v>3.6999999999999999E-4</v>
          </cell>
          <cell r="AK72">
            <v>3.6000000000000002E-4</v>
          </cell>
          <cell r="AM72">
            <v>3.6000000000000002E-4</v>
          </cell>
          <cell r="AN72">
            <v>3.6000000000000002E-4</v>
          </cell>
          <cell r="AO72">
            <v>3.6999999999999999E-4</v>
          </cell>
          <cell r="AP72">
            <v>3.6000000000000002E-4</v>
          </cell>
          <cell r="AR72">
            <v>3.6000000000000002E-4</v>
          </cell>
          <cell r="AS72">
            <v>3.5E-4</v>
          </cell>
          <cell r="AT72">
            <v>3.5E-4</v>
          </cell>
          <cell r="AU72">
            <v>3.39E-4</v>
          </cell>
          <cell r="AW72">
            <v>3.3799999999999998E-4</v>
          </cell>
          <cell r="AX72">
            <v>3.4299999999999999E-4</v>
          </cell>
          <cell r="AY72">
            <v>3.4000000000000002E-4</v>
          </cell>
          <cell r="AZ72">
            <v>3.3199999999999999E-4</v>
          </cell>
          <cell r="BB72">
            <v>3.2400000000000001E-4</v>
          </cell>
          <cell r="BC72">
            <v>3.1199999999999999E-4</v>
          </cell>
          <cell r="BD72">
            <v>3.1100000000000002E-4</v>
          </cell>
          <cell r="BE72">
            <v>3.1E-4</v>
          </cell>
          <cell r="BG72">
            <v>3.0800000000000001E-4</v>
          </cell>
          <cell r="BH72">
            <v>3.0338000000000001E-4</v>
          </cell>
          <cell r="BI72">
            <v>2.9882930000000002E-4</v>
          </cell>
          <cell r="BJ72">
            <v>2.9434686049999999E-4</v>
          </cell>
          <cell r="BL72">
            <v>2.8993165759249998E-4</v>
          </cell>
          <cell r="BM72">
            <v>2.8558268272861246E-4</v>
          </cell>
          <cell r="BN72">
            <v>2.8129894248768325E-4</v>
          </cell>
          <cell r="BO72">
            <v>2.7707945835036798E-4</v>
          </cell>
          <cell r="BQ72">
            <v>2.7292326647511243E-4</v>
          </cell>
          <cell r="BR72">
            <v>2.6882941747798572E-4</v>
          </cell>
          <cell r="BS72">
            <v>2.6479697621581595E-4</v>
          </cell>
          <cell r="BT72">
            <v>2.608250215725787E-4</v>
          </cell>
          <cell r="BV72">
            <v>2.5691264624899001E-4</v>
          </cell>
          <cell r="BW72">
            <v>2.5305895655525516E-4</v>
          </cell>
          <cell r="BX72">
            <v>2.4926307220692631E-4</v>
          </cell>
          <cell r="BY72">
            <v>2.4552412612382243E-4</v>
          </cell>
        </row>
        <row r="74">
          <cell r="B74" t="str">
            <v>ETF Revenue</v>
          </cell>
          <cell r="AL74">
            <v>109</v>
          </cell>
          <cell r="AQ74">
            <v>110.7</v>
          </cell>
          <cell r="AR74">
            <v>30.316499999999984</v>
          </cell>
          <cell r="AS74">
            <v>31.478124999999984</v>
          </cell>
          <cell r="AT74">
            <v>34.200000000000003</v>
          </cell>
          <cell r="AU74">
            <v>32.200000000000003</v>
          </cell>
          <cell r="AV74">
            <v>128.19462499999997</v>
          </cell>
          <cell r="AW74">
            <v>33.200000000000003</v>
          </cell>
          <cell r="AX74">
            <v>37.6</v>
          </cell>
          <cell r="AY74">
            <v>35.700000000000003</v>
          </cell>
          <cell r="AZ74">
            <v>35.200000000000003</v>
          </cell>
          <cell r="BA74">
            <v>141.70000000000002</v>
          </cell>
          <cell r="BB74">
            <v>33.299999999999997</v>
          </cell>
          <cell r="BC74">
            <v>34.6</v>
          </cell>
          <cell r="BD74">
            <v>36.9</v>
          </cell>
          <cell r="BE74">
            <v>37.1</v>
          </cell>
          <cell r="BF74">
            <v>141.9</v>
          </cell>
          <cell r="BG74">
            <v>40.200000000000003</v>
          </cell>
          <cell r="BH74">
            <v>42.603463787500004</v>
          </cell>
          <cell r="BI74">
            <v>42.86351448706251</v>
          </cell>
          <cell r="BJ74">
            <v>43.106177886285941</v>
          </cell>
          <cell r="BK74">
            <v>168.77315616084846</v>
          </cell>
          <cell r="BL74">
            <v>43.431948044824665</v>
          </cell>
          <cell r="BM74">
            <v>43.836776696353589</v>
          </cell>
          <cell r="BN74">
            <v>44.219688300026547</v>
          </cell>
          <cell r="BO74">
            <v>44.581249280832651</v>
          </cell>
          <cell r="BP74">
            <v>176.06966232203746</v>
          </cell>
          <cell r="BQ74">
            <v>44.972488175383411</v>
          </cell>
          <cell r="BR74">
            <v>45.39167618245024</v>
          </cell>
          <cell r="BS74">
            <v>45.788169739465616</v>
          </cell>
          <cell r="BT74">
            <v>46.162555362629476</v>
          </cell>
          <cell r="BU74">
            <v>182.31488945992874</v>
          </cell>
          <cell r="BV74">
            <v>46.515407078907039</v>
          </cell>
          <cell r="BW74">
            <v>46.847286668739692</v>
          </cell>
          <cell r="BX74">
            <v>47.158743904284599</v>
          </cell>
          <cell r="BY74">
            <v>47.4503167832627</v>
          </cell>
          <cell r="BZ74">
            <v>187.97175443519404</v>
          </cell>
          <cell r="CB74">
            <v>5.7845005431091945E-2</v>
          </cell>
        </row>
        <row r="75">
          <cell r="B75" t="str">
            <v>y/y change</v>
          </cell>
          <cell r="AQ75">
            <v>1.5596330275229331E-2</v>
          </cell>
          <cell r="AV75">
            <v>0.15803635953026163</v>
          </cell>
          <cell r="AW75">
            <v>9.5113222172744871E-2</v>
          </cell>
          <cell r="AX75">
            <v>0.19448029385486021</v>
          </cell>
          <cell r="AY75">
            <v>4.3859649122806932E-2</v>
          </cell>
          <cell r="AZ75">
            <v>9.3167701863354102E-2</v>
          </cell>
          <cell r="BA75">
            <v>0.10535055584428799</v>
          </cell>
          <cell r="BB75">
            <v>3.0120481927708997E-3</v>
          </cell>
          <cell r="BC75">
            <v>-7.9787234042553168E-2</v>
          </cell>
          <cell r="BD75">
            <v>3.3613445378151141E-2</v>
          </cell>
          <cell r="BE75">
            <v>5.3977272727272707E-2</v>
          </cell>
          <cell r="BF75">
            <v>1.4114326040930436E-3</v>
          </cell>
          <cell r="BG75">
            <v>0.20720720720720731</v>
          </cell>
          <cell r="BH75">
            <v>0.23131398229768796</v>
          </cell>
          <cell r="BI75">
            <v>0.16161285872798126</v>
          </cell>
          <cell r="BJ75">
            <v>0.16189158723142705</v>
          </cell>
          <cell r="BK75">
            <v>0.18938094546052464</v>
          </cell>
          <cell r="BL75">
            <v>8.0396717532951856E-2</v>
          </cell>
          <cell r="BM75">
            <v>2.8948653447643968E-2</v>
          </cell>
          <cell r="BN75">
            <v>3.1639351770218704E-2</v>
          </cell>
          <cell r="BO75">
            <v>3.4219489337188547E-2</v>
          </cell>
          <cell r="BP75">
            <v>4.3232622575565927E-2</v>
          </cell>
          <cell r="BQ75">
            <v>3.5470205687500034E-2</v>
          </cell>
          <cell r="BR75">
            <v>3.547020568749959E-2</v>
          </cell>
          <cell r="BS75">
            <v>3.5470205687499812E-2</v>
          </cell>
          <cell r="BT75">
            <v>3.547020568749959E-2</v>
          </cell>
          <cell r="BU75">
            <v>3.547020568749959E-2</v>
          </cell>
          <cell r="BV75">
            <v>3.4308061797838851E-2</v>
          </cell>
          <cell r="BW75">
            <v>3.2067784420180434E-2</v>
          </cell>
          <cell r="BX75">
            <v>2.9932931860293666E-2</v>
          </cell>
          <cell r="BY75">
            <v>2.7896233441091489E-2</v>
          </cell>
          <cell r="BZ75">
            <v>3.1027992239266E-2</v>
          </cell>
        </row>
        <row r="77">
          <cell r="B77" t="str">
            <v>Institutional Passive/Non-ETF</v>
          </cell>
          <cell r="AL77">
            <v>27</v>
          </cell>
          <cell r="AQ77">
            <v>34.1</v>
          </cell>
          <cell r="AR77" t="str">
            <v>ND</v>
          </cell>
          <cell r="AS77" t="str">
            <v>ND</v>
          </cell>
          <cell r="AT77">
            <v>11.3</v>
          </cell>
          <cell r="AU77">
            <v>11.7</v>
          </cell>
          <cell r="AV77">
            <v>44.1</v>
          </cell>
          <cell r="AW77">
            <v>10.8</v>
          </cell>
          <cell r="AX77">
            <v>12</v>
          </cell>
          <cell r="AY77">
            <v>13.5</v>
          </cell>
          <cell r="AZ77">
            <v>12.8</v>
          </cell>
          <cell r="BA77">
            <v>49.099999999999994</v>
          </cell>
          <cell r="BB77">
            <v>13</v>
          </cell>
          <cell r="BC77">
            <v>12.8</v>
          </cell>
          <cell r="BD77">
            <v>16.7</v>
          </cell>
          <cell r="BE77">
            <v>16.100000000000001</v>
          </cell>
          <cell r="BF77">
            <v>58.6</v>
          </cell>
          <cell r="BG77">
            <v>14.7</v>
          </cell>
          <cell r="BH77">
            <v>14.847999999999999</v>
          </cell>
          <cell r="BI77">
            <v>17.535</v>
          </cell>
          <cell r="BJ77">
            <v>16.905000000000001</v>
          </cell>
          <cell r="BK77">
            <v>63.988</v>
          </cell>
          <cell r="BL77">
            <v>16.023</v>
          </cell>
          <cell r="BM77">
            <v>16.18432</v>
          </cell>
          <cell r="BN77">
            <v>19.113150000000001</v>
          </cell>
          <cell r="BO77">
            <v>18.426450000000003</v>
          </cell>
          <cell r="BP77">
            <v>69.746920000000003</v>
          </cell>
          <cell r="BQ77">
            <v>17.320862999999999</v>
          </cell>
          <cell r="BR77">
            <v>17.495249919999999</v>
          </cell>
          <cell r="BS77">
            <v>20.66131515</v>
          </cell>
          <cell r="BT77">
            <v>19.918992450000001</v>
          </cell>
          <cell r="BU77">
            <v>75.396420519999992</v>
          </cell>
          <cell r="BV77">
            <v>18.583553912699998</v>
          </cell>
          <cell r="BW77">
            <v>18.770653639168</v>
          </cell>
          <cell r="BX77">
            <v>22.167525024435001</v>
          </cell>
          <cell r="BY77">
            <v>21.371086999605001</v>
          </cell>
          <cell r="BZ77">
            <v>80.892819575908007</v>
          </cell>
          <cell r="CB77">
            <v>6.6602190976398301E-2</v>
          </cell>
        </row>
        <row r="78">
          <cell r="B78" t="str">
            <v>y/y change</v>
          </cell>
          <cell r="AQ78">
            <v>0.26296296296296306</v>
          </cell>
          <cell r="AV78">
            <v>0.29325513196480935</v>
          </cell>
          <cell r="AY78">
            <v>0.19469026548672552</v>
          </cell>
          <cell r="AZ78">
            <v>9.4017094017094127E-2</v>
          </cell>
          <cell r="BA78">
            <v>0.11337868480725599</v>
          </cell>
          <cell r="BB78">
            <v>0.20370370370370372</v>
          </cell>
          <cell r="BC78">
            <v>6.6666666666666652E-2</v>
          </cell>
          <cell r="BD78">
            <v>0.23703703703703694</v>
          </cell>
          <cell r="BE78">
            <v>0.2578125</v>
          </cell>
          <cell r="BF78">
            <v>0.19348268839103877</v>
          </cell>
          <cell r="BG78">
            <v>0.13076923076923075</v>
          </cell>
          <cell r="BH78">
            <v>0.16</v>
          </cell>
          <cell r="BI78">
            <v>0.05</v>
          </cell>
          <cell r="BJ78">
            <v>0.05</v>
          </cell>
          <cell r="BK78">
            <v>9.1945392491467492E-2</v>
          </cell>
          <cell r="BL78">
            <v>0.09</v>
          </cell>
          <cell r="BM78">
            <v>0.09</v>
          </cell>
          <cell r="BN78">
            <v>0.09</v>
          </cell>
          <cell r="BO78">
            <v>0.09</v>
          </cell>
          <cell r="BP78">
            <v>9.000000000000008E-2</v>
          </cell>
          <cell r="BQ78">
            <v>8.1000000000000003E-2</v>
          </cell>
          <cell r="BR78">
            <v>8.1000000000000003E-2</v>
          </cell>
          <cell r="BS78">
            <v>8.1000000000000003E-2</v>
          </cell>
          <cell r="BT78">
            <v>8.1000000000000003E-2</v>
          </cell>
          <cell r="BU78">
            <v>8.0999999999999739E-2</v>
          </cell>
          <cell r="BV78">
            <v>7.2900000000000006E-2</v>
          </cell>
          <cell r="BW78">
            <v>7.2900000000000006E-2</v>
          </cell>
          <cell r="BX78">
            <v>7.2900000000000006E-2</v>
          </cell>
          <cell r="BY78">
            <v>7.2900000000000006E-2</v>
          </cell>
          <cell r="BZ78">
            <v>7.2900000000000187E-2</v>
          </cell>
        </row>
        <row r="79">
          <cell r="B79" t="str">
            <v>BULL</v>
          </cell>
          <cell r="BE79">
            <v>0.22</v>
          </cell>
          <cell r="BG79">
            <v>0.18</v>
          </cell>
          <cell r="BH79">
            <v>0.18</v>
          </cell>
          <cell r="BI79">
            <v>7.0000000000000007E-2</v>
          </cell>
          <cell r="BJ79">
            <v>7.0000000000000007E-2</v>
          </cell>
          <cell r="BL79">
            <v>0.11</v>
          </cell>
          <cell r="BM79">
            <v>0.11</v>
          </cell>
          <cell r="BN79">
            <v>0.11</v>
          </cell>
          <cell r="BO79">
            <v>0.11</v>
          </cell>
          <cell r="BQ79">
            <v>0.10100000000000001</v>
          </cell>
          <cell r="BR79">
            <v>0.10100000000000001</v>
          </cell>
          <cell r="BS79">
            <v>0.10100000000000001</v>
          </cell>
          <cell r="BT79">
            <v>0.10100000000000001</v>
          </cell>
          <cell r="BV79">
            <v>9.290000000000001E-2</v>
          </cell>
          <cell r="BW79">
            <v>9.290000000000001E-2</v>
          </cell>
          <cell r="BX79">
            <v>9.290000000000001E-2</v>
          </cell>
          <cell r="BY79">
            <v>9.290000000000001E-2</v>
          </cell>
        </row>
        <row r="80">
          <cell r="B80" t="str">
            <v>BASE</v>
          </cell>
          <cell r="BE80">
            <v>0.2</v>
          </cell>
          <cell r="BG80">
            <v>0.16</v>
          </cell>
          <cell r="BH80">
            <v>0.16</v>
          </cell>
          <cell r="BI80">
            <v>0.05</v>
          </cell>
          <cell r="BJ80">
            <v>0.05</v>
          </cell>
          <cell r="BL80">
            <v>0.09</v>
          </cell>
          <cell r="BM80">
            <v>0.09</v>
          </cell>
          <cell r="BN80">
            <v>0.09</v>
          </cell>
          <cell r="BO80">
            <v>0.09</v>
          </cell>
          <cell r="BQ80">
            <v>8.1000000000000003E-2</v>
          </cell>
          <cell r="BR80">
            <v>8.1000000000000003E-2</v>
          </cell>
          <cell r="BS80">
            <v>8.1000000000000003E-2</v>
          </cell>
          <cell r="BT80">
            <v>8.1000000000000003E-2</v>
          </cell>
          <cell r="BV80">
            <v>7.2900000000000006E-2</v>
          </cell>
          <cell r="BW80">
            <v>7.2900000000000006E-2</v>
          </cell>
          <cell r="BX80">
            <v>7.2900000000000006E-2</v>
          </cell>
          <cell r="BY80">
            <v>7.2900000000000006E-2</v>
          </cell>
        </row>
        <row r="81">
          <cell r="B81" t="str">
            <v>BEAR</v>
          </cell>
          <cell r="BE81">
            <v>0.18000000000000002</v>
          </cell>
          <cell r="BG81">
            <v>0.14000000000000001</v>
          </cell>
          <cell r="BH81">
            <v>0.14000000000000001</v>
          </cell>
          <cell r="BI81">
            <v>3.0000000000000002E-2</v>
          </cell>
          <cell r="BJ81">
            <v>3.0000000000000002E-2</v>
          </cell>
          <cell r="BL81">
            <v>6.9999999999999993E-2</v>
          </cell>
          <cell r="BM81">
            <v>6.9999999999999993E-2</v>
          </cell>
          <cell r="BN81">
            <v>6.9999999999999993E-2</v>
          </cell>
          <cell r="BO81">
            <v>6.9999999999999993E-2</v>
          </cell>
          <cell r="BQ81">
            <v>6.0999999999999999E-2</v>
          </cell>
          <cell r="BR81">
            <v>6.0999999999999999E-2</v>
          </cell>
          <cell r="BS81">
            <v>6.0999999999999999E-2</v>
          </cell>
          <cell r="BT81">
            <v>6.0999999999999999E-2</v>
          </cell>
          <cell r="BV81">
            <v>5.2900000000000003E-2</v>
          </cell>
          <cell r="BW81">
            <v>5.2900000000000003E-2</v>
          </cell>
          <cell r="BX81">
            <v>5.2900000000000003E-2</v>
          </cell>
          <cell r="BY81">
            <v>5.2900000000000003E-2</v>
          </cell>
        </row>
        <row r="83">
          <cell r="B83" t="str">
            <v>Futures &amp; Options</v>
          </cell>
          <cell r="AL83">
            <v>5</v>
          </cell>
          <cell r="AQ83">
            <v>4.7</v>
          </cell>
          <cell r="AR83" t="str">
            <v>ND</v>
          </cell>
          <cell r="AS83" t="str">
            <v>ND</v>
          </cell>
          <cell r="AT83">
            <v>1.1000000000000001</v>
          </cell>
          <cell r="AU83">
            <v>1.6</v>
          </cell>
          <cell r="AV83">
            <v>4.8</v>
          </cell>
          <cell r="AW83">
            <v>1.8</v>
          </cell>
          <cell r="AX83">
            <v>1.5</v>
          </cell>
          <cell r="AY83">
            <v>1.5</v>
          </cell>
          <cell r="AZ83">
            <v>2.2000000000000002</v>
          </cell>
          <cell r="BA83">
            <v>7</v>
          </cell>
          <cell r="BB83">
            <v>2.2999999999999998</v>
          </cell>
          <cell r="BC83">
            <v>2.2000000000000002</v>
          </cell>
          <cell r="BD83">
            <v>2.5</v>
          </cell>
          <cell r="BE83">
            <v>2.6</v>
          </cell>
          <cell r="BF83">
            <v>9.6</v>
          </cell>
          <cell r="BG83">
            <v>2.6</v>
          </cell>
          <cell r="BH83">
            <v>2.2000000000000002</v>
          </cell>
          <cell r="BI83">
            <v>3</v>
          </cell>
          <cell r="BJ83">
            <v>3.12</v>
          </cell>
          <cell r="BK83">
            <v>10.920000000000002</v>
          </cell>
          <cell r="BL83">
            <v>2.6</v>
          </cell>
          <cell r="BM83">
            <v>2.2000000000000002</v>
          </cell>
          <cell r="BN83">
            <v>3.54</v>
          </cell>
          <cell r="BO83">
            <v>3.6816</v>
          </cell>
          <cell r="BP83">
            <v>12.021599999999999</v>
          </cell>
          <cell r="BQ83">
            <v>2.6</v>
          </cell>
          <cell r="BR83">
            <v>2.2000000000000002</v>
          </cell>
          <cell r="BS83">
            <v>4.11348</v>
          </cell>
          <cell r="BT83">
            <v>4.2780192000000001</v>
          </cell>
          <cell r="BU83">
            <v>13.191499199999999</v>
          </cell>
          <cell r="BV83">
            <v>2.6</v>
          </cell>
          <cell r="BW83">
            <v>2.2000000000000002</v>
          </cell>
          <cell r="BX83">
            <v>4.7132253839999994</v>
          </cell>
          <cell r="BY83">
            <v>4.9017543993599997</v>
          </cell>
          <cell r="BZ83">
            <v>14.41497978336</v>
          </cell>
          <cell r="CB83">
            <v>8.4697304485449321E-2</v>
          </cell>
        </row>
        <row r="84">
          <cell r="B84" t="str">
            <v>y/y change</v>
          </cell>
          <cell r="AQ84">
            <v>-5.9999999999999942E-2</v>
          </cell>
          <cell r="AV84">
            <v>2.1276595744680771E-2</v>
          </cell>
          <cell r="AY84">
            <v>0.36363636363636354</v>
          </cell>
          <cell r="AZ84">
            <v>0.375</v>
          </cell>
          <cell r="BA84">
            <v>0.45833333333333348</v>
          </cell>
          <cell r="BB84">
            <v>0.27777777777777768</v>
          </cell>
          <cell r="BC84">
            <v>0.46666666666666679</v>
          </cell>
          <cell r="BD84">
            <v>0.66666666666666674</v>
          </cell>
          <cell r="BE84">
            <v>0.18181818181818166</v>
          </cell>
          <cell r="BF84">
            <v>0.37142857142857144</v>
          </cell>
          <cell r="BG84">
            <v>0.13043478260869579</v>
          </cell>
          <cell r="BH84">
            <v>0</v>
          </cell>
          <cell r="BI84">
            <v>0.2</v>
          </cell>
          <cell r="BJ84">
            <v>0.2</v>
          </cell>
          <cell r="BK84">
            <v>0.13750000000000018</v>
          </cell>
          <cell r="BL84">
            <v>0</v>
          </cell>
          <cell r="BM84">
            <v>0</v>
          </cell>
          <cell r="BN84">
            <v>0.18000000000000002</v>
          </cell>
          <cell r="BO84">
            <v>0.18000000000000002</v>
          </cell>
          <cell r="BP84">
            <v>0.10087912087912065</v>
          </cell>
          <cell r="BQ84">
            <v>0</v>
          </cell>
          <cell r="BR84">
            <v>0</v>
          </cell>
          <cell r="BS84">
            <v>0.16200000000000003</v>
          </cell>
          <cell r="BT84">
            <v>0.16200000000000003</v>
          </cell>
          <cell r="BU84">
            <v>9.7316430425234524E-2</v>
          </cell>
          <cell r="BV84">
            <v>0</v>
          </cell>
          <cell r="BW84">
            <v>0</v>
          </cell>
          <cell r="BX84">
            <v>0.14580000000000004</v>
          </cell>
          <cell r="BY84">
            <v>0.14580000000000004</v>
          </cell>
          <cell r="BZ84">
            <v>9.2747652470008823E-2</v>
          </cell>
        </row>
        <row r="85">
          <cell r="B85" t="str">
            <v>BULL</v>
          </cell>
          <cell r="BE85">
            <v>0.3</v>
          </cell>
          <cell r="BG85">
            <v>0.30000000000000004</v>
          </cell>
          <cell r="BH85">
            <v>0.1</v>
          </cell>
          <cell r="BI85">
            <v>0.30000000000000004</v>
          </cell>
          <cell r="BJ85">
            <v>0.30000000000000004</v>
          </cell>
          <cell r="BL85">
            <v>0</v>
          </cell>
          <cell r="BM85">
            <v>9.0000000000000011E-2</v>
          </cell>
          <cell r="BN85">
            <v>0.27000000000000007</v>
          </cell>
          <cell r="BO85">
            <v>0.27000000000000007</v>
          </cell>
          <cell r="BQ85">
            <v>0</v>
          </cell>
          <cell r="BR85">
            <v>8.1000000000000016E-2</v>
          </cell>
          <cell r="BS85">
            <v>0.24300000000000008</v>
          </cell>
          <cell r="BT85">
            <v>0.24300000000000008</v>
          </cell>
          <cell r="BV85">
            <v>0</v>
          </cell>
          <cell r="BW85">
            <v>7.290000000000002E-2</v>
          </cell>
          <cell r="BX85">
            <v>0.21870000000000006</v>
          </cell>
          <cell r="BY85">
            <v>0.21870000000000006</v>
          </cell>
        </row>
        <row r="86">
          <cell r="B86" t="str">
            <v>BASE</v>
          </cell>
          <cell r="AL86">
            <v>6.1064855234485238E-2</v>
          </cell>
          <cell r="BE86">
            <v>0.2</v>
          </cell>
          <cell r="BG86">
            <v>0.2</v>
          </cell>
          <cell r="BH86">
            <v>0</v>
          </cell>
          <cell r="BI86">
            <v>0.2</v>
          </cell>
          <cell r="BJ86">
            <v>0.2</v>
          </cell>
          <cell r="BL86">
            <v>0</v>
          </cell>
          <cell r="BM86">
            <v>0</v>
          </cell>
          <cell r="BN86">
            <v>0.18000000000000002</v>
          </cell>
          <cell r="BO86">
            <v>0.18000000000000002</v>
          </cell>
          <cell r="BQ86">
            <v>0</v>
          </cell>
          <cell r="BR86">
            <v>0</v>
          </cell>
          <cell r="BS86">
            <v>0.16200000000000003</v>
          </cell>
          <cell r="BT86">
            <v>0.16200000000000003</v>
          </cell>
          <cell r="BV86">
            <v>0</v>
          </cell>
          <cell r="BW86">
            <v>0</v>
          </cell>
          <cell r="BX86">
            <v>0.14580000000000004</v>
          </cell>
          <cell r="BY86">
            <v>0.14580000000000004</v>
          </cell>
        </row>
        <row r="87">
          <cell r="B87" t="str">
            <v>BEAR</v>
          </cell>
          <cell r="BE87">
            <v>0.15000000000000002</v>
          </cell>
          <cell r="BG87">
            <v>0.15000000000000002</v>
          </cell>
          <cell r="BH87">
            <v>-0.05</v>
          </cell>
          <cell r="BI87">
            <v>0.15000000000000002</v>
          </cell>
          <cell r="BJ87">
            <v>0.15000000000000002</v>
          </cell>
          <cell r="BL87">
            <v>-0.05</v>
          </cell>
          <cell r="BM87">
            <v>-0.05</v>
          </cell>
          <cell r="BN87">
            <v>0.13</v>
          </cell>
          <cell r="BO87">
            <v>0.13</v>
          </cell>
          <cell r="BQ87">
            <v>-0.05</v>
          </cell>
          <cell r="BR87">
            <v>-0.05</v>
          </cell>
          <cell r="BS87">
            <v>0.11200000000000003</v>
          </cell>
          <cell r="BT87">
            <v>0.11200000000000003</v>
          </cell>
          <cell r="BV87">
            <v>-0.05</v>
          </cell>
          <cell r="BW87">
            <v>-0.05</v>
          </cell>
          <cell r="BX87">
            <v>9.5800000000000038E-2</v>
          </cell>
          <cell r="BY87">
            <v>9.5800000000000038E-2</v>
          </cell>
        </row>
        <row r="89">
          <cell r="B89" t="str">
            <v>Asset based fee revenue</v>
          </cell>
          <cell r="I89">
            <v>19.588000000000001</v>
          </cell>
          <cell r="J89">
            <v>18.306999999999999</v>
          </cell>
          <cell r="K89">
            <v>18.312000000000001</v>
          </cell>
          <cell r="L89">
            <v>13.472</v>
          </cell>
          <cell r="M89">
            <v>69.678999999999988</v>
          </cell>
          <cell r="N89">
            <v>13.182</v>
          </cell>
          <cell r="O89">
            <v>15.22</v>
          </cell>
          <cell r="P89">
            <v>20.151</v>
          </cell>
          <cell r="Q89">
            <v>22.760999999999999</v>
          </cell>
          <cell r="R89">
            <v>71.313999999999993</v>
          </cell>
          <cell r="S89">
            <v>24.984999999999999</v>
          </cell>
          <cell r="T89">
            <v>25.696000000000002</v>
          </cell>
          <cell r="U89">
            <v>25.134</v>
          </cell>
          <cell r="V89">
            <v>30.045000000000002</v>
          </cell>
          <cell r="W89">
            <v>105.86</v>
          </cell>
          <cell r="X89">
            <v>37.869</v>
          </cell>
          <cell r="Y89">
            <v>36.286999999999999</v>
          </cell>
          <cell r="Z89">
            <v>35.03</v>
          </cell>
          <cell r="AA89">
            <v>31.056999999999999</v>
          </cell>
          <cell r="AB89">
            <v>140.24299999999999</v>
          </cell>
          <cell r="AC89">
            <v>34.609000000000002</v>
          </cell>
          <cell r="AD89">
            <v>34.094000000000001</v>
          </cell>
          <cell r="AE89">
            <v>34.042000000000002</v>
          </cell>
          <cell r="AF89">
            <v>38.137999999999998</v>
          </cell>
          <cell r="AG89">
            <v>140.88300000000001</v>
          </cell>
          <cell r="AH89">
            <v>36.515000000000001</v>
          </cell>
          <cell r="AI89">
            <v>36.97</v>
          </cell>
          <cell r="AJ89">
            <v>36.801000000000002</v>
          </cell>
          <cell r="AK89">
            <v>39.200000000000003</v>
          </cell>
          <cell r="AL89">
            <v>149.48599999999999</v>
          </cell>
          <cell r="AM89">
            <v>36.515000000000001</v>
          </cell>
          <cell r="AN89">
            <v>36.97</v>
          </cell>
          <cell r="AO89">
            <v>36.801000000000002</v>
          </cell>
          <cell r="AP89">
            <v>39.200000000000003</v>
          </cell>
          <cell r="AQ89">
            <v>149.48599999999999</v>
          </cell>
          <cell r="AR89">
            <v>40.9</v>
          </cell>
          <cell r="AS89">
            <v>44.094999999999999</v>
          </cell>
          <cell r="AT89">
            <v>46.656999999999996</v>
          </cell>
          <cell r="AU89">
            <v>45.453000000000003</v>
          </cell>
          <cell r="AV89">
            <v>177.10499999999999</v>
          </cell>
          <cell r="AW89">
            <v>45.88</v>
          </cell>
          <cell r="AX89">
            <v>51.16</v>
          </cell>
          <cell r="AY89">
            <v>50.735999999999997</v>
          </cell>
          <cell r="AZ89">
            <v>50.198</v>
          </cell>
          <cell r="BA89">
            <v>197.97399999999999</v>
          </cell>
          <cell r="BB89">
            <v>48.698999999999998</v>
          </cell>
          <cell r="BC89">
            <v>49.634</v>
          </cell>
          <cell r="BD89">
            <v>56.1</v>
          </cell>
          <cell r="BE89">
            <v>55.774000000000001</v>
          </cell>
          <cell r="BF89">
            <v>210.20699999999999</v>
          </cell>
          <cell r="BG89">
            <v>57.508000000000003</v>
          </cell>
          <cell r="BH89">
            <v>59.651463787500006</v>
          </cell>
          <cell r="BI89">
            <v>63.398514487062513</v>
          </cell>
          <cell r="BJ89">
            <v>63.13117788628594</v>
          </cell>
          <cell r="BK89">
            <v>243.68115616084845</v>
          </cell>
          <cell r="BL89">
            <v>62.054948044824663</v>
          </cell>
          <cell r="BM89">
            <v>62.221096696353591</v>
          </cell>
          <cell r="BN89">
            <v>66.872838300026558</v>
          </cell>
          <cell r="BO89">
            <v>66.689299280832657</v>
          </cell>
          <cell r="BP89">
            <v>257.83818232203743</v>
          </cell>
          <cell r="BQ89">
            <v>64.893351175383401</v>
          </cell>
          <cell r="BR89">
            <v>65.086926102450235</v>
          </cell>
          <cell r="BS89">
            <v>70.562964889465619</v>
          </cell>
          <cell r="BT89">
            <v>70.359567012629483</v>
          </cell>
          <cell r="BU89">
            <v>270.90280917992874</v>
          </cell>
          <cell r="BV89">
            <v>67.698960991607038</v>
          </cell>
          <cell r="BW89">
            <v>67.817940307907691</v>
          </cell>
          <cell r="BX89">
            <v>74.039494312719597</v>
          </cell>
          <cell r="BY89">
            <v>73.723158182227706</v>
          </cell>
          <cell r="BZ89">
            <v>283.27955379446206</v>
          </cell>
          <cell r="CB89">
            <v>6.1484388071944451E-2</v>
          </cell>
        </row>
        <row r="90">
          <cell r="B90" t="str">
            <v>y/y change</v>
          </cell>
          <cell r="AR90">
            <v>0.12008763521840327</v>
          </cell>
          <cell r="AS90">
            <v>0.1927238301325398</v>
          </cell>
          <cell r="AT90">
            <v>0.26781880927148705</v>
          </cell>
          <cell r="AU90">
            <v>0.15951530612244902</v>
          </cell>
          <cell r="AV90">
            <v>0.18475977683528888</v>
          </cell>
          <cell r="AW90">
            <v>0.12176039119804405</v>
          </cell>
          <cell r="AX90">
            <v>0.1602222474203423</v>
          </cell>
          <cell r="AY90">
            <v>8.7425252373706019E-2</v>
          </cell>
          <cell r="AZ90">
            <v>0.10439354938067891</v>
          </cell>
          <cell r="BA90">
            <v>0.11783405324524998</v>
          </cell>
          <cell r="BB90">
            <v>6.1442894507410584E-2</v>
          </cell>
          <cell r="BC90">
            <v>-2.9827990617669942E-2</v>
          </cell>
          <cell r="BD90">
            <v>0.10572374645222338</v>
          </cell>
          <cell r="BE90">
            <v>0.11108012271405232</v>
          </cell>
          <cell r="BF90">
            <v>6.1790942244941194E-2</v>
          </cell>
          <cell r="BG90">
            <v>0.18088667118421342</v>
          </cell>
          <cell r="BH90">
            <v>0.20182664680460993</v>
          </cell>
          <cell r="BI90">
            <v>0.13009829745209478</v>
          </cell>
          <cell r="BJ90">
            <v>0.13191052975016926</v>
          </cell>
          <cell r="BK90">
            <v>0.15924377475939644</v>
          </cell>
          <cell r="BL90">
            <v>7.906635676470497E-2</v>
          </cell>
          <cell r="BM90">
            <v>4.3077449331462292E-2</v>
          </cell>
          <cell r="BN90">
            <v>5.4801344180911871E-2</v>
          </cell>
          <cell r="BO90">
            <v>5.6360763630226129E-2</v>
          </cell>
          <cell r="BP90">
            <v>5.809651589080711E-2</v>
          </cell>
          <cell r="BQ90">
            <v>4.5740158037171463E-2</v>
          </cell>
          <cell r="BR90">
            <v>4.6058805746903353E-2</v>
          </cell>
          <cell r="BS90">
            <v>5.5181246725063859E-2</v>
          </cell>
          <cell r="BT90">
            <v>5.5035332075406895E-2</v>
          </cell>
          <cell r="BU90">
            <v>5.0669868753471681E-2</v>
          </cell>
          <cell r="BV90">
            <v>4.32341644468488E-2</v>
          </cell>
          <cell r="BW90">
            <v>4.1959489700876373E-2</v>
          </cell>
          <cell r="BX90">
            <v>4.9268471480752529E-2</v>
          </cell>
          <cell r="BY90">
            <v>4.7805740035245847E-2</v>
          </cell>
          <cell r="BZ90">
            <v>4.5687029425792725E-2</v>
          </cell>
        </row>
        <row r="95">
          <cell r="C95">
            <v>2006</v>
          </cell>
          <cell r="D95" t="str">
            <v>1Q07</v>
          </cell>
          <cell r="E95" t="str">
            <v>2Q07</v>
          </cell>
          <cell r="F95" t="str">
            <v>3Q07</v>
          </cell>
          <cell r="G95" t="str">
            <v>4Q07</v>
          </cell>
          <cell r="H95">
            <v>2007</v>
          </cell>
          <cell r="I95" t="str">
            <v>1Q08</v>
          </cell>
          <cell r="J95" t="str">
            <v>2Q08</v>
          </cell>
          <cell r="K95" t="str">
            <v>3Q08</v>
          </cell>
          <cell r="L95" t="str">
            <v>4Q08</v>
          </cell>
          <cell r="P95" t="str">
            <v>3Q09</v>
          </cell>
          <cell r="Q95" t="str">
            <v>4Q09</v>
          </cell>
          <cell r="R95">
            <v>2009</v>
          </cell>
          <cell r="S95" t="str">
            <v>1Q10</v>
          </cell>
          <cell r="T95" t="str">
            <v>2Q10</v>
          </cell>
          <cell r="U95" t="str">
            <v>3Q10</v>
          </cell>
          <cell r="V95" t="str">
            <v>4Q10</v>
          </cell>
          <cell r="W95">
            <v>2010</v>
          </cell>
          <cell r="X95" t="str">
            <v>1Q11</v>
          </cell>
          <cell r="Y95" t="str">
            <v>2Q11</v>
          </cell>
          <cell r="Z95" t="str">
            <v>3Q11</v>
          </cell>
          <cell r="AA95" t="str">
            <v>4Q11</v>
          </cell>
          <cell r="AB95">
            <v>2011</v>
          </cell>
          <cell r="AC95" t="str">
            <v>1Q12</v>
          </cell>
          <cell r="AD95" t="str">
            <v>2Q12</v>
          </cell>
          <cell r="AE95" t="str">
            <v>3Q12</v>
          </cell>
          <cell r="AF95" t="str">
            <v>4Q12</v>
          </cell>
          <cell r="AG95">
            <v>2012</v>
          </cell>
          <cell r="AH95" t="str">
            <v>1Q13</v>
          </cell>
          <cell r="AI95" t="str">
            <v>2Q13</v>
          </cell>
          <cell r="AJ95" t="str">
            <v>3Q13</v>
          </cell>
          <cell r="AK95" t="str">
            <v>4Q13</v>
          </cell>
          <cell r="AL95">
            <v>2013</v>
          </cell>
          <cell r="AM95" t="str">
            <v>1Q13R</v>
          </cell>
          <cell r="AN95" t="str">
            <v>2Q13R</v>
          </cell>
          <cell r="AO95" t="str">
            <v>3Q13R</v>
          </cell>
          <cell r="AP95" t="str">
            <v>4Q13R</v>
          </cell>
          <cell r="AQ95" t="str">
            <v>2013R</v>
          </cell>
          <cell r="AR95" t="str">
            <v>1Q14</v>
          </cell>
          <cell r="AS95" t="str">
            <v>2Q14</v>
          </cell>
          <cell r="AT95" t="str">
            <v>3Q14</v>
          </cell>
          <cell r="AU95" t="str">
            <v>4Q14</v>
          </cell>
          <cell r="AV95">
            <v>2014</v>
          </cell>
          <cell r="AW95" t="str">
            <v>1Q15</v>
          </cell>
          <cell r="AX95" t="str">
            <v>2Q15</v>
          </cell>
          <cell r="AY95" t="str">
            <v>3Q15</v>
          </cell>
          <cell r="AZ95" t="str">
            <v>4Q15</v>
          </cell>
          <cell r="BA95">
            <v>2015</v>
          </cell>
          <cell r="BB95" t="str">
            <v>1Q16</v>
          </cell>
          <cell r="BC95" t="str">
            <v>2Q16</v>
          </cell>
          <cell r="BD95" t="str">
            <v>3Q16</v>
          </cell>
          <cell r="BE95" t="str">
            <v>4Q16</v>
          </cell>
          <cell r="BF95">
            <v>2016</v>
          </cell>
          <cell r="BG95" t="str">
            <v>1Q17</v>
          </cell>
          <cell r="BH95" t="str">
            <v>2Q17E</v>
          </cell>
          <cell r="BI95" t="str">
            <v>3Q17E</v>
          </cell>
          <cell r="BJ95" t="str">
            <v>4Q17E</v>
          </cell>
          <cell r="BK95" t="str">
            <v>2017E</v>
          </cell>
          <cell r="BL95" t="str">
            <v>1Q18E</v>
          </cell>
          <cell r="BM95" t="str">
            <v>2Q18E</v>
          </cell>
          <cell r="BN95" t="str">
            <v>3Q18E</v>
          </cell>
          <cell r="BO95" t="str">
            <v>4Q18E</v>
          </cell>
          <cell r="BP95" t="str">
            <v>2018E</v>
          </cell>
          <cell r="BQ95" t="str">
            <v>1Q19E</v>
          </cell>
          <cell r="BR95" t="str">
            <v>2Q19E</v>
          </cell>
          <cell r="BS95" t="str">
            <v>3Q19E</v>
          </cell>
          <cell r="BT95" t="str">
            <v>4Q19E</v>
          </cell>
          <cell r="BU95" t="str">
            <v>2019E</v>
          </cell>
          <cell r="BV95" t="str">
            <v>1Q20E</v>
          </cell>
          <cell r="BW95" t="str">
            <v>2Q20E</v>
          </cell>
          <cell r="BX95" t="str">
            <v>3Q20E</v>
          </cell>
          <cell r="BY95" t="str">
            <v>4Q20E</v>
          </cell>
          <cell r="BZ95" t="str">
            <v>2020E</v>
          </cell>
        </row>
        <row r="96">
          <cell r="A96" t="str">
            <v>Equity Indices Subscriptions</v>
          </cell>
        </row>
        <row r="98">
          <cell r="B98" t="str">
            <v>Annualized run rate</v>
          </cell>
          <cell r="C98">
            <v>114.56155958156347</v>
          </cell>
          <cell r="D98">
            <v>124.13500000000001</v>
          </cell>
          <cell r="E98">
            <v>129.62700000000001</v>
          </cell>
          <cell r="F98">
            <v>136.99</v>
          </cell>
          <cell r="G98">
            <v>141.56</v>
          </cell>
          <cell r="H98">
            <v>141.56</v>
          </cell>
          <cell r="I98">
            <v>151.94499999999999</v>
          </cell>
          <cell r="J98">
            <v>161.14699999999999</v>
          </cell>
          <cell r="K98">
            <v>169.28399999999999</v>
          </cell>
          <cell r="L98">
            <v>170.99199999999999</v>
          </cell>
          <cell r="P98">
            <v>193.26400000000001</v>
          </cell>
          <cell r="Q98">
            <v>202.785</v>
          </cell>
          <cell r="R98">
            <v>202.785</v>
          </cell>
          <cell r="S98">
            <v>212.572</v>
          </cell>
          <cell r="T98">
            <v>221.17400000000001</v>
          </cell>
          <cell r="U98">
            <v>229.32300000000001</v>
          </cell>
          <cell r="V98">
            <v>236.15700000000001</v>
          </cell>
          <cell r="W98">
            <v>236.15700000000001</v>
          </cell>
          <cell r="X98">
            <v>247.87</v>
          </cell>
          <cell r="Y98">
            <v>257.47000000000003</v>
          </cell>
          <cell r="Z98">
            <v>264.72199999999998</v>
          </cell>
          <cell r="AA98">
            <v>269.77999999999997</v>
          </cell>
          <cell r="AB98">
            <v>269.77999999999997</v>
          </cell>
          <cell r="AC98">
            <v>278.541</v>
          </cell>
          <cell r="AD98">
            <v>285.60399999999998</v>
          </cell>
          <cell r="AE98">
            <v>292.78699999999998</v>
          </cell>
          <cell r="AF98">
            <v>338.00599999999997</v>
          </cell>
          <cell r="AG98">
            <v>338.00599999999997</v>
          </cell>
          <cell r="AH98">
            <v>344.267</v>
          </cell>
          <cell r="AI98">
            <v>350.83300000000003</v>
          </cell>
          <cell r="AJ98">
            <v>360.04199999999997</v>
          </cell>
          <cell r="AK98">
            <v>371.51100000000002</v>
          </cell>
          <cell r="AL98">
            <v>371.51100000000002</v>
          </cell>
          <cell r="AM98">
            <v>285.2</v>
          </cell>
          <cell r="AN98">
            <v>289.89999999999998</v>
          </cell>
          <cell r="AO98">
            <v>296</v>
          </cell>
          <cell r="AP98">
            <v>305.10000000000002</v>
          </cell>
          <cell r="AQ98">
            <v>305.10000000000002</v>
          </cell>
          <cell r="AR98">
            <v>312.5</v>
          </cell>
          <cell r="AS98">
            <v>320.39999999999998</v>
          </cell>
          <cell r="AT98">
            <v>326</v>
          </cell>
          <cell r="AU98">
            <v>335.3</v>
          </cell>
          <cell r="AV98">
            <v>335.3</v>
          </cell>
          <cell r="AW98">
            <v>344.5</v>
          </cell>
          <cell r="AX98">
            <v>353</v>
          </cell>
          <cell r="AY98">
            <v>361.2</v>
          </cell>
          <cell r="AZ98">
            <v>368.85500000000002</v>
          </cell>
          <cell r="BA98">
            <v>368.85500000000002</v>
          </cell>
          <cell r="BB98">
            <v>378.62200000000001</v>
          </cell>
          <cell r="BC98">
            <v>387.67899999999997</v>
          </cell>
          <cell r="BD98">
            <v>395.601</v>
          </cell>
          <cell r="BE98">
            <v>406.72899999999998</v>
          </cell>
          <cell r="BF98">
            <v>406.72899999999998</v>
          </cell>
          <cell r="BG98">
            <v>417.76499999999999</v>
          </cell>
          <cell r="BH98">
            <v>428.51507225</v>
          </cell>
          <cell r="BI98">
            <v>437.92178900000005</v>
          </cell>
          <cell r="BJ98">
            <v>451.00557175000006</v>
          </cell>
          <cell r="BK98">
            <v>451.00557175000006</v>
          </cell>
          <cell r="BL98">
            <v>463.68633553362508</v>
          </cell>
          <cell r="BM98">
            <v>476.04003617375008</v>
          </cell>
          <cell r="BN98">
            <v>486.91784759975008</v>
          </cell>
          <cell r="BO98">
            <v>501.81880959525006</v>
          </cell>
          <cell r="BP98">
            <v>501.81880959525006</v>
          </cell>
          <cell r="BQ98">
            <v>516.04415408887803</v>
          </cell>
          <cell r="BR98">
            <v>530.21194051931252</v>
          </cell>
          <cell r="BS98">
            <v>542.75910515454461</v>
          </cell>
          <cell r="BT98">
            <v>559.6974593322052</v>
          </cell>
          <cell r="BU98">
            <v>559.6974593322052</v>
          </cell>
          <cell r="BV98">
            <v>575.64993067071111</v>
          </cell>
          <cell r="BW98">
            <v>591.87831599471792</v>
          </cell>
          <cell r="BX98">
            <v>606.32786572839075</v>
          </cell>
          <cell r="BY98">
            <v>625.56154334607038</v>
          </cell>
          <cell r="BZ98">
            <v>625.56154334607038</v>
          </cell>
          <cell r="CB98">
            <v>8.9915881079280169E-2</v>
          </cell>
        </row>
        <row r="99">
          <cell r="B99" t="str">
            <v>Revenue</v>
          </cell>
          <cell r="AR99">
            <v>9.5722300140252514E-2</v>
          </cell>
          <cell r="AS99">
            <v>0.10520869265263877</v>
          </cell>
          <cell r="AT99">
            <v>0.10135135135135132</v>
          </cell>
          <cell r="AU99">
            <v>9.8983939691904332E-2</v>
          </cell>
          <cell r="AW99">
            <v>0.10240000000000005</v>
          </cell>
          <cell r="AX99">
            <v>0.10174781523096144</v>
          </cell>
          <cell r="AY99">
            <v>0.10797546012269943</v>
          </cell>
          <cell r="AZ99">
            <v>0.10007456009543692</v>
          </cell>
          <cell r="BB99">
            <v>9.904789550072568E-2</v>
          </cell>
          <cell r="BC99">
            <v>9.8240793201133103E-2</v>
          </cell>
          <cell r="BD99">
            <v>9.5240863787375396E-2</v>
          </cell>
          <cell r="BE99">
            <v>0.10267991487169748</v>
          </cell>
          <cell r="BG99">
            <v>0.10338279339288259</v>
          </cell>
        </row>
        <row r="100">
          <cell r="B100" t="str">
            <v>Subscription revenue - 1st quarter, 12.5%</v>
          </cell>
          <cell r="I100">
            <v>3.8792187500000002</v>
          </cell>
          <cell r="J100">
            <v>4.0508437500000003</v>
          </cell>
          <cell r="K100">
            <v>4.2809375000000003</v>
          </cell>
          <cell r="L100">
            <v>4.4237500000000001</v>
          </cell>
          <cell r="U100">
            <v>6.0395000000000003</v>
          </cell>
          <cell r="V100">
            <v>6.3370312499999999</v>
          </cell>
          <cell r="W100">
            <v>12.376531249999999</v>
          </cell>
          <cell r="X100">
            <v>6.6428750000000001</v>
          </cell>
          <cell r="Y100">
            <v>6.9116875000000002</v>
          </cell>
          <cell r="Z100">
            <v>7.1663437500000002</v>
          </cell>
          <cell r="AA100">
            <v>7.3799062500000003</v>
          </cell>
          <cell r="AB100">
            <v>28.1008125</v>
          </cell>
          <cell r="AC100">
            <v>7.7459375000000001</v>
          </cell>
          <cell r="AD100">
            <v>8.0459375000000009</v>
          </cell>
          <cell r="AE100">
            <v>8.2725624999999994</v>
          </cell>
          <cell r="AF100">
            <v>8.4306249999999991</v>
          </cell>
          <cell r="AG100">
            <v>32.495062500000003</v>
          </cell>
          <cell r="AH100">
            <v>8.7044062499999999</v>
          </cell>
          <cell r="AI100">
            <v>8.9251249999999995</v>
          </cell>
          <cell r="AJ100">
            <v>9.1495937499999993</v>
          </cell>
          <cell r="AK100">
            <v>10.562687499999999</v>
          </cell>
          <cell r="AL100">
            <v>37.341812500000003</v>
          </cell>
          <cell r="AM100">
            <v>8.7044062499999999</v>
          </cell>
          <cell r="AN100">
            <v>8.9251249999999995</v>
          </cell>
          <cell r="AO100">
            <v>9.1495937499999993</v>
          </cell>
          <cell r="AP100">
            <v>10.562687499999999</v>
          </cell>
          <cell r="AQ100">
            <v>37.341812500000003</v>
          </cell>
          <cell r="AR100">
            <v>8.9124999999999996</v>
          </cell>
          <cell r="AS100">
            <v>9.0593749999999993</v>
          </cell>
          <cell r="AT100">
            <v>9.25</v>
          </cell>
          <cell r="AU100">
            <v>9.5343750000000007</v>
          </cell>
          <cell r="AV100">
            <v>36.756249999999994</v>
          </cell>
          <cell r="AW100">
            <v>9.765625</v>
          </cell>
          <cell r="AX100">
            <v>10.012499999999999</v>
          </cell>
          <cell r="AY100">
            <v>10.1875</v>
          </cell>
          <cell r="AZ100">
            <v>10.478125</v>
          </cell>
          <cell r="BA100">
            <v>40.443750000000001</v>
          </cell>
          <cell r="BB100">
            <v>10.765625</v>
          </cell>
          <cell r="BC100">
            <v>11.03125</v>
          </cell>
          <cell r="BD100">
            <v>11.2875</v>
          </cell>
          <cell r="BE100">
            <v>11.526718750000001</v>
          </cell>
          <cell r="BF100">
            <v>44.611093750000002</v>
          </cell>
          <cell r="BG100">
            <v>11.8319375</v>
          </cell>
          <cell r="BH100">
            <v>12.114968749999999</v>
          </cell>
          <cell r="BI100">
            <v>12.36253125</v>
          </cell>
          <cell r="BJ100">
            <v>12.71028125</v>
          </cell>
          <cell r="BK100">
            <v>49.019718750000003</v>
          </cell>
          <cell r="BL100">
            <v>13.05515625</v>
          </cell>
          <cell r="BM100">
            <v>13.3910960078125</v>
          </cell>
          <cell r="BN100">
            <v>13.685055906250001</v>
          </cell>
          <cell r="BO100">
            <v>14.093924117187502</v>
          </cell>
          <cell r="BP100">
            <v>54.225232281250001</v>
          </cell>
          <cell r="BQ100">
            <v>14.490197985425784</v>
          </cell>
          <cell r="BR100">
            <v>14.87625113042969</v>
          </cell>
          <cell r="BS100">
            <v>15.21618273749219</v>
          </cell>
          <cell r="BT100">
            <v>15.681837799851564</v>
          </cell>
          <cell r="BU100">
            <v>60.264469653199228</v>
          </cell>
          <cell r="BV100">
            <v>16.126379815277438</v>
          </cell>
          <cell r="BW100">
            <v>16.569123141228516</v>
          </cell>
          <cell r="BX100">
            <v>16.961222036079519</v>
          </cell>
          <cell r="BY100">
            <v>17.490545604131412</v>
          </cell>
          <cell r="BZ100">
            <v>67.147270596716879</v>
          </cell>
        </row>
        <row r="101">
          <cell r="B101" t="str">
            <v>Subscription revenue - 2nd quarter, 25%</v>
          </cell>
          <cell r="I101">
            <v>8.1016875000000006</v>
          </cell>
          <cell r="J101">
            <v>8.5618750000000006</v>
          </cell>
          <cell r="K101">
            <v>8.8475000000000001</v>
          </cell>
          <cell r="L101">
            <v>9.4965624999999996</v>
          </cell>
          <cell r="U101">
            <v>12.6740625</v>
          </cell>
          <cell r="V101">
            <v>13.28575</v>
          </cell>
          <cell r="W101">
            <v>25.959812499999998</v>
          </cell>
          <cell r="X101">
            <v>13.823375</v>
          </cell>
          <cell r="Y101">
            <v>14.3326875</v>
          </cell>
          <cell r="Z101">
            <v>14.759812500000001</v>
          </cell>
          <cell r="AA101">
            <v>15.491875</v>
          </cell>
          <cell r="AB101">
            <v>58.40775</v>
          </cell>
          <cell r="AC101">
            <v>16.091875000000002</v>
          </cell>
          <cell r="AD101">
            <v>16.545124999999999</v>
          </cell>
          <cell r="AE101">
            <v>16.861249999999998</v>
          </cell>
          <cell r="AF101">
            <v>17.4088125</v>
          </cell>
          <cell r="AG101">
            <v>66.907062499999995</v>
          </cell>
          <cell r="AH101">
            <v>17.850249999999999</v>
          </cell>
          <cell r="AI101">
            <v>18.299187499999999</v>
          </cell>
          <cell r="AJ101">
            <v>21.125374999999998</v>
          </cell>
          <cell r="AK101">
            <v>21.5166875</v>
          </cell>
          <cell r="AL101">
            <v>78.791499999999999</v>
          </cell>
          <cell r="AM101">
            <v>17.850249999999999</v>
          </cell>
          <cell r="AN101">
            <v>18.299187499999999</v>
          </cell>
          <cell r="AO101">
            <v>21.125374999999998</v>
          </cell>
          <cell r="AP101">
            <v>21.5166875</v>
          </cell>
          <cell r="AQ101">
            <v>78.791499999999999</v>
          </cell>
          <cell r="AR101">
            <v>18.118749999999999</v>
          </cell>
          <cell r="AS101">
            <v>18.5</v>
          </cell>
          <cell r="AT101">
            <v>19.068750000000001</v>
          </cell>
          <cell r="AU101">
            <v>17.824999999999999</v>
          </cell>
          <cell r="AV101">
            <v>73.512500000000003</v>
          </cell>
          <cell r="AW101">
            <v>20.024999999999999</v>
          </cell>
          <cell r="AX101">
            <v>20.375</v>
          </cell>
          <cell r="AY101">
            <v>20.956250000000001</v>
          </cell>
          <cell r="AZ101">
            <v>21.53125</v>
          </cell>
          <cell r="BA101">
            <v>82.887500000000003</v>
          </cell>
          <cell r="BB101">
            <v>22.0625</v>
          </cell>
          <cell r="BC101">
            <v>22.574999999999999</v>
          </cell>
          <cell r="BD101">
            <v>23.053437500000001</v>
          </cell>
          <cell r="BE101">
            <v>23.663875000000001</v>
          </cell>
          <cell r="BF101">
            <v>91.354812500000008</v>
          </cell>
          <cell r="BG101">
            <v>24.229937499999998</v>
          </cell>
          <cell r="BH101">
            <v>24.7250625</v>
          </cell>
          <cell r="BI101">
            <v>25.420562499999999</v>
          </cell>
          <cell r="BJ101">
            <v>26.110312499999999</v>
          </cell>
          <cell r="BK101">
            <v>100.48587499999999</v>
          </cell>
          <cell r="BL101">
            <v>26.782192015625</v>
          </cell>
          <cell r="BM101">
            <v>27.370111812500003</v>
          </cell>
          <cell r="BN101">
            <v>28.187848234375004</v>
          </cell>
          <cell r="BO101">
            <v>28.980395970851568</v>
          </cell>
          <cell r="BP101">
            <v>111.32054803335157</v>
          </cell>
          <cell r="BQ101">
            <v>29.75250226085938</v>
          </cell>
          <cell r="BR101">
            <v>30.43236547498438</v>
          </cell>
          <cell r="BS101">
            <v>31.363675599703129</v>
          </cell>
          <cell r="BT101">
            <v>32.252759630554877</v>
          </cell>
          <cell r="BU101">
            <v>123.80130296610177</v>
          </cell>
          <cell r="BV101">
            <v>33.138246282457033</v>
          </cell>
          <cell r="BW101">
            <v>33.922444072159038</v>
          </cell>
          <cell r="BX101">
            <v>34.981091208262825</v>
          </cell>
          <cell r="BY101">
            <v>35.978120666919445</v>
          </cell>
          <cell r="BZ101">
            <v>138.01990222979833</v>
          </cell>
        </row>
        <row r="102">
          <cell r="B102" t="str">
            <v>Subscription revenue - 3rd quarter, 25%</v>
          </cell>
          <cell r="I102">
            <v>8.5618750000000006</v>
          </cell>
          <cell r="J102">
            <v>8.8475000000000001</v>
          </cell>
          <cell r="K102">
            <v>9.4965624999999996</v>
          </cell>
          <cell r="L102">
            <v>10.071687499999999</v>
          </cell>
          <cell r="U102">
            <v>13.28575</v>
          </cell>
          <cell r="V102">
            <v>13.823375</v>
          </cell>
          <cell r="W102">
            <v>27.109124999999999</v>
          </cell>
          <cell r="X102">
            <v>14.3326875</v>
          </cell>
          <cell r="Y102">
            <v>14.759812500000001</v>
          </cell>
          <cell r="Z102">
            <v>15.491875</v>
          </cell>
          <cell r="AA102">
            <v>16.091875000000002</v>
          </cell>
          <cell r="AB102">
            <v>60.676250000000003</v>
          </cell>
          <cell r="AC102">
            <v>16.545124999999999</v>
          </cell>
          <cell r="AD102">
            <v>16.861249999999998</v>
          </cell>
          <cell r="AE102">
            <v>17.4088125</v>
          </cell>
          <cell r="AF102">
            <v>17.850249999999999</v>
          </cell>
          <cell r="AG102">
            <v>68.665437499999996</v>
          </cell>
          <cell r="AH102">
            <v>18.299187499999999</v>
          </cell>
          <cell r="AI102">
            <v>21.125374999999998</v>
          </cell>
          <cell r="AJ102">
            <v>21.5166875</v>
          </cell>
          <cell r="AK102">
            <v>21.927062500000002</v>
          </cell>
          <cell r="AL102">
            <v>82.868312500000002</v>
          </cell>
          <cell r="AM102">
            <v>18.299187499999999</v>
          </cell>
          <cell r="AN102">
            <v>21.125374999999998</v>
          </cell>
          <cell r="AO102">
            <v>21.5166875</v>
          </cell>
          <cell r="AP102">
            <v>21.927062500000002</v>
          </cell>
          <cell r="AQ102">
            <v>82.868312500000002</v>
          </cell>
          <cell r="AR102">
            <v>18.5</v>
          </cell>
          <cell r="AS102">
            <v>19.068750000000001</v>
          </cell>
          <cell r="AT102">
            <v>19.53125</v>
          </cell>
          <cell r="AU102">
            <v>20.024999999999999</v>
          </cell>
          <cell r="AV102">
            <v>77.125</v>
          </cell>
          <cell r="AW102">
            <v>20.375</v>
          </cell>
          <cell r="AX102">
            <v>20.956250000000001</v>
          </cell>
          <cell r="AY102">
            <v>21.53125</v>
          </cell>
          <cell r="AZ102">
            <v>22.0625</v>
          </cell>
          <cell r="BA102">
            <v>84.924999999999997</v>
          </cell>
          <cell r="BB102">
            <v>22.574999999999999</v>
          </cell>
          <cell r="BC102">
            <v>23.053437500000001</v>
          </cell>
          <cell r="BD102">
            <v>23.663875000000001</v>
          </cell>
          <cell r="BE102">
            <v>24.229937499999998</v>
          </cell>
          <cell r="BF102">
            <v>93.522250000000014</v>
          </cell>
          <cell r="BG102">
            <v>24.7250625</v>
          </cell>
          <cell r="BH102">
            <v>25.420562499999999</v>
          </cell>
          <cell r="BI102">
            <v>26.110312499999999</v>
          </cell>
          <cell r="BJ102">
            <v>26.782192015625</v>
          </cell>
          <cell r="BK102">
            <v>103.03812951562499</v>
          </cell>
          <cell r="BL102">
            <v>27.370111812500003</v>
          </cell>
          <cell r="BM102">
            <v>28.187848234375004</v>
          </cell>
          <cell r="BN102">
            <v>28.980395970851568</v>
          </cell>
          <cell r="BO102">
            <v>29.75250226085938</v>
          </cell>
          <cell r="BP102">
            <v>114.29085827858597</v>
          </cell>
          <cell r="BQ102">
            <v>30.43236547498438</v>
          </cell>
          <cell r="BR102">
            <v>31.363675599703129</v>
          </cell>
          <cell r="BS102">
            <v>32.252759630554877</v>
          </cell>
          <cell r="BT102">
            <v>33.138246282457033</v>
          </cell>
          <cell r="BU102">
            <v>127.18704698769942</v>
          </cell>
          <cell r="BV102">
            <v>33.922444072159038</v>
          </cell>
          <cell r="BW102">
            <v>34.981091208262825</v>
          </cell>
          <cell r="BX102">
            <v>35.978120666919445</v>
          </cell>
          <cell r="BY102">
            <v>36.99239474966987</v>
          </cell>
          <cell r="BZ102">
            <v>141.87405069701117</v>
          </cell>
        </row>
        <row r="103">
          <cell r="B103" t="str">
            <v>Subscription revenue - 4th quarter, 25%</v>
          </cell>
          <cell r="I103">
            <v>8.8475000000000001</v>
          </cell>
          <cell r="J103">
            <v>9.4965624999999996</v>
          </cell>
          <cell r="K103">
            <v>10.071687499999999</v>
          </cell>
          <cell r="L103">
            <v>10.580249999999999</v>
          </cell>
          <cell r="U103">
            <v>13.823375</v>
          </cell>
          <cell r="V103">
            <v>14.3326875</v>
          </cell>
          <cell r="W103">
            <v>28.156062500000001</v>
          </cell>
          <cell r="X103">
            <v>14.759812500000001</v>
          </cell>
          <cell r="Y103">
            <v>15.491875</v>
          </cell>
          <cell r="Z103">
            <v>16.091875000000002</v>
          </cell>
          <cell r="AA103">
            <v>16.545124999999999</v>
          </cell>
          <cell r="AB103">
            <v>62.888687500000003</v>
          </cell>
          <cell r="AC103">
            <v>16.861249999999998</v>
          </cell>
          <cell r="AD103">
            <v>17.4088125</v>
          </cell>
          <cell r="AE103">
            <v>17.850249999999999</v>
          </cell>
          <cell r="AF103">
            <v>18.299187499999999</v>
          </cell>
          <cell r="AG103">
            <v>70.419499999999999</v>
          </cell>
          <cell r="AH103">
            <v>21.125374999999998</v>
          </cell>
          <cell r="AI103">
            <v>21.5166875</v>
          </cell>
          <cell r="AJ103">
            <v>21.927062500000002</v>
          </cell>
          <cell r="AK103">
            <v>22.502624999999998</v>
          </cell>
          <cell r="AL103">
            <v>87.071749999999994</v>
          </cell>
          <cell r="AM103">
            <v>21.125374999999998</v>
          </cell>
          <cell r="AN103">
            <v>21.5166875</v>
          </cell>
          <cell r="AO103">
            <v>21.927062500000002</v>
          </cell>
          <cell r="AP103">
            <v>22.502624999999998</v>
          </cell>
          <cell r="AQ103">
            <v>87.071749999999994</v>
          </cell>
          <cell r="AR103">
            <v>19.068750000000001</v>
          </cell>
          <cell r="AS103">
            <v>19.53125</v>
          </cell>
          <cell r="AT103">
            <v>20.024999999999999</v>
          </cell>
          <cell r="AU103">
            <v>20.375</v>
          </cell>
          <cell r="AV103">
            <v>79</v>
          </cell>
          <cell r="AW103">
            <v>20.956250000000001</v>
          </cell>
          <cell r="AX103">
            <v>21.53125</v>
          </cell>
          <cell r="AY103">
            <v>22.0625</v>
          </cell>
          <cell r="AZ103">
            <v>22.574999999999999</v>
          </cell>
          <cell r="BA103">
            <v>87.125</v>
          </cell>
          <cell r="BB103">
            <v>23.053437500000001</v>
          </cell>
          <cell r="BC103">
            <v>23.663875000000001</v>
          </cell>
          <cell r="BD103">
            <v>24.229937499999998</v>
          </cell>
          <cell r="BE103">
            <v>24.7250625</v>
          </cell>
          <cell r="BF103">
            <v>95.672312500000004</v>
          </cell>
          <cell r="BG103">
            <v>25.420562499999999</v>
          </cell>
          <cell r="BH103">
            <v>26.110312499999999</v>
          </cell>
          <cell r="BI103">
            <v>26.782192015625</v>
          </cell>
          <cell r="BJ103">
            <v>27.370111812500003</v>
          </cell>
          <cell r="BK103">
            <v>105.68317882812499</v>
          </cell>
          <cell r="BL103">
            <v>28.187848234375004</v>
          </cell>
          <cell r="BM103">
            <v>28.980395970851568</v>
          </cell>
          <cell r="BN103">
            <v>29.75250226085938</v>
          </cell>
          <cell r="BO103">
            <v>30.43236547498438</v>
          </cell>
          <cell r="BP103">
            <v>117.35311194107032</v>
          </cell>
          <cell r="BQ103">
            <v>31.363675599703129</v>
          </cell>
          <cell r="BR103">
            <v>32.252759630554877</v>
          </cell>
          <cell r="BS103">
            <v>33.138246282457033</v>
          </cell>
          <cell r="BT103">
            <v>33.922444072159038</v>
          </cell>
          <cell r="BU103">
            <v>130.67712558487409</v>
          </cell>
          <cell r="BV103">
            <v>34.981091208262825</v>
          </cell>
          <cell r="BW103">
            <v>35.978120666919445</v>
          </cell>
          <cell r="BX103">
            <v>36.99239474966987</v>
          </cell>
          <cell r="BY103">
            <v>37.895491608024422</v>
          </cell>
          <cell r="BZ103">
            <v>145.84709823287656</v>
          </cell>
        </row>
        <row r="104">
          <cell r="B104" t="str">
            <v>Subscription revenue - 5th quarter, 12.5%</v>
          </cell>
          <cell r="I104">
            <v>4.7482812499999998</v>
          </cell>
          <cell r="J104">
            <v>5.0358437499999997</v>
          </cell>
          <cell r="K104">
            <v>5.2901249999999997</v>
          </cell>
          <cell r="L104">
            <v>5.3434999999999997</v>
          </cell>
          <cell r="U104">
            <v>7.1663437500000002</v>
          </cell>
          <cell r="V104">
            <v>7.3799062500000003</v>
          </cell>
          <cell r="W104">
            <v>14.546250000000001</v>
          </cell>
          <cell r="X104">
            <v>7.7459375000000001</v>
          </cell>
          <cell r="Y104">
            <v>8.0459375000000009</v>
          </cell>
          <cell r="Z104">
            <v>8.2725624999999994</v>
          </cell>
          <cell r="AA104">
            <v>8.4306249999999991</v>
          </cell>
          <cell r="AB104">
            <v>32.495062500000003</v>
          </cell>
          <cell r="AC104">
            <v>8.7044062499999999</v>
          </cell>
          <cell r="AD104">
            <v>8.9251249999999995</v>
          </cell>
          <cell r="AE104">
            <v>9.1495937499999993</v>
          </cell>
          <cell r="AF104">
            <v>10.562687499999999</v>
          </cell>
          <cell r="AG104">
            <v>37.341812500000003</v>
          </cell>
          <cell r="AH104">
            <v>10.75834375</v>
          </cell>
          <cell r="AI104">
            <v>10.963531250000001</v>
          </cell>
          <cell r="AJ104">
            <v>11.251312499999999</v>
          </cell>
          <cell r="AK104">
            <v>11.609718750000001</v>
          </cell>
          <cell r="AL104">
            <v>44.582906250000001</v>
          </cell>
          <cell r="AM104">
            <v>10.75834375</v>
          </cell>
          <cell r="AN104">
            <v>10.963531250000001</v>
          </cell>
          <cell r="AO104">
            <v>11.251312499999999</v>
          </cell>
          <cell r="AP104">
            <v>11.609718750000001</v>
          </cell>
          <cell r="AQ104">
            <v>44.582906250000001</v>
          </cell>
          <cell r="AR104">
            <v>9.765625</v>
          </cell>
          <cell r="AS104">
            <v>10.012499999999999</v>
          </cell>
          <cell r="AT104">
            <v>10.1875</v>
          </cell>
          <cell r="AU104">
            <v>10.478125</v>
          </cell>
          <cell r="AV104">
            <v>40.443750000000001</v>
          </cell>
          <cell r="AW104">
            <v>10.765625</v>
          </cell>
          <cell r="AX104">
            <v>11.03125</v>
          </cell>
          <cell r="AY104">
            <v>11.2875</v>
          </cell>
          <cell r="AZ104">
            <v>11.526718750000001</v>
          </cell>
          <cell r="BA104">
            <v>44.611093750000002</v>
          </cell>
          <cell r="BB104">
            <v>11.8319375</v>
          </cell>
          <cell r="BC104">
            <v>12.114968749999999</v>
          </cell>
          <cell r="BD104">
            <v>12.36253125</v>
          </cell>
          <cell r="BE104">
            <v>12.71028125</v>
          </cell>
          <cell r="BF104">
            <v>49.019718750000003</v>
          </cell>
          <cell r="BG104">
            <v>13.05515625</v>
          </cell>
          <cell r="BH104">
            <v>13.3910960078125</v>
          </cell>
          <cell r="BI104">
            <v>13.685055906250001</v>
          </cell>
          <cell r="BJ104">
            <v>14.093924117187502</v>
          </cell>
          <cell r="BK104">
            <v>54.225232281250001</v>
          </cell>
          <cell r="BL104">
            <v>14.490197985425784</v>
          </cell>
          <cell r="BM104">
            <v>14.87625113042969</v>
          </cell>
          <cell r="BN104">
            <v>15.21618273749219</v>
          </cell>
          <cell r="BO104">
            <v>15.681837799851564</v>
          </cell>
          <cell r="BP104">
            <v>60.264469653199228</v>
          </cell>
          <cell r="BQ104">
            <v>16.126379815277438</v>
          </cell>
          <cell r="BR104">
            <v>16.569123141228516</v>
          </cell>
          <cell r="BS104">
            <v>16.961222036079519</v>
          </cell>
          <cell r="BT104">
            <v>17.490545604131412</v>
          </cell>
          <cell r="BU104">
            <v>67.147270596716879</v>
          </cell>
          <cell r="BV104">
            <v>17.989060333459722</v>
          </cell>
          <cell r="BW104">
            <v>18.496197374834935</v>
          </cell>
          <cell r="BX104">
            <v>18.947745804012211</v>
          </cell>
          <cell r="BY104">
            <v>19.548798229564699</v>
          </cell>
          <cell r="BZ104">
            <v>74.981801741871564</v>
          </cell>
        </row>
        <row r="106">
          <cell r="B106" t="str">
            <v>Quarterly new sales</v>
          </cell>
          <cell r="D106">
            <v>10.346730945612087</v>
          </cell>
          <cell r="E106">
            <v>7.0099406644557218</v>
          </cell>
          <cell r="F106">
            <v>8.5658963756064175</v>
          </cell>
          <cell r="G106">
            <v>6.2311426139326649</v>
          </cell>
          <cell r="H106">
            <v>32.153710599606896</v>
          </cell>
          <cell r="I106">
            <v>11.092799999999992</v>
          </cell>
          <cell r="J106">
            <v>11.21923</v>
          </cell>
          <cell r="K106">
            <v>9.6941600000000019</v>
          </cell>
          <cell r="L106">
            <v>5.4947299999999979</v>
          </cell>
          <cell r="Q106">
            <v>9</v>
          </cell>
          <cell r="U106">
            <v>12.001914999999999</v>
          </cell>
          <cell r="V106">
            <v>11.654586000000004</v>
          </cell>
          <cell r="W106">
            <v>23.656501000000002</v>
          </cell>
          <cell r="X106">
            <v>14.664962499999996</v>
          </cell>
          <cell r="Y106">
            <v>13.850826000000019</v>
          </cell>
          <cell r="Z106">
            <v>10.085883999999956</v>
          </cell>
          <cell r="AA106">
            <v>11.375199749999993</v>
          </cell>
          <cell r="AB106">
            <v>49.976872249999964</v>
          </cell>
          <cell r="AC106">
            <v>12.470475000000027</v>
          </cell>
          <cell r="AD106">
            <v>10.50269499999999</v>
          </cell>
          <cell r="AE106">
            <v>11.361114999999996</v>
          </cell>
          <cell r="AF106">
            <v>52.073495999999992</v>
          </cell>
          <cell r="AG106">
            <v>86.407781</v>
          </cell>
          <cell r="AH106">
            <v>10.486075000000028</v>
          </cell>
          <cell r="AI106">
            <v>11.636090000000035</v>
          </cell>
          <cell r="AJ106">
            <v>13.68757949999995</v>
          </cell>
          <cell r="AK106">
            <v>19.327639500000046</v>
          </cell>
          <cell r="AL106">
            <v>55.137384000000061</v>
          </cell>
          <cell r="AM106">
            <v>9.4</v>
          </cell>
          <cell r="AN106">
            <v>8.4</v>
          </cell>
          <cell r="AO106">
            <v>10</v>
          </cell>
          <cell r="AP106">
            <v>14.7</v>
          </cell>
          <cell r="AQ106">
            <v>42.4</v>
          </cell>
          <cell r="AR106">
            <v>10.9</v>
          </cell>
          <cell r="AS106">
            <v>11.5</v>
          </cell>
          <cell r="AT106">
            <v>9.1999999999999993</v>
          </cell>
          <cell r="AU106">
            <v>12.9</v>
          </cell>
          <cell r="AV106">
            <v>44.5</v>
          </cell>
          <cell r="AW106">
            <v>11.5</v>
          </cell>
          <cell r="AX106">
            <v>12.5</v>
          </cell>
          <cell r="AY106">
            <v>11.8</v>
          </cell>
          <cell r="AZ106">
            <v>13.702</v>
          </cell>
          <cell r="BA106">
            <v>49.501999999999995</v>
          </cell>
          <cell r="BB106">
            <v>13.162000000000001</v>
          </cell>
          <cell r="BC106">
            <v>13.138999999999999</v>
          </cell>
          <cell r="BD106">
            <v>11.757999999999999</v>
          </cell>
          <cell r="BE106">
            <v>17.22</v>
          </cell>
          <cell r="BF106">
            <v>55.278999999999996</v>
          </cell>
          <cell r="BG106">
            <v>14.193</v>
          </cell>
          <cell r="BH106">
            <v>14.715680000000001</v>
          </cell>
          <cell r="BI106">
            <v>13.16896</v>
          </cell>
          <cell r="BJ106">
            <v>19.2864</v>
          </cell>
          <cell r="BK106">
            <v>61.364040000000003</v>
          </cell>
          <cell r="BL106">
            <v>15.612300000000001</v>
          </cell>
          <cell r="BM106">
            <v>16.187248000000004</v>
          </cell>
          <cell r="BN106">
            <v>14.485856000000002</v>
          </cell>
          <cell r="BO106">
            <v>21.215040000000002</v>
          </cell>
          <cell r="BP106">
            <v>67.500444000000016</v>
          </cell>
          <cell r="BQ106">
            <v>17.173530000000003</v>
          </cell>
          <cell r="BR106">
            <v>17.805972800000006</v>
          </cell>
          <cell r="BS106">
            <v>15.934441600000003</v>
          </cell>
          <cell r="BT106">
            <v>23.336544000000004</v>
          </cell>
          <cell r="BU106">
            <v>74.250488400000009</v>
          </cell>
          <cell r="BV106">
            <v>18.890883000000006</v>
          </cell>
          <cell r="BW106">
            <v>19.586570080000008</v>
          </cell>
          <cell r="BX106">
            <v>17.527885760000004</v>
          </cell>
          <cell r="BY106">
            <v>25.670198400000007</v>
          </cell>
          <cell r="BZ106">
            <v>81.675537240000025</v>
          </cell>
        </row>
        <row r="107">
          <cell r="B107" t="str">
            <v>y/y change</v>
          </cell>
          <cell r="I107">
            <v>7.2106741569838873E-2</v>
          </cell>
          <cell r="J107">
            <v>0.60047431740580981</v>
          </cell>
          <cell r="K107">
            <v>0.13171576854543843</v>
          </cell>
          <cell r="L107">
            <v>-0.11818259660532704</v>
          </cell>
          <cell r="AB107">
            <v>1.1126062662436831</v>
          </cell>
          <cell r="AC107">
            <v>-0.14964153505336064</v>
          </cell>
          <cell r="AD107">
            <v>-0.24172789406205986</v>
          </cell>
          <cell r="AE107">
            <v>0.12643720669403358</v>
          </cell>
          <cell r="AF107">
            <v>3.5778093698970013</v>
          </cell>
          <cell r="AG107">
            <v>0.72895535694513303</v>
          </cell>
          <cell r="AH107">
            <v>-0.15912786000533219</v>
          </cell>
          <cell r="AI107">
            <v>0.10791468285045358</v>
          </cell>
          <cell r="AJ107">
            <v>0.20477431132419266</v>
          </cell>
          <cell r="AK107">
            <v>0.53717307421898086</v>
          </cell>
          <cell r="AL107">
            <v>0.17544217237647763</v>
          </cell>
          <cell r="AR107">
            <v>0.15957446808510634</v>
          </cell>
          <cell r="AS107">
            <v>0.36904761904761907</v>
          </cell>
          <cell r="AT107">
            <v>-8.0000000000000071E-2</v>
          </cell>
          <cell r="AU107">
            <v>-0.12244897959183665</v>
          </cell>
          <cell r="AV107">
            <v>4.952830188679247E-2</v>
          </cell>
          <cell r="AW107">
            <v>5.504587155963292E-2</v>
          </cell>
          <cell r="AX107">
            <v>8.6956521739130377E-2</v>
          </cell>
          <cell r="AY107">
            <v>0.28260869565217406</v>
          </cell>
          <cell r="AZ107">
            <v>6.217054263565891E-2</v>
          </cell>
          <cell r="BA107">
            <v>0.11240449438202238</v>
          </cell>
          <cell r="BB107">
            <v>0.14452173913043476</v>
          </cell>
          <cell r="BC107">
            <v>5.1120000000000054E-2</v>
          </cell>
          <cell r="BD107">
            <v>-3.5593220338984155E-3</v>
          </cell>
          <cell r="BE107">
            <v>0.25675083929353382</v>
          </cell>
          <cell r="BF107">
            <v>0.11670235546038543</v>
          </cell>
          <cell r="BG107">
            <v>7.8331560553107416E-2</v>
          </cell>
          <cell r="BH107">
            <v>0.12000000000000011</v>
          </cell>
          <cell r="BI107">
            <v>0.12000000000000011</v>
          </cell>
          <cell r="BJ107">
            <v>0.12000000000000011</v>
          </cell>
          <cell r="BK107">
            <v>0.11007869172741924</v>
          </cell>
          <cell r="BL107">
            <v>0.10000000000000009</v>
          </cell>
          <cell r="BM107">
            <v>0.10000000000000031</v>
          </cell>
          <cell r="BN107">
            <v>0.10000000000000009</v>
          </cell>
          <cell r="BO107">
            <v>0.10000000000000009</v>
          </cell>
          <cell r="BP107">
            <v>0.10000000000000031</v>
          </cell>
          <cell r="BQ107">
            <v>0.10000000000000009</v>
          </cell>
          <cell r="BR107">
            <v>0.10000000000000009</v>
          </cell>
          <cell r="BS107">
            <v>0.10000000000000009</v>
          </cell>
          <cell r="BT107">
            <v>0.10000000000000009</v>
          </cell>
          <cell r="BU107">
            <v>9.9999999999999867E-2</v>
          </cell>
          <cell r="BV107">
            <v>0.10000000000000009</v>
          </cell>
          <cell r="BW107">
            <v>0.10000000000000009</v>
          </cell>
          <cell r="BX107">
            <v>0.10000000000000009</v>
          </cell>
          <cell r="BY107">
            <v>0.10000000000000009</v>
          </cell>
          <cell r="BZ107">
            <v>0.10000000000000031</v>
          </cell>
        </row>
        <row r="108">
          <cell r="B108" t="str">
            <v>BULL</v>
          </cell>
          <cell r="BE108">
            <v>15.757299999999999</v>
          </cell>
          <cell r="BG108">
            <v>15.1363</v>
          </cell>
          <cell r="BH108">
            <v>15.109849999999998</v>
          </cell>
          <cell r="BI108">
            <v>14.109599999999999</v>
          </cell>
          <cell r="BJ108">
            <v>19.802999999999997</v>
          </cell>
          <cell r="BL108">
            <v>16.321949999999998</v>
          </cell>
          <cell r="BM108">
            <v>17.376327499999995</v>
          </cell>
          <cell r="BN108">
            <v>16.226039999999998</v>
          </cell>
          <cell r="BO108">
            <v>22.773449999999997</v>
          </cell>
          <cell r="BQ108">
            <v>18.770242499999995</v>
          </cell>
          <cell r="BR108">
            <v>19.982776624999993</v>
          </cell>
          <cell r="BS108">
            <v>18.659945999999994</v>
          </cell>
          <cell r="BT108">
            <v>26.189467499999996</v>
          </cell>
          <cell r="BV108">
            <v>21.585778874999992</v>
          </cell>
          <cell r="BW108">
            <v>22.980193118749991</v>
          </cell>
          <cell r="BX108">
            <v>21.458937899999992</v>
          </cell>
          <cell r="BY108">
            <v>30.117887624999991</v>
          </cell>
        </row>
        <row r="109">
          <cell r="B109" t="str">
            <v>BASE</v>
          </cell>
          <cell r="U109">
            <v>12.001914999999999</v>
          </cell>
          <cell r="V109">
            <v>11.654586000000004</v>
          </cell>
          <cell r="X109">
            <v>14.664962499999996</v>
          </cell>
          <cell r="Y109">
            <v>13.850826000000019</v>
          </cell>
          <cell r="Z109">
            <v>10.085883999999956</v>
          </cell>
          <cell r="AA109">
            <v>11.375199749999993</v>
          </cell>
          <cell r="AC109">
            <v>12.470475000000027</v>
          </cell>
          <cell r="AD109">
            <v>10.50269499999999</v>
          </cell>
          <cell r="AE109">
            <v>11.361114999999996</v>
          </cell>
          <cell r="AF109">
            <v>52.073495999999992</v>
          </cell>
          <cell r="AH109">
            <v>10.486075000000028</v>
          </cell>
          <cell r="AI109">
            <v>11.636090000000035</v>
          </cell>
          <cell r="AJ109">
            <v>13.68757949999995</v>
          </cell>
          <cell r="AK109">
            <v>19.327639500000046</v>
          </cell>
          <cell r="AM109">
            <v>9.4</v>
          </cell>
          <cell r="AN109">
            <v>8.4</v>
          </cell>
          <cell r="AO109">
            <v>10</v>
          </cell>
          <cell r="AP109">
            <v>14.7</v>
          </cell>
          <cell r="AR109">
            <v>10.9</v>
          </cell>
          <cell r="AS109">
            <v>11.5</v>
          </cell>
          <cell r="AT109">
            <v>9.1999999999999993</v>
          </cell>
          <cell r="AU109">
            <v>12.9</v>
          </cell>
          <cell r="AW109">
            <v>11.5</v>
          </cell>
          <cell r="AX109">
            <v>12.5</v>
          </cell>
          <cell r="AY109">
            <v>11.8</v>
          </cell>
          <cell r="AZ109">
            <v>13.702</v>
          </cell>
          <cell r="BB109">
            <v>13.162000000000001</v>
          </cell>
          <cell r="BC109">
            <v>13.138999999999999</v>
          </cell>
          <cell r="BD109">
            <v>11.757999999999999</v>
          </cell>
          <cell r="BE109">
            <v>17.22</v>
          </cell>
          <cell r="BG109">
            <v>14.193</v>
          </cell>
          <cell r="BH109">
            <v>14.715680000000001</v>
          </cell>
          <cell r="BI109">
            <v>13.16896</v>
          </cell>
          <cell r="BJ109">
            <v>19.2864</v>
          </cell>
          <cell r="BL109">
            <v>15.612300000000001</v>
          </cell>
          <cell r="BM109">
            <v>16.187248000000004</v>
          </cell>
          <cell r="BN109">
            <v>14.485856000000002</v>
          </cell>
          <cell r="BO109">
            <v>21.215040000000002</v>
          </cell>
          <cell r="BQ109">
            <v>17.173530000000003</v>
          </cell>
          <cell r="BR109">
            <v>17.805972800000006</v>
          </cell>
          <cell r="BS109">
            <v>15.934441600000003</v>
          </cell>
          <cell r="BT109">
            <v>23.336544000000004</v>
          </cell>
          <cell r="BV109">
            <v>18.890883000000006</v>
          </cell>
          <cell r="BW109">
            <v>19.586570080000008</v>
          </cell>
          <cell r="BX109">
            <v>17.527885760000004</v>
          </cell>
          <cell r="BY109">
            <v>25.670198400000007</v>
          </cell>
        </row>
        <row r="110">
          <cell r="B110" t="str">
            <v>BEAR</v>
          </cell>
          <cell r="BE110">
            <v>13.811616000000003</v>
          </cell>
          <cell r="BG110">
            <v>13.267296000000002</v>
          </cell>
          <cell r="BH110">
            <v>13.244112000000001</v>
          </cell>
          <cell r="BI110">
            <v>11.852064</v>
          </cell>
          <cell r="BJ110">
            <v>17.357760000000003</v>
          </cell>
          <cell r="BL110">
            <v>14.051070000000001</v>
          </cell>
          <cell r="BM110">
            <v>14.568523200000003</v>
          </cell>
          <cell r="BN110">
            <v>13.037270400000002</v>
          </cell>
          <cell r="BO110">
            <v>19.093536000000004</v>
          </cell>
          <cell r="BQ110">
            <v>15.456177000000004</v>
          </cell>
          <cell r="BR110">
            <v>16.025375520000008</v>
          </cell>
          <cell r="BS110">
            <v>14.340997440000002</v>
          </cell>
          <cell r="BT110">
            <v>21.002889600000003</v>
          </cell>
          <cell r="BV110">
            <v>17.001794700000005</v>
          </cell>
          <cell r="BW110">
            <v>17.627913072000009</v>
          </cell>
          <cell r="BX110">
            <v>15.775097184000003</v>
          </cell>
          <cell r="BY110">
            <v>23.103178560000007</v>
          </cell>
        </row>
        <row r="112">
          <cell r="B112" t="str">
            <v>Quarterly cancellations</v>
          </cell>
          <cell r="D112">
            <v>-0.77329052717555413</v>
          </cell>
          <cell r="E112">
            <v>-1.5179406644557174</v>
          </cell>
          <cell r="F112">
            <v>-1.2028963756064175</v>
          </cell>
          <cell r="G112">
            <v>-1.6611426139326719</v>
          </cell>
          <cell r="H112">
            <v>-5.1552701811703612</v>
          </cell>
          <cell r="I112">
            <v>-0.70780000000000065</v>
          </cell>
          <cell r="J112">
            <v>-2.0172300000000019</v>
          </cell>
          <cell r="K112">
            <v>-1.5571600000000014</v>
          </cell>
          <cell r="L112">
            <v>-3.7867299999999995</v>
          </cell>
          <cell r="U112">
            <v>-3.8529149999999976</v>
          </cell>
          <cell r="V112">
            <v>-5.4205859999999992</v>
          </cell>
          <cell r="W112">
            <v>-9.273500999999996</v>
          </cell>
          <cell r="X112">
            <v>-2.9519625000000027</v>
          </cell>
          <cell r="Y112">
            <v>-4.2508259999999973</v>
          </cell>
          <cell r="Z112">
            <v>-2.8338840000000025</v>
          </cell>
          <cell r="AA112">
            <v>-6.3171997499999994</v>
          </cell>
          <cell r="AB112">
            <v>-16.353872250000002</v>
          </cell>
          <cell r="AC112">
            <v>-3.709475000000003</v>
          </cell>
          <cell r="AD112">
            <v>-3.4396950000000026</v>
          </cell>
          <cell r="AE112">
            <v>-4.1781150000000036</v>
          </cell>
          <cell r="AF112">
            <v>-6.8544959999999975</v>
          </cell>
          <cell r="AG112">
            <v>-18.181781000000008</v>
          </cell>
          <cell r="AH112">
            <v>-4.225075000000003</v>
          </cell>
          <cell r="AI112">
            <v>-5.070090000000004</v>
          </cell>
          <cell r="AJ112">
            <v>-4.4785795000000039</v>
          </cell>
          <cell r="AK112">
            <v>-7.8586394999999971</v>
          </cell>
          <cell r="AL112">
            <v>-21.632384000000009</v>
          </cell>
          <cell r="AM112">
            <v>-3.1</v>
          </cell>
          <cell r="AN112">
            <v>-3.6</v>
          </cell>
          <cell r="AO112">
            <v>-3.9</v>
          </cell>
          <cell r="AP112">
            <v>-5.5</v>
          </cell>
          <cell r="AQ112">
            <v>-16.100000000000001</v>
          </cell>
          <cell r="AR112">
            <v>-3.5</v>
          </cell>
          <cell r="AS112">
            <v>-3.6</v>
          </cell>
          <cell r="AT112">
            <v>-3.6</v>
          </cell>
          <cell r="AU112">
            <v>-3.7</v>
          </cell>
          <cell r="AV112">
            <v>-14.399999999999999</v>
          </cell>
          <cell r="AW112">
            <v>-2.4</v>
          </cell>
          <cell r="AX112">
            <v>-3.9</v>
          </cell>
          <cell r="AY112">
            <v>-3.9</v>
          </cell>
          <cell r="AZ112">
            <v>-6.1470000000000002</v>
          </cell>
          <cell r="BA112">
            <v>-16.347000000000001</v>
          </cell>
          <cell r="BB112">
            <v>-3.41</v>
          </cell>
          <cell r="BC112">
            <v>-4.0960000000000001</v>
          </cell>
          <cell r="BD112">
            <v>-3.84</v>
          </cell>
          <cell r="BE112">
            <v>-6.0709999999999997</v>
          </cell>
          <cell r="BF112">
            <v>-17.417000000000002</v>
          </cell>
          <cell r="BG112">
            <v>-3.165</v>
          </cell>
          <cell r="BH112">
            <v>-3.9656077500000033</v>
          </cell>
          <cell r="BI112">
            <v>-3.7622432500000031</v>
          </cell>
          <cell r="BJ112">
            <v>-6.2026172499999941</v>
          </cell>
          <cell r="BK112">
            <v>-17.09546825</v>
          </cell>
          <cell r="BL112">
            <v>-2.9315362163750032</v>
          </cell>
          <cell r="BM112">
            <v>-3.8335473598750038</v>
          </cell>
          <cell r="BN112">
            <v>-3.6080445740000036</v>
          </cell>
          <cell r="BO112">
            <v>-6.3140780044999936</v>
          </cell>
          <cell r="BP112">
            <v>-16.687206154750005</v>
          </cell>
          <cell r="BQ112">
            <v>-2.9481855063721039</v>
          </cell>
          <cell r="BR112">
            <v>-3.6381863695655663</v>
          </cell>
          <cell r="BS112">
            <v>-3.387276964767941</v>
          </cell>
          <cell r="BT112">
            <v>-6.3981898223394298</v>
          </cell>
          <cell r="BU112">
            <v>-16.37183866304504</v>
          </cell>
          <cell r="BV112">
            <v>-2.9384116614940954</v>
          </cell>
          <cell r="BW112">
            <v>-3.3581847559932343</v>
          </cell>
          <cell r="BX112">
            <v>-3.0783360263271313</v>
          </cell>
          <cell r="BY112">
            <v>-6.4365207823203496</v>
          </cell>
          <cell r="BZ112">
            <v>-15.811453226134809</v>
          </cell>
        </row>
        <row r="113">
          <cell r="B113" t="str">
            <v>Cancellation rate (as % of beginning of year run rate)</v>
          </cell>
          <cell r="D113">
            <v>2.7000000000000024E-2</v>
          </cell>
          <cell r="E113">
            <v>5.3000000000000047E-2</v>
          </cell>
          <cell r="F113">
            <v>4.2000000000000037E-2</v>
          </cell>
          <cell r="G113">
            <v>5.8000000000000052E-2</v>
          </cell>
          <cell r="H113">
            <v>4.500000000000004E-2</v>
          </cell>
          <cell r="I113">
            <v>2.0000000000000018E-2</v>
          </cell>
          <cell r="J113">
            <v>5.7000000000000051E-2</v>
          </cell>
          <cell r="K113">
            <v>4.4000000000000039E-2</v>
          </cell>
          <cell r="L113">
            <v>0.10699999999999998</v>
          </cell>
          <cell r="U113">
            <v>7.5999999999999956E-2</v>
          </cell>
          <cell r="V113">
            <v>0.10199999999999998</v>
          </cell>
          <cell r="W113">
            <v>8.2999999999999963E-2</v>
          </cell>
          <cell r="X113">
            <v>5.0000000000000044E-2</v>
          </cell>
          <cell r="Y113">
            <v>7.1999999999999953E-2</v>
          </cell>
          <cell r="Z113">
            <v>4.8000000000000043E-2</v>
          </cell>
          <cell r="AA113">
            <v>0.10699999999999998</v>
          </cell>
          <cell r="AB113">
            <v>6.9250000000000034E-2</v>
          </cell>
          <cell r="AC113">
            <v>5.5000000000000049E-2</v>
          </cell>
          <cell r="AD113">
            <v>5.1000000000000045E-2</v>
          </cell>
          <cell r="AE113">
            <v>6.0000000000000053E-2</v>
          </cell>
          <cell r="AF113">
            <v>9.5999999999999974E-2</v>
          </cell>
          <cell r="AG113">
            <v>6.5500000000000114E-2</v>
          </cell>
          <cell r="AH113">
            <v>5.0000000000000044E-2</v>
          </cell>
          <cell r="AI113">
            <v>6.0000000000000053E-2</v>
          </cell>
          <cell r="AJ113">
            <v>5.3000000000000047E-2</v>
          </cell>
          <cell r="AK113">
            <v>9.2999999999999972E-2</v>
          </cell>
          <cell r="AL113">
            <v>6.4000000000000057E-2</v>
          </cell>
          <cell r="AM113">
            <v>4.4000000000000039E-2</v>
          </cell>
          <cell r="AN113">
            <v>5.1000000000000045E-2</v>
          </cell>
          <cell r="AO113">
            <v>5.600000000000005E-2</v>
          </cell>
          <cell r="AP113">
            <v>7.8999999999999959E-2</v>
          </cell>
          <cell r="AQ113">
            <v>5.7500000000000107E-2</v>
          </cell>
          <cell r="AR113">
            <v>4.6000000000000041E-2</v>
          </cell>
          <cell r="AS113">
            <v>4.7000000000000042E-2</v>
          </cell>
          <cell r="AT113">
            <v>4.7000000000000042E-2</v>
          </cell>
          <cell r="AU113">
            <v>4.8000000000000043E-2</v>
          </cell>
          <cell r="AV113">
            <v>4.7000000000000042E-2</v>
          </cell>
          <cell r="AW113">
            <v>2.8000000000000025E-2</v>
          </cell>
          <cell r="AX113">
            <v>4.6000000000000041E-2</v>
          </cell>
          <cell r="AY113">
            <v>4.6000000000000041E-2</v>
          </cell>
          <cell r="AZ113">
            <v>7.2999999999999954E-2</v>
          </cell>
          <cell r="BA113">
            <v>4.8000000000000043E-2</v>
          </cell>
          <cell r="BB113">
            <v>3.7000000000000033E-2</v>
          </cell>
          <cell r="BC113">
            <v>4.4000000000000039E-2</v>
          </cell>
          <cell r="BD113">
            <v>4.2000000000000037E-2</v>
          </cell>
          <cell r="BE113">
            <v>6.5999999999999948E-2</v>
          </cell>
          <cell r="BF113">
            <v>4.7000000000000042E-2</v>
          </cell>
          <cell r="BG113">
            <v>3.1000000000000028E-2</v>
          </cell>
          <cell r="BH113">
            <v>3.9000000000000035E-2</v>
          </cell>
          <cell r="BI113">
            <v>3.7000000000000033E-2</v>
          </cell>
          <cell r="BJ113">
            <v>6.0999999999999943E-2</v>
          </cell>
          <cell r="BK113">
            <v>4.2000000000000037E-2</v>
          </cell>
          <cell r="BL113">
            <v>2.6000000000000023E-2</v>
          </cell>
          <cell r="BM113">
            <v>3.400000000000003E-2</v>
          </cell>
          <cell r="BN113">
            <v>3.2000000000000028E-2</v>
          </cell>
          <cell r="BO113">
            <v>5.5999999999999939E-2</v>
          </cell>
          <cell r="BP113">
            <v>3.7000000000000033E-2</v>
          </cell>
          <cell r="BQ113">
            <v>2.3500000000000076E-2</v>
          </cell>
          <cell r="BR113">
            <v>2.9000000000000026E-2</v>
          </cell>
          <cell r="BS113">
            <v>2.7000000000000024E-2</v>
          </cell>
          <cell r="BT113">
            <v>5.0999999999999934E-2</v>
          </cell>
          <cell r="BU113">
            <v>3.2625000000000126E-2</v>
          </cell>
          <cell r="BV113">
            <v>2.100000000000013E-2</v>
          </cell>
          <cell r="BW113">
            <v>2.4000000000000021E-2</v>
          </cell>
          <cell r="BX113">
            <v>2.200000000000002E-2</v>
          </cell>
          <cell r="BY113">
            <v>4.599999999999993E-2</v>
          </cell>
          <cell r="BZ113">
            <v>2.8249999999999997E-2</v>
          </cell>
        </row>
        <row r="114">
          <cell r="B114" t="str">
            <v>BULL - Retention rate</v>
          </cell>
          <cell r="BE114">
            <v>0.95950000000000002</v>
          </cell>
          <cell r="BF114">
            <v>0.95950000000000002</v>
          </cell>
          <cell r="BG114">
            <v>0.98</v>
          </cell>
          <cell r="BH114">
            <v>0.98</v>
          </cell>
          <cell r="BI114">
            <v>0.97299999999999998</v>
          </cell>
          <cell r="BJ114">
            <v>0.97900000000000009</v>
          </cell>
          <cell r="BK114">
            <v>0.97733333333333328</v>
          </cell>
          <cell r="BL114">
            <v>0.98</v>
          </cell>
          <cell r="BM114">
            <v>0.98</v>
          </cell>
          <cell r="BN114">
            <v>0.97799999999999998</v>
          </cell>
          <cell r="BO114">
            <v>0.9840000000000001</v>
          </cell>
          <cell r="BP114">
            <v>0.98049999999999993</v>
          </cell>
          <cell r="BQ114">
            <v>0.98</v>
          </cell>
          <cell r="BR114">
            <v>0.98</v>
          </cell>
          <cell r="BS114">
            <v>0.98299999999999998</v>
          </cell>
          <cell r="BT114">
            <v>0.9890000000000001</v>
          </cell>
          <cell r="BU114">
            <v>0.9830000000000001</v>
          </cell>
          <cell r="BV114">
            <v>0.98</v>
          </cell>
          <cell r="BW114">
            <v>0.98</v>
          </cell>
          <cell r="BX114">
            <v>0.98799999999999999</v>
          </cell>
          <cell r="BY114">
            <v>0.99400000000000011</v>
          </cell>
          <cell r="BZ114">
            <v>0.98550000000000004</v>
          </cell>
        </row>
        <row r="115">
          <cell r="B115" t="str">
            <v>BASE - Retention rate</v>
          </cell>
          <cell r="D115">
            <v>0.97299999999999998</v>
          </cell>
          <cell r="E115">
            <v>0.94699999999999995</v>
          </cell>
          <cell r="F115">
            <v>0.95799999999999996</v>
          </cell>
          <cell r="G115">
            <v>0.94199999999999995</v>
          </cell>
          <cell r="H115">
            <v>0.95499999999999996</v>
          </cell>
          <cell r="I115">
            <v>0.98</v>
          </cell>
          <cell r="J115">
            <v>0.94299999999999995</v>
          </cell>
          <cell r="K115">
            <v>0.95599999999999996</v>
          </cell>
          <cell r="L115">
            <v>0.89300000000000002</v>
          </cell>
          <cell r="P115">
            <v>0.90500000000000003</v>
          </cell>
          <cell r="Q115">
            <v>0.88500000000000001</v>
          </cell>
          <cell r="S115">
            <v>0.94399999999999995</v>
          </cell>
          <cell r="T115">
            <v>0.90200000000000002</v>
          </cell>
          <cell r="U115">
            <v>0.92400000000000004</v>
          </cell>
          <cell r="V115">
            <v>0.89800000000000002</v>
          </cell>
          <cell r="W115">
            <v>0.91700000000000004</v>
          </cell>
          <cell r="X115">
            <v>0.95</v>
          </cell>
          <cell r="Y115">
            <v>0.92800000000000005</v>
          </cell>
          <cell r="Z115">
            <v>0.95199999999999996</v>
          </cell>
          <cell r="AA115">
            <v>0.89300000000000002</v>
          </cell>
          <cell r="AB115">
            <v>0.93074999999999997</v>
          </cell>
          <cell r="AC115">
            <v>0.94499999999999995</v>
          </cell>
          <cell r="AD115">
            <v>0.94899999999999995</v>
          </cell>
          <cell r="AE115">
            <v>0.94</v>
          </cell>
          <cell r="AF115">
            <v>0.90400000000000003</v>
          </cell>
          <cell r="AG115">
            <v>0.93449999999999989</v>
          </cell>
          <cell r="AH115">
            <v>0.95</v>
          </cell>
          <cell r="AI115">
            <v>0.94</v>
          </cell>
          <cell r="AJ115">
            <v>0.94699999999999995</v>
          </cell>
          <cell r="AK115">
            <v>0.90700000000000003</v>
          </cell>
          <cell r="AL115">
            <v>0.93599999999999994</v>
          </cell>
          <cell r="AM115">
            <v>0.95599999999999996</v>
          </cell>
          <cell r="AN115">
            <v>0.94899999999999995</v>
          </cell>
          <cell r="AO115">
            <v>0.94399999999999995</v>
          </cell>
          <cell r="AP115">
            <v>0.92100000000000004</v>
          </cell>
          <cell r="AQ115">
            <v>0.94249999999999989</v>
          </cell>
          <cell r="AR115">
            <v>0.95399999999999996</v>
          </cell>
          <cell r="AS115">
            <v>0.95299999999999996</v>
          </cell>
          <cell r="AT115">
            <v>0.95299999999999996</v>
          </cell>
          <cell r="AU115">
            <v>0.95199999999999996</v>
          </cell>
          <cell r="AV115">
            <v>0.95299999999999996</v>
          </cell>
          <cell r="AW115">
            <v>0.97199999999999998</v>
          </cell>
          <cell r="AX115">
            <v>0.95399999999999996</v>
          </cell>
          <cell r="AY115">
            <v>0.95399999999999996</v>
          </cell>
          <cell r="AZ115">
            <v>0.92700000000000005</v>
          </cell>
          <cell r="BA115">
            <v>0.95199999999999996</v>
          </cell>
          <cell r="BB115">
            <v>0.96299999999999997</v>
          </cell>
          <cell r="BC115">
            <v>0.95599999999999996</v>
          </cell>
          <cell r="BD115">
            <v>0.95799999999999996</v>
          </cell>
          <cell r="BE115">
            <v>0.93400000000000005</v>
          </cell>
          <cell r="BF115">
            <v>0.95299999999999996</v>
          </cell>
          <cell r="BG115">
            <v>0.96899999999999997</v>
          </cell>
          <cell r="BH115">
            <v>0.96099999999999997</v>
          </cell>
          <cell r="BI115">
            <v>0.96299999999999997</v>
          </cell>
          <cell r="BJ115">
            <v>0.93900000000000006</v>
          </cell>
          <cell r="BK115">
            <v>0.95799999999999996</v>
          </cell>
          <cell r="BL115">
            <v>0.97399999999999998</v>
          </cell>
          <cell r="BM115">
            <v>0.96599999999999997</v>
          </cell>
          <cell r="BN115">
            <v>0.96799999999999997</v>
          </cell>
          <cell r="BO115">
            <v>0.94400000000000006</v>
          </cell>
          <cell r="BP115">
            <v>0.96299999999999997</v>
          </cell>
          <cell r="BQ115">
            <v>0.97649999999999992</v>
          </cell>
          <cell r="BR115">
            <v>0.97099999999999997</v>
          </cell>
          <cell r="BS115">
            <v>0.97299999999999998</v>
          </cell>
          <cell r="BT115">
            <v>0.94900000000000007</v>
          </cell>
          <cell r="BU115">
            <v>0.96737499999999987</v>
          </cell>
          <cell r="BV115">
            <v>0.97899999999999987</v>
          </cell>
          <cell r="BW115">
            <v>0.97599999999999998</v>
          </cell>
          <cell r="BX115">
            <v>0.97799999999999998</v>
          </cell>
          <cell r="BY115">
            <v>0.95400000000000007</v>
          </cell>
          <cell r="BZ115">
            <v>0.97175</v>
          </cell>
        </row>
        <row r="116">
          <cell r="B116" t="str">
            <v>BEAR - Retention rate</v>
          </cell>
          <cell r="BE116">
            <v>0.90949999999999998</v>
          </cell>
          <cell r="BF116">
            <v>0.90949999999999998</v>
          </cell>
          <cell r="BG116">
            <v>0.9454999999999999</v>
          </cell>
          <cell r="BH116">
            <v>0.94099999999999995</v>
          </cell>
          <cell r="BI116">
            <v>0.94299999999999995</v>
          </cell>
          <cell r="BJ116">
            <v>0.91900000000000004</v>
          </cell>
          <cell r="BK116">
            <v>0.93433333333333335</v>
          </cell>
          <cell r="BL116">
            <v>0.95399999999999996</v>
          </cell>
          <cell r="BM116">
            <v>0.94599999999999995</v>
          </cell>
          <cell r="BN116">
            <v>0.94799999999999995</v>
          </cell>
          <cell r="BO116">
            <v>0.92400000000000004</v>
          </cell>
          <cell r="BP116">
            <v>0.94299999999999995</v>
          </cell>
          <cell r="BQ116">
            <v>0.95649999999999991</v>
          </cell>
          <cell r="BR116">
            <v>0.95099999999999996</v>
          </cell>
          <cell r="BS116">
            <v>0.95299999999999996</v>
          </cell>
          <cell r="BT116">
            <v>0.92900000000000005</v>
          </cell>
          <cell r="BU116">
            <v>0.94737499999999986</v>
          </cell>
          <cell r="BV116">
            <v>0.95899999999999985</v>
          </cell>
          <cell r="BW116">
            <v>0.95599999999999996</v>
          </cell>
          <cell r="BX116">
            <v>0.95799999999999996</v>
          </cell>
          <cell r="BY116">
            <v>0.93400000000000005</v>
          </cell>
          <cell r="BZ116">
            <v>0.95174999999999998</v>
          </cell>
        </row>
        <row r="117">
          <cell r="B117" t="str">
            <v>Cancellation rate (as % of beginning of qtr run rate)</v>
          </cell>
          <cell r="D117">
            <v>2.7000000000000024E-2</v>
          </cell>
          <cell r="E117">
            <v>4.8912576290513307E-2</v>
          </cell>
          <cell r="F117">
            <v>3.7118698283734639E-2</v>
          </cell>
          <cell r="G117">
            <v>4.8504054717356651E-2</v>
          </cell>
          <cell r="H117">
            <v>4.500000000000004E-2</v>
          </cell>
          <cell r="I117">
            <v>2.0000000000000018E-2</v>
          </cell>
          <cell r="J117">
            <v>5.3104215341077413E-2</v>
          </cell>
          <cell r="K117">
            <v>3.8651914090861175E-2</v>
          </cell>
          <cell r="L117">
            <v>8.9476382883202185E-2</v>
          </cell>
          <cell r="U117">
            <v>6.9681156012912859E-2</v>
          </cell>
          <cell r="V117">
            <v>9.4549364869638011E-2</v>
          </cell>
          <cell r="W117">
            <v>4.5730704933796856E-2</v>
          </cell>
          <cell r="X117">
            <v>5.0000000000000044E-2</v>
          </cell>
          <cell r="Y117">
            <v>6.8597668132488757E-2</v>
          </cell>
          <cell r="Z117">
            <v>4.4026628345049945E-2</v>
          </cell>
          <cell r="AA117">
            <v>9.5454095239534298E-2</v>
          </cell>
          <cell r="AB117">
            <v>6.9250000000000006E-2</v>
          </cell>
          <cell r="AC117">
            <v>5.5000000000000049E-2</v>
          </cell>
          <cell r="AD117">
            <v>4.939588785851997E-2</v>
          </cell>
          <cell r="AE117">
            <v>5.8516197252139378E-2</v>
          </cell>
          <cell r="AF117">
            <v>9.3644813465078677E-2</v>
          </cell>
          <cell r="AG117">
            <v>6.7394843946919747E-2</v>
          </cell>
          <cell r="AH117">
            <v>5.0000000000000037E-2</v>
          </cell>
          <cell r="AI117">
            <v>5.8908812055759097E-2</v>
          </cell>
          <cell r="AJ117">
            <v>5.1062237588824354E-2</v>
          </cell>
          <cell r="AK117">
            <v>8.7308030729748173E-2</v>
          </cell>
          <cell r="AL117">
            <v>6.4000000000000029E-2</v>
          </cell>
          <cell r="AM117">
            <v>3.3377208211869902E-2</v>
          </cell>
          <cell r="AN117">
            <v>5.0490883590462839E-2</v>
          </cell>
          <cell r="AO117">
            <v>5.3811659192825115E-2</v>
          </cell>
          <cell r="AP117">
            <v>7.4324324324324328E-2</v>
          </cell>
          <cell r="AQ117">
            <v>4.333653646863754E-2</v>
          </cell>
          <cell r="AR117">
            <v>3.7683944755336984E-2</v>
          </cell>
          <cell r="AS117">
            <v>4.6080000000000003E-2</v>
          </cell>
          <cell r="AT117">
            <v>4.4943820224719107E-2</v>
          </cell>
          <cell r="AU117">
            <v>4.5398773006134971E-2</v>
          </cell>
          <cell r="AV117">
            <v>3.8760628891203755E-2</v>
          </cell>
          <cell r="AW117">
            <v>3.1465093411996062E-2</v>
          </cell>
          <cell r="AX117">
            <v>4.5283018867924525E-2</v>
          </cell>
          <cell r="AY117">
            <v>4.4192634560906517E-2</v>
          </cell>
          <cell r="AZ117">
            <v>6.8073089700996681E-2</v>
          </cell>
          <cell r="BA117">
            <v>4.8753355204294663E-2</v>
          </cell>
          <cell r="BB117">
            <v>3.6979300809261088E-2</v>
          </cell>
          <cell r="BC117">
            <v>4.3272709985156699E-2</v>
          </cell>
          <cell r="BD117">
            <v>3.9620407605261053E-2</v>
          </cell>
          <cell r="BE117">
            <v>6.1385082444179867E-2</v>
          </cell>
          <cell r="BF117">
            <v>4.7219096935110005E-2</v>
          </cell>
          <cell r="BG117">
            <v>3.1126376530810441E-2</v>
          </cell>
          <cell r="BH117">
            <v>3.7969746149150871E-2</v>
          </cell>
          <cell r="BI117">
            <v>3.511888839984674E-2</v>
          </cell>
          <cell r="BJ117">
            <v>5.665502293607038E-2</v>
          </cell>
          <cell r="BK117">
            <v>4.2031594132702611E-2</v>
          </cell>
          <cell r="BL117">
            <v>2.6000000000000023E-2</v>
          </cell>
          <cell r="BM117">
            <v>3.3070177541145218E-2</v>
          </cell>
          <cell r="BN117">
            <v>3.0317152338700366E-2</v>
          </cell>
          <cell r="BO117">
            <v>5.1869760253193349E-2</v>
          </cell>
          <cell r="BP117">
            <v>3.7000000000000005E-2</v>
          </cell>
          <cell r="BQ117">
            <v>2.3500000000000076E-2</v>
          </cell>
          <cell r="BR117">
            <v>2.82005819908113E-2</v>
          </cell>
          <cell r="BS117">
            <v>2.5554135664695107E-2</v>
          </cell>
          <cell r="BT117">
            <v>4.715307223094943E-2</v>
          </cell>
          <cell r="BU117">
            <v>3.2625000000000015E-2</v>
          </cell>
          <cell r="BV117">
            <v>2.100000000000013E-2</v>
          </cell>
          <cell r="BW117">
            <v>2.3334909479311418E-2</v>
          </cell>
          <cell r="BX117">
            <v>2.0803843919530263E-2</v>
          </cell>
          <cell r="BY117">
            <v>4.2462312198619213E-2</v>
          </cell>
          <cell r="BZ117">
            <v>2.8250000000000022E-2</v>
          </cell>
        </row>
        <row r="119">
          <cell r="B119" t="str">
            <v>Run rate var</v>
          </cell>
          <cell r="AN119">
            <v>-9.9999999999965894E-2</v>
          </cell>
          <cell r="AO119">
            <v>0</v>
          </cell>
          <cell r="AP119">
            <v>-9.9999999999965894E-2</v>
          </cell>
          <cell r="AR119">
            <v>0</v>
          </cell>
          <cell r="AS119">
            <v>0</v>
          </cell>
          <cell r="AT119">
            <v>0</v>
          </cell>
          <cell r="AU119">
            <v>0.10000000000002274</v>
          </cell>
          <cell r="AW119">
            <v>9.9999999999965894E-2</v>
          </cell>
          <cell r="AX119">
            <v>-0.10000000000002274</v>
          </cell>
          <cell r="AY119">
            <v>0.29999999999995453</v>
          </cell>
          <cell r="AZ119">
            <v>0.10000000000002274</v>
          </cell>
        </row>
        <row r="131">
          <cell r="B131" t="str">
            <v>Subtotal</v>
          </cell>
          <cell r="I131">
            <v>34.138562499999999</v>
          </cell>
          <cell r="J131">
            <v>35.992625000000004</v>
          </cell>
          <cell r="K131">
            <v>37.986812499999999</v>
          </cell>
          <cell r="L131">
            <v>39.915749999999996</v>
          </cell>
          <cell r="U131">
            <v>52.989031250000004</v>
          </cell>
          <cell r="V131">
            <v>55.158749999999998</v>
          </cell>
          <cell r="W131">
            <v>108.14778125000001</v>
          </cell>
          <cell r="X131">
            <v>57.3046875</v>
          </cell>
          <cell r="Y131">
            <v>59.542000000000002</v>
          </cell>
          <cell r="Z131">
            <v>61.78246875</v>
          </cell>
          <cell r="AA131">
            <v>63.939406249999998</v>
          </cell>
          <cell r="AB131">
            <v>242.56856249999998</v>
          </cell>
          <cell r="AC131">
            <v>65.948593750000001</v>
          </cell>
          <cell r="AD131">
            <v>67.786249999999995</v>
          </cell>
          <cell r="AE131">
            <v>69.542468749999998</v>
          </cell>
          <cell r="AF131">
            <v>72.551562499999989</v>
          </cell>
          <cell r="AG131">
            <v>275.82887499999998</v>
          </cell>
          <cell r="AH131">
            <v>76.737562499999996</v>
          </cell>
          <cell r="AI131">
            <v>80.829906249999993</v>
          </cell>
          <cell r="AJ131">
            <v>84.970031250000005</v>
          </cell>
          <cell r="AK131">
            <v>88.118781249999998</v>
          </cell>
          <cell r="AL131">
            <v>330.65628125000001</v>
          </cell>
          <cell r="AM131">
            <v>76.737562499999996</v>
          </cell>
          <cell r="AN131">
            <v>80.829906249999993</v>
          </cell>
          <cell r="AO131">
            <v>84.970031250000005</v>
          </cell>
          <cell r="AP131">
            <v>88.118781249999998</v>
          </cell>
          <cell r="AQ131">
            <v>330.65628125000001</v>
          </cell>
          <cell r="AR131">
            <v>74.365624999999994</v>
          </cell>
          <cell r="AS131">
            <v>76.171875</v>
          </cell>
          <cell r="AT131">
            <v>78.0625</v>
          </cell>
          <cell r="AU131">
            <v>78.237500000000011</v>
          </cell>
          <cell r="AV131">
            <v>306.83749999999998</v>
          </cell>
          <cell r="AW131">
            <v>81.887500000000003</v>
          </cell>
          <cell r="AX131">
            <v>83.90625</v>
          </cell>
          <cell r="AY131">
            <v>86.024999999999991</v>
          </cell>
          <cell r="AZ131">
            <v>88.173593749999995</v>
          </cell>
          <cell r="BA131">
            <v>339.99234374999997</v>
          </cell>
          <cell r="BB131">
            <v>90.288499999999999</v>
          </cell>
          <cell r="BC131">
            <v>92.438531250000011</v>
          </cell>
          <cell r="BD131">
            <v>94.597281249999995</v>
          </cell>
          <cell r="BE131">
            <v>96.855874999999997</v>
          </cell>
          <cell r="BF131">
            <v>374.18018749999999</v>
          </cell>
          <cell r="BG131">
            <v>99.262656249999992</v>
          </cell>
          <cell r="BH131">
            <v>101.7620022578125</v>
          </cell>
          <cell r="BI131">
            <v>104.360654171875</v>
          </cell>
          <cell r="BJ131">
            <v>107.0668216953125</v>
          </cell>
          <cell r="BK131">
            <v>412.45213437500001</v>
          </cell>
          <cell r="BL131">
            <v>109.88550629792577</v>
          </cell>
          <cell r="BM131">
            <v>112.80570315596876</v>
          </cell>
          <cell r="BN131">
            <v>115.82198510982813</v>
          </cell>
          <cell r="BO131">
            <v>118.94102562373439</v>
          </cell>
          <cell r="BP131">
            <v>457.45422018745705</v>
          </cell>
          <cell r="BQ131">
            <v>122.16512113625012</v>
          </cell>
          <cell r="BR131">
            <v>125.4941749769006</v>
          </cell>
          <cell r="BS131">
            <v>128.93208628628673</v>
          </cell>
          <cell r="BT131">
            <v>132.48583338915392</v>
          </cell>
          <cell r="BU131">
            <v>509.07721578859139</v>
          </cell>
          <cell r="BV131">
            <v>136.15722171161605</v>
          </cell>
          <cell r="BW131">
            <v>139.94697646340475</v>
          </cell>
          <cell r="BX131">
            <v>143.86057446494388</v>
          </cell>
          <cell r="BY131">
            <v>147.90535085830987</v>
          </cell>
          <cell r="BZ131">
            <v>567.87012349827455</v>
          </cell>
        </row>
        <row r="132">
          <cell r="B132" t="str">
            <v>Adjustments (FX, Other)</v>
          </cell>
          <cell r="I132">
            <v>4.6704374999999985</v>
          </cell>
          <cell r="J132">
            <v>5.8113749999999982</v>
          </cell>
          <cell r="K132">
            <v>5.6791874999999976</v>
          </cell>
          <cell r="L132">
            <v>5.6222500000000011</v>
          </cell>
          <cell r="U132">
            <v>5.9949687499999982</v>
          </cell>
          <cell r="V132">
            <v>5.984250000000003</v>
          </cell>
          <cell r="W132">
            <v>11.979218750000001</v>
          </cell>
          <cell r="X132">
            <v>4.8543124999999989</v>
          </cell>
          <cell r="Y132">
            <v>6.7330000000000041</v>
          </cell>
          <cell r="Z132">
            <v>4.4965312499999968</v>
          </cell>
          <cell r="AA132">
            <v>5.7375937500000092</v>
          </cell>
          <cell r="AB132">
            <v>21.821437500000009</v>
          </cell>
          <cell r="AC132">
            <v>5.6904062499999952</v>
          </cell>
          <cell r="AD132">
            <v>8.0427499999999981</v>
          </cell>
          <cell r="AE132">
            <v>4.3515312500000078</v>
          </cell>
          <cell r="AF132">
            <v>6.7164375000000121</v>
          </cell>
          <cell r="AG132">
            <v>24.801125000000013</v>
          </cell>
          <cell r="AH132">
            <v>8.1504375000000095</v>
          </cell>
          <cell r="AI132">
            <v>14.370093750000009</v>
          </cell>
          <cell r="AJ132">
            <v>7.8449687499999925</v>
          </cell>
          <cell r="AK132">
            <v>5.652218750000003</v>
          </cell>
          <cell r="AL132">
            <v>36.017718750000014</v>
          </cell>
          <cell r="AM132">
            <v>-6.4375624999999985</v>
          </cell>
          <cell r="AN132">
            <v>-9.5299062499999962</v>
          </cell>
          <cell r="AO132">
            <v>-10.370031250000011</v>
          </cell>
          <cell r="AP132">
            <v>-12.118781249999998</v>
          </cell>
          <cell r="AQ132">
            <v>-38.456281250000004</v>
          </cell>
          <cell r="AR132">
            <v>2.5343750000000114</v>
          </cell>
          <cell r="AS132">
            <v>3.2281250000000057</v>
          </cell>
          <cell r="AT132">
            <v>3.2374999999999972</v>
          </cell>
          <cell r="AU132">
            <v>4.2624999999999886</v>
          </cell>
          <cell r="AV132">
            <v>13.262500000000003</v>
          </cell>
          <cell r="AW132">
            <v>3.2124999999999915</v>
          </cell>
          <cell r="AX132">
            <v>3.59375</v>
          </cell>
          <cell r="AY132">
            <v>3.0750000000000028</v>
          </cell>
          <cell r="AZ132">
            <v>3.2334062500000016</v>
          </cell>
          <cell r="BA132">
            <v>13.114656249999996</v>
          </cell>
          <cell r="BB132">
            <v>3.3564999999999969</v>
          </cell>
          <cell r="BC132">
            <v>4.7004687499999847</v>
          </cell>
          <cell r="BD132">
            <v>4.0277187500000053</v>
          </cell>
          <cell r="BE132">
            <v>3.0831249999999955</v>
          </cell>
          <cell r="BF132">
            <v>15.167812499999982</v>
          </cell>
          <cell r="BG132">
            <v>2.9153437500000052</v>
          </cell>
          <cell r="BH132">
            <v>4.7004687499999847</v>
          </cell>
          <cell r="BI132">
            <v>4.0277187500000053</v>
          </cell>
          <cell r="BJ132">
            <v>3.0831249999999955</v>
          </cell>
          <cell r="BK132">
            <v>14.726656249999991</v>
          </cell>
          <cell r="BL132">
            <v>2.9153437500000052</v>
          </cell>
          <cell r="BM132">
            <v>4.7004687499999847</v>
          </cell>
          <cell r="BN132">
            <v>4.0277187500000053</v>
          </cell>
          <cell r="BO132">
            <v>3.0831249999999955</v>
          </cell>
          <cell r="BP132">
            <v>14.726656249999991</v>
          </cell>
          <cell r="BQ132">
            <v>2.9153437500000052</v>
          </cell>
          <cell r="BR132">
            <v>4.7004687499999847</v>
          </cell>
          <cell r="BS132">
            <v>4.0277187500000053</v>
          </cell>
          <cell r="BT132">
            <v>3.0831249999999955</v>
          </cell>
          <cell r="BU132">
            <v>14.726656249999991</v>
          </cell>
          <cell r="BV132">
            <v>2.9153437500000052</v>
          </cell>
          <cell r="BW132">
            <v>4.7004687499999847</v>
          </cell>
          <cell r="BX132">
            <v>4.0277187500000053</v>
          </cell>
          <cell r="BY132">
            <v>3.0831249999999955</v>
          </cell>
          <cell r="BZ132">
            <v>14.726656249999991</v>
          </cell>
        </row>
        <row r="133">
          <cell r="B133" t="str">
            <v>Equity Indices subscription revenue</v>
          </cell>
          <cell r="D133">
            <v>33.154000000000003</v>
          </cell>
          <cell r="E133">
            <v>33.189</v>
          </cell>
          <cell r="F133">
            <v>33.405000000000001</v>
          </cell>
          <cell r="G133">
            <v>37.341000000000001</v>
          </cell>
          <cell r="I133">
            <v>38.808999999999997</v>
          </cell>
          <cell r="J133">
            <v>41.804000000000002</v>
          </cell>
          <cell r="K133">
            <v>43.665999999999997</v>
          </cell>
          <cell r="L133">
            <v>45.537999999999997</v>
          </cell>
          <cell r="U133">
            <v>58.984000000000002</v>
          </cell>
          <cell r="V133">
            <v>61.143000000000001</v>
          </cell>
          <cell r="W133">
            <v>120.12700000000001</v>
          </cell>
          <cell r="X133">
            <v>62.158999999999999</v>
          </cell>
          <cell r="Y133">
            <v>66.275000000000006</v>
          </cell>
          <cell r="Z133">
            <v>66.278999999999996</v>
          </cell>
          <cell r="AA133">
            <v>69.677000000000007</v>
          </cell>
          <cell r="AB133">
            <v>264.39</v>
          </cell>
          <cell r="AC133">
            <v>71.638999999999996</v>
          </cell>
          <cell r="AD133">
            <v>75.828999999999994</v>
          </cell>
          <cell r="AE133">
            <v>73.894000000000005</v>
          </cell>
          <cell r="AF133">
            <v>79.268000000000001</v>
          </cell>
          <cell r="AG133">
            <v>300.63</v>
          </cell>
          <cell r="AH133">
            <v>84.888000000000005</v>
          </cell>
          <cell r="AI133">
            <v>95.2</v>
          </cell>
          <cell r="AJ133">
            <v>92.814999999999998</v>
          </cell>
          <cell r="AK133">
            <v>93.771000000000001</v>
          </cell>
          <cell r="AL133">
            <v>366.67400000000004</v>
          </cell>
          <cell r="AM133">
            <v>70.3</v>
          </cell>
          <cell r="AN133">
            <v>71.3</v>
          </cell>
          <cell r="AO133">
            <v>74.599999999999994</v>
          </cell>
          <cell r="AP133">
            <v>76</v>
          </cell>
          <cell r="AQ133">
            <v>292.2</v>
          </cell>
          <cell r="AR133">
            <v>76.900000000000006</v>
          </cell>
          <cell r="AS133">
            <v>79.400000000000006</v>
          </cell>
          <cell r="AT133">
            <v>81.3</v>
          </cell>
          <cell r="AU133">
            <v>82.5</v>
          </cell>
          <cell r="AV133">
            <v>320.10000000000002</v>
          </cell>
          <cell r="AW133">
            <v>85.1</v>
          </cell>
          <cell r="AX133">
            <v>87.5</v>
          </cell>
          <cell r="AY133">
            <v>89.1</v>
          </cell>
          <cell r="AZ133">
            <v>91.406999999999996</v>
          </cell>
          <cell r="BA133">
            <v>353.10699999999997</v>
          </cell>
          <cell r="BB133">
            <v>93.644999999999996</v>
          </cell>
          <cell r="BC133">
            <v>97.138999999999996</v>
          </cell>
          <cell r="BD133">
            <v>98.625</v>
          </cell>
          <cell r="BE133">
            <v>99.938999999999993</v>
          </cell>
          <cell r="BF133">
            <v>389.34799999999996</v>
          </cell>
          <cell r="BG133">
            <v>102.178</v>
          </cell>
          <cell r="BH133">
            <v>106.46247100781248</v>
          </cell>
          <cell r="BI133">
            <v>108.388372921875</v>
          </cell>
          <cell r="BJ133">
            <v>110.14994669531249</v>
          </cell>
          <cell r="BK133">
            <v>427.17879062499998</v>
          </cell>
          <cell r="BL133">
            <v>112.80085004792578</v>
          </cell>
          <cell r="BM133">
            <v>117.50617190596874</v>
          </cell>
          <cell r="BN133">
            <v>119.84970385982814</v>
          </cell>
          <cell r="BO133">
            <v>122.02415062373439</v>
          </cell>
          <cell r="BP133">
            <v>472.18087643745707</v>
          </cell>
          <cell r="BQ133">
            <v>125.08046488625013</v>
          </cell>
          <cell r="BR133">
            <v>130.19464372690058</v>
          </cell>
          <cell r="BS133">
            <v>132.95980503628675</v>
          </cell>
          <cell r="BT133">
            <v>135.56895838915392</v>
          </cell>
          <cell r="BU133">
            <v>523.80387203859141</v>
          </cell>
          <cell r="BV133">
            <v>139.07256546161605</v>
          </cell>
          <cell r="BW133">
            <v>144.64744521340475</v>
          </cell>
          <cell r="BX133">
            <v>147.88829321494387</v>
          </cell>
          <cell r="BY133">
            <v>150.98847585830987</v>
          </cell>
          <cell r="BZ133">
            <v>582.59677974827457</v>
          </cell>
          <cell r="CB133">
            <v>8.3941954828190335E-2</v>
          </cell>
        </row>
        <row r="134">
          <cell r="Z134">
            <v>0.12367760748677603</v>
          </cell>
          <cell r="AA134">
            <v>0.13957444024663501</v>
          </cell>
          <cell r="AC134">
            <v>0.15251210605061205</v>
          </cell>
          <cell r="AD134">
            <v>0.14415692191625773</v>
          </cell>
          <cell r="AE134">
            <v>0.11489310339624925</v>
          </cell>
          <cell r="AF134">
            <v>0.13764943955681197</v>
          </cell>
          <cell r="AG134">
            <v>0.13707023714966526</v>
          </cell>
          <cell r="AH134">
            <v>0.18494116333282173</v>
          </cell>
          <cell r="AI134">
            <v>0.25545635574780112</v>
          </cell>
          <cell r="AJ134">
            <v>0.25605597206809749</v>
          </cell>
          <cell r="AK134">
            <v>0.1829615986274411</v>
          </cell>
          <cell r="AL134">
            <v>0.21968532747896097</v>
          </cell>
          <cell r="AM134">
            <v>-1.869093650106779E-2</v>
          </cell>
          <cell r="AN134">
            <v>-5.9726489865354893E-2</v>
          </cell>
          <cell r="AO134">
            <v>9.5542263241938929E-3</v>
          </cell>
          <cell r="AP134">
            <v>-4.122722914669219E-2</v>
          </cell>
          <cell r="AQ134">
            <v>-2.8041113661311234E-2</v>
          </cell>
          <cell r="AR134">
            <v>9.3883357041251836E-2</v>
          </cell>
          <cell r="AS134">
            <v>0.1136044880785414</v>
          </cell>
          <cell r="AT134">
            <v>8.9812332439678233E-2</v>
          </cell>
          <cell r="AU134">
            <v>8.5526315789473673E-2</v>
          </cell>
          <cell r="AV134">
            <v>-0.12701745965080702</v>
          </cell>
          <cell r="AW134">
            <v>0.10663198959687881</v>
          </cell>
          <cell r="AX134">
            <v>0.10201511335012592</v>
          </cell>
          <cell r="AY134">
            <v>9.5940959409594129E-2</v>
          </cell>
          <cell r="AZ134">
            <v>0.10796363636363626</v>
          </cell>
          <cell r="BA134">
            <v>0.10311465167135259</v>
          </cell>
          <cell r="BB134">
            <v>0.10041128084606354</v>
          </cell>
          <cell r="BC134">
            <v>0.11016000000000004</v>
          </cell>
          <cell r="BD134">
            <v>0.10690235690235705</v>
          </cell>
          <cell r="BE134">
            <v>9.3340772588532461E-2</v>
          </cell>
          <cell r="BF134">
            <v>0.10263461217138148</v>
          </cell>
          <cell r="BG134">
            <v>9.1120721875166844E-2</v>
          </cell>
          <cell r="BH134">
            <v>9.5980718432478129E-2</v>
          </cell>
          <cell r="BI134">
            <v>9.8994909220532445E-2</v>
          </cell>
          <cell r="BJ134">
            <v>0.10217179174609003</v>
          </cell>
          <cell r="BK134">
            <v>9.7164466300071028E-2</v>
          </cell>
          <cell r="BL134">
            <v>0.10396416105155493</v>
          </cell>
          <cell r="BM134">
            <v>0.10373327608886562</v>
          </cell>
          <cell r="BN134">
            <v>0.10574317732598781</v>
          </cell>
          <cell r="BO134">
            <v>0.10780036018780215</v>
          </cell>
          <cell r="BP134">
            <v>0.10534719138704229</v>
          </cell>
          <cell r="BQ134">
            <v>0.10886101330891651</v>
          </cell>
          <cell r="BR134">
            <v>0.10798132230097202</v>
          </cell>
          <cell r="BS134">
            <v>0.10938784789816181</v>
          </cell>
          <cell r="BT134">
            <v>0.11100104115606935</v>
          </cell>
          <cell r="BU134">
            <v>0.10932885717571428</v>
          </cell>
          <cell r="BV134">
            <v>0.11186479509882319</v>
          </cell>
          <cell r="BW134">
            <v>0.11100918649787705</v>
          </cell>
          <cell r="BX134">
            <v>0.11227820448881465</v>
          </cell>
          <cell r="BY134">
            <v>0.11373929292053608</v>
          </cell>
          <cell r="BZ134">
            <v>0.11224221669241796</v>
          </cell>
        </row>
        <row r="136">
          <cell r="B136" t="str">
            <v>Index Non-Recurring</v>
          </cell>
          <cell r="AM136">
            <v>1.6</v>
          </cell>
          <cell r="AN136">
            <v>1.6</v>
          </cell>
          <cell r="AO136">
            <v>1.4</v>
          </cell>
          <cell r="AP136">
            <v>2.1</v>
          </cell>
          <cell r="AQ136">
            <v>6.6999999999999993</v>
          </cell>
          <cell r="AR136">
            <v>1.3</v>
          </cell>
          <cell r="AS136">
            <v>2</v>
          </cell>
          <cell r="AT136">
            <v>1.9</v>
          </cell>
          <cell r="AU136">
            <v>1.5</v>
          </cell>
          <cell r="AV136">
            <v>6.6999999999999993</v>
          </cell>
          <cell r="AW136">
            <v>2.6</v>
          </cell>
          <cell r="AX136">
            <v>1.4</v>
          </cell>
          <cell r="AY136">
            <v>1.7</v>
          </cell>
          <cell r="AZ136">
            <v>2.097</v>
          </cell>
          <cell r="BA136">
            <v>7.7970000000000006</v>
          </cell>
          <cell r="BB136">
            <v>2.2690000000000001</v>
          </cell>
          <cell r="BC136">
            <v>5.3440000000000003</v>
          </cell>
          <cell r="BD136">
            <v>3.004</v>
          </cell>
          <cell r="BE136">
            <v>3.3570000000000002</v>
          </cell>
          <cell r="BF136">
            <v>13.974</v>
          </cell>
          <cell r="BG136">
            <v>3.7490000000000001</v>
          </cell>
          <cell r="BH136">
            <v>3.7490000000000001</v>
          </cell>
          <cell r="BI136">
            <v>3.7490000000000001</v>
          </cell>
          <cell r="BJ136">
            <v>3.7490000000000001</v>
          </cell>
          <cell r="BK136">
            <v>14.996</v>
          </cell>
          <cell r="BL136">
            <v>3.7490000000000001</v>
          </cell>
          <cell r="BM136">
            <v>3.7490000000000001</v>
          </cell>
          <cell r="BN136">
            <v>3.7490000000000001</v>
          </cell>
          <cell r="BO136">
            <v>3.7490000000000001</v>
          </cell>
          <cell r="BP136">
            <v>14.996</v>
          </cell>
          <cell r="BQ136">
            <v>3.7490000000000001</v>
          </cell>
          <cell r="BR136">
            <v>3.7490000000000001</v>
          </cell>
          <cell r="BS136">
            <v>3.7490000000000001</v>
          </cell>
          <cell r="BT136">
            <v>3.7490000000000001</v>
          </cell>
          <cell r="BU136">
            <v>14.996</v>
          </cell>
          <cell r="BV136">
            <v>3.7490000000000001</v>
          </cell>
          <cell r="BW136">
            <v>3.7490000000000001</v>
          </cell>
          <cell r="BX136">
            <v>3.7490000000000001</v>
          </cell>
          <cell r="BY136">
            <v>3.7490000000000001</v>
          </cell>
          <cell r="BZ136">
            <v>14.996</v>
          </cell>
          <cell r="CB136">
            <v>1.4217123258301045E-2</v>
          </cell>
        </row>
        <row r="137">
          <cell r="B137" t="str">
            <v>y/y change</v>
          </cell>
          <cell r="AR137">
            <v>-0.1875</v>
          </cell>
          <cell r="AS137">
            <v>0.25</v>
          </cell>
          <cell r="AT137">
            <v>0.35714285714285721</v>
          </cell>
          <cell r="AU137">
            <v>-0.2857142857142857</v>
          </cell>
          <cell r="AV137">
            <v>0</v>
          </cell>
          <cell r="AW137">
            <v>1</v>
          </cell>
          <cell r="AX137">
            <v>-0.30000000000000004</v>
          </cell>
          <cell r="AY137">
            <v>-0.10526315789473684</v>
          </cell>
          <cell r="AZ137">
            <v>0.39799999999999991</v>
          </cell>
          <cell r="BA137">
            <v>0.1637313432835823</v>
          </cell>
          <cell r="BB137">
            <v>-0.12730769230769223</v>
          </cell>
          <cell r="BC137">
            <v>2.8171428571428576</v>
          </cell>
          <cell r="BD137">
            <v>0.76705882352941179</v>
          </cell>
          <cell r="BE137">
            <v>0.6008583690987126</v>
          </cell>
          <cell r="BF137">
            <v>0.79222777991535187</v>
          </cell>
          <cell r="BG137">
            <v>0.6522697223446452</v>
          </cell>
          <cell r="BH137">
            <v>-0.29846556886227549</v>
          </cell>
          <cell r="BI137">
            <v>0.24800266311584562</v>
          </cell>
          <cell r="BJ137">
            <v>0.11677092642240083</v>
          </cell>
          <cell r="BK137">
            <v>7.3135823672534794E-2</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0</v>
          </cell>
        </row>
        <row r="139">
          <cell r="C139">
            <v>2006</v>
          </cell>
          <cell r="D139" t="str">
            <v>1Q07</v>
          </cell>
          <cell r="E139" t="str">
            <v>2Q07</v>
          </cell>
          <cell r="F139" t="str">
            <v>3Q07</v>
          </cell>
          <cell r="G139" t="str">
            <v>4Q07</v>
          </cell>
          <cell r="H139">
            <v>2007</v>
          </cell>
          <cell r="I139" t="str">
            <v>1Q08</v>
          </cell>
          <cell r="J139" t="str">
            <v>2Q08</v>
          </cell>
          <cell r="K139" t="str">
            <v>3Q08</v>
          </cell>
          <cell r="L139" t="str">
            <v>4Q08</v>
          </cell>
          <cell r="P139" t="str">
            <v>3Q09</v>
          </cell>
          <cell r="Q139" t="str">
            <v>4Q09</v>
          </cell>
          <cell r="R139">
            <v>2009</v>
          </cell>
          <cell r="S139" t="str">
            <v>1Q10</v>
          </cell>
          <cell r="T139" t="str">
            <v>2Q10</v>
          </cell>
          <cell r="U139" t="str">
            <v>3Q10</v>
          </cell>
          <cell r="V139" t="str">
            <v>4Q10</v>
          </cell>
          <cell r="W139">
            <v>2010</v>
          </cell>
          <cell r="X139" t="str">
            <v>1Q11</v>
          </cell>
          <cell r="Y139" t="str">
            <v>2Q11</v>
          </cell>
          <cell r="Z139" t="str">
            <v>3Q11</v>
          </cell>
          <cell r="AA139" t="str">
            <v>4Q11</v>
          </cell>
          <cell r="AB139">
            <v>2011</v>
          </cell>
          <cell r="AC139" t="str">
            <v>1Q12</v>
          </cell>
          <cell r="AD139" t="str">
            <v>2Q12</v>
          </cell>
          <cell r="AE139" t="str">
            <v>3Q12</v>
          </cell>
          <cell r="AF139" t="str">
            <v>4Q12</v>
          </cell>
          <cell r="AG139">
            <v>2012</v>
          </cell>
          <cell r="AH139" t="str">
            <v>1Q13</v>
          </cell>
          <cell r="AI139" t="str">
            <v>2Q13</v>
          </cell>
          <cell r="AJ139" t="str">
            <v>3Q13</v>
          </cell>
          <cell r="AK139" t="str">
            <v>4Q13</v>
          </cell>
          <cell r="AL139">
            <v>2013</v>
          </cell>
          <cell r="AM139" t="str">
            <v>1Q13R</v>
          </cell>
          <cell r="AN139" t="str">
            <v>2Q13R</v>
          </cell>
          <cell r="AO139" t="str">
            <v>3Q13R</v>
          </cell>
          <cell r="AP139" t="str">
            <v>4Q13R</v>
          </cell>
          <cell r="AQ139" t="str">
            <v>2013R</v>
          </cell>
          <cell r="AR139" t="str">
            <v>1Q14</v>
          </cell>
          <cell r="AS139" t="str">
            <v>2Q14</v>
          </cell>
          <cell r="AT139" t="str">
            <v>3Q14</v>
          </cell>
          <cell r="AU139" t="str">
            <v>4Q14</v>
          </cell>
          <cell r="AV139">
            <v>2014</v>
          </cell>
          <cell r="AW139" t="str">
            <v>1Q15</v>
          </cell>
          <cell r="AX139" t="str">
            <v>2Q15</v>
          </cell>
          <cell r="AY139" t="str">
            <v>3Q15</v>
          </cell>
          <cell r="AZ139" t="str">
            <v>4Q15</v>
          </cell>
          <cell r="BA139">
            <v>2015</v>
          </cell>
          <cell r="BB139" t="str">
            <v>1Q16</v>
          </cell>
          <cell r="BC139" t="str">
            <v>2Q16</v>
          </cell>
          <cell r="BD139" t="str">
            <v>3Q16</v>
          </cell>
          <cell r="BE139" t="str">
            <v>4Q16</v>
          </cell>
          <cell r="BF139">
            <v>2016</v>
          </cell>
          <cell r="BG139" t="str">
            <v>1Q17</v>
          </cell>
          <cell r="BH139" t="str">
            <v>2Q17E</v>
          </cell>
          <cell r="BI139" t="str">
            <v>3Q17E</v>
          </cell>
          <cell r="BJ139" t="str">
            <v>4Q17E</v>
          </cell>
          <cell r="BK139" t="str">
            <v>2017E</v>
          </cell>
          <cell r="BL139" t="str">
            <v>1Q18E</v>
          </cell>
          <cell r="BM139" t="str">
            <v>2Q18E</v>
          </cell>
          <cell r="BN139" t="str">
            <v>3Q18E</v>
          </cell>
          <cell r="BO139" t="str">
            <v>4Q18E</v>
          </cell>
          <cell r="BP139" t="str">
            <v>2018E</v>
          </cell>
          <cell r="BQ139" t="str">
            <v>1Q19E</v>
          </cell>
          <cell r="BR139" t="str">
            <v>2Q19E</v>
          </cell>
          <cell r="BS139" t="str">
            <v>3Q19E</v>
          </cell>
          <cell r="BT139" t="str">
            <v>4Q19E</v>
          </cell>
          <cell r="BU139" t="str">
            <v>2019E</v>
          </cell>
          <cell r="BV139" t="str">
            <v>1Q20E</v>
          </cell>
          <cell r="BW139" t="str">
            <v>2Q20E</v>
          </cell>
          <cell r="BX139" t="str">
            <v>3Q20E</v>
          </cell>
          <cell r="BY139" t="str">
            <v>4Q20E</v>
          </cell>
          <cell r="BZ139" t="str">
            <v>2020E</v>
          </cell>
        </row>
        <row r="140">
          <cell r="A140" t="str">
            <v>Portfolio Management Analytics</v>
          </cell>
        </row>
        <row r="142">
          <cell r="B142" t="str">
            <v>Annualized run rate</v>
          </cell>
          <cell r="C142">
            <v>107.02640706645369</v>
          </cell>
          <cell r="D142">
            <v>111.604</v>
          </cell>
          <cell r="E142">
            <v>116.24299999999999</v>
          </cell>
          <cell r="F142">
            <v>121.47499999999999</v>
          </cell>
          <cell r="G142">
            <v>124.66800000000001</v>
          </cell>
          <cell r="H142">
            <v>124.66800000000001</v>
          </cell>
          <cell r="I142">
            <v>132.45699999999999</v>
          </cell>
          <cell r="J142">
            <v>134.50899999999999</v>
          </cell>
          <cell r="K142">
            <v>134.172</v>
          </cell>
          <cell r="L142">
            <v>129.16800000000001</v>
          </cell>
          <cell r="P142">
            <v>125.01900000000001</v>
          </cell>
          <cell r="Q142">
            <v>122.19199999999999</v>
          </cell>
          <cell r="R142">
            <v>122.19199999999999</v>
          </cell>
          <cell r="S142">
            <v>121.53</v>
          </cell>
          <cell r="T142">
            <v>121.52500000000001</v>
          </cell>
          <cell r="U142">
            <v>122.32299999999999</v>
          </cell>
          <cell r="V142">
            <v>115.158</v>
          </cell>
          <cell r="W142">
            <v>115.158</v>
          </cell>
          <cell r="X142">
            <v>116.839</v>
          </cell>
          <cell r="Y142">
            <v>118.452</v>
          </cell>
          <cell r="Z142">
            <v>119.22</v>
          </cell>
          <cell r="AA142">
            <v>118.354</v>
          </cell>
          <cell r="AB142">
            <v>118.354</v>
          </cell>
          <cell r="AC142">
            <v>117.751</v>
          </cell>
          <cell r="AD142">
            <v>117.15300000000001</v>
          </cell>
          <cell r="AE142">
            <v>115.958</v>
          </cell>
          <cell r="AF142">
            <v>109.836</v>
          </cell>
          <cell r="AG142">
            <v>109.836</v>
          </cell>
          <cell r="AH142">
            <v>106.09099999999999</v>
          </cell>
          <cell r="AI142">
            <v>104.524</v>
          </cell>
          <cell r="AJ142">
            <v>104.938</v>
          </cell>
          <cell r="AK142">
            <v>103.125</v>
          </cell>
          <cell r="AL142">
            <v>103.125</v>
          </cell>
          <cell r="AM142">
            <v>106.09099999999999</v>
          </cell>
          <cell r="AN142">
            <v>104.524</v>
          </cell>
          <cell r="AO142">
            <v>104.938</v>
          </cell>
          <cell r="AP142">
            <v>103.125</v>
          </cell>
          <cell r="AQ142">
            <v>103.125</v>
          </cell>
          <cell r="AR142">
            <v>103.53100000000001</v>
          </cell>
          <cell r="AS142">
            <v>106.486</v>
          </cell>
          <cell r="AT142">
            <v>106.99299999999999</v>
          </cell>
          <cell r="AU142">
            <v>107.33799999999999</v>
          </cell>
          <cell r="AV142">
            <v>107.33799999999999</v>
          </cell>
          <cell r="AW142">
            <v>108.364</v>
          </cell>
          <cell r="AX142">
            <v>109.532</v>
          </cell>
          <cell r="AY142">
            <v>110.7</v>
          </cell>
          <cell r="AZ142">
            <v>112.6394265</v>
          </cell>
          <cell r="BA142">
            <v>112.6394265</v>
          </cell>
          <cell r="BB142">
            <v>114.29295768324999</v>
          </cell>
          <cell r="BC142">
            <v>115.95440714599999</v>
          </cell>
          <cell r="BD142">
            <v>117.329853024375</v>
          </cell>
          <cell r="BE142">
            <v>119.68958134012499</v>
          </cell>
          <cell r="BF142">
            <v>119.68958134012499</v>
          </cell>
          <cell r="BG142">
            <v>121.59063450399255</v>
          </cell>
          <cell r="BH142">
            <v>123.63736838855564</v>
          </cell>
          <cell r="BI142">
            <v>125.34316215649451</v>
          </cell>
          <cell r="BJ142">
            <v>128.14957520373787</v>
          </cell>
          <cell r="BK142">
            <v>128.14957520373787</v>
          </cell>
          <cell r="BL142">
            <v>130.182108487265</v>
          </cell>
          <cell r="BM142">
            <v>132.53105443441268</v>
          </cell>
          <cell r="BN142">
            <v>134.51570522658372</v>
          </cell>
          <cell r="BO142">
            <v>137.67767132413886</v>
          </cell>
          <cell r="BP142">
            <v>137.67767132413886</v>
          </cell>
          <cell r="BQ142">
            <v>139.84160823331814</v>
          </cell>
          <cell r="BR142">
            <v>142.34717363478021</v>
          </cell>
          <cell r="BS142">
            <v>144.46642838201814</v>
          </cell>
          <cell r="BT142">
            <v>147.84304059612847</v>
          </cell>
          <cell r="BU142">
            <v>147.84304059612847</v>
          </cell>
          <cell r="BV142">
            <v>150.14815840950399</v>
          </cell>
          <cell r="BW142">
            <v>152.82172233715818</v>
          </cell>
          <cell r="BX142">
            <v>155.08523344153818</v>
          </cell>
          <cell r="BY142">
            <v>158.69187332328463</v>
          </cell>
          <cell r="BZ142">
            <v>158.69187332328463</v>
          </cell>
        </row>
        <row r="143">
          <cell r="B143" t="str">
            <v>Revenue</v>
          </cell>
          <cell r="AR143">
            <v>-2.4130227823283668E-2</v>
          </cell>
          <cell r="AS143">
            <v>1.8770808618116419E-2</v>
          </cell>
          <cell r="AT143">
            <v>1.9582991861861299E-2</v>
          </cell>
          <cell r="AU143">
            <v>4.0853333333333186E-2</v>
          </cell>
          <cell r="AW143">
            <v>4.6681670224377303E-2</v>
          </cell>
          <cell r="AX143">
            <v>2.8604699209285656E-2</v>
          </cell>
          <cell r="AY143">
            <v>3.4647126447524768E-2</v>
          </cell>
          <cell r="AZ143">
            <v>4.9390024967858492E-2</v>
          </cell>
        </row>
        <row r="144">
          <cell r="B144" t="str">
            <v>Subscription revenue - 1st quarter, 12.5%</v>
          </cell>
          <cell r="I144">
            <v>3.487625</v>
          </cell>
          <cell r="J144">
            <v>3.6325937499999998</v>
          </cell>
          <cell r="K144">
            <v>3.7960937499999998</v>
          </cell>
          <cell r="L144">
            <v>3.8958750000000002</v>
          </cell>
          <cell r="U144">
            <v>3.9068437500000002</v>
          </cell>
          <cell r="V144">
            <v>3.8184999999999998</v>
          </cell>
          <cell r="W144">
            <v>7.7253437500000004</v>
          </cell>
          <cell r="X144">
            <v>3.7978125</v>
          </cell>
          <cell r="Y144">
            <v>3.7976562500000002</v>
          </cell>
          <cell r="Z144">
            <v>3.8225937499999998</v>
          </cell>
          <cell r="AA144">
            <v>3.5986875</v>
          </cell>
          <cell r="AB144">
            <v>15.01675</v>
          </cell>
          <cell r="AC144">
            <v>3.65121875</v>
          </cell>
          <cell r="AD144">
            <v>3.7016249999999999</v>
          </cell>
          <cell r="AE144">
            <v>3.725625</v>
          </cell>
          <cell r="AF144">
            <v>3.6985625</v>
          </cell>
          <cell r="AG144">
            <v>14.777031249999999</v>
          </cell>
          <cell r="AH144">
            <v>3.6797187500000001</v>
          </cell>
          <cell r="AI144">
            <v>3.6610312500000002</v>
          </cell>
          <cell r="AJ144">
            <v>3.6236875</v>
          </cell>
          <cell r="AK144">
            <v>3.432375</v>
          </cell>
          <cell r="AL144">
            <v>14.396812499999999</v>
          </cell>
          <cell r="AM144">
            <v>3.6797187500000001</v>
          </cell>
          <cell r="AN144">
            <v>3.6610312500000002</v>
          </cell>
          <cell r="AO144">
            <v>3.6236875</v>
          </cell>
          <cell r="AP144">
            <v>3.432375</v>
          </cell>
          <cell r="AQ144">
            <v>14.396812499999999</v>
          </cell>
          <cell r="AR144">
            <v>3.3153437499999998</v>
          </cell>
          <cell r="AS144">
            <v>3.266375</v>
          </cell>
          <cell r="AT144">
            <v>3.2793125000000001</v>
          </cell>
          <cell r="AU144">
            <v>3.22265625</v>
          </cell>
          <cell r="AV144">
            <v>13.0836875</v>
          </cell>
          <cell r="AW144">
            <v>3.3153437499999998</v>
          </cell>
          <cell r="AX144">
            <v>3.3276875000000001</v>
          </cell>
          <cell r="AY144">
            <v>3.3435312499999998</v>
          </cell>
          <cell r="AZ144">
            <v>3.3543124999999998</v>
          </cell>
          <cell r="BA144">
            <v>13.340875</v>
          </cell>
          <cell r="BB144">
            <v>3.3863750000000001</v>
          </cell>
          <cell r="BC144">
            <v>3.4228749999999999</v>
          </cell>
          <cell r="BD144">
            <v>3.4593750000000001</v>
          </cell>
          <cell r="BE144">
            <v>3.519982078125</v>
          </cell>
          <cell r="BF144">
            <v>13.788607078125001</v>
          </cell>
          <cell r="BG144">
            <v>3.5716549276015623</v>
          </cell>
          <cell r="BH144">
            <v>3.6235752233124998</v>
          </cell>
          <cell r="BI144">
            <v>3.6665579070117187</v>
          </cell>
          <cell r="BJ144">
            <v>3.7402994168789059</v>
          </cell>
          <cell r="BK144">
            <v>14.602087474804687</v>
          </cell>
          <cell r="BL144">
            <v>3.7997073282497671</v>
          </cell>
          <cell r="BM144">
            <v>3.8636677621423638</v>
          </cell>
          <cell r="BN144">
            <v>3.9169738173904536</v>
          </cell>
          <cell r="BO144">
            <v>4.0046742251168084</v>
          </cell>
          <cell r="BP144">
            <v>15.585023132899394</v>
          </cell>
          <cell r="BQ144">
            <v>4.0681908902270312</v>
          </cell>
          <cell r="BR144">
            <v>4.1415954510753963</v>
          </cell>
          <cell r="BS144">
            <v>4.2036157883307412</v>
          </cell>
          <cell r="BT144">
            <v>4.3024272288793393</v>
          </cell>
          <cell r="BU144">
            <v>16.715829358512508</v>
          </cell>
          <cell r="BV144">
            <v>4.3700502572911919</v>
          </cell>
          <cell r="BW144">
            <v>4.4483491760868814</v>
          </cell>
          <cell r="BX144">
            <v>4.5145758869380668</v>
          </cell>
          <cell r="BY144">
            <v>4.6200950186290148</v>
          </cell>
          <cell r="BZ144">
            <v>17.953070338945153</v>
          </cell>
        </row>
        <row r="145">
          <cell r="B145" t="str">
            <v>Subscription revenue - 2nd quarter, 25%</v>
          </cell>
          <cell r="I145">
            <v>7.2651874999999997</v>
          </cell>
          <cell r="J145">
            <v>7.5921874999999996</v>
          </cell>
          <cell r="K145">
            <v>7.7917500000000004</v>
          </cell>
          <cell r="L145">
            <v>8.2785624999999996</v>
          </cell>
          <cell r="U145">
            <v>7.6369999999999996</v>
          </cell>
          <cell r="V145">
            <v>7.5956250000000001</v>
          </cell>
          <cell r="W145">
            <v>15.232624999999999</v>
          </cell>
          <cell r="X145">
            <v>7.5953125000000004</v>
          </cell>
          <cell r="Y145">
            <v>7.6451874999999996</v>
          </cell>
          <cell r="Z145">
            <v>7.1973750000000001</v>
          </cell>
          <cell r="AA145">
            <v>7.1973750000000001</v>
          </cell>
          <cell r="AB145">
            <v>29.635250000000003</v>
          </cell>
          <cell r="AC145">
            <v>7.4032499999999999</v>
          </cell>
          <cell r="AD145">
            <v>7.4512499999999999</v>
          </cell>
          <cell r="AE145">
            <v>7.397125</v>
          </cell>
          <cell r="AF145">
            <v>7.3594375000000003</v>
          </cell>
          <cell r="AG145">
            <v>29.611062500000003</v>
          </cell>
          <cell r="AH145">
            <v>7.3220625000000004</v>
          </cell>
          <cell r="AI145">
            <v>7.2473749999999999</v>
          </cell>
          <cell r="AJ145">
            <v>6.8647499999999999</v>
          </cell>
          <cell r="AK145">
            <v>6.6306874999999996</v>
          </cell>
          <cell r="AL145">
            <v>28.064875000000001</v>
          </cell>
          <cell r="AM145">
            <v>7.3220625000000004</v>
          </cell>
          <cell r="AN145">
            <v>7.2473749999999999</v>
          </cell>
          <cell r="AO145">
            <v>6.8647499999999999</v>
          </cell>
          <cell r="AP145">
            <v>6.6306874999999996</v>
          </cell>
          <cell r="AQ145">
            <v>28.064875000000001</v>
          </cell>
          <cell r="AR145">
            <v>6.5327500000000001</v>
          </cell>
          <cell r="AS145">
            <v>6.5586250000000001</v>
          </cell>
          <cell r="AT145">
            <v>6.4453125</v>
          </cell>
          <cell r="AU145">
            <v>6.4453125</v>
          </cell>
          <cell r="AV145">
            <v>25.981999999999999</v>
          </cell>
          <cell r="AW145">
            <v>6.5327500000000001</v>
          </cell>
          <cell r="AX145">
            <v>6.6870624999999997</v>
          </cell>
          <cell r="AY145">
            <v>6.7086249999999996</v>
          </cell>
          <cell r="AZ145">
            <v>6.7727500000000003</v>
          </cell>
          <cell r="BA145">
            <v>26.701187500000003</v>
          </cell>
          <cell r="BB145">
            <v>6.8457499999999998</v>
          </cell>
          <cell r="BC145">
            <v>6.9187500000000002</v>
          </cell>
          <cell r="BD145">
            <v>7.0399641562499999</v>
          </cell>
          <cell r="BE145">
            <v>7.1433098552031247</v>
          </cell>
          <cell r="BF145">
            <v>27.947774011453124</v>
          </cell>
          <cell r="BG145">
            <v>7.2471504466249996</v>
          </cell>
          <cell r="BH145">
            <v>7.3331158140234374</v>
          </cell>
          <cell r="BI145">
            <v>7.4805988337578118</v>
          </cell>
          <cell r="BJ145">
            <v>7.5994146564995342</v>
          </cell>
          <cell r="BK145">
            <v>29.660279750905779</v>
          </cell>
          <cell r="BL145">
            <v>7.7273355242847277</v>
          </cell>
          <cell r="BM145">
            <v>7.8339476347809072</v>
          </cell>
          <cell r="BN145">
            <v>8.0093484502336167</v>
          </cell>
          <cell r="BO145">
            <v>8.1363817804540624</v>
          </cell>
          <cell r="BP145">
            <v>31.707013389753314</v>
          </cell>
          <cell r="BQ145">
            <v>8.2831909021507926</v>
          </cell>
          <cell r="BR145">
            <v>8.4072315766614825</v>
          </cell>
          <cell r="BS145">
            <v>8.6048544577586785</v>
          </cell>
          <cell r="BT145">
            <v>8.7401005145823838</v>
          </cell>
          <cell r="BU145">
            <v>34.035377451153337</v>
          </cell>
          <cell r="BV145">
            <v>8.8966983521737628</v>
          </cell>
          <cell r="BW145">
            <v>9.0291517738761335</v>
          </cell>
          <cell r="BX145">
            <v>9.2401900372580297</v>
          </cell>
          <cell r="BY145">
            <v>9.3842599005939995</v>
          </cell>
          <cell r="BZ145">
            <v>36.550300063901929</v>
          </cell>
        </row>
        <row r="146">
          <cell r="B146" t="str">
            <v>Subscription revenue - 3rd quarter, 25%</v>
          </cell>
          <cell r="I146">
            <v>7.5921874999999996</v>
          </cell>
          <cell r="J146">
            <v>7.7917500000000004</v>
          </cell>
          <cell r="K146">
            <v>8.2785624999999996</v>
          </cell>
          <cell r="L146">
            <v>8.4068124999999991</v>
          </cell>
          <cell r="U146">
            <v>7.5956250000000001</v>
          </cell>
          <cell r="V146">
            <v>7.5953125000000004</v>
          </cell>
          <cell r="W146">
            <v>15.1909375</v>
          </cell>
          <cell r="X146">
            <v>7.6451874999999996</v>
          </cell>
          <cell r="Y146">
            <v>7.1973750000000001</v>
          </cell>
          <cell r="Z146">
            <v>7.3024374999999999</v>
          </cell>
          <cell r="AA146">
            <v>7.4032499999999999</v>
          </cell>
          <cell r="AB146">
            <v>29.548249999999999</v>
          </cell>
          <cell r="AC146">
            <v>7.4512499999999999</v>
          </cell>
          <cell r="AD146">
            <v>7.397125</v>
          </cell>
          <cell r="AE146">
            <v>7.3594375000000003</v>
          </cell>
          <cell r="AF146">
            <v>7.3220625000000004</v>
          </cell>
          <cell r="AG146">
            <v>29.529875000000004</v>
          </cell>
          <cell r="AH146">
            <v>7.2473749999999999</v>
          </cell>
          <cell r="AI146">
            <v>6.8647499999999999</v>
          </cell>
          <cell r="AJ146">
            <v>6.6306874999999996</v>
          </cell>
          <cell r="AK146">
            <v>6.5327500000000001</v>
          </cell>
          <cell r="AL146">
            <v>27.275562499999999</v>
          </cell>
          <cell r="AM146">
            <v>7.2473749999999999</v>
          </cell>
          <cell r="AN146">
            <v>6.8647499999999999</v>
          </cell>
          <cell r="AO146">
            <v>6.6306874999999996</v>
          </cell>
          <cell r="AP146">
            <v>6.5327500000000001</v>
          </cell>
          <cell r="AQ146">
            <v>27.275562499999999</v>
          </cell>
          <cell r="AR146">
            <v>6.5586250000000001</v>
          </cell>
          <cell r="AS146">
            <v>6.4453125</v>
          </cell>
          <cell r="AT146">
            <v>6.4453125</v>
          </cell>
          <cell r="AU146">
            <v>6.6306874999999996</v>
          </cell>
          <cell r="AV146">
            <v>26.0799375</v>
          </cell>
          <cell r="AW146">
            <v>6.5586250000000001</v>
          </cell>
          <cell r="AX146">
            <v>6.7086249999999996</v>
          </cell>
          <cell r="AY146">
            <v>6.7727500000000003</v>
          </cell>
          <cell r="AZ146">
            <v>6.8457499999999998</v>
          </cell>
          <cell r="BA146">
            <v>26.885749999999998</v>
          </cell>
          <cell r="BB146">
            <v>6.9187500000000002</v>
          </cell>
          <cell r="BC146">
            <v>7.0399641562499999</v>
          </cell>
          <cell r="BD146">
            <v>7.1433098552031247</v>
          </cell>
          <cell r="BE146">
            <v>7.2471504466249996</v>
          </cell>
          <cell r="BF146">
            <v>28.349174458078124</v>
          </cell>
          <cell r="BG146">
            <v>7.3331158140234374</v>
          </cell>
          <cell r="BH146">
            <v>7.4805988337578118</v>
          </cell>
          <cell r="BI146">
            <v>7.5994146564995342</v>
          </cell>
          <cell r="BJ146">
            <v>7.7273355242847277</v>
          </cell>
          <cell r="BK146">
            <v>30.140464828565513</v>
          </cell>
          <cell r="BL146">
            <v>7.8339476347809072</v>
          </cell>
          <cell r="BM146">
            <v>8.0093484502336167</v>
          </cell>
          <cell r="BN146">
            <v>8.1363817804540624</v>
          </cell>
          <cell r="BO146">
            <v>8.2831909021507926</v>
          </cell>
          <cell r="BP146">
            <v>32.262868767619381</v>
          </cell>
          <cell r="BQ146">
            <v>8.4072315766614825</v>
          </cell>
          <cell r="BR146">
            <v>8.6048544577586785</v>
          </cell>
          <cell r="BS146">
            <v>8.7401005145823838</v>
          </cell>
          <cell r="BT146">
            <v>8.8966983521737628</v>
          </cell>
          <cell r="BU146">
            <v>34.648884901176309</v>
          </cell>
          <cell r="BV146">
            <v>9.0291517738761335</v>
          </cell>
          <cell r="BW146">
            <v>9.2401900372580297</v>
          </cell>
          <cell r="BX146">
            <v>9.3842599005939995</v>
          </cell>
          <cell r="BY146">
            <v>9.5513576460723861</v>
          </cell>
          <cell r="BZ146">
            <v>37.204959357800547</v>
          </cell>
        </row>
        <row r="147">
          <cell r="B147" t="str">
            <v>Subscription revenue - 4th quarter, 25%</v>
          </cell>
          <cell r="I147">
            <v>7.7917500000000004</v>
          </cell>
          <cell r="J147">
            <v>8.2785624999999996</v>
          </cell>
          <cell r="K147">
            <v>8.4068124999999991</v>
          </cell>
          <cell r="L147">
            <v>8.3857499999999998</v>
          </cell>
          <cell r="U147">
            <v>7.5953125000000004</v>
          </cell>
          <cell r="V147">
            <v>7.6451874999999996</v>
          </cell>
          <cell r="W147">
            <v>15.240500000000001</v>
          </cell>
          <cell r="X147">
            <v>7.1973750000000001</v>
          </cell>
          <cell r="Y147">
            <v>7.3024374999999999</v>
          </cell>
          <cell r="Z147">
            <v>7.4032499999999999</v>
          </cell>
          <cell r="AA147">
            <v>7.4512499999999999</v>
          </cell>
          <cell r="AB147">
            <v>29.354312499999999</v>
          </cell>
          <cell r="AC147">
            <v>7.397125</v>
          </cell>
          <cell r="AD147">
            <v>7.3594375000000003</v>
          </cell>
          <cell r="AE147">
            <v>7.3220625000000004</v>
          </cell>
          <cell r="AF147">
            <v>7.2473749999999999</v>
          </cell>
          <cell r="AG147">
            <v>29.326000000000001</v>
          </cell>
          <cell r="AH147">
            <v>6.8647499999999999</v>
          </cell>
          <cell r="AI147">
            <v>6.6306874999999996</v>
          </cell>
          <cell r="AJ147">
            <v>6.5327500000000001</v>
          </cell>
          <cell r="AK147">
            <v>6.5586250000000001</v>
          </cell>
          <cell r="AL147">
            <v>26.586812500000001</v>
          </cell>
          <cell r="AM147">
            <v>6.8647499999999999</v>
          </cell>
          <cell r="AN147">
            <v>6.6306874999999996</v>
          </cell>
          <cell r="AO147">
            <v>6.5327500000000001</v>
          </cell>
          <cell r="AP147">
            <v>6.5586250000000001</v>
          </cell>
          <cell r="AQ147">
            <v>26.586812500000001</v>
          </cell>
          <cell r="AR147">
            <v>6.4453125</v>
          </cell>
          <cell r="AS147">
            <v>6.4706875000000004</v>
          </cell>
          <cell r="AT147">
            <v>6.6553750000000003</v>
          </cell>
          <cell r="AU147">
            <v>6.6870624999999997</v>
          </cell>
          <cell r="AV147">
            <v>26.258437499999999</v>
          </cell>
          <cell r="AW147">
            <v>6.4453125</v>
          </cell>
          <cell r="AX147">
            <v>6.7727500000000003</v>
          </cell>
          <cell r="AY147">
            <v>6.8457499999999998</v>
          </cell>
          <cell r="AZ147">
            <v>6.9187500000000002</v>
          </cell>
          <cell r="BA147">
            <v>26.9825625</v>
          </cell>
          <cell r="BB147">
            <v>7.0399641562499999</v>
          </cell>
          <cell r="BC147">
            <v>7.1433098552031247</v>
          </cell>
          <cell r="BD147">
            <v>7.2471504466249996</v>
          </cell>
          <cell r="BE147">
            <v>7.3331158140234374</v>
          </cell>
          <cell r="BF147">
            <v>28.763540272101562</v>
          </cell>
          <cell r="BG147">
            <v>7.4805988337578118</v>
          </cell>
          <cell r="BH147">
            <v>7.5994146564995342</v>
          </cell>
          <cell r="BI147">
            <v>7.7273355242847277</v>
          </cell>
          <cell r="BJ147">
            <v>7.8339476347809072</v>
          </cell>
          <cell r="BK147">
            <v>30.641296649322982</v>
          </cell>
          <cell r="BL147">
            <v>8.0093484502336167</v>
          </cell>
          <cell r="BM147">
            <v>8.1363817804540624</v>
          </cell>
          <cell r="BN147">
            <v>8.2831909021507926</v>
          </cell>
          <cell r="BO147">
            <v>8.4072315766614825</v>
          </cell>
          <cell r="BP147">
            <v>32.836152709499956</v>
          </cell>
          <cell r="BQ147">
            <v>8.6048544577586785</v>
          </cell>
          <cell r="BR147">
            <v>8.7401005145823838</v>
          </cell>
          <cell r="BS147">
            <v>8.8966983521737628</v>
          </cell>
          <cell r="BT147">
            <v>9.0291517738761335</v>
          </cell>
          <cell r="BU147">
            <v>35.270805098390966</v>
          </cell>
          <cell r="BV147">
            <v>9.2401900372580297</v>
          </cell>
          <cell r="BW147">
            <v>9.3842599005939995</v>
          </cell>
          <cell r="BX147">
            <v>9.5513576460723861</v>
          </cell>
          <cell r="BY147">
            <v>9.6928270900961362</v>
          </cell>
          <cell r="BZ147">
            <v>37.868634674020548</v>
          </cell>
        </row>
        <row r="148">
          <cell r="B148" t="str">
            <v>Subscription revenue - 5th quarter, 12.5%</v>
          </cell>
          <cell r="I148">
            <v>4.1392812499999998</v>
          </cell>
          <cell r="J148">
            <v>4.2034062499999996</v>
          </cell>
          <cell r="K148">
            <v>4.1928749999999999</v>
          </cell>
          <cell r="L148">
            <v>4.0365000000000002</v>
          </cell>
          <cell r="U148">
            <v>3.8225937499999998</v>
          </cell>
          <cell r="V148">
            <v>3.5986875</v>
          </cell>
          <cell r="W148">
            <v>7.4212812499999998</v>
          </cell>
          <cell r="X148">
            <v>3.65121875</v>
          </cell>
          <cell r="Y148">
            <v>3.7016249999999999</v>
          </cell>
          <cell r="Z148">
            <v>3.725625</v>
          </cell>
          <cell r="AA148">
            <v>3.6985625</v>
          </cell>
          <cell r="AB148">
            <v>14.777031249999999</v>
          </cell>
          <cell r="AC148">
            <v>3.6797187500000001</v>
          </cell>
          <cell r="AD148">
            <v>3.6610312500000002</v>
          </cell>
          <cell r="AE148">
            <v>3.6236875</v>
          </cell>
          <cell r="AF148">
            <v>3.432375</v>
          </cell>
          <cell r="AG148">
            <v>14.396812499999999</v>
          </cell>
          <cell r="AH148">
            <v>3.3153437499999998</v>
          </cell>
          <cell r="AI148">
            <v>3.266375</v>
          </cell>
          <cell r="AJ148">
            <v>3.2793125000000001</v>
          </cell>
          <cell r="AK148">
            <v>3.22265625</v>
          </cell>
          <cell r="AL148">
            <v>13.0836875</v>
          </cell>
          <cell r="AM148">
            <v>3.3153437499999998</v>
          </cell>
          <cell r="AN148">
            <v>3.266375</v>
          </cell>
          <cell r="AO148">
            <v>3.2793125000000001</v>
          </cell>
          <cell r="AP148">
            <v>3.22265625</v>
          </cell>
          <cell r="AQ148">
            <v>13.0836875</v>
          </cell>
          <cell r="AR148">
            <v>3.2353437500000002</v>
          </cell>
          <cell r="AS148">
            <v>3.3276875000000001</v>
          </cell>
          <cell r="AT148">
            <v>3.3435312499999998</v>
          </cell>
          <cell r="AU148">
            <v>3.3543124999999998</v>
          </cell>
          <cell r="AV148">
            <v>13.260874999999999</v>
          </cell>
          <cell r="AW148">
            <v>3.3863750000000001</v>
          </cell>
          <cell r="AX148">
            <v>3.4228749999999999</v>
          </cell>
          <cell r="AY148">
            <v>3.4593750000000001</v>
          </cell>
          <cell r="AZ148">
            <v>3.519982078125</v>
          </cell>
          <cell r="BA148">
            <v>13.788607078125001</v>
          </cell>
          <cell r="BB148">
            <v>3.5716549276015623</v>
          </cell>
          <cell r="BC148">
            <v>3.6235752233124998</v>
          </cell>
          <cell r="BD148">
            <v>3.6665579070117187</v>
          </cell>
          <cell r="BE148">
            <v>3.7402994168789059</v>
          </cell>
          <cell r="BF148">
            <v>14.602087474804687</v>
          </cell>
          <cell r="BG148">
            <v>3.7997073282497671</v>
          </cell>
          <cell r="BH148">
            <v>3.8636677621423638</v>
          </cell>
          <cell r="BI148">
            <v>3.9169738173904536</v>
          </cell>
          <cell r="BJ148">
            <v>4.0046742251168084</v>
          </cell>
          <cell r="BK148">
            <v>15.585023132899394</v>
          </cell>
          <cell r="BL148">
            <v>4.0681908902270312</v>
          </cell>
          <cell r="BM148">
            <v>4.1415954510753963</v>
          </cell>
          <cell r="BN148">
            <v>4.2036157883307412</v>
          </cell>
          <cell r="BO148">
            <v>4.3024272288793393</v>
          </cell>
          <cell r="BP148">
            <v>16.715829358512508</v>
          </cell>
          <cell r="BQ148">
            <v>4.3700502572911919</v>
          </cell>
          <cell r="BR148">
            <v>4.4483491760868814</v>
          </cell>
          <cell r="BS148">
            <v>4.5145758869380668</v>
          </cell>
          <cell r="BT148">
            <v>4.6200950186290148</v>
          </cell>
          <cell r="BU148">
            <v>17.953070338945153</v>
          </cell>
          <cell r="BV148">
            <v>4.6921299502969998</v>
          </cell>
          <cell r="BW148">
            <v>4.7756788230361931</v>
          </cell>
          <cell r="BX148">
            <v>4.8464135450480681</v>
          </cell>
          <cell r="BY148">
            <v>4.9591210413526445</v>
          </cell>
          <cell r="BZ148">
            <v>19.273343359733907</v>
          </cell>
        </row>
        <row r="150">
          <cell r="B150" t="str">
            <v>Quarterly new sales</v>
          </cell>
          <cell r="D150">
            <v>5.8351532165771456</v>
          </cell>
          <cell r="E150">
            <v>5.7627772741977603</v>
          </cell>
          <cell r="F150">
            <v>8.3090092031605423</v>
          </cell>
          <cell r="G150">
            <v>7.1262204596921856</v>
          </cell>
          <cell r="H150">
            <v>27.033160153627634</v>
          </cell>
          <cell r="I150">
            <v>9.2850159999999882</v>
          </cell>
          <cell r="J150">
            <v>5.5115369999999917</v>
          </cell>
          <cell r="K150">
            <v>3.4965410000000112</v>
          </cell>
          <cell r="L150">
            <v>4.4707680000000121</v>
          </cell>
          <cell r="Q150">
            <v>3</v>
          </cell>
          <cell r="U150">
            <v>6.2355439999999884</v>
          </cell>
          <cell r="V150">
            <v>4.1537925000000087</v>
          </cell>
          <cell r="W150">
            <v>10.389336499999997</v>
          </cell>
          <cell r="X150">
            <v>4.9630029999999969</v>
          </cell>
          <cell r="Y150">
            <v>4.0888969999999984</v>
          </cell>
          <cell r="Z150">
            <v>4.6257930000000016</v>
          </cell>
          <cell r="AA150">
            <v>2.8190560000000007</v>
          </cell>
          <cell r="AB150">
            <v>16.496748999999998</v>
          </cell>
          <cell r="AC150">
            <v>1.7936685000000043</v>
          </cell>
          <cell r="AD150">
            <v>4.076983000000002</v>
          </cell>
          <cell r="AE150">
            <v>3.2728634999999935</v>
          </cell>
          <cell r="AF150">
            <v>0.38746999999999954</v>
          </cell>
          <cell r="AG150">
            <v>9.5309850000000012</v>
          </cell>
          <cell r="AH150">
            <v>1.2799969999999972</v>
          </cell>
          <cell r="AI150">
            <v>2.0026700000000068</v>
          </cell>
          <cell r="AJ150">
            <v>3.4070310000000013</v>
          </cell>
          <cell r="AK150">
            <v>1.2349489999999972</v>
          </cell>
          <cell r="AL150">
            <v>7.924647000000002</v>
          </cell>
          <cell r="AM150">
            <v>2.9</v>
          </cell>
          <cell r="AN150">
            <v>2.7</v>
          </cell>
          <cell r="AO150">
            <v>3</v>
          </cell>
          <cell r="AP150">
            <v>2.1</v>
          </cell>
          <cell r="AQ150">
            <v>10.7</v>
          </cell>
          <cell r="AR150">
            <v>2.6</v>
          </cell>
          <cell r="AS150">
            <v>4.0999999999999996</v>
          </cell>
          <cell r="AT150">
            <v>3.4</v>
          </cell>
          <cell r="AU150">
            <v>3.3</v>
          </cell>
          <cell r="AV150">
            <v>13.4</v>
          </cell>
          <cell r="AW150">
            <v>3.5</v>
          </cell>
          <cell r="AX150">
            <v>3.2</v>
          </cell>
          <cell r="AY150">
            <v>2.2999999999999998</v>
          </cell>
          <cell r="AZ150">
            <v>3.63</v>
          </cell>
          <cell r="BA150">
            <v>12.629999999999999</v>
          </cell>
          <cell r="BB150">
            <v>3.8500000000000005</v>
          </cell>
          <cell r="BC150">
            <v>3.5200000000000005</v>
          </cell>
          <cell r="BD150">
            <v>2.5299999999999998</v>
          </cell>
          <cell r="BE150">
            <v>3.9930000000000003</v>
          </cell>
          <cell r="BF150">
            <v>13.893000000000001</v>
          </cell>
          <cell r="BG150">
            <v>4.2350000000000012</v>
          </cell>
          <cell r="BH150">
            <v>3.8720000000000008</v>
          </cell>
          <cell r="BI150">
            <v>2.7829999999999999</v>
          </cell>
          <cell r="BJ150">
            <v>4.3923000000000005</v>
          </cell>
          <cell r="BK150">
            <v>15.282300000000003</v>
          </cell>
          <cell r="BL150">
            <v>4.5314500000000013</v>
          </cell>
          <cell r="BM150">
            <v>4.1430400000000009</v>
          </cell>
          <cell r="BN150">
            <v>2.9778100000000003</v>
          </cell>
          <cell r="BO150">
            <v>4.6997610000000005</v>
          </cell>
          <cell r="BP150">
            <v>16.352061000000003</v>
          </cell>
          <cell r="BQ150">
            <v>4.8486515000000017</v>
          </cell>
          <cell r="BR150">
            <v>4.4330528000000013</v>
          </cell>
          <cell r="BS150">
            <v>3.1862567000000004</v>
          </cell>
          <cell r="BT150">
            <v>5.0287442700000007</v>
          </cell>
          <cell r="BU150">
            <v>17.496705270000003</v>
          </cell>
          <cell r="BV150">
            <v>5.1880571050000022</v>
          </cell>
          <cell r="BW150">
            <v>4.7433664960000019</v>
          </cell>
          <cell r="BX150">
            <v>3.4092946690000008</v>
          </cell>
          <cell r="BY150">
            <v>5.3807563689000011</v>
          </cell>
          <cell r="BZ150">
            <v>18.721474638900006</v>
          </cell>
        </row>
        <row r="151">
          <cell r="B151" t="str">
            <v>y/y change</v>
          </cell>
          <cell r="I151">
            <v>0.59122059959318518</v>
          </cell>
          <cell r="J151">
            <v>-4.3597082143478127E-2</v>
          </cell>
          <cell r="K151">
            <v>-0.57918677010611408</v>
          </cell>
          <cell r="L151">
            <v>-0.3726312530902075</v>
          </cell>
          <cell r="AB151">
            <v>0.58785395005734986</v>
          </cell>
          <cell r="AC151">
            <v>-0.63859209837269781</v>
          </cell>
          <cell r="AD151">
            <v>-2.9137442200173336E-3</v>
          </cell>
          <cell r="AE151">
            <v>-0.29247514966623189</v>
          </cell>
          <cell r="AF151">
            <v>-0.86255328024700484</v>
          </cell>
          <cell r="AG151">
            <v>-0.42225071133712455</v>
          </cell>
          <cell r="AH151">
            <v>-0.28638039860766129</v>
          </cell>
          <cell r="AI151">
            <v>-0.50878627651868902</v>
          </cell>
          <cell r="AJ151">
            <v>4.0993918628139614E-2</v>
          </cell>
          <cell r="AK151">
            <v>2.1872119131803718</v>
          </cell>
          <cell r="AL151">
            <v>-0.1685385088739515</v>
          </cell>
          <cell r="AR151">
            <v>-0.10344827586206895</v>
          </cell>
          <cell r="AS151">
            <v>0.51851851851851838</v>
          </cell>
          <cell r="AT151">
            <v>0.1333333333333333</v>
          </cell>
          <cell r="AU151">
            <v>0.57142857142857117</v>
          </cell>
          <cell r="AV151">
            <v>0.25233644859813098</v>
          </cell>
          <cell r="AW151">
            <v>0.34615384615384603</v>
          </cell>
          <cell r="AX151">
            <v>-0.21951219512195108</v>
          </cell>
          <cell r="AY151">
            <v>-0.32352941176470595</v>
          </cell>
          <cell r="AZ151">
            <v>0.10000000000000009</v>
          </cell>
          <cell r="BA151">
            <v>-5.7462686567164245E-2</v>
          </cell>
          <cell r="BB151">
            <v>0.10000000000000009</v>
          </cell>
          <cell r="BC151">
            <v>0.10000000000000009</v>
          </cell>
          <cell r="BD151">
            <v>0.10000000000000009</v>
          </cell>
          <cell r="BE151">
            <v>0.10000000000000009</v>
          </cell>
          <cell r="BF151">
            <v>0.10000000000000009</v>
          </cell>
          <cell r="BG151">
            <v>0.10000000000000009</v>
          </cell>
          <cell r="BH151">
            <v>0.10000000000000009</v>
          </cell>
          <cell r="BI151">
            <v>0.10000000000000009</v>
          </cell>
          <cell r="BJ151">
            <v>0.10000000000000009</v>
          </cell>
          <cell r="BK151">
            <v>0.10000000000000009</v>
          </cell>
          <cell r="BL151">
            <v>7.0000000000000062E-2</v>
          </cell>
          <cell r="BM151">
            <v>7.0000000000000062E-2</v>
          </cell>
          <cell r="BN151">
            <v>7.0000000000000062E-2</v>
          </cell>
          <cell r="BO151">
            <v>7.0000000000000062E-2</v>
          </cell>
          <cell r="BP151">
            <v>7.0000000000000062E-2</v>
          </cell>
          <cell r="BQ151">
            <v>7.0000000000000062E-2</v>
          </cell>
          <cell r="BR151">
            <v>7.0000000000000062E-2</v>
          </cell>
          <cell r="BS151">
            <v>7.0000000000000062E-2</v>
          </cell>
          <cell r="BT151">
            <v>7.0000000000000062E-2</v>
          </cell>
          <cell r="BU151">
            <v>7.0000000000000062E-2</v>
          </cell>
          <cell r="BV151">
            <v>7.0000000000000062E-2</v>
          </cell>
          <cell r="BW151">
            <v>7.0000000000000062E-2</v>
          </cell>
          <cell r="BX151">
            <v>7.0000000000000062E-2</v>
          </cell>
          <cell r="BY151">
            <v>7.0000000000000062E-2</v>
          </cell>
          <cell r="BZ151">
            <v>7.0000000000000062E-2</v>
          </cell>
        </row>
        <row r="152">
          <cell r="B152" t="str">
            <v>BULL</v>
          </cell>
          <cell r="AZ152">
            <v>3.8115000000000001</v>
          </cell>
          <cell r="BB152">
            <v>4.0425000000000004</v>
          </cell>
          <cell r="BC152">
            <v>3.6960000000000006</v>
          </cell>
          <cell r="BD152">
            <v>2.6564999999999999</v>
          </cell>
          <cell r="BE152">
            <v>4.1926500000000004</v>
          </cell>
          <cell r="BG152">
            <v>4.4467500000000015</v>
          </cell>
          <cell r="BH152">
            <v>4.0656000000000008</v>
          </cell>
          <cell r="BI152">
            <v>2.9221500000000002</v>
          </cell>
          <cell r="BJ152">
            <v>4.6119150000000007</v>
          </cell>
          <cell r="BL152">
            <v>4.7580225000000018</v>
          </cell>
          <cell r="BM152">
            <v>4.3501920000000016</v>
          </cell>
          <cell r="BN152">
            <v>3.1267005000000005</v>
          </cell>
          <cell r="BO152">
            <v>4.9347490500000006</v>
          </cell>
          <cell r="BQ152">
            <v>5.0910840750000022</v>
          </cell>
          <cell r="BR152">
            <v>4.6547054400000016</v>
          </cell>
          <cell r="BS152">
            <v>3.3455695350000005</v>
          </cell>
          <cell r="BT152">
            <v>5.2801814835000007</v>
          </cell>
          <cell r="BV152">
            <v>5.4474599602500025</v>
          </cell>
          <cell r="BW152">
            <v>4.9805348208000026</v>
          </cell>
          <cell r="BX152">
            <v>3.579759402450001</v>
          </cell>
          <cell r="BY152">
            <v>5.6497941873450017</v>
          </cell>
        </row>
        <row r="153">
          <cell r="B153" t="str">
            <v>BASE</v>
          </cell>
          <cell r="X153">
            <v>4.9630029999999969</v>
          </cell>
          <cell r="Y153">
            <v>4.0888969999999984</v>
          </cell>
          <cell r="Z153">
            <v>4.6257930000000016</v>
          </cell>
          <cell r="AA153">
            <v>2.8190560000000007</v>
          </cell>
          <cell r="AC153">
            <v>1.7936685000000043</v>
          </cell>
          <cell r="AD153">
            <v>4.076983000000002</v>
          </cell>
          <cell r="AE153">
            <v>3.2728634999999935</v>
          </cell>
          <cell r="AF153">
            <v>0.38746999999999954</v>
          </cell>
          <cell r="AH153">
            <v>1.2799969999999972</v>
          </cell>
          <cell r="AI153">
            <v>2.0026700000000068</v>
          </cell>
          <cell r="AJ153">
            <v>3.4070310000000013</v>
          </cell>
          <cell r="AK153">
            <v>1.2349489999999972</v>
          </cell>
          <cell r="AM153">
            <v>2.9</v>
          </cell>
          <cell r="AN153">
            <v>2.7</v>
          </cell>
          <cell r="AO153">
            <v>3</v>
          </cell>
          <cell r="AP153">
            <v>2.1</v>
          </cell>
          <cell r="AR153">
            <v>2.6</v>
          </cell>
          <cell r="AS153">
            <v>4.0999999999999996</v>
          </cell>
          <cell r="AT153">
            <v>3.4</v>
          </cell>
          <cell r="AU153">
            <v>3.3</v>
          </cell>
          <cell r="AW153">
            <v>3.5</v>
          </cell>
          <cell r="AX153">
            <v>3.2</v>
          </cell>
          <cell r="AY153">
            <v>2.2999999999999998</v>
          </cell>
          <cell r="AZ153">
            <v>3.63</v>
          </cell>
          <cell r="BB153">
            <v>3.8500000000000005</v>
          </cell>
          <cell r="BC153">
            <v>3.5200000000000005</v>
          </cell>
          <cell r="BD153">
            <v>2.5299999999999998</v>
          </cell>
          <cell r="BE153">
            <v>3.9930000000000003</v>
          </cell>
          <cell r="BG153">
            <v>4.2350000000000012</v>
          </cell>
          <cell r="BH153">
            <v>3.8720000000000008</v>
          </cell>
          <cell r="BI153">
            <v>2.7829999999999999</v>
          </cell>
          <cell r="BJ153">
            <v>4.3923000000000005</v>
          </cell>
          <cell r="BL153">
            <v>4.5314500000000013</v>
          </cell>
          <cell r="BM153">
            <v>4.1430400000000009</v>
          </cell>
          <cell r="BN153">
            <v>2.9778100000000003</v>
          </cell>
          <cell r="BO153">
            <v>4.6997610000000005</v>
          </cell>
          <cell r="BQ153">
            <v>4.8486515000000017</v>
          </cell>
          <cell r="BR153">
            <v>4.4330528000000013</v>
          </cell>
          <cell r="BS153">
            <v>3.1862567000000004</v>
          </cell>
          <cell r="BT153">
            <v>5.0287442700000007</v>
          </cell>
          <cell r="BV153">
            <v>5.1880571050000022</v>
          </cell>
          <cell r="BW153">
            <v>4.7433664960000019</v>
          </cell>
          <cell r="BX153">
            <v>3.4092946690000008</v>
          </cell>
          <cell r="BY153">
            <v>5.3807563689000011</v>
          </cell>
        </row>
        <row r="154">
          <cell r="B154" t="str">
            <v>BEAR</v>
          </cell>
          <cell r="AZ154">
            <v>2.9039999999999999</v>
          </cell>
          <cell r="BB154">
            <v>3.0800000000000005</v>
          </cell>
          <cell r="BC154">
            <v>2.8160000000000007</v>
          </cell>
          <cell r="BD154">
            <v>2.024</v>
          </cell>
          <cell r="BE154">
            <v>3.1944000000000004</v>
          </cell>
          <cell r="BG154">
            <v>3.3880000000000012</v>
          </cell>
          <cell r="BH154">
            <v>3.0976000000000008</v>
          </cell>
          <cell r="BI154">
            <v>2.2263999999999999</v>
          </cell>
          <cell r="BJ154">
            <v>3.5138400000000005</v>
          </cell>
          <cell r="BL154">
            <v>3.625160000000001</v>
          </cell>
          <cell r="BM154">
            <v>3.3144320000000009</v>
          </cell>
          <cell r="BN154">
            <v>2.3822480000000001</v>
          </cell>
          <cell r="BO154">
            <v>3.7598088000000005</v>
          </cell>
          <cell r="BQ154">
            <v>3.8789212000000015</v>
          </cell>
          <cell r="BR154">
            <v>3.5464422400000011</v>
          </cell>
          <cell r="BS154">
            <v>2.5490053600000007</v>
          </cell>
          <cell r="BT154">
            <v>4.0229954160000005</v>
          </cell>
          <cell r="BV154">
            <v>4.1504456840000019</v>
          </cell>
          <cell r="BW154">
            <v>3.7946931968000017</v>
          </cell>
          <cell r="BX154">
            <v>2.7274357352000007</v>
          </cell>
          <cell r="BY154">
            <v>4.3046050951200012</v>
          </cell>
        </row>
        <row r="162">
          <cell r="B162" t="str">
            <v>Quarterly cancellations</v>
          </cell>
          <cell r="D162">
            <v>-1.2575602830308319</v>
          </cell>
          <cell r="E162">
            <v>-1.1237772741977647</v>
          </cell>
          <cell r="F162">
            <v>-3.0770092031605434</v>
          </cell>
          <cell r="G162">
            <v>-3.9332204596921736</v>
          </cell>
          <cell r="H162">
            <v>-9.3915672200813134</v>
          </cell>
          <cell r="I162">
            <v>-1.4960160000000013</v>
          </cell>
          <cell r="J162">
            <v>-3.4595369999999996</v>
          </cell>
          <cell r="K162">
            <v>-3.8335410000000003</v>
          </cell>
          <cell r="L162">
            <v>-9.4747680000000027</v>
          </cell>
          <cell r="U162">
            <v>-5.4375440000000008</v>
          </cell>
          <cell r="V162">
            <v>-11.818792500000001</v>
          </cell>
          <cell r="W162">
            <v>-17.256336500000003</v>
          </cell>
          <cell r="X162">
            <v>-3.2820029999999996</v>
          </cell>
          <cell r="Y162">
            <v>-2.4758969999999989</v>
          </cell>
          <cell r="Z162">
            <v>-3.8577930000000005</v>
          </cell>
          <cell r="AA162">
            <v>-3.6850560000000003</v>
          </cell>
          <cell r="AB162">
            <v>-13.300749</v>
          </cell>
          <cell r="AC162">
            <v>-2.3966684999999988</v>
          </cell>
          <cell r="AD162">
            <v>-4.674983000000001</v>
          </cell>
          <cell r="AE162">
            <v>-4.4678635000000009</v>
          </cell>
          <cell r="AF162">
            <v>-6.5094699999999994</v>
          </cell>
          <cell r="AG162">
            <v>-18.048985000000002</v>
          </cell>
          <cell r="AH162">
            <v>-5.0249970000000017</v>
          </cell>
          <cell r="AI162">
            <v>-3.5696699999999999</v>
          </cell>
          <cell r="AJ162">
            <v>-2.9930309999999998</v>
          </cell>
          <cell r="AK162">
            <v>-3.0479489999999996</v>
          </cell>
          <cell r="AL162">
            <v>-14.635647000000001</v>
          </cell>
          <cell r="AM162">
            <v>-5.0249970000000017</v>
          </cell>
          <cell r="AN162">
            <v>-3.5696699999999999</v>
          </cell>
          <cell r="AO162">
            <v>-2.9930309999999998</v>
          </cell>
          <cell r="AP162">
            <v>-3.0479489999999996</v>
          </cell>
          <cell r="AQ162">
            <v>-14.635647000000001</v>
          </cell>
          <cell r="AR162">
            <v>-2.4234374999999995</v>
          </cell>
          <cell r="AS162">
            <v>-1.3406250000000013</v>
          </cell>
          <cell r="AT162">
            <v>-1.6564959999999986</v>
          </cell>
          <cell r="AU162">
            <v>-1.8102619999999987</v>
          </cell>
          <cell r="AV162">
            <v>-7.2308204999999983</v>
          </cell>
          <cell r="AW162">
            <v>-2.0930909999999989</v>
          </cell>
          <cell r="AX162">
            <v>-1.9234609999999988</v>
          </cell>
          <cell r="AY162">
            <v>-1.259618000000001</v>
          </cell>
          <cell r="AZ162">
            <v>-1.6905734999999984</v>
          </cell>
          <cell r="BA162">
            <v>-6.9667434999999971</v>
          </cell>
          <cell r="BB162">
            <v>-2.1964688167499986</v>
          </cell>
          <cell r="BC162">
            <v>-1.8585505372499984</v>
          </cell>
          <cell r="BD162">
            <v>-1.154554121625001</v>
          </cell>
          <cell r="BE162">
            <v>-1.6332716842499984</v>
          </cell>
          <cell r="BF162">
            <v>-6.8428451598749964</v>
          </cell>
          <cell r="BG162">
            <v>-2.3339468361324358</v>
          </cell>
          <cell r="BH162">
            <v>-1.8252661154369043</v>
          </cell>
          <cell r="BI162">
            <v>-1.0772062320611258</v>
          </cell>
          <cell r="BJ162">
            <v>-1.5858869527566541</v>
          </cell>
          <cell r="BK162">
            <v>-6.8223061363871196</v>
          </cell>
          <cell r="BL162">
            <v>-2.4989167164728872</v>
          </cell>
          <cell r="BM162">
            <v>-1.7940940528523281</v>
          </cell>
          <cell r="BN162">
            <v>-0.99315920782896938</v>
          </cell>
          <cell r="BO162">
            <v>-1.5377949024448523</v>
          </cell>
          <cell r="BP162">
            <v>-6.8239648795990373</v>
          </cell>
          <cell r="BQ162">
            <v>-2.6847145908207062</v>
          </cell>
          <cell r="BR162">
            <v>-1.9274873985379419</v>
          </cell>
          <cell r="BS162">
            <v>-1.0670019527620771</v>
          </cell>
          <cell r="BT162">
            <v>-1.6521320558896639</v>
          </cell>
          <cell r="BU162">
            <v>-7.33133599801039</v>
          </cell>
          <cell r="BV162">
            <v>-2.8829392916245036</v>
          </cell>
          <cell r="BW162">
            <v>-2.0698025683457963</v>
          </cell>
          <cell r="BX162">
            <v>-1.1457835646199968</v>
          </cell>
          <cell r="BY162">
            <v>-1.7741164871535391</v>
          </cell>
          <cell r="BZ162">
            <v>-7.8726419117438358</v>
          </cell>
        </row>
        <row r="163">
          <cell r="B163" t="str">
            <v>Cancellation rate (as % of beginning of year run rate)</v>
          </cell>
          <cell r="D163">
            <v>4.7000000000000042E-2</v>
          </cell>
          <cell r="E163">
            <v>4.2000000000000037E-2</v>
          </cell>
          <cell r="F163">
            <v>0.11499999999999999</v>
          </cell>
          <cell r="G163">
            <v>0.14700000000000002</v>
          </cell>
          <cell r="H163">
            <v>8.7999999999999967E-2</v>
          </cell>
          <cell r="I163">
            <v>4.8000000000000043E-2</v>
          </cell>
          <cell r="J163">
            <v>0.11099999999999999</v>
          </cell>
          <cell r="K163">
            <v>0.123</v>
          </cell>
          <cell r="L163">
            <v>0.30400000000000005</v>
          </cell>
          <cell r="U163">
            <v>0.17800000000000005</v>
          </cell>
          <cell r="V163">
            <v>0.38900000000000001</v>
          </cell>
          <cell r="W163">
            <v>0.20825000000000005</v>
          </cell>
          <cell r="X163">
            <v>0.11399999999999999</v>
          </cell>
          <cell r="Y163">
            <v>8.5999999999999965E-2</v>
          </cell>
          <cell r="Z163">
            <v>0.13400000000000001</v>
          </cell>
          <cell r="AA163">
            <v>0.128</v>
          </cell>
          <cell r="AB163">
            <v>0.11550000000000005</v>
          </cell>
          <cell r="AC163">
            <v>8.0999999999999961E-2</v>
          </cell>
          <cell r="AD163">
            <v>0.15800000000000003</v>
          </cell>
          <cell r="AE163">
            <v>0.15100000000000002</v>
          </cell>
          <cell r="AF163">
            <v>0.21999999999999997</v>
          </cell>
          <cell r="AG163">
            <v>0.15249999999999986</v>
          </cell>
          <cell r="AH163">
            <v>0.18300000000000005</v>
          </cell>
          <cell r="AI163">
            <v>0.13</v>
          </cell>
          <cell r="AJ163">
            <v>0.10899999999999999</v>
          </cell>
          <cell r="AK163">
            <v>0.11099999999999999</v>
          </cell>
          <cell r="AL163">
            <v>0.13325000000000009</v>
          </cell>
          <cell r="AM163">
            <v>0.18300000000000005</v>
          </cell>
          <cell r="AN163">
            <v>0.13</v>
          </cell>
          <cell r="AO163">
            <v>0.10899999999999999</v>
          </cell>
          <cell r="AP163">
            <v>0.11099999999999999</v>
          </cell>
          <cell r="AQ163">
            <v>0.13325000000000009</v>
          </cell>
          <cell r="AR163">
            <v>9.3999999999999972E-2</v>
          </cell>
          <cell r="AS163">
            <v>5.2000000000000046E-2</v>
          </cell>
          <cell r="AT163">
            <v>6.3999999999999946E-2</v>
          </cell>
          <cell r="AU163">
            <v>6.7999999999999949E-2</v>
          </cell>
          <cell r="AV163">
            <v>6.9500000000000006E-2</v>
          </cell>
          <cell r="AW163">
            <v>7.7999999999999958E-2</v>
          </cell>
          <cell r="AX163">
            <v>7.0999999999999952E-2</v>
          </cell>
          <cell r="AY163">
            <v>4.6000000000000041E-2</v>
          </cell>
          <cell r="AZ163">
            <v>6.2999999999999945E-2</v>
          </cell>
          <cell r="BA163">
            <v>6.4500000000000002E-2</v>
          </cell>
          <cell r="BB163">
            <v>7.7999999999999958E-2</v>
          </cell>
          <cell r="BC163">
            <v>6.5999999999999948E-2</v>
          </cell>
          <cell r="BD163">
            <v>4.1000000000000036E-2</v>
          </cell>
          <cell r="BE163">
            <v>5.799999999999994E-2</v>
          </cell>
          <cell r="BF163">
            <v>6.0749999999999971E-2</v>
          </cell>
          <cell r="BG163">
            <v>7.7999999999999958E-2</v>
          </cell>
          <cell r="BH163">
            <v>6.0999999999999943E-2</v>
          </cell>
          <cell r="BI163">
            <v>3.6000000000000032E-2</v>
          </cell>
          <cell r="BJ163">
            <v>5.2999999999999936E-2</v>
          </cell>
          <cell r="BK163">
            <v>5.699999999999994E-2</v>
          </cell>
          <cell r="BL163">
            <v>7.7999999999999958E-2</v>
          </cell>
          <cell r="BM163">
            <v>5.5999999999999939E-2</v>
          </cell>
          <cell r="BN163">
            <v>3.1000000000000028E-2</v>
          </cell>
          <cell r="BO163">
            <v>4.7999999999999932E-2</v>
          </cell>
          <cell r="BP163">
            <v>5.325000000000002E-2</v>
          </cell>
          <cell r="BQ163">
            <v>7.7999999999999958E-2</v>
          </cell>
          <cell r="BR163">
            <v>5.5999999999999939E-2</v>
          </cell>
          <cell r="BS163">
            <v>3.1000000000000028E-2</v>
          </cell>
          <cell r="BT163">
            <v>4.7999999999999932E-2</v>
          </cell>
          <cell r="BU163">
            <v>5.325000000000002E-2</v>
          </cell>
          <cell r="BV163">
            <v>7.7999999999999958E-2</v>
          </cell>
          <cell r="BW163">
            <v>5.5999999999999939E-2</v>
          </cell>
          <cell r="BX163">
            <v>3.1000000000000028E-2</v>
          </cell>
          <cell r="BY163">
            <v>4.7999999999999932E-2</v>
          </cell>
          <cell r="BZ163">
            <v>5.325000000000002E-2</v>
          </cell>
        </row>
        <row r="164">
          <cell r="B164" t="str">
            <v>BULL - Retention rate</v>
          </cell>
          <cell r="AZ164">
            <v>0.96200000000000008</v>
          </cell>
          <cell r="BA164">
            <v>0.96200000000000008</v>
          </cell>
          <cell r="BB164">
            <v>0.93700000000000006</v>
          </cell>
          <cell r="BC164">
            <v>0.94900000000000007</v>
          </cell>
          <cell r="BD164">
            <v>0.98399999999999999</v>
          </cell>
          <cell r="BE164">
            <v>0.96700000000000008</v>
          </cell>
          <cell r="BF164">
            <v>0.95925000000000005</v>
          </cell>
          <cell r="BG164">
            <v>0.93700000000000006</v>
          </cell>
          <cell r="BH164">
            <v>0.95400000000000007</v>
          </cell>
          <cell r="BI164">
            <v>0.98899999999999999</v>
          </cell>
          <cell r="BJ164">
            <v>0.97200000000000009</v>
          </cell>
          <cell r="BK164">
            <v>0.96299999999999997</v>
          </cell>
          <cell r="BL164">
            <v>0.93700000000000006</v>
          </cell>
          <cell r="BM164">
            <v>0.95900000000000007</v>
          </cell>
          <cell r="BN164">
            <v>0.99399999999999999</v>
          </cell>
          <cell r="BO164">
            <v>0.97700000000000009</v>
          </cell>
          <cell r="BP164">
            <v>0.96675</v>
          </cell>
          <cell r="BQ164">
            <v>0.93700000000000006</v>
          </cell>
          <cell r="BR164">
            <v>0.95900000000000007</v>
          </cell>
          <cell r="BS164">
            <v>0.99399999999999999</v>
          </cell>
          <cell r="BT164">
            <v>0.97700000000000009</v>
          </cell>
          <cell r="BU164">
            <v>0.96675</v>
          </cell>
          <cell r="BV164">
            <v>0.93700000000000006</v>
          </cell>
          <cell r="BW164">
            <v>0.95900000000000007</v>
          </cell>
          <cell r="BX164">
            <v>0.99399999999999999</v>
          </cell>
          <cell r="BY164">
            <v>0.97700000000000009</v>
          </cell>
          <cell r="BZ164">
            <v>0.96675</v>
          </cell>
        </row>
        <row r="165">
          <cell r="B165" t="str">
            <v>BASE - Retention rate</v>
          </cell>
          <cell r="D165">
            <v>0.95299999999999996</v>
          </cell>
          <cell r="E165">
            <v>0.95799999999999996</v>
          </cell>
          <cell r="F165">
            <v>0.88500000000000001</v>
          </cell>
          <cell r="G165">
            <v>0.85299999999999998</v>
          </cell>
          <cell r="H165">
            <v>0.91200000000000003</v>
          </cell>
          <cell r="I165">
            <v>0.95199999999999996</v>
          </cell>
          <cell r="J165">
            <v>0.88900000000000001</v>
          </cell>
          <cell r="K165">
            <v>0.877</v>
          </cell>
          <cell r="L165">
            <v>0.69599999999999995</v>
          </cell>
          <cell r="P165">
            <v>0.69099999999999995</v>
          </cell>
          <cell r="Q165">
            <v>0.77700000000000002</v>
          </cell>
          <cell r="S165">
            <v>0.88900000000000001</v>
          </cell>
          <cell r="T165">
            <v>0.84499999999999997</v>
          </cell>
          <cell r="U165">
            <v>0.82199999999999995</v>
          </cell>
          <cell r="V165">
            <v>0.61099999999999999</v>
          </cell>
          <cell r="W165">
            <v>0.79174999999999995</v>
          </cell>
          <cell r="X165">
            <v>0.88600000000000001</v>
          </cell>
          <cell r="Y165">
            <v>0.91400000000000003</v>
          </cell>
          <cell r="Z165">
            <v>0.86599999999999999</v>
          </cell>
          <cell r="AA165">
            <v>0.872</v>
          </cell>
          <cell r="AB165">
            <v>0.88449999999999995</v>
          </cell>
          <cell r="AC165">
            <v>0.91900000000000004</v>
          </cell>
          <cell r="AD165">
            <v>0.84199999999999997</v>
          </cell>
          <cell r="AE165">
            <v>0.84899999999999998</v>
          </cell>
          <cell r="AF165">
            <v>0.78</v>
          </cell>
          <cell r="AG165">
            <v>0.84750000000000014</v>
          </cell>
          <cell r="AH165">
            <v>0.81699999999999995</v>
          </cell>
          <cell r="AI165">
            <v>0.87</v>
          </cell>
          <cell r="AJ165">
            <v>0.89100000000000001</v>
          </cell>
          <cell r="AK165">
            <v>0.88900000000000001</v>
          </cell>
          <cell r="AL165">
            <v>0.86674999999999991</v>
          </cell>
          <cell r="AM165">
            <v>0.81699999999999995</v>
          </cell>
          <cell r="AN165">
            <v>0.87</v>
          </cell>
          <cell r="AO165">
            <v>0.89100000000000001</v>
          </cell>
          <cell r="AP165">
            <v>0.88900000000000001</v>
          </cell>
          <cell r="AQ165">
            <v>0.86674999999999991</v>
          </cell>
          <cell r="AR165">
            <v>0.90600000000000003</v>
          </cell>
          <cell r="AS165">
            <v>0.94799999999999995</v>
          </cell>
          <cell r="AT165">
            <v>0.93600000000000005</v>
          </cell>
          <cell r="AU165">
            <v>0.93200000000000005</v>
          </cell>
          <cell r="AV165">
            <v>0.93049999999999999</v>
          </cell>
          <cell r="AW165">
            <v>0.92200000000000004</v>
          </cell>
          <cell r="AX165">
            <v>0.92900000000000005</v>
          </cell>
          <cell r="AY165">
            <v>0.95399999999999996</v>
          </cell>
          <cell r="AZ165">
            <v>0.93700000000000006</v>
          </cell>
          <cell r="BA165">
            <v>0.9355</v>
          </cell>
          <cell r="BB165">
            <v>0.92200000000000004</v>
          </cell>
          <cell r="BC165">
            <v>0.93400000000000005</v>
          </cell>
          <cell r="BD165">
            <v>0.95899999999999996</v>
          </cell>
          <cell r="BE165">
            <v>0.94200000000000006</v>
          </cell>
          <cell r="BF165">
            <v>0.93925000000000003</v>
          </cell>
          <cell r="BG165">
            <v>0.92200000000000004</v>
          </cell>
          <cell r="BH165">
            <v>0.93900000000000006</v>
          </cell>
          <cell r="BI165">
            <v>0.96399999999999997</v>
          </cell>
          <cell r="BJ165">
            <v>0.94700000000000006</v>
          </cell>
          <cell r="BK165">
            <v>0.94300000000000006</v>
          </cell>
          <cell r="BL165">
            <v>0.92200000000000004</v>
          </cell>
          <cell r="BM165">
            <v>0.94400000000000006</v>
          </cell>
          <cell r="BN165">
            <v>0.96899999999999997</v>
          </cell>
          <cell r="BO165">
            <v>0.95200000000000007</v>
          </cell>
          <cell r="BP165">
            <v>0.94674999999999998</v>
          </cell>
          <cell r="BQ165">
            <v>0.92200000000000004</v>
          </cell>
          <cell r="BR165">
            <v>0.94400000000000006</v>
          </cell>
          <cell r="BS165">
            <v>0.96899999999999997</v>
          </cell>
          <cell r="BT165">
            <v>0.95200000000000007</v>
          </cell>
          <cell r="BU165">
            <v>0.94674999999999998</v>
          </cell>
          <cell r="BV165">
            <v>0.92200000000000004</v>
          </cell>
          <cell r="BW165">
            <v>0.94400000000000006</v>
          </cell>
          <cell r="BX165">
            <v>0.96899999999999997</v>
          </cell>
          <cell r="BY165">
            <v>0.95200000000000007</v>
          </cell>
          <cell r="BZ165">
            <v>0.94674999999999998</v>
          </cell>
        </row>
        <row r="166">
          <cell r="B166" t="str">
            <v>BEAR - Retention rate</v>
          </cell>
          <cell r="AZ166">
            <v>0.89700000000000002</v>
          </cell>
          <cell r="BA166">
            <v>0.89700000000000002</v>
          </cell>
          <cell r="BB166">
            <v>0.88200000000000001</v>
          </cell>
          <cell r="BC166">
            <v>0.89400000000000002</v>
          </cell>
          <cell r="BD166">
            <v>0.91899999999999993</v>
          </cell>
          <cell r="BE166">
            <v>0.90200000000000002</v>
          </cell>
          <cell r="BF166">
            <v>0.89924999999999999</v>
          </cell>
          <cell r="BG166">
            <v>0.88200000000000001</v>
          </cell>
          <cell r="BH166">
            <v>0.89900000000000002</v>
          </cell>
          <cell r="BI166">
            <v>0.92399999999999993</v>
          </cell>
          <cell r="BJ166">
            <v>0.90700000000000003</v>
          </cell>
          <cell r="BK166">
            <v>0.90300000000000002</v>
          </cell>
          <cell r="BL166">
            <v>0.88200000000000001</v>
          </cell>
          <cell r="BM166">
            <v>0.90400000000000003</v>
          </cell>
          <cell r="BN166">
            <v>0.92899999999999994</v>
          </cell>
          <cell r="BO166">
            <v>0.91200000000000003</v>
          </cell>
          <cell r="BP166">
            <v>0.90674999999999994</v>
          </cell>
          <cell r="BQ166">
            <v>0.88200000000000001</v>
          </cell>
          <cell r="BR166">
            <v>0.90400000000000003</v>
          </cell>
          <cell r="BS166">
            <v>0.92899999999999994</v>
          </cell>
          <cell r="BT166">
            <v>0.91200000000000003</v>
          </cell>
          <cell r="BU166">
            <v>0.90674999999999994</v>
          </cell>
          <cell r="BV166">
            <v>0.88200000000000001</v>
          </cell>
          <cell r="BW166">
            <v>0.90400000000000003</v>
          </cell>
          <cell r="BX166">
            <v>0.92899999999999994</v>
          </cell>
          <cell r="BY166">
            <v>0.91200000000000003</v>
          </cell>
          <cell r="BZ166">
            <v>0.90674999999999994</v>
          </cell>
        </row>
        <row r="167">
          <cell r="B167" t="str">
            <v>Cancellation rate (as % of beginning of qtr run rate)</v>
          </cell>
          <cell r="D167">
            <v>4.7000000000000042E-2</v>
          </cell>
          <cell r="E167">
            <v>4.0277311716345819E-2</v>
          </cell>
          <cell r="F167">
            <v>0.10588196117307859</v>
          </cell>
          <cell r="G167">
            <v>0.12951538867066223</v>
          </cell>
          <cell r="H167">
            <v>8.7750000000000022E-2</v>
          </cell>
          <cell r="I167">
            <v>4.8000000000000043E-2</v>
          </cell>
          <cell r="J167">
            <v>0.10447275719667515</v>
          </cell>
          <cell r="K167">
            <v>0.11400102595365368</v>
          </cell>
          <cell r="L167">
            <v>0.28246632680440042</v>
          </cell>
          <cell r="U167">
            <v>0.17897696770211893</v>
          </cell>
          <cell r="V167">
            <v>0.38647817663072365</v>
          </cell>
          <cell r="W167">
            <v>0.14122312835537518</v>
          </cell>
          <cell r="X167">
            <v>0.11399999999999999</v>
          </cell>
          <cell r="Y167">
            <v>8.4762690539973776E-2</v>
          </cell>
          <cell r="Z167">
            <v>0.13027362982473914</v>
          </cell>
          <cell r="AA167">
            <v>0.12363885254151989</v>
          </cell>
          <cell r="AB167">
            <v>0.11549999999999999</v>
          </cell>
          <cell r="AC167">
            <v>8.0999999999999961E-2</v>
          </cell>
          <cell r="AD167">
            <v>0.15880911414765059</v>
          </cell>
          <cell r="AE167">
            <v>0.15254798425989946</v>
          </cell>
          <cell r="AF167">
            <v>0.22454578381827903</v>
          </cell>
          <cell r="AG167">
            <v>0.15250000000000002</v>
          </cell>
          <cell r="AH167">
            <v>0.18300000000000005</v>
          </cell>
          <cell r="AI167">
            <v>0.13458898492803348</v>
          </cell>
          <cell r="AJ167">
            <v>0.11453947418774635</v>
          </cell>
          <cell r="AK167">
            <v>0.1161809449389163</v>
          </cell>
          <cell r="AL167">
            <v>0.13325000000000001</v>
          </cell>
          <cell r="AM167">
            <v>0.19490897454545461</v>
          </cell>
          <cell r="AN167">
            <v>0.13458898492803348</v>
          </cell>
          <cell r="AO167">
            <v>0.11453947418774635</v>
          </cell>
          <cell r="AP167">
            <v>0.1161809449389163</v>
          </cell>
          <cell r="AQ167">
            <v>0.14192142545454545</v>
          </cell>
          <cell r="AR167">
            <v>9.3999999999999972E-2</v>
          </cell>
          <cell r="AS167">
            <v>5.1796080401039349E-2</v>
          </cell>
          <cell r="AT167">
            <v>6.2223991886257296E-2</v>
          </cell>
          <cell r="AU167">
            <v>6.7677773312272718E-2</v>
          </cell>
          <cell r="AV167">
            <v>7.0117047272727259E-2</v>
          </cell>
          <cell r="AW167">
            <v>8.1186559999999963E-2</v>
          </cell>
          <cell r="AX167">
            <v>7.0999999999999952E-2</v>
          </cell>
          <cell r="AY167">
            <v>4.6000000000000041E-2</v>
          </cell>
          <cell r="AZ167">
            <v>6.1086666666666609E-2</v>
          </cell>
          <cell r="BA167">
            <v>6.4904726192028889E-2</v>
          </cell>
          <cell r="BB167">
            <v>7.7999999999999944E-2</v>
          </cell>
          <cell r="BC167">
            <v>6.5045146260043804E-2</v>
          </cell>
          <cell r="BD167">
            <v>3.9827865108094912E-2</v>
          </cell>
          <cell r="BE167">
            <v>5.5681368113899878E-2</v>
          </cell>
          <cell r="BF167">
            <v>6.0749999999999971E-2</v>
          </cell>
          <cell r="BG167">
            <v>7.7999999999999944E-2</v>
          </cell>
          <cell r="BH167">
            <v>6.0046273230919607E-2</v>
          </cell>
          <cell r="BI167">
            <v>3.485050664215969E-2</v>
          </cell>
          <cell r="BJ167">
            <v>5.0609444519251208E-2</v>
          </cell>
          <cell r="BK167">
            <v>5.699999999999996E-2</v>
          </cell>
          <cell r="BL167">
            <v>7.7999999999999958E-2</v>
          </cell>
          <cell r="BM167">
            <v>5.5125671989798342E-2</v>
          </cell>
          <cell r="BN167">
            <v>2.9975139398606888E-2</v>
          </cell>
          <cell r="BO167">
            <v>4.5728337813180343E-2</v>
          </cell>
          <cell r="BP167">
            <v>5.3249999999999971E-2</v>
          </cell>
          <cell r="BQ167">
            <v>7.7999999999999958E-2</v>
          </cell>
          <cell r="BR167">
            <v>5.5133444842025377E-2</v>
          </cell>
          <cell r="BS167">
            <v>2.9983087841271266E-2</v>
          </cell>
          <cell r="BT167">
            <v>4.5744387104825979E-2</v>
          </cell>
          <cell r="BU167">
            <v>5.3249999999999971E-2</v>
          </cell>
          <cell r="BV167">
            <v>7.7999999999999958E-2</v>
          </cell>
          <cell r="BW167">
            <v>5.5140271856035851E-2</v>
          </cell>
          <cell r="BX167">
            <v>2.9990070707151102E-2</v>
          </cell>
          <cell r="BY167">
            <v>4.5758489000755062E-2</v>
          </cell>
          <cell r="BZ167">
            <v>5.3249999999999964E-2</v>
          </cell>
        </row>
        <row r="175">
          <cell r="B175" t="str">
            <v>Subtotal</v>
          </cell>
          <cell r="I175">
            <v>30.276031249999999</v>
          </cell>
          <cell r="J175">
            <v>31.4985</v>
          </cell>
          <cell r="K175">
            <v>32.466093749999999</v>
          </cell>
          <cell r="L175">
            <v>33.003500000000003</v>
          </cell>
          <cell r="U175">
            <v>30.557374999999997</v>
          </cell>
          <cell r="V175">
            <v>30.2533125</v>
          </cell>
          <cell r="W175">
            <v>60.8106875</v>
          </cell>
          <cell r="X175">
            <v>29.886906250000003</v>
          </cell>
          <cell r="Y175">
            <v>29.644281249999999</v>
          </cell>
          <cell r="Z175">
            <v>29.451281250000001</v>
          </cell>
          <cell r="AA175">
            <v>29.349125000000001</v>
          </cell>
          <cell r="AB175">
            <v>118.33159375000001</v>
          </cell>
          <cell r="AC175">
            <v>29.582562499999998</v>
          </cell>
          <cell r="AD175">
            <v>29.570468750000003</v>
          </cell>
          <cell r="AE175">
            <v>29.427937500000002</v>
          </cell>
          <cell r="AF175">
            <v>29.0598125</v>
          </cell>
          <cell r="AG175">
            <v>117.64078125</v>
          </cell>
          <cell r="AH175">
            <v>28.42925</v>
          </cell>
          <cell r="AI175">
            <v>27.67021875</v>
          </cell>
          <cell r="AJ175">
            <v>26.9311875</v>
          </cell>
          <cell r="AK175">
            <v>26.37709375</v>
          </cell>
          <cell r="AL175">
            <v>109.40774999999999</v>
          </cell>
          <cell r="AM175">
            <v>28.42925</v>
          </cell>
          <cell r="AN175">
            <v>27.67021875</v>
          </cell>
          <cell r="AO175">
            <v>26.9311875</v>
          </cell>
          <cell r="AP175">
            <v>26.37709375</v>
          </cell>
          <cell r="AQ175">
            <v>109.40774999999999</v>
          </cell>
          <cell r="AR175">
            <v>26.087375000000002</v>
          </cell>
          <cell r="AS175">
            <v>26.068687499999999</v>
          </cell>
          <cell r="AT175">
            <v>26.168843750000001</v>
          </cell>
          <cell r="AU175">
            <v>26.340031249999999</v>
          </cell>
          <cell r="AV175">
            <v>104.66493749999999</v>
          </cell>
          <cell r="AW175">
            <v>26.238406250000001</v>
          </cell>
          <cell r="AX175">
            <v>26.919</v>
          </cell>
          <cell r="AY175">
            <v>27.130031249999998</v>
          </cell>
          <cell r="AZ175">
            <v>27.411544578125</v>
          </cell>
          <cell r="BA175">
            <v>107.698982078125</v>
          </cell>
          <cell r="BB175">
            <v>27.762494083851564</v>
          </cell>
          <cell r="BC175">
            <v>28.148474234765626</v>
          </cell>
          <cell r="BD175">
            <v>28.556357365089841</v>
          </cell>
          <cell r="BE175">
            <v>28.983857610855466</v>
          </cell>
          <cell r="BF175">
            <v>113.4511832945625</v>
          </cell>
          <cell r="BG175">
            <v>29.432227350257577</v>
          </cell>
          <cell r="BH175">
            <v>29.900372289735643</v>
          </cell>
          <cell r="BI175">
            <v>30.390880738944244</v>
          </cell>
          <cell r="BJ175">
            <v>30.905671457560885</v>
          </cell>
          <cell r="BK175">
            <v>120.62915183649835</v>
          </cell>
          <cell r="BL175">
            <v>31.438529827776051</v>
          </cell>
          <cell r="BM175">
            <v>31.984941078686347</v>
          </cell>
          <cell r="BN175">
            <v>32.549510738559668</v>
          </cell>
          <cell r="BO175">
            <v>33.133905713262486</v>
          </cell>
          <cell r="BP175">
            <v>129.10688735828455</v>
          </cell>
          <cell r="BQ175">
            <v>33.733518084089177</v>
          </cell>
          <cell r="BR175">
            <v>34.34213117616482</v>
          </cell>
          <cell r="BS175">
            <v>34.959844999783634</v>
          </cell>
          <cell r="BT175">
            <v>35.588472888140629</v>
          </cell>
          <cell r="BU175">
            <v>138.62396714817828</v>
          </cell>
          <cell r="BV175">
            <v>36.228220370896118</v>
          </cell>
          <cell r="BW175">
            <v>36.877629710851245</v>
          </cell>
          <cell r="BX175">
            <v>37.536797015910551</v>
          </cell>
          <cell r="BY175">
            <v>38.207660696744185</v>
          </cell>
          <cell r="BZ175">
            <v>148.85030779440211</v>
          </cell>
        </row>
        <row r="176">
          <cell r="B176" t="str">
            <v>Adjustments (FX, Other)</v>
          </cell>
          <cell r="I176">
            <v>2.0659687499999997</v>
          </cell>
          <cell r="J176">
            <v>2.4035000000000011</v>
          </cell>
          <cell r="K176">
            <v>1.1929062500000001</v>
          </cell>
          <cell r="L176">
            <v>-0.50850000000000506</v>
          </cell>
          <cell r="U176">
            <v>-0.13337499999999736</v>
          </cell>
          <cell r="V176">
            <v>0.73968749999999872</v>
          </cell>
          <cell r="W176">
            <v>0.60631250000000136</v>
          </cell>
          <cell r="X176">
            <v>-0.60290625000000375</v>
          </cell>
          <cell r="Y176">
            <v>-0.45128124999999741</v>
          </cell>
          <cell r="Z176">
            <v>0.81171875000000071</v>
          </cell>
          <cell r="AA176">
            <v>0.79987500000000011</v>
          </cell>
          <cell r="AB176">
            <v>0.55740624999999966</v>
          </cell>
          <cell r="AC176">
            <v>-0.51956249999999926</v>
          </cell>
          <cell r="AD176">
            <v>-0.2444687500000029</v>
          </cell>
          <cell r="AE176">
            <v>-0.28993750000000063</v>
          </cell>
          <cell r="AF176">
            <v>-0.45381249999999795</v>
          </cell>
          <cell r="AG176">
            <v>-1.5077812500000007</v>
          </cell>
          <cell r="AH176">
            <v>-0.78324999999999889</v>
          </cell>
          <cell r="AI176">
            <v>-1.5812187500000014</v>
          </cell>
          <cell r="AJ176">
            <v>-0.71818749999999909</v>
          </cell>
          <cell r="AK176">
            <v>-0.86409374999999855</v>
          </cell>
          <cell r="AL176">
            <v>-3.946749999999998</v>
          </cell>
          <cell r="AM176">
            <v>-1.0292500000000011</v>
          </cell>
          <cell r="AN176">
            <v>-1.6702187500000001</v>
          </cell>
          <cell r="AO176">
            <v>-0.83118749999999864</v>
          </cell>
          <cell r="AP176">
            <v>-0.87709375000000023</v>
          </cell>
          <cell r="AQ176">
            <v>-4.4077500000000001</v>
          </cell>
          <cell r="AR176">
            <v>-0.28737500000000082</v>
          </cell>
          <cell r="AS176">
            <v>0.23131250000000136</v>
          </cell>
          <cell r="AT176">
            <v>3.1156249999998664E-2</v>
          </cell>
          <cell r="AU176">
            <v>-0.44003125000000054</v>
          </cell>
          <cell r="AV176">
            <v>-0.46493750000000134</v>
          </cell>
          <cell r="AW176">
            <v>6.1593750000000114E-2</v>
          </cell>
          <cell r="AX176">
            <v>-0.31899999999999906</v>
          </cell>
          <cell r="AY176">
            <v>-3.0031249999996845E-2</v>
          </cell>
          <cell r="AZ176">
            <v>-0.35202500000000048</v>
          </cell>
          <cell r="BA176">
            <v>-0.63946249999999627</v>
          </cell>
          <cell r="BB176">
            <v>6.1593750000000114E-2</v>
          </cell>
          <cell r="BC176">
            <v>-0.31899999999999906</v>
          </cell>
          <cell r="BD176">
            <v>-3.0031249999996845E-2</v>
          </cell>
          <cell r="BE176">
            <v>-0.35202500000000048</v>
          </cell>
          <cell r="BF176">
            <v>-0.63946249999999627</v>
          </cell>
          <cell r="BG176">
            <v>6.1593750000000114E-2</v>
          </cell>
          <cell r="BH176">
            <v>-0.31899999999999906</v>
          </cell>
          <cell r="BI176">
            <v>-3.0031249999996845E-2</v>
          </cell>
          <cell r="BJ176">
            <v>-0.35202500000000048</v>
          </cell>
          <cell r="BK176">
            <v>-0.63946249999999627</v>
          </cell>
          <cell r="BL176">
            <v>6.1593750000000114E-2</v>
          </cell>
          <cell r="BM176">
            <v>-0.31899999999999906</v>
          </cell>
          <cell r="BN176">
            <v>-3.0031249999996845E-2</v>
          </cell>
          <cell r="BO176">
            <v>-0.35202500000000048</v>
          </cell>
          <cell r="BP176">
            <v>-0.63946249999999627</v>
          </cell>
          <cell r="BQ176">
            <v>6.1593750000000114E-2</v>
          </cell>
          <cell r="BR176">
            <v>-0.31899999999999906</v>
          </cell>
          <cell r="BS176">
            <v>-3.0031249999996845E-2</v>
          </cell>
          <cell r="BT176">
            <v>-0.35202500000000048</v>
          </cell>
          <cell r="BU176">
            <v>-0.63946249999999627</v>
          </cell>
          <cell r="BV176">
            <v>6.1593750000000114E-2</v>
          </cell>
          <cell r="BW176">
            <v>-0.31899999999999906</v>
          </cell>
          <cell r="BX176">
            <v>-3.0031249999996845E-2</v>
          </cell>
          <cell r="BY176">
            <v>-0.35202500000000048</v>
          </cell>
          <cell r="BZ176">
            <v>-0.63946249999999627</v>
          </cell>
        </row>
        <row r="177">
          <cell r="B177" t="str">
            <v>PMA Subscription revenue</v>
          </cell>
          <cell r="AM177">
            <v>27.4</v>
          </cell>
          <cell r="AN177">
            <v>26</v>
          </cell>
          <cell r="AO177">
            <v>26.1</v>
          </cell>
          <cell r="AP177">
            <v>25.5</v>
          </cell>
          <cell r="AQ177">
            <v>105</v>
          </cell>
          <cell r="AR177">
            <v>25.8</v>
          </cell>
          <cell r="AS177">
            <v>26.3</v>
          </cell>
          <cell r="AT177">
            <v>26.2</v>
          </cell>
          <cell r="AU177">
            <v>25.9</v>
          </cell>
          <cell r="AV177">
            <v>104.19999999999999</v>
          </cell>
          <cell r="AW177">
            <v>26.3</v>
          </cell>
          <cell r="AX177">
            <v>26.6</v>
          </cell>
          <cell r="AY177">
            <v>27.1</v>
          </cell>
          <cell r="AZ177">
            <v>27.059519578124998</v>
          </cell>
          <cell r="BA177">
            <v>107.05951957812499</v>
          </cell>
          <cell r="BB177">
            <v>27.824087833851564</v>
          </cell>
          <cell r="BC177">
            <v>27.829474234765627</v>
          </cell>
          <cell r="BD177">
            <v>28.526326115089844</v>
          </cell>
          <cell r="BE177">
            <v>28.631832610855465</v>
          </cell>
          <cell r="BF177">
            <v>112.8117207945625</v>
          </cell>
          <cell r="BG177">
            <v>29.493821100257577</v>
          </cell>
          <cell r="BH177">
            <v>29.581372289735643</v>
          </cell>
          <cell r="BI177">
            <v>30.360849488944247</v>
          </cell>
          <cell r="BJ177">
            <v>30.553646457560884</v>
          </cell>
          <cell r="BK177">
            <v>119.98968933649834</v>
          </cell>
          <cell r="BL177">
            <v>31.500123577776051</v>
          </cell>
          <cell r="BM177">
            <v>31.665941078686348</v>
          </cell>
          <cell r="BN177">
            <v>32.519479488559668</v>
          </cell>
          <cell r="BO177">
            <v>32.781880713262488</v>
          </cell>
          <cell r="BP177">
            <v>128.46742485828455</v>
          </cell>
          <cell r="BQ177">
            <v>33.795111834089177</v>
          </cell>
          <cell r="BR177">
            <v>34.023131176164824</v>
          </cell>
          <cell r="BS177">
            <v>34.929813749783634</v>
          </cell>
          <cell r="BT177">
            <v>35.236447888140631</v>
          </cell>
          <cell r="BU177">
            <v>137.98450464817827</v>
          </cell>
          <cell r="BV177">
            <v>36.289814120896118</v>
          </cell>
          <cell r="BW177">
            <v>36.55862971085125</v>
          </cell>
          <cell r="BX177">
            <v>37.506765765910558</v>
          </cell>
          <cell r="BY177">
            <v>37.855635696744187</v>
          </cell>
          <cell r="BZ177">
            <v>148.21084529440213</v>
          </cell>
          <cell r="CB177">
            <v>5.7773103899695366E-2</v>
          </cell>
        </row>
        <row r="178">
          <cell r="AR178">
            <v>-5.8394160583941535E-2</v>
          </cell>
          <cell r="AS178">
            <v>1.1538461538461497E-2</v>
          </cell>
          <cell r="AT178">
            <v>3.8314176245208831E-3</v>
          </cell>
          <cell r="AU178">
            <v>1.5686274509803866E-2</v>
          </cell>
          <cell r="AV178">
            <v>-7.6190476190477474E-3</v>
          </cell>
          <cell r="AW178">
            <v>1.9379844961240345E-2</v>
          </cell>
          <cell r="AX178">
            <v>1.1406844106463865E-2</v>
          </cell>
          <cell r="AY178">
            <v>3.4351145038167941E-2</v>
          </cell>
          <cell r="AZ178">
            <v>4.4769095680502025E-2</v>
          </cell>
          <cell r="BA178">
            <v>2.7442606315978946E-2</v>
          </cell>
          <cell r="BB178">
            <v>5.795010775101006E-2</v>
          </cell>
          <cell r="BC178">
            <v>4.6220835893444612E-2</v>
          </cell>
          <cell r="BD178">
            <v>5.2631959966414898E-2</v>
          </cell>
          <cell r="BE178">
            <v>5.8105726089886955E-2</v>
          </cell>
        </row>
        <row r="180">
          <cell r="B180" t="str">
            <v>PMA non-recurring revenue</v>
          </cell>
          <cell r="AM180">
            <v>0.24600000000000222</v>
          </cell>
          <cell r="AN180">
            <v>8.8999999999998636E-2</v>
          </cell>
          <cell r="AO180">
            <v>0.11299999999999955</v>
          </cell>
          <cell r="AP180">
            <v>1.3000000000001677E-2</v>
          </cell>
          <cell r="AQ180">
            <v>0.46100000000000207</v>
          </cell>
          <cell r="AR180">
            <v>6.4999999999997726E-2</v>
          </cell>
          <cell r="AS180">
            <v>3.0000000000001137E-3</v>
          </cell>
          <cell r="AT180">
            <v>6.8999999999999062E-2</v>
          </cell>
          <cell r="AU180">
            <v>5.2000000000003155E-2</v>
          </cell>
          <cell r="AV180">
            <v>0.18900000000000006</v>
          </cell>
          <cell r="AW180">
            <v>6.8999999999999062E-2</v>
          </cell>
          <cell r="AX180">
            <v>5.2999999999997272E-2</v>
          </cell>
          <cell r="AY180">
            <v>0</v>
          </cell>
          <cell r="AZ180">
            <v>0</v>
          </cell>
          <cell r="BA180">
            <v>0.12199999999999633</v>
          </cell>
          <cell r="BB180">
            <v>0</v>
          </cell>
          <cell r="BC180">
            <v>0</v>
          </cell>
          <cell r="BD180">
            <v>0</v>
          </cell>
          <cell r="BE180">
            <v>0</v>
          </cell>
          <cell r="BF180">
            <v>0</v>
          </cell>
          <cell r="BG180">
            <v>0</v>
          </cell>
          <cell r="BH180">
            <v>0</v>
          </cell>
          <cell r="BI180">
            <v>0</v>
          </cell>
          <cell r="BJ180">
            <v>0</v>
          </cell>
          <cell r="BK180">
            <v>0</v>
          </cell>
          <cell r="BL180">
            <v>0</v>
          </cell>
          <cell r="BM180">
            <v>0</v>
          </cell>
          <cell r="BN180">
            <v>0</v>
          </cell>
          <cell r="BO180">
            <v>0</v>
          </cell>
          <cell r="BP180">
            <v>0</v>
          </cell>
          <cell r="BQ180">
            <v>0</v>
          </cell>
          <cell r="BR180">
            <v>0</v>
          </cell>
          <cell r="BS180">
            <v>0</v>
          </cell>
          <cell r="BT180">
            <v>0</v>
          </cell>
          <cell r="BU180">
            <v>0</v>
          </cell>
          <cell r="BV180">
            <v>0</v>
          </cell>
          <cell r="BW180">
            <v>0</v>
          </cell>
          <cell r="BX180">
            <v>0</v>
          </cell>
          <cell r="BY180">
            <v>0</v>
          </cell>
          <cell r="BZ180">
            <v>0</v>
          </cell>
          <cell r="CB180">
            <v>-1</v>
          </cell>
        </row>
        <row r="182">
          <cell r="B182" t="str">
            <v>Portfolio Analytics revenue</v>
          </cell>
          <cell r="D182">
            <v>29.364000000000001</v>
          </cell>
          <cell r="E182">
            <v>30.207000000000001</v>
          </cell>
          <cell r="F182">
            <v>29.452000000000002</v>
          </cell>
          <cell r="G182">
            <v>31.625</v>
          </cell>
          <cell r="I182">
            <v>32.341999999999999</v>
          </cell>
          <cell r="J182">
            <v>33.902000000000001</v>
          </cell>
          <cell r="K182">
            <v>33.658999999999999</v>
          </cell>
          <cell r="L182">
            <v>32.494999999999997</v>
          </cell>
          <cell r="U182">
            <v>30.423999999999999</v>
          </cell>
          <cell r="V182">
            <v>30.992999999999999</v>
          </cell>
          <cell r="W182">
            <v>61.417000000000002</v>
          </cell>
          <cell r="X182">
            <v>29.283999999999999</v>
          </cell>
          <cell r="Y182">
            <v>29.193000000000001</v>
          </cell>
          <cell r="Z182">
            <v>30.263000000000002</v>
          </cell>
          <cell r="AA182">
            <v>30.149000000000001</v>
          </cell>
          <cell r="AB182">
            <v>118.88900000000001</v>
          </cell>
          <cell r="AC182">
            <v>29.062999999999999</v>
          </cell>
          <cell r="AD182">
            <v>29.326000000000001</v>
          </cell>
          <cell r="AE182">
            <v>29.138000000000002</v>
          </cell>
          <cell r="AF182">
            <v>28.606000000000002</v>
          </cell>
          <cell r="AG182">
            <v>116.13300000000001</v>
          </cell>
          <cell r="AH182">
            <v>27.646000000000001</v>
          </cell>
          <cell r="AI182">
            <v>26.088999999999999</v>
          </cell>
          <cell r="AJ182">
            <v>26.213000000000001</v>
          </cell>
          <cell r="AK182">
            <v>25.513000000000002</v>
          </cell>
          <cell r="AL182">
            <v>105.46100000000001</v>
          </cell>
          <cell r="AM182">
            <v>27.646000000000001</v>
          </cell>
          <cell r="AN182">
            <v>26.088999999999999</v>
          </cell>
          <cell r="AO182">
            <v>26.213000000000001</v>
          </cell>
          <cell r="AP182">
            <v>25.513000000000002</v>
          </cell>
          <cell r="AQ182">
            <v>105.46100000000001</v>
          </cell>
          <cell r="AR182">
            <v>25.864999999999998</v>
          </cell>
          <cell r="AS182">
            <v>26.303000000000001</v>
          </cell>
          <cell r="AT182">
            <v>26.268999999999998</v>
          </cell>
          <cell r="AU182">
            <v>25.952000000000002</v>
          </cell>
          <cell r="AV182">
            <v>104.389</v>
          </cell>
          <cell r="AW182">
            <v>26.369</v>
          </cell>
          <cell r="AX182">
            <v>26.652999999999999</v>
          </cell>
          <cell r="AY182">
            <v>27.1</v>
          </cell>
          <cell r="AZ182">
            <v>27.059519578124998</v>
          </cell>
          <cell r="BA182">
            <v>107.18151957812501</v>
          </cell>
          <cell r="BB182">
            <v>27.824087833851564</v>
          </cell>
          <cell r="BC182">
            <v>27.829474234765627</v>
          </cell>
          <cell r="BD182">
            <v>28.526326115089844</v>
          </cell>
          <cell r="BE182">
            <v>28.631832610855465</v>
          </cell>
          <cell r="BF182">
            <v>112.8117207945625</v>
          </cell>
          <cell r="BG182">
            <v>29.493821100257577</v>
          </cell>
          <cell r="BH182">
            <v>29.581372289735643</v>
          </cell>
          <cell r="BI182">
            <v>30.360849488944247</v>
          </cell>
          <cell r="BJ182">
            <v>30.553646457560884</v>
          </cell>
          <cell r="BK182">
            <v>119.98968933649834</v>
          </cell>
          <cell r="BL182">
            <v>31.500123577776051</v>
          </cell>
          <cell r="BM182">
            <v>31.665941078686348</v>
          </cell>
          <cell r="BN182">
            <v>32.519479488559668</v>
          </cell>
          <cell r="BO182">
            <v>32.781880713262488</v>
          </cell>
          <cell r="BP182">
            <v>128.46742485828455</v>
          </cell>
          <cell r="BQ182">
            <v>33.795111834089177</v>
          </cell>
          <cell r="BR182">
            <v>34.023131176164824</v>
          </cell>
          <cell r="BS182">
            <v>34.929813749783634</v>
          </cell>
          <cell r="BT182">
            <v>35.236447888140631</v>
          </cell>
          <cell r="BU182">
            <v>137.98450464817827</v>
          </cell>
          <cell r="BV182">
            <v>36.289814120896118</v>
          </cell>
          <cell r="BW182">
            <v>36.55862971085125</v>
          </cell>
          <cell r="BX182">
            <v>37.506765765910558</v>
          </cell>
          <cell r="BY182">
            <v>37.855635696744187</v>
          </cell>
          <cell r="BZ182">
            <v>148.21084529440213</v>
          </cell>
          <cell r="CB182">
            <v>5.7389799033494171E-2</v>
          </cell>
        </row>
        <row r="183">
          <cell r="B183" t="str">
            <v>y/y change</v>
          </cell>
          <cell r="Z183">
            <v>-5.2918748356559631E-3</v>
          </cell>
          <cell r="AA183">
            <v>-2.7231955602877944E-2</v>
          </cell>
          <cell r="AC183">
            <v>-7.5467832263351742E-3</v>
          </cell>
          <cell r="AD183">
            <v>4.5558866851642676E-3</v>
          </cell>
          <cell r="AE183">
            <v>-3.717410699534085E-2</v>
          </cell>
          <cell r="AF183">
            <v>-5.1179143586851938E-2</v>
          </cell>
          <cell r="AG183">
            <v>-2.3181286746461027E-2</v>
          </cell>
          <cell r="AH183">
            <v>-4.8756150431820466E-2</v>
          </cell>
          <cell r="AI183">
            <v>-0.11037986769419639</v>
          </cell>
          <cell r="AJ183">
            <v>-0.10038437778845499</v>
          </cell>
          <cell r="AK183">
            <v>-0.10812416975459693</v>
          </cell>
          <cell r="AL183">
            <v>-9.1894638044311194E-2</v>
          </cell>
          <cell r="AM183">
            <v>-4.8756150431820466E-2</v>
          </cell>
          <cell r="AN183">
            <v>-0.11037986769419639</v>
          </cell>
          <cell r="AO183">
            <v>-0.10038437778845499</v>
          </cell>
          <cell r="AP183">
            <v>-0.10812416975459693</v>
          </cell>
          <cell r="AQ183">
            <v>-9.1894638044311194E-2</v>
          </cell>
          <cell r="AR183">
            <v>-6.4421616147001481E-2</v>
          </cell>
          <cell r="AS183">
            <v>8.202690789221645E-3</v>
          </cell>
          <cell r="AT183">
            <v>2.1363445618585164E-3</v>
          </cell>
          <cell r="AU183">
            <v>1.7206914122212202E-2</v>
          </cell>
          <cell r="AV183">
            <v>-1.0164895079697867E-2</v>
          </cell>
          <cell r="AW183">
            <v>1.9485791610284187E-2</v>
          </cell>
          <cell r="AX183">
            <v>1.3306466942934136E-2</v>
          </cell>
          <cell r="AY183">
            <v>3.1634245688834772E-2</v>
          </cell>
          <cell r="AZ183">
            <v>4.2675692745260285E-2</v>
          </cell>
          <cell r="BA183">
            <v>2.5582384907653077E-2</v>
          </cell>
          <cell r="BB183">
            <v>5.5181760167301253E-2</v>
          </cell>
          <cell r="BC183">
            <v>4.4140405761663892E-2</v>
          </cell>
          <cell r="BD183">
            <v>5.2631959966414898E-2</v>
          </cell>
          <cell r="BE183">
            <v>5.8105726089886955E-2</v>
          </cell>
          <cell r="BF183">
            <v>5.3729002699661299E-2</v>
          </cell>
          <cell r="BG183">
            <v>6.0010350613347585E-2</v>
          </cell>
          <cell r="BH183">
            <v>6.2951173284527151E-2</v>
          </cell>
          <cell r="BI183">
            <v>6.430983669095669E-2</v>
          </cell>
          <cell r="BJ183">
            <v>6.7121580124660962E-2</v>
          </cell>
          <cell r="BK183">
            <v>6.362786146137589E-2</v>
          </cell>
          <cell r="BL183">
            <v>6.8024501494686085E-2</v>
          </cell>
          <cell r="BM183">
            <v>7.0468968394479248E-2</v>
          </cell>
          <cell r="BN183">
            <v>7.1099130490452023E-2</v>
          </cell>
          <cell r="BO183">
            <v>7.292858673339131E-2</v>
          </cell>
          <cell r="BP183">
            <v>7.0653866750261196E-2</v>
          </cell>
          <cell r="BQ183">
            <v>7.2856484218121631E-2</v>
          </cell>
          <cell r="BR183">
            <v>7.443928767571184E-2</v>
          </cell>
          <cell r="BS183">
            <v>7.4119706069462721E-2</v>
          </cell>
          <cell r="BT183">
            <v>7.4875727733494601E-2</v>
          </cell>
          <cell r="BU183">
            <v>7.4081657668410905E-2</v>
          </cell>
          <cell r="BV183">
            <v>7.3818435608505206E-2</v>
          </cell>
          <cell r="BW183">
            <v>7.4522786323167445E-2</v>
          </cell>
          <cell r="BX183">
            <v>7.3775143337055038E-2</v>
          </cell>
          <cell r="BY183">
            <v>7.4331777621803985E-2</v>
          </cell>
          <cell r="BZ183">
            <v>7.41122394307836E-2</v>
          </cell>
        </row>
        <row r="185">
          <cell r="C185">
            <v>2006</v>
          </cell>
          <cell r="D185" t="str">
            <v>1Q07</v>
          </cell>
          <cell r="E185" t="str">
            <v>2Q07</v>
          </cell>
          <cell r="F185" t="str">
            <v>3Q07</v>
          </cell>
          <cell r="G185" t="str">
            <v>4Q07</v>
          </cell>
          <cell r="H185">
            <v>2007</v>
          </cell>
          <cell r="I185" t="str">
            <v>1Q08</v>
          </cell>
          <cell r="J185" t="str">
            <v>2Q08</v>
          </cell>
          <cell r="K185" t="str">
            <v>3Q08</v>
          </cell>
          <cell r="L185" t="str">
            <v>4Q08</v>
          </cell>
          <cell r="P185" t="str">
            <v>3Q09</v>
          </cell>
          <cell r="Q185" t="str">
            <v>4Q09</v>
          </cell>
          <cell r="R185">
            <v>2009</v>
          </cell>
          <cell r="S185" t="str">
            <v>1Q10</v>
          </cell>
          <cell r="T185" t="str">
            <v>2Q10</v>
          </cell>
          <cell r="U185" t="str">
            <v>3Q10</v>
          </cell>
          <cell r="V185" t="str">
            <v>4Q10</v>
          </cell>
          <cell r="W185">
            <v>2010</v>
          </cell>
          <cell r="X185" t="str">
            <v>1Q11</v>
          </cell>
          <cell r="Y185" t="str">
            <v>2Q11</v>
          </cell>
          <cell r="Z185" t="str">
            <v>3Q11</v>
          </cell>
          <cell r="AA185" t="str">
            <v>4Q11</v>
          </cell>
          <cell r="AB185">
            <v>2011</v>
          </cell>
          <cell r="AC185" t="str">
            <v>1Q12</v>
          </cell>
          <cell r="AD185" t="str">
            <v>2Q12</v>
          </cell>
          <cell r="AE185" t="str">
            <v>3Q12</v>
          </cell>
          <cell r="AF185" t="str">
            <v>4Q12</v>
          </cell>
          <cell r="AG185">
            <v>2012</v>
          </cell>
          <cell r="AH185" t="str">
            <v>1Q13</v>
          </cell>
          <cell r="AI185" t="str">
            <v>2Q13</v>
          </cell>
          <cell r="AJ185" t="str">
            <v>3Q13</v>
          </cell>
          <cell r="AK185" t="str">
            <v>4Q13</v>
          </cell>
          <cell r="AL185">
            <v>2013</v>
          </cell>
          <cell r="AM185" t="str">
            <v>1Q13R</v>
          </cell>
          <cell r="AN185" t="str">
            <v>2Q13R</v>
          </cell>
          <cell r="AO185" t="str">
            <v>3Q13R</v>
          </cell>
          <cell r="AP185" t="str">
            <v>4Q13R</v>
          </cell>
          <cell r="AQ185" t="str">
            <v>2013R</v>
          </cell>
          <cell r="AR185" t="str">
            <v>1Q14</v>
          </cell>
          <cell r="AS185" t="str">
            <v>2Q14</v>
          </cell>
          <cell r="AT185" t="str">
            <v>3Q14</v>
          </cell>
          <cell r="AU185" t="str">
            <v>4Q14</v>
          </cell>
          <cell r="AV185">
            <v>2014</v>
          </cell>
          <cell r="AW185" t="str">
            <v>1Q15</v>
          </cell>
          <cell r="AX185" t="str">
            <v>2Q15</v>
          </cell>
          <cell r="AY185" t="str">
            <v>3Q15</v>
          </cell>
          <cell r="AZ185" t="str">
            <v>4Q15</v>
          </cell>
          <cell r="BA185">
            <v>2015</v>
          </cell>
          <cell r="BB185" t="str">
            <v>1Q16</v>
          </cell>
          <cell r="BC185" t="str">
            <v>2Q16</v>
          </cell>
          <cell r="BD185" t="str">
            <v>3Q16</v>
          </cell>
          <cell r="BE185" t="str">
            <v>4Q16</v>
          </cell>
          <cell r="BF185">
            <v>2016</v>
          </cell>
          <cell r="BG185" t="str">
            <v>1Q17</v>
          </cell>
          <cell r="BH185" t="str">
            <v>2Q17E</v>
          </cell>
          <cell r="BI185" t="str">
            <v>3Q17E</v>
          </cell>
          <cell r="BJ185" t="str">
            <v>4Q17E</v>
          </cell>
          <cell r="BK185" t="str">
            <v>2017E</v>
          </cell>
          <cell r="BL185" t="str">
            <v>1Q18E</v>
          </cell>
          <cell r="BM185" t="str">
            <v>2Q18E</v>
          </cell>
          <cell r="BN185" t="str">
            <v>3Q18E</v>
          </cell>
          <cell r="BO185" t="str">
            <v>4Q18E</v>
          </cell>
          <cell r="BP185" t="str">
            <v>2018E</v>
          </cell>
          <cell r="BQ185" t="str">
            <v>1Q19E</v>
          </cell>
          <cell r="BR185" t="str">
            <v>2Q19E</v>
          </cell>
          <cell r="BS185" t="str">
            <v>3Q19E</v>
          </cell>
          <cell r="BT185" t="str">
            <v>4Q19E</v>
          </cell>
          <cell r="BU185" t="str">
            <v>2019E</v>
          </cell>
          <cell r="BV185" t="str">
            <v>1Q20E</v>
          </cell>
          <cell r="BW185" t="str">
            <v>2Q20E</v>
          </cell>
          <cell r="BX185" t="str">
            <v>3Q20E</v>
          </cell>
          <cell r="BY185" t="str">
            <v>4Q20E</v>
          </cell>
          <cell r="BZ185" t="str">
            <v>2020E</v>
          </cell>
        </row>
        <row r="186">
          <cell r="A186" t="str">
            <v>Risk Management Analytics</v>
          </cell>
        </row>
        <row r="188">
          <cell r="B188" t="str">
            <v>Annualized run rate</v>
          </cell>
          <cell r="C188">
            <v>16.415833232724037</v>
          </cell>
          <cell r="D188">
            <v>23.440999999999999</v>
          </cell>
          <cell r="E188">
            <v>24.111999999999998</v>
          </cell>
          <cell r="F188">
            <v>27.920999999999999</v>
          </cell>
          <cell r="G188">
            <v>29.242999999999999</v>
          </cell>
          <cell r="H188">
            <v>29.242999999999999</v>
          </cell>
          <cell r="I188">
            <v>30.344000000000001</v>
          </cell>
          <cell r="J188">
            <v>33.255000000000003</v>
          </cell>
          <cell r="K188">
            <v>34.076000000000001</v>
          </cell>
          <cell r="L188">
            <v>35.104999999999997</v>
          </cell>
          <cell r="P188">
            <v>191.715</v>
          </cell>
          <cell r="Q188">
            <v>197.99700000000001</v>
          </cell>
          <cell r="R188">
            <v>197.99700000000001</v>
          </cell>
          <cell r="S188">
            <v>196.523</v>
          </cell>
          <cell r="T188">
            <v>200.161</v>
          </cell>
          <cell r="U188">
            <v>229.09899999999999</v>
          </cell>
          <cell r="V188">
            <v>233.50399999999999</v>
          </cell>
          <cell r="W188">
            <v>233.50399999999999</v>
          </cell>
          <cell r="X188">
            <v>243.85300000000001</v>
          </cell>
          <cell r="Y188">
            <v>249.048</v>
          </cell>
          <cell r="Z188">
            <v>251.804</v>
          </cell>
          <cell r="AA188">
            <v>250.96700000000001</v>
          </cell>
          <cell r="AB188">
            <v>250.96700000000001</v>
          </cell>
          <cell r="AC188">
            <v>257.97300000000001</v>
          </cell>
          <cell r="AD188">
            <v>258.995</v>
          </cell>
          <cell r="AE188">
            <v>261.77600000000001</v>
          </cell>
          <cell r="AF188">
            <v>262.108</v>
          </cell>
          <cell r="AG188">
            <v>262.108</v>
          </cell>
          <cell r="AH188">
            <v>274.524</v>
          </cell>
          <cell r="AI188">
            <v>281.02199999999999</v>
          </cell>
          <cell r="AJ188">
            <v>288.452</v>
          </cell>
          <cell r="AK188">
            <v>290.65499999999997</v>
          </cell>
          <cell r="AL188">
            <v>290.65499999999997</v>
          </cell>
          <cell r="AM188">
            <v>287.55399999999997</v>
          </cell>
          <cell r="AN188">
            <v>293.81599999999997</v>
          </cell>
          <cell r="AO188">
            <v>300.94499999999999</v>
          </cell>
          <cell r="AP188">
            <v>301.95699999999999</v>
          </cell>
          <cell r="AQ188">
            <v>301.95699999999999</v>
          </cell>
          <cell r="AR188">
            <v>307.45999999999998</v>
          </cell>
          <cell r="AS188">
            <v>309.61900000000003</v>
          </cell>
          <cell r="AT188">
            <v>311.01900000000001</v>
          </cell>
          <cell r="AU188">
            <v>310.339</v>
          </cell>
          <cell r="AV188">
            <v>310.339</v>
          </cell>
          <cell r="AW188">
            <v>309.28399999999999</v>
          </cell>
          <cell r="AX188">
            <v>315.90100000000001</v>
          </cell>
          <cell r="AY188">
            <v>319.637</v>
          </cell>
          <cell r="AZ188">
            <v>323.02784700000001</v>
          </cell>
          <cell r="BA188">
            <v>323.02784700000001</v>
          </cell>
          <cell r="BB188">
            <v>328.73826600537501</v>
          </cell>
          <cell r="BC188">
            <v>334.28425462825004</v>
          </cell>
          <cell r="BD188">
            <v>339.68132679212505</v>
          </cell>
          <cell r="BE188">
            <v>344.18922428925003</v>
          </cell>
          <cell r="BF188">
            <v>344.18922428925003</v>
          </cell>
          <cell r="BG188">
            <v>350.43312574151355</v>
          </cell>
          <cell r="BH188">
            <v>356.48774025450018</v>
          </cell>
          <cell r="BI188">
            <v>362.36748244035454</v>
          </cell>
          <cell r="BJ188">
            <v>367.35829895579786</v>
          </cell>
          <cell r="BK188">
            <v>367.35829895579786</v>
          </cell>
          <cell r="BL188">
            <v>374.05440681039664</v>
          </cell>
          <cell r="BM188">
            <v>380.5456672123849</v>
          </cell>
          <cell r="BN188">
            <v>386.84704171124059</v>
          </cell>
          <cell r="BO188">
            <v>392.21135935102041</v>
          </cell>
          <cell r="BP188">
            <v>392.21135935102041</v>
          </cell>
          <cell r="BQ188">
            <v>399.39031034164742</v>
          </cell>
          <cell r="BR188">
            <v>406.34791950665198</v>
          </cell>
          <cell r="BS188">
            <v>413.09976469370957</v>
          </cell>
          <cell r="BT188">
            <v>418.86210485466421</v>
          </cell>
          <cell r="BU188">
            <v>418.86210485466421</v>
          </cell>
          <cell r="BV188">
            <v>426.55674872766906</v>
          </cell>
          <cell r="BW188">
            <v>434.01254672313064</v>
          </cell>
          <cell r="BX188">
            <v>441.24576511323613</v>
          </cell>
          <cell r="BY188">
            <v>447.43247488258805</v>
          </cell>
          <cell r="BZ188">
            <v>447.43247488258805</v>
          </cell>
          <cell r="CB188">
            <v>6.1810322058836187E-2</v>
          </cell>
        </row>
        <row r="189">
          <cell r="B189" t="str">
            <v>Y/Y growth</v>
          </cell>
          <cell r="AR189">
            <v>6.9225258560131397E-2</v>
          </cell>
          <cell r="AS189">
            <v>5.3785362267541714E-2</v>
          </cell>
          <cell r="AT189">
            <v>3.3474555151273622E-2</v>
          </cell>
          <cell r="AU189">
            <v>2.7758919316326569E-2</v>
          </cell>
          <cell r="AW189">
            <v>5.9324790216614964E-3</v>
          </cell>
          <cell r="AX189">
            <v>2.0289452520678486E-2</v>
          </cell>
          <cell r="AY189">
            <v>2.7708918104681679E-2</v>
          </cell>
          <cell r="AZ189">
            <v>4.0887052545764524E-2</v>
          </cell>
        </row>
        <row r="190">
          <cell r="B190" t="str">
            <v>Subscription revenue - 1st quarter, 12.5%</v>
          </cell>
          <cell r="I190">
            <v>0.73253124999999997</v>
          </cell>
          <cell r="J190">
            <v>0.75349999999999995</v>
          </cell>
          <cell r="K190">
            <v>0.87253124999999998</v>
          </cell>
          <cell r="L190">
            <v>0.91384374999999995</v>
          </cell>
          <cell r="U190">
            <v>5.9910937500000001</v>
          </cell>
          <cell r="V190">
            <v>6.1874062500000004</v>
          </cell>
          <cell r="W190">
            <v>12.1785</v>
          </cell>
          <cell r="X190">
            <v>6.1413437499999999</v>
          </cell>
          <cell r="Y190">
            <v>6.25503125</v>
          </cell>
          <cell r="Z190">
            <v>7.1593437499999997</v>
          </cell>
          <cell r="AA190">
            <v>7.2969999999999997</v>
          </cell>
          <cell r="AB190">
            <v>26.852718749999998</v>
          </cell>
          <cell r="AC190">
            <v>7.6204062500000003</v>
          </cell>
          <cell r="AD190">
            <v>7.7827500000000001</v>
          </cell>
          <cell r="AE190">
            <v>7.8688750000000001</v>
          </cell>
          <cell r="AF190">
            <v>7.8427187500000004</v>
          </cell>
          <cell r="AG190">
            <v>31.114750000000001</v>
          </cell>
          <cell r="AH190">
            <v>8.0616562500000004</v>
          </cell>
          <cell r="AI190">
            <v>8.0935937500000001</v>
          </cell>
          <cell r="AJ190">
            <v>8.1805000000000003</v>
          </cell>
          <cell r="AK190">
            <v>8.1908750000000001</v>
          </cell>
          <cell r="AL190">
            <v>32.526625000000003</v>
          </cell>
          <cell r="AM190">
            <v>8.0616562500000004</v>
          </cell>
          <cell r="AN190">
            <v>8.0935937500000001</v>
          </cell>
          <cell r="AO190">
            <v>8.1805000000000003</v>
          </cell>
          <cell r="AP190">
            <v>8.1908750000000001</v>
          </cell>
          <cell r="AQ190">
            <v>32.526625000000003</v>
          </cell>
          <cell r="AR190">
            <v>8.578875</v>
          </cell>
          <cell r="AS190">
            <v>8.7819374999999997</v>
          </cell>
          <cell r="AT190">
            <v>9.0141249999999999</v>
          </cell>
          <cell r="AU190">
            <v>9.0829687499999991</v>
          </cell>
          <cell r="AV190">
            <v>35.457906250000001</v>
          </cell>
          <cell r="AW190">
            <v>8.9860624999999992</v>
          </cell>
          <cell r="AX190">
            <v>9.6755937500000009</v>
          </cell>
          <cell r="AY190">
            <v>9.7193437500000002</v>
          </cell>
          <cell r="AZ190">
            <v>9.69809375</v>
          </cell>
          <cell r="BA190">
            <v>38.079093749999998</v>
          </cell>
          <cell r="BB190">
            <v>9.6651249999999997</v>
          </cell>
          <cell r="BC190">
            <v>9.8719062500000003</v>
          </cell>
          <cell r="BD190">
            <v>9.98865625</v>
          </cell>
          <cell r="BE190">
            <v>10.09462021875</v>
          </cell>
          <cell r="BF190">
            <v>39.620307718749999</v>
          </cell>
          <cell r="BG190">
            <v>10.273070812667969</v>
          </cell>
          <cell r="BH190">
            <v>10.446382957132814</v>
          </cell>
          <cell r="BI190">
            <v>10.615041462253908</v>
          </cell>
          <cell r="BJ190">
            <v>10.755913259039064</v>
          </cell>
          <cell r="BK190">
            <v>42.090408491093754</v>
          </cell>
          <cell r="BL190">
            <v>10.951035179422298</v>
          </cell>
          <cell r="BM190">
            <v>11.140241882953131</v>
          </cell>
          <cell r="BN190">
            <v>11.323983826261079</v>
          </cell>
          <cell r="BO190">
            <v>11.479946842368683</v>
          </cell>
          <cell r="BP190">
            <v>44.895207731005193</v>
          </cell>
          <cell r="BQ190">
            <v>11.689200212824895</v>
          </cell>
          <cell r="BR190">
            <v>11.892052100387028</v>
          </cell>
          <cell r="BS190">
            <v>12.088970053476269</v>
          </cell>
          <cell r="BT190">
            <v>12.256604979719388</v>
          </cell>
          <cell r="BU190">
            <v>47.926827346407578</v>
          </cell>
          <cell r="BV190">
            <v>12.480947198176482</v>
          </cell>
          <cell r="BW190">
            <v>12.698372484582874</v>
          </cell>
          <cell r="BX190">
            <v>12.909367646678424</v>
          </cell>
          <cell r="BY190">
            <v>13.089440776708257</v>
          </cell>
          <cell r="BZ190">
            <v>51.17812810614604</v>
          </cell>
        </row>
        <row r="191">
          <cell r="B191" t="str">
            <v>Subscription revenue - 2nd quarter, 25%</v>
          </cell>
          <cell r="I191">
            <v>1.5069999999999999</v>
          </cell>
          <cell r="J191">
            <v>1.7450625</v>
          </cell>
          <cell r="K191">
            <v>1.8276874999999999</v>
          </cell>
          <cell r="L191">
            <v>1.8965000000000001</v>
          </cell>
          <cell r="U191">
            <v>12.374812500000001</v>
          </cell>
          <cell r="V191">
            <v>12.2826875</v>
          </cell>
          <cell r="W191">
            <v>24.657499999999999</v>
          </cell>
          <cell r="X191">
            <v>12.5100625</v>
          </cell>
          <cell r="Y191">
            <v>14.318687499999999</v>
          </cell>
          <cell r="Z191">
            <v>14.593999999999999</v>
          </cell>
          <cell r="AA191">
            <v>14.593999999999999</v>
          </cell>
          <cell r="AB191">
            <v>56.016750000000002</v>
          </cell>
          <cell r="AC191">
            <v>15.5655</v>
          </cell>
          <cell r="AD191">
            <v>15.73775</v>
          </cell>
          <cell r="AE191">
            <v>15.685437500000001</v>
          </cell>
          <cell r="AF191">
            <v>16.123312500000001</v>
          </cell>
          <cell r="AG191">
            <v>63.111999999999995</v>
          </cell>
          <cell r="AH191">
            <v>16.1871875</v>
          </cell>
          <cell r="AI191">
            <v>16.361000000000001</v>
          </cell>
          <cell r="AJ191">
            <v>16.38175</v>
          </cell>
          <cell r="AK191">
            <v>17.15775</v>
          </cell>
          <cell r="AL191">
            <v>66.087687499999987</v>
          </cell>
          <cell r="AM191">
            <v>16.1871875</v>
          </cell>
          <cell r="AN191">
            <v>16.361000000000001</v>
          </cell>
          <cell r="AO191">
            <v>16.38175</v>
          </cell>
          <cell r="AP191">
            <v>17.972124999999998</v>
          </cell>
          <cell r="AQ191">
            <v>66.9020625</v>
          </cell>
          <cell r="AR191">
            <v>17.563874999999999</v>
          </cell>
          <cell r="AS191">
            <v>18.02825</v>
          </cell>
          <cell r="AT191">
            <v>18.165937499999998</v>
          </cell>
          <cell r="AU191">
            <v>18.165937499999998</v>
          </cell>
          <cell r="AV191">
            <v>71.923999999999992</v>
          </cell>
          <cell r="AW191">
            <v>18.363499999999998</v>
          </cell>
          <cell r="AX191">
            <v>19.4386875</v>
          </cell>
          <cell r="AY191">
            <v>19.3961875</v>
          </cell>
          <cell r="AZ191">
            <v>19.330249999999999</v>
          </cell>
          <cell r="BA191">
            <v>76.528625000000005</v>
          </cell>
          <cell r="BB191">
            <v>19.743812500000001</v>
          </cell>
          <cell r="BC191">
            <v>19.9773125</v>
          </cell>
          <cell r="BD191">
            <v>20.189240437500001</v>
          </cell>
          <cell r="BE191">
            <v>20.546141625335938</v>
          </cell>
          <cell r="BF191">
            <v>80.456507062835939</v>
          </cell>
          <cell r="BG191">
            <v>20.892765914265627</v>
          </cell>
          <cell r="BH191">
            <v>21.230082924507816</v>
          </cell>
          <cell r="BI191">
            <v>21.511826518078127</v>
          </cell>
          <cell r="BJ191">
            <v>21.902070358844597</v>
          </cell>
          <cell r="BK191">
            <v>85.536745715696171</v>
          </cell>
          <cell r="BL191">
            <v>22.280483765906261</v>
          </cell>
          <cell r="BM191">
            <v>22.647967652522158</v>
          </cell>
          <cell r="BN191">
            <v>22.959893684737366</v>
          </cell>
          <cell r="BO191">
            <v>23.37840042564979</v>
          </cell>
          <cell r="BP191">
            <v>91.266745528815576</v>
          </cell>
          <cell r="BQ191">
            <v>23.784104200774056</v>
          </cell>
          <cell r="BR191">
            <v>24.177940106952537</v>
          </cell>
          <cell r="BS191">
            <v>24.513209959438775</v>
          </cell>
          <cell r="BT191">
            <v>24.961894396352964</v>
          </cell>
          <cell r="BU191">
            <v>97.437148663518329</v>
          </cell>
          <cell r="BV191">
            <v>25.396744969165749</v>
          </cell>
          <cell r="BW191">
            <v>25.818735293356848</v>
          </cell>
          <cell r="BX191">
            <v>26.178881553416513</v>
          </cell>
          <cell r="BY191">
            <v>26.659796795479316</v>
          </cell>
          <cell r="BZ191">
            <v>104.05415861141842</v>
          </cell>
        </row>
        <row r="192">
          <cell r="B192" t="str">
            <v>Subscription revenue - 3rd quarter, 25%</v>
          </cell>
          <cell r="I192">
            <v>1.7450625</v>
          </cell>
          <cell r="J192">
            <v>1.8276874999999999</v>
          </cell>
          <cell r="K192">
            <v>1.8965000000000001</v>
          </cell>
          <cell r="L192">
            <v>2.0784375000000002</v>
          </cell>
          <cell r="U192">
            <v>12.2826875</v>
          </cell>
          <cell r="V192">
            <v>12.5100625</v>
          </cell>
          <cell r="W192">
            <v>24.792749999999998</v>
          </cell>
          <cell r="X192">
            <v>14.318687499999999</v>
          </cell>
          <cell r="Y192">
            <v>14.593999999999999</v>
          </cell>
          <cell r="Z192">
            <v>15.240812500000001</v>
          </cell>
          <cell r="AA192">
            <v>15.5655</v>
          </cell>
          <cell r="AB192">
            <v>59.718999999999994</v>
          </cell>
          <cell r="AC192">
            <v>15.73775</v>
          </cell>
          <cell r="AD192">
            <v>15.685437500000001</v>
          </cell>
          <cell r="AE192">
            <v>16.123312500000001</v>
          </cell>
          <cell r="AF192">
            <v>16.1871875</v>
          </cell>
          <cell r="AG192">
            <v>63.733687500000002</v>
          </cell>
          <cell r="AH192">
            <v>16.361000000000001</v>
          </cell>
          <cell r="AI192">
            <v>16.38175</v>
          </cell>
          <cell r="AJ192">
            <v>17.15775</v>
          </cell>
          <cell r="AK192">
            <v>17.563874999999999</v>
          </cell>
          <cell r="AL192">
            <v>67.464375000000004</v>
          </cell>
          <cell r="AM192">
            <v>16.361000000000001</v>
          </cell>
          <cell r="AN192">
            <v>16.38175</v>
          </cell>
          <cell r="AO192">
            <v>17.972124999999998</v>
          </cell>
          <cell r="AP192">
            <v>18.363499999999998</v>
          </cell>
          <cell r="AQ192">
            <v>69.078374999999994</v>
          </cell>
          <cell r="AR192">
            <v>18.02825</v>
          </cell>
          <cell r="AS192">
            <v>18.165937499999998</v>
          </cell>
          <cell r="AT192">
            <v>19.216249999999999</v>
          </cell>
          <cell r="AU192">
            <v>19.351187500000002</v>
          </cell>
          <cell r="AV192">
            <v>74.761625000000009</v>
          </cell>
          <cell r="AW192">
            <v>18.8090625</v>
          </cell>
          <cell r="AX192">
            <v>19.3961875</v>
          </cell>
          <cell r="AY192">
            <v>19.330249999999999</v>
          </cell>
          <cell r="AZ192">
            <v>19.743812500000001</v>
          </cell>
          <cell r="BA192">
            <v>77.279312500000003</v>
          </cell>
          <cell r="BB192">
            <v>19.9773125</v>
          </cell>
          <cell r="BC192">
            <v>20.189240437500001</v>
          </cell>
          <cell r="BD192">
            <v>20.546141625335938</v>
          </cell>
          <cell r="BE192">
            <v>20.892765914265627</v>
          </cell>
          <cell r="BF192">
            <v>81.605460477101559</v>
          </cell>
          <cell r="BG192">
            <v>21.230082924507816</v>
          </cell>
          <cell r="BH192">
            <v>21.511826518078127</v>
          </cell>
          <cell r="BI192">
            <v>21.902070358844597</v>
          </cell>
          <cell r="BJ192">
            <v>22.280483765906261</v>
          </cell>
          <cell r="BK192">
            <v>86.924463567336801</v>
          </cell>
          <cell r="BL192">
            <v>22.647967652522158</v>
          </cell>
          <cell r="BM192">
            <v>22.959893684737366</v>
          </cell>
          <cell r="BN192">
            <v>23.37840042564979</v>
          </cell>
          <cell r="BO192">
            <v>23.784104200774056</v>
          </cell>
          <cell r="BP192">
            <v>92.770365963683361</v>
          </cell>
          <cell r="BQ192">
            <v>24.177940106952537</v>
          </cell>
          <cell r="BR192">
            <v>24.513209959438775</v>
          </cell>
          <cell r="BS192">
            <v>24.961894396352964</v>
          </cell>
          <cell r="BT192">
            <v>25.396744969165749</v>
          </cell>
          <cell r="BU192">
            <v>99.049789431910028</v>
          </cell>
          <cell r="BV192">
            <v>25.818735293356848</v>
          </cell>
          <cell r="BW192">
            <v>26.178881553416513</v>
          </cell>
          <cell r="BX192">
            <v>26.659796795479316</v>
          </cell>
          <cell r="BY192">
            <v>27.125784170195665</v>
          </cell>
          <cell r="BZ192">
            <v>105.78319781244835</v>
          </cell>
        </row>
        <row r="193">
          <cell r="B193" t="str">
            <v>Subscription revenue - 4th quarter, 25%</v>
          </cell>
          <cell r="I193">
            <v>1.8276874999999999</v>
          </cell>
          <cell r="J193">
            <v>1.8965000000000001</v>
          </cell>
          <cell r="K193">
            <v>2.0784375000000002</v>
          </cell>
          <cell r="L193">
            <v>2.12975</v>
          </cell>
          <cell r="U193">
            <v>12.5100625</v>
          </cell>
          <cell r="V193">
            <v>14.318687499999999</v>
          </cell>
          <cell r="W193">
            <v>26.828749999999999</v>
          </cell>
          <cell r="X193">
            <v>14.593999999999999</v>
          </cell>
          <cell r="Y193">
            <v>15.240812500000001</v>
          </cell>
          <cell r="Z193">
            <v>15.5655</v>
          </cell>
          <cell r="AA193">
            <v>15.73775</v>
          </cell>
          <cell r="AB193">
            <v>61.138062499999997</v>
          </cell>
          <cell r="AC193">
            <v>15.685437500000001</v>
          </cell>
          <cell r="AD193">
            <v>16.123312500000001</v>
          </cell>
          <cell r="AE193">
            <v>16.1871875</v>
          </cell>
          <cell r="AF193">
            <v>16.361000000000001</v>
          </cell>
          <cell r="AG193">
            <v>64.356937500000001</v>
          </cell>
          <cell r="AH193">
            <v>16.38175</v>
          </cell>
          <cell r="AI193">
            <v>17.15775</v>
          </cell>
          <cell r="AJ193">
            <v>17.563874999999999</v>
          </cell>
          <cell r="AK193">
            <v>18.02825</v>
          </cell>
          <cell r="AL193">
            <v>69.131625</v>
          </cell>
          <cell r="AM193">
            <v>16.38175</v>
          </cell>
          <cell r="AN193">
            <v>17.972124999999998</v>
          </cell>
          <cell r="AO193">
            <v>18.363499999999998</v>
          </cell>
          <cell r="AP193">
            <v>18.8090625</v>
          </cell>
          <cell r="AQ193">
            <v>71.5264375</v>
          </cell>
          <cell r="AR193">
            <v>18.165937499999998</v>
          </cell>
          <cell r="AS193">
            <v>19.216249999999999</v>
          </cell>
          <cell r="AT193">
            <v>19.351187500000002</v>
          </cell>
          <cell r="AU193">
            <v>19.4386875</v>
          </cell>
          <cell r="AV193">
            <v>76.17206250000001</v>
          </cell>
          <cell r="AW193">
            <v>18.8723125</v>
          </cell>
          <cell r="AX193">
            <v>19.330249999999999</v>
          </cell>
          <cell r="AY193">
            <v>19.743812500000001</v>
          </cell>
          <cell r="AZ193">
            <v>19.9773125</v>
          </cell>
          <cell r="BA193">
            <v>77.9236875</v>
          </cell>
          <cell r="BB193">
            <v>20.189240437500001</v>
          </cell>
          <cell r="BC193">
            <v>20.546141625335938</v>
          </cell>
          <cell r="BD193">
            <v>20.892765914265627</v>
          </cell>
          <cell r="BE193">
            <v>21.230082924507816</v>
          </cell>
          <cell r="BF193">
            <v>82.858230901609375</v>
          </cell>
          <cell r="BG193">
            <v>21.511826518078127</v>
          </cell>
          <cell r="BH193">
            <v>21.902070358844597</v>
          </cell>
          <cell r="BI193">
            <v>22.280483765906261</v>
          </cell>
          <cell r="BJ193">
            <v>22.647967652522158</v>
          </cell>
          <cell r="BK193">
            <v>88.34234829535113</v>
          </cell>
          <cell r="BL193">
            <v>22.959893684737366</v>
          </cell>
          <cell r="BM193">
            <v>23.37840042564979</v>
          </cell>
          <cell r="BN193">
            <v>23.784104200774056</v>
          </cell>
          <cell r="BO193">
            <v>24.177940106952537</v>
          </cell>
          <cell r="BP193">
            <v>94.300338418113739</v>
          </cell>
          <cell r="BQ193">
            <v>24.513209959438775</v>
          </cell>
          <cell r="BR193">
            <v>24.961894396352964</v>
          </cell>
          <cell r="BS193">
            <v>25.396744969165749</v>
          </cell>
          <cell r="BT193">
            <v>25.818735293356848</v>
          </cell>
          <cell r="BU193">
            <v>100.69058461831435</v>
          </cell>
          <cell r="BV193">
            <v>26.178881553416513</v>
          </cell>
          <cell r="BW193">
            <v>26.659796795479316</v>
          </cell>
          <cell r="BX193">
            <v>27.125784170195665</v>
          </cell>
          <cell r="BY193">
            <v>27.577860319577258</v>
          </cell>
          <cell r="BZ193">
            <v>107.54232283866874</v>
          </cell>
        </row>
        <row r="194">
          <cell r="B194" t="str">
            <v>Subscription revenue - 5th quarter, 12.5%</v>
          </cell>
          <cell r="I194">
            <v>0.94825000000000004</v>
          </cell>
          <cell r="J194">
            <v>1.0392187500000001</v>
          </cell>
          <cell r="K194">
            <v>1.064875</v>
          </cell>
          <cell r="L194">
            <v>1.0970312499999999</v>
          </cell>
          <cell r="U194">
            <v>7.1593437499999997</v>
          </cell>
          <cell r="V194">
            <v>7.2969999999999997</v>
          </cell>
          <cell r="W194">
            <v>14.456343749999998</v>
          </cell>
          <cell r="X194">
            <v>7.6204062500000003</v>
          </cell>
          <cell r="Y194">
            <v>7.7827500000000001</v>
          </cell>
          <cell r="Z194">
            <v>7.8688750000000001</v>
          </cell>
          <cell r="AA194">
            <v>7.8427187500000004</v>
          </cell>
          <cell r="AB194">
            <v>31.114750000000001</v>
          </cell>
          <cell r="AC194">
            <v>8.0616562500000004</v>
          </cell>
          <cell r="AD194">
            <v>8.0935937500000001</v>
          </cell>
          <cell r="AE194">
            <v>8.1805000000000003</v>
          </cell>
          <cell r="AF194">
            <v>8.1908750000000001</v>
          </cell>
          <cell r="AG194">
            <v>32.526625000000003</v>
          </cell>
          <cell r="AH194">
            <v>8.578875</v>
          </cell>
          <cell r="AI194">
            <v>8.7819374999999997</v>
          </cell>
          <cell r="AJ194">
            <v>9.0141249999999999</v>
          </cell>
          <cell r="AK194">
            <v>9.0829687499999991</v>
          </cell>
          <cell r="AL194">
            <v>35.457906250000001</v>
          </cell>
          <cell r="AM194">
            <v>8.9860624999999992</v>
          </cell>
          <cell r="AN194">
            <v>9.1817499999999992</v>
          </cell>
          <cell r="AO194">
            <v>9.4045312499999998</v>
          </cell>
          <cell r="AP194">
            <v>9.4361562499999998</v>
          </cell>
          <cell r="AQ194">
            <v>37.008499999999998</v>
          </cell>
          <cell r="AR194">
            <v>9.6081249999999994</v>
          </cell>
          <cell r="AS194">
            <v>9.6755937500000009</v>
          </cell>
          <cell r="AT194">
            <v>9.7193437500000002</v>
          </cell>
          <cell r="AU194">
            <v>9.69809375</v>
          </cell>
          <cell r="AV194">
            <v>38.701156249999997</v>
          </cell>
          <cell r="AW194">
            <v>9.6651249999999997</v>
          </cell>
          <cell r="AX194">
            <v>9.8719062500000003</v>
          </cell>
          <cell r="AY194">
            <v>9.98865625</v>
          </cell>
          <cell r="AZ194">
            <v>10.09462021875</v>
          </cell>
          <cell r="BA194">
            <v>39.620307718749999</v>
          </cell>
          <cell r="BB194">
            <v>10.273070812667969</v>
          </cell>
          <cell r="BC194">
            <v>10.446382957132814</v>
          </cell>
          <cell r="BD194">
            <v>10.615041462253908</v>
          </cell>
          <cell r="BE194">
            <v>10.755913259039064</v>
          </cell>
          <cell r="BF194">
            <v>42.090408491093754</v>
          </cell>
          <cell r="BG194">
            <v>10.951035179422298</v>
          </cell>
          <cell r="BH194">
            <v>11.140241882953131</v>
          </cell>
          <cell r="BI194">
            <v>11.323983826261079</v>
          </cell>
          <cell r="BJ194">
            <v>11.479946842368683</v>
          </cell>
          <cell r="BK194">
            <v>44.895207731005193</v>
          </cell>
          <cell r="BL194">
            <v>11.689200212824895</v>
          </cell>
          <cell r="BM194">
            <v>11.892052100387028</v>
          </cell>
          <cell r="BN194">
            <v>12.088970053476269</v>
          </cell>
          <cell r="BO194">
            <v>12.256604979719388</v>
          </cell>
          <cell r="BP194">
            <v>47.926827346407578</v>
          </cell>
          <cell r="BQ194">
            <v>12.480947198176482</v>
          </cell>
          <cell r="BR194">
            <v>12.698372484582874</v>
          </cell>
          <cell r="BS194">
            <v>12.909367646678424</v>
          </cell>
          <cell r="BT194">
            <v>13.089440776708257</v>
          </cell>
          <cell r="BU194">
            <v>51.17812810614604</v>
          </cell>
          <cell r="BV194">
            <v>13.329898397739658</v>
          </cell>
          <cell r="BW194">
            <v>13.562892085097833</v>
          </cell>
          <cell r="BX194">
            <v>13.788930159788629</v>
          </cell>
          <cell r="BY194">
            <v>13.982264840080877</v>
          </cell>
          <cell r="BZ194">
            <v>54.663985482706991</v>
          </cell>
        </row>
        <row r="196">
          <cell r="B196" t="str">
            <v>Quarterly new sales</v>
          </cell>
          <cell r="D196">
            <v>7.3247557237731762</v>
          </cell>
          <cell r="E196">
            <v>1.536935203026192</v>
          </cell>
          <cell r="F196">
            <v>3.9977820821763275</v>
          </cell>
          <cell r="G196">
            <v>1.6462127063462988</v>
          </cell>
          <cell r="H196">
            <v>14.505685715321995</v>
          </cell>
          <cell r="I196">
            <v>1.2033505000000027</v>
          </cell>
          <cell r="J196">
            <v>4.5997832500000015</v>
          </cell>
          <cell r="K196">
            <v>1.4716567499999977</v>
          </cell>
          <cell r="L196">
            <v>2.1183017499999965</v>
          </cell>
          <cell r="Q196">
            <v>11</v>
          </cell>
          <cell r="U196">
            <v>35.02640774999999</v>
          </cell>
          <cell r="V196">
            <v>9.9798280000000013</v>
          </cell>
          <cell r="W196">
            <v>45.006235749999988</v>
          </cell>
          <cell r="X196">
            <v>13.734808000000021</v>
          </cell>
          <cell r="Y196">
            <v>9.7483279999999901</v>
          </cell>
          <cell r="Z196">
            <v>7.367703999999998</v>
          </cell>
          <cell r="AA196">
            <v>10.371192000000008</v>
          </cell>
          <cell r="AB196">
            <v>41.222032000000013</v>
          </cell>
          <cell r="AC196">
            <v>10.833246750000004</v>
          </cell>
          <cell r="AD196">
            <v>7.2961749999999901</v>
          </cell>
          <cell r="AE196">
            <v>10.197723750000005</v>
          </cell>
          <cell r="AF196">
            <v>10.432804999999995</v>
          </cell>
          <cell r="AG196">
            <v>38.759950499999995</v>
          </cell>
          <cell r="AH196">
            <v>16.675254999999993</v>
          </cell>
          <cell r="AI196">
            <v>11.645324999999987</v>
          </cell>
          <cell r="AJ196">
            <v>12.839673500000004</v>
          </cell>
          <cell r="AK196">
            <v>11.433463999999974</v>
          </cell>
          <cell r="AL196">
            <v>52.593717499999954</v>
          </cell>
          <cell r="AM196">
            <v>10.7</v>
          </cell>
          <cell r="AN196">
            <v>11.6</v>
          </cell>
          <cell r="AO196">
            <v>10.5</v>
          </cell>
          <cell r="AP196">
            <v>10.5</v>
          </cell>
          <cell r="AQ196">
            <v>43.2</v>
          </cell>
          <cell r="AR196">
            <v>12.3</v>
          </cell>
          <cell r="AS196">
            <v>8.6</v>
          </cell>
          <cell r="AT196">
            <v>10.5</v>
          </cell>
          <cell r="AU196">
            <v>10.7</v>
          </cell>
          <cell r="AV196">
            <v>42.2</v>
          </cell>
          <cell r="AW196">
            <v>10</v>
          </cell>
          <cell r="AX196">
            <v>9.1999999999999993</v>
          </cell>
          <cell r="AY196">
            <v>8.1</v>
          </cell>
          <cell r="AZ196">
            <v>11.77</v>
          </cell>
          <cell r="BA196">
            <v>39.069999999999993</v>
          </cell>
          <cell r="BB196">
            <v>11</v>
          </cell>
          <cell r="BC196">
            <v>10.028</v>
          </cell>
          <cell r="BD196">
            <v>8.91</v>
          </cell>
          <cell r="BE196">
            <v>12.947000000000001</v>
          </cell>
          <cell r="BF196">
            <v>42.884999999999998</v>
          </cell>
          <cell r="BG196">
            <v>11.88</v>
          </cell>
          <cell r="BH196">
            <v>10.830240000000002</v>
          </cell>
          <cell r="BI196">
            <v>9.6228000000000016</v>
          </cell>
          <cell r="BJ196">
            <v>13.982760000000003</v>
          </cell>
          <cell r="BK196">
            <v>46.31580000000001</v>
          </cell>
          <cell r="BL196">
            <v>12.711600000000002</v>
          </cell>
          <cell r="BM196">
            <v>11.588356800000003</v>
          </cell>
          <cell r="BN196">
            <v>10.296396000000001</v>
          </cell>
          <cell r="BO196">
            <v>14.961553200000004</v>
          </cell>
          <cell r="BP196">
            <v>49.55790600000001</v>
          </cell>
          <cell r="BQ196">
            <v>13.601412000000003</v>
          </cell>
          <cell r="BR196">
            <v>12.399541776000005</v>
          </cell>
          <cell r="BS196">
            <v>11.017143720000002</v>
          </cell>
          <cell r="BT196">
            <v>16.008861924000005</v>
          </cell>
          <cell r="BU196">
            <v>53.026959420000011</v>
          </cell>
          <cell r="BV196">
            <v>14.553510840000005</v>
          </cell>
          <cell r="BW196">
            <v>13.267509700320005</v>
          </cell>
          <cell r="BX196">
            <v>11.788343780400002</v>
          </cell>
          <cell r="BY196">
            <v>17.129482258680007</v>
          </cell>
          <cell r="BZ196">
            <v>56.738846579400018</v>
          </cell>
        </row>
        <row r="197">
          <cell r="B197" t="str">
            <v>y/y change</v>
          </cell>
          <cell r="I197">
            <v>-0.83571458962181955</v>
          </cell>
          <cell r="J197">
            <v>1.992828351477101</v>
          </cell>
          <cell r="K197">
            <v>-0.63188169846445164</v>
          </cell>
          <cell r="L197">
            <v>0.28677280999821697</v>
          </cell>
          <cell r="AB197">
            <v>-8.4081765269604314E-2</v>
          </cell>
          <cell r="AC197">
            <v>-0.2112560474088907</v>
          </cell>
          <cell r="AD197">
            <v>-0.2515460087104171</v>
          </cell>
          <cell r="AE197">
            <v>0.38411148846370691</v>
          </cell>
          <cell r="AF197">
            <v>5.9407828916855365E-3</v>
          </cell>
          <cell r="AG197">
            <v>-5.9727320089412839E-2</v>
          </cell>
          <cell r="AH197">
            <v>0.53926660998467391</v>
          </cell>
          <cell r="AI197">
            <v>0.5960863054956882</v>
          </cell>
          <cell r="AJ197">
            <v>0.25907249644804287</v>
          </cell>
          <cell r="AK197">
            <v>9.5914665327299753E-2</v>
          </cell>
          <cell r="AL197">
            <v>0.35690878913790058</v>
          </cell>
          <cell r="AR197">
            <v>0.14953271028037407</v>
          </cell>
          <cell r="AS197">
            <v>-0.25862068965517238</v>
          </cell>
          <cell r="AT197">
            <v>0</v>
          </cell>
          <cell r="AU197">
            <v>1.904761904761898E-2</v>
          </cell>
          <cell r="AV197">
            <v>-2.314814814814814E-2</v>
          </cell>
          <cell r="AW197">
            <v>-0.18699186991869921</v>
          </cell>
          <cell r="AX197">
            <v>6.9767441860465018E-2</v>
          </cell>
          <cell r="AY197">
            <v>-0.22857142857142865</v>
          </cell>
          <cell r="AZ197">
            <v>0.10000000000000009</v>
          </cell>
          <cell r="BA197">
            <v>-7.4170616113744314E-2</v>
          </cell>
          <cell r="BB197">
            <v>0.10000000000000009</v>
          </cell>
          <cell r="BC197">
            <v>9.000000000000008E-2</v>
          </cell>
          <cell r="BD197">
            <v>0.10000000000000009</v>
          </cell>
          <cell r="BE197">
            <v>0.10000000000000009</v>
          </cell>
          <cell r="BF197">
            <v>9.7645252111594694E-2</v>
          </cell>
          <cell r="BG197">
            <v>8.0000000000000071E-2</v>
          </cell>
          <cell r="BH197">
            <v>8.0000000000000071E-2</v>
          </cell>
          <cell r="BI197">
            <v>8.0000000000000071E-2</v>
          </cell>
          <cell r="BJ197">
            <v>8.0000000000000071E-2</v>
          </cell>
          <cell r="BK197">
            <v>8.0000000000000293E-2</v>
          </cell>
          <cell r="BL197">
            <v>7.0000000000000062E-2</v>
          </cell>
          <cell r="BM197">
            <v>7.0000000000000062E-2</v>
          </cell>
          <cell r="BN197">
            <v>7.0000000000000062E-2</v>
          </cell>
          <cell r="BO197">
            <v>7.0000000000000062E-2</v>
          </cell>
          <cell r="BP197">
            <v>7.0000000000000062E-2</v>
          </cell>
          <cell r="BQ197">
            <v>7.0000000000000062E-2</v>
          </cell>
          <cell r="BR197">
            <v>7.0000000000000062E-2</v>
          </cell>
          <cell r="BS197">
            <v>7.0000000000000062E-2</v>
          </cell>
          <cell r="BT197">
            <v>7.0000000000000062E-2</v>
          </cell>
          <cell r="BU197">
            <v>7.0000000000000062E-2</v>
          </cell>
          <cell r="BV197">
            <v>7.0000000000000062E-2</v>
          </cell>
          <cell r="BW197">
            <v>7.0000000000000062E-2</v>
          </cell>
          <cell r="BX197">
            <v>7.0000000000000062E-2</v>
          </cell>
          <cell r="BY197">
            <v>7.0000000000000062E-2</v>
          </cell>
          <cell r="BZ197">
            <v>7.0000000000000062E-2</v>
          </cell>
        </row>
        <row r="198">
          <cell r="B198" t="str">
            <v>BULL</v>
          </cell>
          <cell r="AZ198">
            <v>12.358499999999999</v>
          </cell>
          <cell r="BB198">
            <v>11.55</v>
          </cell>
          <cell r="BC198">
            <v>10.529400000000001</v>
          </cell>
          <cell r="BD198">
            <v>9.355500000000001</v>
          </cell>
          <cell r="BE198">
            <v>13.594350000000002</v>
          </cell>
          <cell r="BG198">
            <v>12.474000000000002</v>
          </cell>
          <cell r="BH198">
            <v>11.371752000000003</v>
          </cell>
          <cell r="BI198">
            <v>10.103940000000001</v>
          </cell>
          <cell r="BJ198">
            <v>14.681898000000004</v>
          </cell>
          <cell r="BL198">
            <v>13.347180000000003</v>
          </cell>
          <cell r="BM198">
            <v>12.167774640000005</v>
          </cell>
          <cell r="BN198">
            <v>10.811215800000001</v>
          </cell>
          <cell r="BO198">
            <v>15.709630860000006</v>
          </cell>
          <cell r="BQ198">
            <v>14.281482600000004</v>
          </cell>
          <cell r="BR198">
            <v>13.019518864800006</v>
          </cell>
          <cell r="BS198">
            <v>11.568000906000002</v>
          </cell>
          <cell r="BT198">
            <v>16.809305020200007</v>
          </cell>
          <cell r="BV198">
            <v>15.281186382000005</v>
          </cell>
          <cell r="BW198">
            <v>13.930885185336006</v>
          </cell>
          <cell r="BX198">
            <v>12.377760969420002</v>
          </cell>
          <cell r="BY198">
            <v>17.985956371614009</v>
          </cell>
        </row>
        <row r="199">
          <cell r="B199" t="str">
            <v>BASE</v>
          </cell>
          <cell r="X199">
            <v>13.734808000000021</v>
          </cell>
          <cell r="Y199">
            <v>9.7483279999999901</v>
          </cell>
          <cell r="Z199">
            <v>7.367703999999998</v>
          </cell>
          <cell r="AA199">
            <v>10.371192000000008</v>
          </cell>
          <cell r="AC199">
            <v>10.833246750000004</v>
          </cell>
          <cell r="AD199">
            <v>7.2961749999999901</v>
          </cell>
          <cell r="AE199">
            <v>10.197723750000005</v>
          </cell>
          <cell r="AF199">
            <v>10.432804999999995</v>
          </cell>
          <cell r="AH199">
            <v>16.675254999999993</v>
          </cell>
          <cell r="AI199">
            <v>11.645324999999987</v>
          </cell>
          <cell r="AJ199">
            <v>12.839673500000004</v>
          </cell>
          <cell r="AK199">
            <v>11.433463999999974</v>
          </cell>
          <cell r="AM199">
            <v>10.7</v>
          </cell>
          <cell r="AN199">
            <v>11.6</v>
          </cell>
          <cell r="AO199">
            <v>10.5</v>
          </cell>
          <cell r="AP199">
            <v>10.5</v>
          </cell>
          <cell r="AR199">
            <v>12.3</v>
          </cell>
          <cell r="AS199">
            <v>8.6</v>
          </cell>
          <cell r="AT199">
            <v>10.5</v>
          </cell>
          <cell r="AU199">
            <v>10.7</v>
          </cell>
          <cell r="AW199">
            <v>10</v>
          </cell>
          <cell r="AX199">
            <v>9.1999999999999993</v>
          </cell>
          <cell r="AY199">
            <v>8.1</v>
          </cell>
          <cell r="AZ199">
            <v>11.77</v>
          </cell>
          <cell r="BB199">
            <v>11</v>
          </cell>
          <cell r="BC199">
            <v>10.028</v>
          </cell>
          <cell r="BD199">
            <v>8.91</v>
          </cell>
          <cell r="BE199">
            <v>12.947000000000001</v>
          </cell>
          <cell r="BG199">
            <v>11.88</v>
          </cell>
          <cell r="BH199">
            <v>10.830240000000002</v>
          </cell>
          <cell r="BI199">
            <v>9.6228000000000016</v>
          </cell>
          <cell r="BJ199">
            <v>13.982760000000003</v>
          </cell>
          <cell r="BL199">
            <v>12.711600000000002</v>
          </cell>
          <cell r="BM199">
            <v>11.588356800000003</v>
          </cell>
          <cell r="BN199">
            <v>10.296396000000001</v>
          </cell>
          <cell r="BO199">
            <v>14.961553200000004</v>
          </cell>
          <cell r="BQ199">
            <v>13.601412000000003</v>
          </cell>
          <cell r="BR199">
            <v>12.399541776000005</v>
          </cell>
          <cell r="BS199">
            <v>11.017143720000002</v>
          </cell>
          <cell r="BT199">
            <v>16.008861924000005</v>
          </cell>
          <cell r="BV199">
            <v>14.553510840000005</v>
          </cell>
          <cell r="BW199">
            <v>13.267509700320005</v>
          </cell>
          <cell r="BX199">
            <v>11.788343780400002</v>
          </cell>
          <cell r="BY199">
            <v>17.129482258680007</v>
          </cell>
        </row>
        <row r="200">
          <cell r="B200" t="str">
            <v>BEAR</v>
          </cell>
          <cell r="AZ200">
            <v>9.4160000000000004</v>
          </cell>
          <cell r="BB200">
            <v>8.8000000000000007</v>
          </cell>
          <cell r="BC200">
            <v>8.0224000000000011</v>
          </cell>
          <cell r="BD200">
            <v>7.1280000000000001</v>
          </cell>
          <cell r="BE200">
            <v>10.357600000000001</v>
          </cell>
          <cell r="BG200">
            <v>9.5040000000000013</v>
          </cell>
          <cell r="BH200">
            <v>8.6641920000000017</v>
          </cell>
          <cell r="BI200">
            <v>7.698240000000002</v>
          </cell>
          <cell r="BJ200">
            <v>11.186208000000002</v>
          </cell>
          <cell r="BL200">
            <v>10.169280000000002</v>
          </cell>
          <cell r="BM200">
            <v>9.2706854400000029</v>
          </cell>
          <cell r="BN200">
            <v>8.2371168000000008</v>
          </cell>
          <cell r="BO200">
            <v>11.969242560000005</v>
          </cell>
          <cell r="BQ200">
            <v>10.881129600000003</v>
          </cell>
          <cell r="BR200">
            <v>9.9196334208000039</v>
          </cell>
          <cell r="BS200">
            <v>8.8137149760000018</v>
          </cell>
          <cell r="BT200">
            <v>12.807089539200005</v>
          </cell>
          <cell r="BV200">
            <v>11.642808672000005</v>
          </cell>
          <cell r="BW200">
            <v>10.614007760256005</v>
          </cell>
          <cell r="BX200">
            <v>9.430675024320001</v>
          </cell>
          <cell r="BY200">
            <v>13.703585806944005</v>
          </cell>
        </row>
        <row r="208">
          <cell r="B208" t="str">
            <v>Quarterly cancellations</v>
          </cell>
          <cell r="D208">
            <v>-0.29958895649721345</v>
          </cell>
          <cell r="E208">
            <v>-0.86593520302619276</v>
          </cell>
          <cell r="F208">
            <v>-0.18878208217632658</v>
          </cell>
          <cell r="G208">
            <v>-0.32421270634629956</v>
          </cell>
          <cell r="H208">
            <v>-1.6785189480460325</v>
          </cell>
          <cell r="I208">
            <v>-0.10235050000000008</v>
          </cell>
          <cell r="J208">
            <v>-1.6887832499999997</v>
          </cell>
          <cell r="K208">
            <v>-0.65065674999999978</v>
          </cell>
          <cell r="L208">
            <v>-1.0893017500000002</v>
          </cell>
          <cell r="U208">
            <v>-6.08840775</v>
          </cell>
          <cell r="V208">
            <v>-7.074828000000001</v>
          </cell>
          <cell r="W208">
            <v>-13.163235750000002</v>
          </cell>
          <cell r="X208">
            <v>-3.385808000000003</v>
          </cell>
          <cell r="Y208">
            <v>-4.5533279999999978</v>
          </cell>
          <cell r="Z208">
            <v>-4.6117039999999978</v>
          </cell>
          <cell r="AA208">
            <v>-11.208191999999997</v>
          </cell>
          <cell r="AB208">
            <v>-23.759031999999998</v>
          </cell>
          <cell r="AC208">
            <v>-3.8272467500000036</v>
          </cell>
          <cell r="AD208">
            <v>-6.2741749999999987</v>
          </cell>
          <cell r="AE208">
            <v>-7.4167237500000001</v>
          </cell>
          <cell r="AF208">
            <v>-10.100805000000001</v>
          </cell>
          <cell r="AG208">
            <v>-27.618950500000004</v>
          </cell>
          <cell r="AH208">
            <v>-4.2592549999999969</v>
          </cell>
          <cell r="AI208">
            <v>-5.1473249999999968</v>
          </cell>
          <cell r="AJ208">
            <v>-5.4096734999999967</v>
          </cell>
          <cell r="AK208">
            <v>-9.2304639999999996</v>
          </cell>
          <cell r="AL208">
            <v>-24.046717499999993</v>
          </cell>
          <cell r="AM208">
            <v>-4.7</v>
          </cell>
          <cell r="AN208">
            <v>-5.5</v>
          </cell>
          <cell r="AO208">
            <v>-5.9</v>
          </cell>
          <cell r="AP208">
            <v>-10.1</v>
          </cell>
          <cell r="AQ208">
            <v>-26.200000000000003</v>
          </cell>
          <cell r="AR208">
            <v>-6.7940324999999975</v>
          </cell>
          <cell r="AS208">
            <v>-6.3410969999999969</v>
          </cell>
          <cell r="AT208">
            <v>-4.3044400000000032</v>
          </cell>
          <cell r="AU208">
            <v>-8.6</v>
          </cell>
          <cell r="AV208">
            <v>-26.039569499999999</v>
          </cell>
          <cell r="AW208">
            <v>-5.3533477499999957</v>
          </cell>
          <cell r="AX208">
            <v>-4.5619390000000042</v>
          </cell>
          <cell r="AY208">
            <v>-3.7118367500000033</v>
          </cell>
          <cell r="AZ208">
            <v>-8.3791529999999987</v>
          </cell>
          <cell r="BA208">
            <v>-22.006276500000002</v>
          </cell>
          <cell r="BB208">
            <v>-5.2895809946250001</v>
          </cell>
          <cell r="BC208">
            <v>-4.4820113771250085</v>
          </cell>
          <cell r="BD208">
            <v>-3.5129278361250078</v>
          </cell>
          <cell r="BE208">
            <v>-8.439102502875004</v>
          </cell>
          <cell r="BF208">
            <v>-21.723622710750021</v>
          </cell>
          <cell r="BG208">
            <v>-5.6360985477364691</v>
          </cell>
          <cell r="BH208">
            <v>-4.775625487013353</v>
          </cell>
          <cell r="BI208">
            <v>-3.7430578141456023</v>
          </cell>
          <cell r="BJ208">
            <v>-8.9919434845566606</v>
          </cell>
          <cell r="BK208">
            <v>-23.146725333452085</v>
          </cell>
          <cell r="BL208">
            <v>-6.0154921454011898</v>
          </cell>
          <cell r="BM208">
            <v>-5.097096398011705</v>
          </cell>
          <cell r="BN208">
            <v>-3.9950215011443104</v>
          </cell>
          <cell r="BO208">
            <v>-9.5972355602202217</v>
          </cell>
          <cell r="BP208">
            <v>-24.704845604777425</v>
          </cell>
          <cell r="BQ208">
            <v>-6.4224610093729595</v>
          </cell>
          <cell r="BR208">
            <v>-5.4419326109954183</v>
          </cell>
          <cell r="BS208">
            <v>-4.2652985329423565</v>
          </cell>
          <cell r="BT208">
            <v>-10.246521763045411</v>
          </cell>
          <cell r="BU208">
            <v>-26.376213916356146</v>
          </cell>
          <cell r="BV208">
            <v>-6.8588669669951265</v>
          </cell>
          <cell r="BW208">
            <v>-5.8117117048584772</v>
          </cell>
          <cell r="BX208">
            <v>-4.5551253902944833</v>
          </cell>
          <cell r="BY208">
            <v>-10.942772489328107</v>
          </cell>
          <cell r="BZ208">
            <v>-28.168476551476196</v>
          </cell>
        </row>
        <row r="209">
          <cell r="B209" t="str">
            <v>Cancellation rate (as % of beginning of year run rate)</v>
          </cell>
          <cell r="D209">
            <v>7.2999999999999954E-2</v>
          </cell>
          <cell r="E209">
            <v>0.21099999999999997</v>
          </cell>
          <cell r="F209">
            <v>4.6000000000000041E-2</v>
          </cell>
          <cell r="G209">
            <v>7.8999999999999959E-2</v>
          </cell>
          <cell r="H209">
            <v>0.10199999999999998</v>
          </cell>
          <cell r="I209">
            <v>1.4000000000000012E-2</v>
          </cell>
          <cell r="J209">
            <v>0.23099999999999998</v>
          </cell>
          <cell r="K209">
            <v>8.8999999999999968E-2</v>
          </cell>
          <cell r="L209">
            <v>0.14900000000000002</v>
          </cell>
          <cell r="U209">
            <v>0.123</v>
          </cell>
          <cell r="V209">
            <v>0.14400000000000002</v>
          </cell>
          <cell r="W209">
            <v>0.12824999999999998</v>
          </cell>
          <cell r="X209">
            <v>5.8000000000000052E-2</v>
          </cell>
          <cell r="Y209">
            <v>7.7999999999999958E-2</v>
          </cell>
          <cell r="Z209">
            <v>7.8999999999999959E-2</v>
          </cell>
          <cell r="AA209">
            <v>0.19199999999999995</v>
          </cell>
          <cell r="AB209">
            <v>0.10175000000000001</v>
          </cell>
          <cell r="AC209">
            <v>6.1000000000000054E-2</v>
          </cell>
          <cell r="AD209">
            <v>9.9999999999999978E-2</v>
          </cell>
          <cell r="AE209">
            <v>0.11499999999999999</v>
          </cell>
          <cell r="AF209">
            <v>0.15600000000000003</v>
          </cell>
          <cell r="AG209">
            <v>0.10799999999999998</v>
          </cell>
          <cell r="AH209">
            <v>6.4999999999999947E-2</v>
          </cell>
          <cell r="AI209">
            <v>7.4999999999999956E-2</v>
          </cell>
          <cell r="AJ209">
            <v>7.6999999999999957E-2</v>
          </cell>
          <cell r="AK209">
            <v>0.128</v>
          </cell>
          <cell r="AL209">
            <v>8.6249999999999938E-2</v>
          </cell>
          <cell r="AM209">
            <v>6.5999999999999948E-2</v>
          </cell>
          <cell r="AN209">
            <v>7.7999999999999958E-2</v>
          </cell>
          <cell r="AO209">
            <v>8.2999999999999963E-2</v>
          </cell>
          <cell r="AP209">
            <v>0.14300000000000002</v>
          </cell>
          <cell r="AQ209">
            <v>9.2500000000000027E-2</v>
          </cell>
          <cell r="AR209">
            <v>8.9999999999999969E-2</v>
          </cell>
          <cell r="AS209">
            <v>8.3999999999999964E-2</v>
          </cell>
          <cell r="AT209">
            <v>5.600000000000005E-2</v>
          </cell>
          <cell r="AU209">
            <v>0.11399999999999999</v>
          </cell>
          <cell r="AV209">
            <v>8.5999999999999965E-2</v>
          </cell>
          <cell r="AW209">
            <v>6.899999999999995E-2</v>
          </cell>
          <cell r="AX209">
            <v>5.9000000000000052E-2</v>
          </cell>
          <cell r="AY209">
            <v>4.7000000000000042E-2</v>
          </cell>
          <cell r="AZ209">
            <v>0.10799999999999998</v>
          </cell>
          <cell r="BA209">
            <v>7.0750000000000091E-2</v>
          </cell>
          <cell r="BB209">
            <v>6.5500000000000003E-2</v>
          </cell>
          <cell r="BC209">
            <v>5.5500000000000105E-2</v>
          </cell>
          <cell r="BD209">
            <v>4.3500000000000094E-2</v>
          </cell>
          <cell r="BE209">
            <v>0.10450000000000004</v>
          </cell>
          <cell r="BF209">
            <v>6.7250000000000032E-2</v>
          </cell>
          <cell r="BG209">
            <v>6.5500000000000003E-2</v>
          </cell>
          <cell r="BH209">
            <v>5.5500000000000105E-2</v>
          </cell>
          <cell r="BI209">
            <v>4.3500000000000094E-2</v>
          </cell>
          <cell r="BJ209">
            <v>0.10450000000000004</v>
          </cell>
          <cell r="BK209">
            <v>6.7250000000000032E-2</v>
          </cell>
          <cell r="BL209">
            <v>6.5500000000000003E-2</v>
          </cell>
          <cell r="BM209">
            <v>5.5500000000000105E-2</v>
          </cell>
          <cell r="BN209">
            <v>4.3500000000000094E-2</v>
          </cell>
          <cell r="BO209">
            <v>0.10450000000000004</v>
          </cell>
          <cell r="BP209">
            <v>6.7250000000000032E-2</v>
          </cell>
          <cell r="BQ209">
            <v>6.5500000000000003E-2</v>
          </cell>
          <cell r="BR209">
            <v>5.5500000000000105E-2</v>
          </cell>
          <cell r="BS209">
            <v>4.3500000000000094E-2</v>
          </cell>
          <cell r="BT209">
            <v>0.10450000000000004</v>
          </cell>
          <cell r="BU209">
            <v>6.7250000000000032E-2</v>
          </cell>
          <cell r="BV209">
            <v>6.5500000000000003E-2</v>
          </cell>
          <cell r="BW209">
            <v>5.5500000000000105E-2</v>
          </cell>
          <cell r="BX209">
            <v>4.3500000000000094E-2</v>
          </cell>
          <cell r="BY209">
            <v>0.10450000000000004</v>
          </cell>
          <cell r="BZ209">
            <v>6.7250000000000032E-2</v>
          </cell>
        </row>
        <row r="210">
          <cell r="B210" t="str">
            <v>BULL - Retention rate</v>
          </cell>
          <cell r="AZ210">
            <v>0.91700000000000004</v>
          </cell>
          <cell r="BA210">
            <v>0.91700000000000004</v>
          </cell>
          <cell r="BB210">
            <v>0.95950000000000002</v>
          </cell>
          <cell r="BC210">
            <v>0.96949999999999992</v>
          </cell>
          <cell r="BD210">
            <v>0.98149999999999993</v>
          </cell>
          <cell r="BE210">
            <v>0.92049999999999998</v>
          </cell>
          <cell r="BF210">
            <v>0.95774999999999999</v>
          </cell>
          <cell r="BG210">
            <v>0.95950000000000002</v>
          </cell>
          <cell r="BH210">
            <v>0.96949999999999992</v>
          </cell>
          <cell r="BI210">
            <v>0.98149999999999993</v>
          </cell>
          <cell r="BJ210">
            <v>0.92049999999999998</v>
          </cell>
          <cell r="BK210">
            <v>0.95774999999999999</v>
          </cell>
          <cell r="BL210">
            <v>0.95950000000000002</v>
          </cell>
          <cell r="BM210">
            <v>0.96949999999999992</v>
          </cell>
          <cell r="BN210">
            <v>0.98149999999999993</v>
          </cell>
          <cell r="BO210">
            <v>0.92049999999999998</v>
          </cell>
          <cell r="BP210">
            <v>0.95774999999999999</v>
          </cell>
          <cell r="BQ210">
            <v>0.95950000000000002</v>
          </cell>
          <cell r="BR210">
            <v>0.96949999999999992</v>
          </cell>
          <cell r="BS210">
            <v>0.98149999999999993</v>
          </cell>
          <cell r="BT210">
            <v>0.92049999999999998</v>
          </cell>
          <cell r="BU210">
            <v>0.95774999999999999</v>
          </cell>
          <cell r="BV210">
            <v>0.95950000000000002</v>
          </cell>
          <cell r="BW210">
            <v>0.96949999999999992</v>
          </cell>
          <cell r="BX210">
            <v>0.98149999999999993</v>
          </cell>
          <cell r="BY210">
            <v>0.92049999999999998</v>
          </cell>
          <cell r="BZ210">
            <v>0.95774999999999999</v>
          </cell>
        </row>
        <row r="211">
          <cell r="B211" t="str">
            <v>BASE - Retention rate</v>
          </cell>
          <cell r="D211">
            <v>0.92700000000000005</v>
          </cell>
          <cell r="E211">
            <v>0.78900000000000003</v>
          </cell>
          <cell r="F211">
            <v>0.95399999999999996</v>
          </cell>
          <cell r="G211">
            <v>0.92100000000000004</v>
          </cell>
          <cell r="H211">
            <v>0.89800000000000002</v>
          </cell>
          <cell r="I211">
            <v>0.98599999999999999</v>
          </cell>
          <cell r="J211">
            <v>0.76900000000000002</v>
          </cell>
          <cell r="K211">
            <v>0.91100000000000003</v>
          </cell>
          <cell r="L211">
            <v>0.85099999999999998</v>
          </cell>
          <cell r="P211">
            <v>0.80400000000000005</v>
          </cell>
          <cell r="Q211">
            <v>0.80200000000000005</v>
          </cell>
          <cell r="S211">
            <v>0.83399999999999996</v>
          </cell>
          <cell r="T211">
            <v>0.92</v>
          </cell>
          <cell r="U211">
            <v>0.877</v>
          </cell>
          <cell r="V211">
            <v>0.85599999999999998</v>
          </cell>
          <cell r="W211">
            <v>0.87175000000000002</v>
          </cell>
          <cell r="X211">
            <v>0.94199999999999995</v>
          </cell>
          <cell r="Y211">
            <v>0.92200000000000004</v>
          </cell>
          <cell r="Z211">
            <v>0.92100000000000004</v>
          </cell>
          <cell r="AA211">
            <v>0.80800000000000005</v>
          </cell>
          <cell r="AB211">
            <v>0.89824999999999999</v>
          </cell>
          <cell r="AC211">
            <v>0.93899999999999995</v>
          </cell>
          <cell r="AD211">
            <v>0.9</v>
          </cell>
          <cell r="AE211">
            <v>0.88500000000000001</v>
          </cell>
          <cell r="AF211">
            <v>0.84399999999999997</v>
          </cell>
          <cell r="AG211">
            <v>0.89200000000000002</v>
          </cell>
          <cell r="AH211">
            <v>0.93500000000000005</v>
          </cell>
          <cell r="AI211">
            <v>0.92500000000000004</v>
          </cell>
          <cell r="AJ211">
            <v>0.92300000000000004</v>
          </cell>
          <cell r="AK211">
            <v>0.872</v>
          </cell>
          <cell r="AL211">
            <v>0.91375000000000006</v>
          </cell>
          <cell r="AM211">
            <v>0.93400000000000005</v>
          </cell>
          <cell r="AN211">
            <v>0.92200000000000004</v>
          </cell>
          <cell r="AO211">
            <v>0.91700000000000004</v>
          </cell>
          <cell r="AP211">
            <v>0.85699999999999998</v>
          </cell>
          <cell r="AQ211">
            <v>0.90749999999999997</v>
          </cell>
          <cell r="AR211">
            <v>0.91</v>
          </cell>
          <cell r="AS211">
            <v>0.91600000000000004</v>
          </cell>
          <cell r="AT211">
            <v>0.94399999999999995</v>
          </cell>
          <cell r="AU211">
            <v>0.88600000000000001</v>
          </cell>
          <cell r="AV211">
            <v>0.91400000000000003</v>
          </cell>
          <cell r="AW211">
            <v>0.93100000000000005</v>
          </cell>
          <cell r="AX211">
            <v>0.94099999999999995</v>
          </cell>
          <cell r="AY211">
            <v>0.95299999999999996</v>
          </cell>
          <cell r="AZ211">
            <v>0.89200000000000002</v>
          </cell>
          <cell r="BA211">
            <v>0.92924999999999991</v>
          </cell>
          <cell r="BB211">
            <v>0.9345</v>
          </cell>
          <cell r="BC211">
            <v>0.9444999999999999</v>
          </cell>
          <cell r="BD211">
            <v>0.95649999999999991</v>
          </cell>
          <cell r="BE211">
            <v>0.89549999999999996</v>
          </cell>
          <cell r="BF211">
            <v>0.93274999999999997</v>
          </cell>
          <cell r="BG211">
            <v>0.9345</v>
          </cell>
          <cell r="BH211">
            <v>0.9444999999999999</v>
          </cell>
          <cell r="BI211">
            <v>0.95649999999999991</v>
          </cell>
          <cell r="BJ211">
            <v>0.89549999999999996</v>
          </cell>
          <cell r="BK211">
            <v>0.93274999999999997</v>
          </cell>
          <cell r="BL211">
            <v>0.9345</v>
          </cell>
          <cell r="BM211">
            <v>0.9444999999999999</v>
          </cell>
          <cell r="BN211">
            <v>0.95649999999999991</v>
          </cell>
          <cell r="BO211">
            <v>0.89549999999999996</v>
          </cell>
          <cell r="BP211">
            <v>0.93274999999999997</v>
          </cell>
          <cell r="BQ211">
            <v>0.9345</v>
          </cell>
          <cell r="BR211">
            <v>0.9444999999999999</v>
          </cell>
          <cell r="BS211">
            <v>0.95649999999999991</v>
          </cell>
          <cell r="BT211">
            <v>0.89549999999999996</v>
          </cell>
          <cell r="BU211">
            <v>0.93274999999999997</v>
          </cell>
          <cell r="BV211">
            <v>0.9345</v>
          </cell>
          <cell r="BW211">
            <v>0.9444999999999999</v>
          </cell>
          <cell r="BX211">
            <v>0.95649999999999991</v>
          </cell>
          <cell r="BY211">
            <v>0.89549999999999996</v>
          </cell>
          <cell r="BZ211">
            <v>0.93274999999999997</v>
          </cell>
        </row>
        <row r="212">
          <cell r="B212" t="str">
            <v>BEAR - Retention rate</v>
          </cell>
          <cell r="AZ212">
            <v>0.86199999999999999</v>
          </cell>
          <cell r="BA212">
            <v>0.86199999999999999</v>
          </cell>
          <cell r="BB212">
            <v>0.90449999999999997</v>
          </cell>
          <cell r="BC212">
            <v>0.91449999999999987</v>
          </cell>
          <cell r="BD212">
            <v>0.92649999999999988</v>
          </cell>
          <cell r="BE212">
            <v>0.86549999999999994</v>
          </cell>
          <cell r="BF212">
            <v>0.90274999999999994</v>
          </cell>
          <cell r="BG212">
            <v>0.90449999999999997</v>
          </cell>
          <cell r="BH212">
            <v>0.91449999999999987</v>
          </cell>
          <cell r="BI212">
            <v>0.92649999999999988</v>
          </cell>
          <cell r="BJ212">
            <v>0.86549999999999994</v>
          </cell>
          <cell r="BK212">
            <v>0.90274999999999994</v>
          </cell>
          <cell r="BL212">
            <v>0.90449999999999997</v>
          </cell>
          <cell r="BM212">
            <v>0.91449999999999987</v>
          </cell>
          <cell r="BN212">
            <v>0.92649999999999988</v>
          </cell>
          <cell r="BO212">
            <v>0.86549999999999994</v>
          </cell>
          <cell r="BP212">
            <v>0.90274999999999994</v>
          </cell>
          <cell r="BQ212">
            <v>0.90449999999999997</v>
          </cell>
          <cell r="BR212">
            <v>0.91449999999999987</v>
          </cell>
          <cell r="BS212">
            <v>0.92649999999999988</v>
          </cell>
          <cell r="BT212">
            <v>0.86549999999999994</v>
          </cell>
          <cell r="BU212">
            <v>0.90274999999999994</v>
          </cell>
          <cell r="BV212">
            <v>0.90449999999999997</v>
          </cell>
          <cell r="BW212">
            <v>0.91449999999999987</v>
          </cell>
          <cell r="BX212">
            <v>0.92649999999999988</v>
          </cell>
          <cell r="BY212">
            <v>0.86549999999999994</v>
          </cell>
          <cell r="BZ212">
            <v>0.90274999999999994</v>
          </cell>
        </row>
        <row r="213">
          <cell r="B213" t="str">
            <v>Cancellation rate (as % of beginning of qtr run rate)</v>
          </cell>
          <cell r="D213">
            <v>7.2999999999999954E-2</v>
          </cell>
          <cell r="E213">
            <v>0.14776420852799671</v>
          </cell>
          <cell r="F213">
            <v>3.1317531880611579E-2</v>
          </cell>
          <cell r="G213">
            <v>4.64471482176569E-2</v>
          </cell>
          <cell r="H213">
            <v>0.10224999999999998</v>
          </cell>
          <cell r="I213">
            <v>1.4000000000000012E-2</v>
          </cell>
          <cell r="J213">
            <v>0.22261840891115209</v>
          </cell>
          <cell r="K213">
            <v>7.8262727409412092E-2</v>
          </cell>
          <cell r="L213">
            <v>0.12786732597722739</v>
          </cell>
          <cell r="U213">
            <v>0.12167021048056315</v>
          </cell>
          <cell r="V213">
            <v>0.12352438028974376</v>
          </cell>
          <cell r="W213">
            <v>6.6481995939332419E-2</v>
          </cell>
          <cell r="X213">
            <v>5.8000000000000052E-2</v>
          </cell>
          <cell r="Y213">
            <v>7.4689718806001934E-2</v>
          </cell>
          <cell r="Z213">
            <v>7.4069319970447425E-2</v>
          </cell>
          <cell r="AA213">
            <v>0.17804628997156513</v>
          </cell>
          <cell r="AB213">
            <v>0.10174999999999999</v>
          </cell>
          <cell r="AC213">
            <v>6.1000000000000054E-2</v>
          </cell>
          <cell r="AD213">
            <v>9.728421191364986E-2</v>
          </cell>
          <cell r="AE213">
            <v>0.11454620745574239</v>
          </cell>
          <cell r="AF213">
            <v>0.15434272049385736</v>
          </cell>
          <cell r="AG213">
            <v>0.11005012810449183</v>
          </cell>
          <cell r="AH213">
            <v>6.4999999999999947E-2</v>
          </cell>
          <cell r="AI213">
            <v>7.4999999999999956E-2</v>
          </cell>
          <cell r="AJ213">
            <v>7.6999999999999957E-2</v>
          </cell>
          <cell r="AK213">
            <v>0.128</v>
          </cell>
          <cell r="AL213">
            <v>9.1743546553329128E-2</v>
          </cell>
          <cell r="AM213">
            <v>6.4681495243501752E-2</v>
          </cell>
          <cell r="AN213">
            <v>7.6507369050682658E-2</v>
          </cell>
          <cell r="AO213">
            <v>8.0322378631524499E-2</v>
          </cell>
          <cell r="AP213">
            <v>0.13424379870075928</v>
          </cell>
          <cell r="AQ213">
            <v>9.0141232732965218E-2</v>
          </cell>
          <cell r="AR213">
            <v>9.349961294318003E-2</v>
          </cell>
          <cell r="AS213">
            <v>8.249654589214854E-2</v>
          </cell>
          <cell r="AT213">
            <v>5.5609507168487761E-2</v>
          </cell>
          <cell r="AU213">
            <v>0.11060417530761786</v>
          </cell>
          <cell r="AV213">
            <v>8.9589270784951242E-2</v>
          </cell>
          <cell r="AW213">
            <v>7.0915365432826477E-2</v>
          </cell>
          <cell r="AX213">
            <v>5.9000000000000052E-2</v>
          </cell>
          <cell r="AY213">
            <v>4.7000000000000042E-2</v>
          </cell>
          <cell r="AZ213">
            <v>0.10485836120349019</v>
          </cell>
          <cell r="BA213">
            <v>7.0910444707239506E-2</v>
          </cell>
          <cell r="BB213">
            <v>6.5500000000000003E-2</v>
          </cell>
          <cell r="BC213">
            <v>5.4535925270734691E-2</v>
          </cell>
          <cell r="BD213">
            <v>4.2035217483176471E-2</v>
          </cell>
          <cell r="BE213">
            <v>9.9376702070402431E-2</v>
          </cell>
          <cell r="BF213">
            <v>6.725000000000006E-2</v>
          </cell>
          <cell r="BG213">
            <v>6.5500000000000003E-2</v>
          </cell>
          <cell r="BH213">
            <v>5.4511119368731702E-2</v>
          </cell>
          <cell r="BI213">
            <v>4.199928795838416E-2</v>
          </cell>
          <cell r="BJ213">
            <v>9.9257730566778751E-2</v>
          </cell>
          <cell r="BK213">
            <v>6.725000000000006E-2</v>
          </cell>
          <cell r="BL213">
            <v>6.5500000000000003E-2</v>
          </cell>
          <cell r="BM213">
            <v>5.450647077226236E-2</v>
          </cell>
          <cell r="BN213">
            <v>4.199255800660228E-2</v>
          </cell>
          <cell r="BO213">
            <v>9.9235455106662179E-2</v>
          </cell>
          <cell r="BP213">
            <v>6.7250000000000046E-2</v>
          </cell>
          <cell r="BQ213">
            <v>6.5500000000000003E-2</v>
          </cell>
          <cell r="BR213">
            <v>5.4502399984018311E-2</v>
          </cell>
          <cell r="BS213">
            <v>4.1986665398664927E-2</v>
          </cell>
          <cell r="BT213">
            <v>9.9215953518081865E-2</v>
          </cell>
          <cell r="BU213">
            <v>6.725000000000006E-2</v>
          </cell>
          <cell r="BV213">
            <v>6.5500000000000003E-2</v>
          </cell>
          <cell r="BW213">
            <v>5.4498837232735069E-2</v>
          </cell>
          <cell r="BX213">
            <v>4.1981508826751328E-2</v>
          </cell>
          <cell r="BY213">
            <v>9.9198889639381643E-2</v>
          </cell>
          <cell r="BZ213">
            <v>6.7250000000000074E-2</v>
          </cell>
        </row>
        <row r="221">
          <cell r="B221" t="str">
            <v>Subtotal</v>
          </cell>
          <cell r="I221">
            <v>6.7605312499999997</v>
          </cell>
          <cell r="J221">
            <v>7.2619687499999994</v>
          </cell>
          <cell r="K221">
            <v>7.7400312500000004</v>
          </cell>
          <cell r="L221">
            <v>8.1155625000000011</v>
          </cell>
          <cell r="U221">
            <v>50.318000000000005</v>
          </cell>
          <cell r="V221">
            <v>52.59584375</v>
          </cell>
          <cell r="W221">
            <v>102.91384375000001</v>
          </cell>
          <cell r="X221">
            <v>55.184500000000007</v>
          </cell>
          <cell r="Y221">
            <v>58.191281249999996</v>
          </cell>
          <cell r="Z221">
            <v>60.428531250000006</v>
          </cell>
          <cell r="AA221">
            <v>61.03696875</v>
          </cell>
          <cell r="AB221">
            <v>234.84128125000001</v>
          </cell>
          <cell r="AC221">
            <v>62.670749999999998</v>
          </cell>
          <cell r="AD221">
            <v>63.422843749999998</v>
          </cell>
          <cell r="AE221">
            <v>64.045312500000009</v>
          </cell>
          <cell r="AF221">
            <v>64.705093750000003</v>
          </cell>
          <cell r="AG221">
            <v>254.84399999999999</v>
          </cell>
          <cell r="AH221">
            <v>65.570468749999989</v>
          </cell>
          <cell r="AI221">
            <v>66.776031250000003</v>
          </cell>
          <cell r="AJ221">
            <v>68.298000000000002</v>
          </cell>
          <cell r="AK221">
            <v>70.02371875</v>
          </cell>
          <cell r="AL221">
            <v>270.66821874999999</v>
          </cell>
          <cell r="AM221">
            <v>65.977656249999995</v>
          </cell>
          <cell r="AN221">
            <v>67.990218749999997</v>
          </cell>
          <cell r="AO221">
            <v>70.302406250000004</v>
          </cell>
          <cell r="AP221">
            <v>72.771718749999991</v>
          </cell>
          <cell r="AQ221">
            <v>277.04199999999997</v>
          </cell>
          <cell r="AR221">
            <v>71.945062499999992</v>
          </cell>
          <cell r="AS221">
            <v>73.867968750000003</v>
          </cell>
          <cell r="AT221">
            <v>75.46684375000001</v>
          </cell>
          <cell r="AU221">
            <v>75.736874999999998</v>
          </cell>
          <cell r="AV221">
            <v>297.01675</v>
          </cell>
          <cell r="AW221">
            <v>74.696062499999996</v>
          </cell>
          <cell r="AX221">
            <v>77.712625000000003</v>
          </cell>
          <cell r="AY221">
            <v>78.178250000000006</v>
          </cell>
          <cell r="AZ221">
            <v>78.844088968749986</v>
          </cell>
          <cell r="BA221">
            <v>309.43102646874996</v>
          </cell>
          <cell r="BB221">
            <v>79.848561250167975</v>
          </cell>
          <cell r="BC221">
            <v>81.030983769968742</v>
          </cell>
          <cell r="BD221">
            <v>82.231845689355481</v>
          </cell>
          <cell r="BE221">
            <v>83.519523941898441</v>
          </cell>
          <cell r="BF221">
            <v>326.63091465139064</v>
          </cell>
          <cell r="BG221">
            <v>84.858781348941847</v>
          </cell>
          <cell r="BH221">
            <v>86.230604641516493</v>
          </cell>
          <cell r="BI221">
            <v>87.633405931343972</v>
          </cell>
          <cell r="BJ221">
            <v>89.066381878680772</v>
          </cell>
          <cell r="BK221">
            <v>347.78917380048307</v>
          </cell>
          <cell r="BL221">
            <v>90.528580495412982</v>
          </cell>
          <cell r="BM221">
            <v>92.018555746249476</v>
          </cell>
          <cell r="BN221">
            <v>93.535352190898564</v>
          </cell>
          <cell r="BO221">
            <v>95.076996555464447</v>
          </cell>
          <cell r="BP221">
            <v>371.1594849880255</v>
          </cell>
          <cell r="BQ221">
            <v>96.645401678166749</v>
          </cell>
          <cell r="BR221">
            <v>98.243469047714186</v>
          </cell>
          <cell r="BS221">
            <v>99.870187025112173</v>
          </cell>
          <cell r="BT221">
            <v>101.52342041530321</v>
          </cell>
          <cell r="BU221">
            <v>396.2824781662963</v>
          </cell>
          <cell r="BV221">
            <v>103.20520741185526</v>
          </cell>
          <cell r="BW221">
            <v>104.91867821193337</v>
          </cell>
          <cell r="BX221">
            <v>106.66276032555854</v>
          </cell>
          <cell r="BY221">
            <v>108.43514690204137</v>
          </cell>
          <cell r="BZ221">
            <v>423.22179285138856</v>
          </cell>
        </row>
        <row r="222">
          <cell r="B222" t="str">
            <v>Adjustments (FX, Other)</v>
          </cell>
          <cell r="I222">
            <v>1.1314687500000007</v>
          </cell>
          <cell r="J222">
            <v>1.3360312500000013</v>
          </cell>
          <cell r="K222">
            <v>1.1829687499999997</v>
          </cell>
          <cell r="L222">
            <v>1.2684374999999992</v>
          </cell>
          <cell r="U222">
            <v>4.2749999999999986</v>
          </cell>
          <cell r="V222">
            <v>5.3841562499999966</v>
          </cell>
          <cell r="W222">
            <v>9.6591562499999952</v>
          </cell>
          <cell r="X222">
            <v>3.6814999999999927</v>
          </cell>
          <cell r="Y222">
            <v>2.6147187500000015</v>
          </cell>
          <cell r="Z222">
            <v>1.4324687499999911</v>
          </cell>
          <cell r="AA222">
            <v>1.0000312499999993</v>
          </cell>
          <cell r="AB222">
            <v>8.7287187499999845</v>
          </cell>
          <cell r="AC222">
            <v>1.40625</v>
          </cell>
          <cell r="AD222">
            <v>1.1241562499999986</v>
          </cell>
          <cell r="AE222">
            <v>0.95268749999999613</v>
          </cell>
          <cell r="AF222">
            <v>1.9489062499999932</v>
          </cell>
          <cell r="AG222">
            <v>5.4319999999999879</v>
          </cell>
          <cell r="AH222">
            <v>1.7035312500000117</v>
          </cell>
          <cell r="AI222">
            <v>0.32296875000000114</v>
          </cell>
          <cell r="AJ222">
            <v>1.367999999999995</v>
          </cell>
          <cell r="AK222">
            <v>5.2902812499999925</v>
          </cell>
          <cell r="AL222">
            <v>8.6847812500000003</v>
          </cell>
          <cell r="AM222">
            <v>3.5223437500000045</v>
          </cell>
          <cell r="AN222">
            <v>1.3097812500000003</v>
          </cell>
          <cell r="AO222">
            <v>1.997593749999993</v>
          </cell>
          <cell r="AP222">
            <v>4.8282812500000034</v>
          </cell>
          <cell r="AQ222">
            <v>11.658000000000001</v>
          </cell>
          <cell r="AR222">
            <v>2.7549375000000111</v>
          </cell>
          <cell r="AS222">
            <v>2.83203125</v>
          </cell>
          <cell r="AT222">
            <v>0.53315624999999045</v>
          </cell>
          <cell r="AU222">
            <v>2.3631249999999966</v>
          </cell>
          <cell r="AV222">
            <v>8.4832499999999982</v>
          </cell>
          <cell r="AW222">
            <v>4.5039375000000064</v>
          </cell>
          <cell r="AX222">
            <v>1.9873750000000001</v>
          </cell>
          <cell r="AY222">
            <v>1.8217499999999944</v>
          </cell>
          <cell r="AZ222">
            <v>2.3631249999999966</v>
          </cell>
          <cell r="BA222">
            <v>10.676187499999997</v>
          </cell>
          <cell r="BB222">
            <v>4.5039375000000064</v>
          </cell>
          <cell r="BC222">
            <v>1.9873750000000001</v>
          </cell>
          <cell r="BD222">
            <v>1.8217499999999944</v>
          </cell>
          <cell r="BE222">
            <v>2.3631249999999966</v>
          </cell>
          <cell r="BF222">
            <v>10.676187499999997</v>
          </cell>
          <cell r="BG222">
            <v>3.3779531250000048</v>
          </cell>
          <cell r="BH222">
            <v>1.4905312500000001</v>
          </cell>
          <cell r="BI222">
            <v>1.3663124999999958</v>
          </cell>
          <cell r="BJ222">
            <v>1.7723437499999974</v>
          </cell>
          <cell r="BK222">
            <v>8.0071406249999981</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cell r="BY222">
            <v>0</v>
          </cell>
          <cell r="BZ222">
            <v>0</v>
          </cell>
        </row>
        <row r="223">
          <cell r="B223" t="str">
            <v>RMA Subscription revenue</v>
          </cell>
          <cell r="AM223">
            <v>69.5</v>
          </cell>
          <cell r="AN223">
            <v>69.3</v>
          </cell>
          <cell r="AO223">
            <v>72.3</v>
          </cell>
          <cell r="AP223">
            <v>77.599999999999994</v>
          </cell>
          <cell r="AQ223">
            <v>288.70000000000005</v>
          </cell>
          <cell r="AR223">
            <v>74.7</v>
          </cell>
          <cell r="AS223">
            <v>76.7</v>
          </cell>
          <cell r="AT223">
            <v>76</v>
          </cell>
          <cell r="AU223">
            <v>78.099999999999994</v>
          </cell>
          <cell r="AV223">
            <v>305.5</v>
          </cell>
          <cell r="AW223">
            <v>79.2</v>
          </cell>
          <cell r="AX223">
            <v>79.7</v>
          </cell>
          <cell r="AY223">
            <v>80</v>
          </cell>
          <cell r="AZ223">
            <v>81.207213968749983</v>
          </cell>
          <cell r="BA223">
            <v>320.10721396874999</v>
          </cell>
          <cell r="BB223">
            <v>84.352498750167982</v>
          </cell>
          <cell r="BC223">
            <v>83.018358769968742</v>
          </cell>
          <cell r="BD223">
            <v>84.053595689355475</v>
          </cell>
          <cell r="BE223">
            <v>85.882648941898438</v>
          </cell>
          <cell r="BF223">
            <v>337.30710215139061</v>
          </cell>
          <cell r="BG223">
            <v>88.236734473941851</v>
          </cell>
          <cell r="BH223">
            <v>87.721135891516496</v>
          </cell>
          <cell r="BI223">
            <v>88.999718431343965</v>
          </cell>
          <cell r="BJ223">
            <v>90.838725628680777</v>
          </cell>
          <cell r="BK223">
            <v>355.7963144254831</v>
          </cell>
          <cell r="BL223">
            <v>90.528580495412982</v>
          </cell>
          <cell r="BM223">
            <v>92.018555746249476</v>
          </cell>
          <cell r="BN223">
            <v>93.535352190898564</v>
          </cell>
          <cell r="BO223">
            <v>95.076996555464447</v>
          </cell>
          <cell r="BP223">
            <v>371.1594849880255</v>
          </cell>
          <cell r="BQ223">
            <v>96.645401678166749</v>
          </cell>
          <cell r="BR223">
            <v>98.243469047714186</v>
          </cell>
          <cell r="BS223">
            <v>99.870187025112173</v>
          </cell>
          <cell r="BT223">
            <v>101.52342041530321</v>
          </cell>
          <cell r="BU223">
            <v>396.2824781662963</v>
          </cell>
          <cell r="BV223">
            <v>103.20520741185526</v>
          </cell>
          <cell r="BW223">
            <v>104.91867821193337</v>
          </cell>
          <cell r="BX223">
            <v>106.66276032555854</v>
          </cell>
          <cell r="BY223">
            <v>108.43514690204137</v>
          </cell>
          <cell r="BZ223">
            <v>423.22179285138856</v>
          </cell>
          <cell r="CB223">
            <v>5.3413139500798179E-2</v>
          </cell>
        </row>
        <row r="224">
          <cell r="AR224">
            <v>7.482014388489211E-2</v>
          </cell>
          <cell r="AS224">
            <v>0.10678210678210687</v>
          </cell>
          <cell r="AT224">
            <v>5.1175656984785656E-2</v>
          </cell>
          <cell r="AU224">
            <v>6.4432989690721421E-3</v>
          </cell>
          <cell r="AV224">
            <v>5.8191894700380775E-2</v>
          </cell>
          <cell r="AW224">
            <v>6.024096385542177E-2</v>
          </cell>
          <cell r="AX224">
            <v>3.9113428943937434E-2</v>
          </cell>
          <cell r="AY224">
            <v>5.2631578947368363E-2</v>
          </cell>
          <cell r="AZ224">
            <v>3.9785070022406943E-2</v>
          </cell>
          <cell r="BA224">
            <v>4.78141210106382E-2</v>
          </cell>
          <cell r="BB224">
            <v>6.5056802401110891E-2</v>
          </cell>
          <cell r="BC224">
            <v>4.1635618192832347E-2</v>
          </cell>
          <cell r="BD224">
            <v>5.0669946116943532E-2</v>
          </cell>
          <cell r="BE224">
            <v>5.7574133437795938E-2</v>
          </cell>
        </row>
        <row r="226">
          <cell r="B226" t="str">
            <v>RMA non-recurring revenue</v>
          </cell>
          <cell r="AM226">
            <v>0.92000000000000171</v>
          </cell>
          <cell r="AN226">
            <v>0.86400000000000432</v>
          </cell>
          <cell r="AO226">
            <v>0.4789999999999992</v>
          </cell>
          <cell r="AP226">
            <v>0.78000000000000114</v>
          </cell>
          <cell r="AQ226">
            <v>3.0430000000000064</v>
          </cell>
          <cell r="AR226">
            <v>0.87999999999999545</v>
          </cell>
          <cell r="AS226">
            <v>0.96599999999999397</v>
          </cell>
          <cell r="AT226">
            <v>0.97799999999999443</v>
          </cell>
          <cell r="AU226">
            <v>1.3719999999999999</v>
          </cell>
          <cell r="AV226">
            <v>4.1959999999999837</v>
          </cell>
          <cell r="AW226">
            <v>1.2759999999999962</v>
          </cell>
          <cell r="AX226">
            <v>1.2169999999999987</v>
          </cell>
          <cell r="AY226">
            <v>1.2409999999999997</v>
          </cell>
          <cell r="AZ226">
            <v>1.2409999999999997</v>
          </cell>
          <cell r="BA226">
            <v>4.9749999999999943</v>
          </cell>
          <cell r="BB226">
            <v>1.2409999999999997</v>
          </cell>
          <cell r="BC226">
            <v>1.2409999999999997</v>
          </cell>
          <cell r="BD226">
            <v>1.2409999999999997</v>
          </cell>
          <cell r="BE226">
            <v>1.2409999999999997</v>
          </cell>
          <cell r="BF226">
            <v>4.9639999999999986</v>
          </cell>
          <cell r="BG226">
            <v>1.2409999999999997</v>
          </cell>
          <cell r="BH226">
            <v>1.2409999999999997</v>
          </cell>
          <cell r="BI226">
            <v>1.2409999999999997</v>
          </cell>
          <cell r="BJ226">
            <v>1.2409999999999997</v>
          </cell>
          <cell r="BK226">
            <v>4.9639999999999986</v>
          </cell>
          <cell r="BL226">
            <v>1.2409999999999997</v>
          </cell>
          <cell r="BM226">
            <v>1.2409999999999997</v>
          </cell>
          <cell r="BN226">
            <v>1.2409999999999997</v>
          </cell>
          <cell r="BO226">
            <v>1.2409999999999997</v>
          </cell>
          <cell r="BP226">
            <v>4.9639999999999986</v>
          </cell>
          <cell r="BQ226">
            <v>1.2409999999999997</v>
          </cell>
          <cell r="BR226">
            <v>1.2409999999999997</v>
          </cell>
          <cell r="BS226">
            <v>1.2409999999999997</v>
          </cell>
          <cell r="BT226">
            <v>1.2409999999999997</v>
          </cell>
          <cell r="BU226">
            <v>4.9639999999999986</v>
          </cell>
          <cell r="BV226">
            <v>1.2409999999999997</v>
          </cell>
          <cell r="BW226">
            <v>1.2409999999999997</v>
          </cell>
          <cell r="BX226">
            <v>1.2409999999999997</v>
          </cell>
          <cell r="BY226">
            <v>1.2409999999999997</v>
          </cell>
          <cell r="BZ226">
            <v>4.9639999999999986</v>
          </cell>
          <cell r="CB226">
            <v>3.4187439077812298E-2</v>
          </cell>
        </row>
        <row r="228">
          <cell r="B228" t="str">
            <v>Risk Management Analytics revenue</v>
          </cell>
          <cell r="D228">
            <v>4.2830000000000004</v>
          </cell>
          <cell r="E228">
            <v>4.4180000000000001</v>
          </cell>
          <cell r="F228">
            <v>6.6689999999999996</v>
          </cell>
          <cell r="G228">
            <v>7.7</v>
          </cell>
          <cell r="I228">
            <v>7.8920000000000003</v>
          </cell>
          <cell r="J228">
            <v>8.5980000000000008</v>
          </cell>
          <cell r="K228">
            <v>8.923</v>
          </cell>
          <cell r="L228">
            <v>9.3840000000000003</v>
          </cell>
          <cell r="U228">
            <v>54.593000000000004</v>
          </cell>
          <cell r="V228">
            <v>57.98</v>
          </cell>
          <cell r="W228">
            <v>112.57300000000001</v>
          </cell>
          <cell r="X228">
            <v>58.866</v>
          </cell>
          <cell r="Y228">
            <v>60.805999999999997</v>
          </cell>
          <cell r="Z228">
            <v>61.860999999999997</v>
          </cell>
          <cell r="AA228">
            <v>62.036999999999999</v>
          </cell>
          <cell r="AB228">
            <v>243.57</v>
          </cell>
          <cell r="AC228">
            <v>64.076999999999998</v>
          </cell>
          <cell r="AD228">
            <v>64.546999999999997</v>
          </cell>
          <cell r="AE228">
            <v>64.998000000000005</v>
          </cell>
          <cell r="AF228">
            <v>66.653999999999996</v>
          </cell>
          <cell r="AG228">
            <v>260.27600000000001</v>
          </cell>
          <cell r="AH228">
            <v>67.274000000000001</v>
          </cell>
          <cell r="AI228">
            <v>67.099000000000004</v>
          </cell>
          <cell r="AJ228">
            <v>69.665999999999997</v>
          </cell>
          <cell r="AK228">
            <v>75.313999999999993</v>
          </cell>
          <cell r="AL228">
            <v>279.35299999999995</v>
          </cell>
          <cell r="AM228">
            <v>70.42</v>
          </cell>
          <cell r="AN228">
            <v>70.164000000000001</v>
          </cell>
          <cell r="AO228">
            <v>72.778999999999996</v>
          </cell>
          <cell r="AP228">
            <v>78.38</v>
          </cell>
          <cell r="AQ228">
            <v>291.74299999999999</v>
          </cell>
          <cell r="AR228">
            <v>75.58</v>
          </cell>
          <cell r="AS228">
            <v>77.665999999999997</v>
          </cell>
          <cell r="AT228">
            <v>76.977999999999994</v>
          </cell>
          <cell r="AU228">
            <v>79.471999999999994</v>
          </cell>
          <cell r="AV228">
            <v>309.69599999999997</v>
          </cell>
          <cell r="AW228">
            <v>80.475999999999999</v>
          </cell>
          <cell r="AX228">
            <v>80.917000000000002</v>
          </cell>
          <cell r="AY228">
            <v>81.241</v>
          </cell>
          <cell r="AZ228">
            <v>82.448213968749982</v>
          </cell>
          <cell r="BA228">
            <v>325.08221396875001</v>
          </cell>
          <cell r="BB228">
            <v>85.593498750167981</v>
          </cell>
          <cell r="BC228">
            <v>84.259358769968742</v>
          </cell>
          <cell r="BD228">
            <v>85.294595689355475</v>
          </cell>
          <cell r="BE228">
            <v>87.123648941898438</v>
          </cell>
          <cell r="BF228">
            <v>342.27110215139066</v>
          </cell>
          <cell r="BG228">
            <v>89.477734473941851</v>
          </cell>
          <cell r="BH228">
            <v>88.962135891516496</v>
          </cell>
          <cell r="BI228">
            <v>90.240718431343964</v>
          </cell>
          <cell r="BJ228">
            <v>92.079725628680777</v>
          </cell>
          <cell r="BK228">
            <v>360.7603144254831</v>
          </cell>
          <cell r="BL228">
            <v>91.769580495412981</v>
          </cell>
          <cell r="BM228">
            <v>93.259555746249475</v>
          </cell>
          <cell r="BN228">
            <v>94.776352190898564</v>
          </cell>
          <cell r="BO228">
            <v>96.317996555464447</v>
          </cell>
          <cell r="BP228">
            <v>376.12348498802544</v>
          </cell>
          <cell r="BQ228">
            <v>97.886401678166749</v>
          </cell>
          <cell r="BR228">
            <v>99.484469047714185</v>
          </cell>
          <cell r="BS228">
            <v>101.11118702511217</v>
          </cell>
          <cell r="BT228">
            <v>102.76442041530321</v>
          </cell>
          <cell r="BU228">
            <v>401.24647816629636</v>
          </cell>
          <cell r="BV228">
            <v>104.44620741185526</v>
          </cell>
          <cell r="BW228">
            <v>106.15967821193337</v>
          </cell>
          <cell r="BX228">
            <v>107.90376032555854</v>
          </cell>
          <cell r="BY228">
            <v>109.67614690204137</v>
          </cell>
          <cell r="BZ228">
            <v>428.1857928513885</v>
          </cell>
          <cell r="CB228">
            <v>5.3161871243857517E-2</v>
          </cell>
        </row>
        <row r="229">
          <cell r="Z229">
            <v>0.13313062114190455</v>
          </cell>
          <cell r="AA229">
            <v>6.9972404277337086E-2</v>
          </cell>
          <cell r="AC229">
            <v>8.852308633166861E-2</v>
          </cell>
          <cell r="AD229">
            <v>6.1523533861789881E-2</v>
          </cell>
          <cell r="AE229">
            <v>5.0710463781704185E-2</v>
          </cell>
          <cell r="AF229">
            <v>7.4423328013927037E-2</v>
          </cell>
          <cell r="AG229">
            <v>6.8588085560619128E-2</v>
          </cell>
          <cell r="AH229">
            <v>4.9893097367230022E-2</v>
          </cell>
          <cell r="AI229">
            <v>3.9537081506499261E-2</v>
          </cell>
          <cell r="AJ229">
            <v>7.1817594387519446E-2</v>
          </cell>
          <cell r="AK229">
            <v>0.12992468569028115</v>
          </cell>
          <cell r="AL229">
            <v>7.3295271173676957E-2</v>
          </cell>
          <cell r="AM229">
            <v>9.8990277322596354E-2</v>
          </cell>
          <cell r="AN229">
            <v>8.7021860039971033E-2</v>
          </cell>
          <cell r="AO229">
            <v>0.11971137573463775</v>
          </cell>
          <cell r="AP229">
            <v>0.17592342545083572</v>
          </cell>
          <cell r="AQ229">
            <v>0.12089858457944636</v>
          </cell>
          <cell r="AR229">
            <v>7.3274637886963978E-2</v>
          </cell>
          <cell r="AS229">
            <v>0.10692092811128218</v>
          </cell>
          <cell r="AT229">
            <v>5.7695214278844054E-2</v>
          </cell>
          <cell r="AU229">
            <v>1.3932125542230223E-2</v>
          </cell>
          <cell r="AV229">
            <v>6.1537037735266864E-2</v>
          </cell>
          <cell r="AW229">
            <v>6.4779042074623039E-2</v>
          </cell>
          <cell r="AX229">
            <v>4.1858728401102274E-2</v>
          </cell>
          <cell r="AY229">
            <v>5.5379459066226877E-2</v>
          </cell>
          <cell r="AZ229">
            <v>3.7449843576983E-2</v>
          </cell>
          <cell r="BA229">
            <v>4.9681668373986243E-2</v>
          </cell>
          <cell r="BB229">
            <v>6.3590371665688927E-2</v>
          </cell>
          <cell r="BC229">
            <v>4.1306014434157712E-2</v>
          </cell>
          <cell r="BD229">
            <v>4.9895935418760029E-2</v>
          </cell>
          <cell r="BE229">
            <v>5.67075349251418E-2</v>
          </cell>
          <cell r="BF229">
            <v>5.2875511006249765E-2</v>
          </cell>
          <cell r="BG229">
            <v>4.5380032134347603E-2</v>
          </cell>
          <cell r="BH229">
            <v>5.581311310932846E-2</v>
          </cell>
          <cell r="BI229">
            <v>5.7988700245468872E-2</v>
          </cell>
          <cell r="BJ229">
            <v>5.6885549985256967E-2</v>
          </cell>
          <cell r="BK229">
            <v>5.4019203367961843E-2</v>
          </cell>
          <cell r="BL229">
            <v>2.5613590184702106E-2</v>
          </cell>
          <cell r="BM229">
            <v>4.830616769333651E-2</v>
          </cell>
          <cell r="BN229">
            <v>5.0261498782341318E-2</v>
          </cell>
          <cell r="BO229">
            <v>4.6028274930736135E-2</v>
          </cell>
          <cell r="BP229">
            <v>4.2585533796887898E-2</v>
          </cell>
          <cell r="BQ229">
            <v>6.6654126015750048E-2</v>
          </cell>
          <cell r="BR229">
            <v>6.6748262434383809E-2</v>
          </cell>
          <cell r="BS229">
            <v>6.6839825418201215E-2</v>
          </cell>
          <cell r="BT229">
            <v>6.6928550119152552E-2</v>
          </cell>
          <cell r="BU229">
            <v>6.6794534723272569E-2</v>
          </cell>
          <cell r="BV229">
            <v>6.701447413764372E-2</v>
          </cell>
          <cell r="BW229">
            <v>6.7098002614032648E-2</v>
          </cell>
          <cell r="BX229">
            <v>6.7179245940010013E-2</v>
          </cell>
          <cell r="BY229">
            <v>6.7257971764991265E-2</v>
          </cell>
          <cell r="BZ229">
            <v>6.713906825601379E-2</v>
          </cell>
        </row>
        <row r="231">
          <cell r="A231" t="str">
            <v>Analytics</v>
          </cell>
        </row>
        <row r="232">
          <cell r="AM232" t="str">
            <v>1Q13R</v>
          </cell>
          <cell r="AN232" t="str">
            <v>2Q13R</v>
          </cell>
          <cell r="AO232" t="str">
            <v>3Q13R</v>
          </cell>
          <cell r="AP232" t="str">
            <v>4Q13R</v>
          </cell>
          <cell r="AQ232" t="str">
            <v>2013R</v>
          </cell>
          <cell r="AR232" t="str">
            <v>1Q14</v>
          </cell>
          <cell r="AS232" t="str">
            <v>2Q14</v>
          </cell>
          <cell r="AT232" t="str">
            <v>3Q14</v>
          </cell>
          <cell r="AU232" t="str">
            <v>4Q14</v>
          </cell>
          <cell r="AV232">
            <v>2014</v>
          </cell>
          <cell r="AW232" t="str">
            <v>1Q15</v>
          </cell>
          <cell r="AX232" t="str">
            <v>2Q15</v>
          </cell>
          <cell r="AY232" t="str">
            <v>3Q15</v>
          </cell>
          <cell r="AZ232" t="str">
            <v>4Q15</v>
          </cell>
          <cell r="BA232">
            <v>2015</v>
          </cell>
          <cell r="BB232" t="str">
            <v>1Q16</v>
          </cell>
          <cell r="BC232" t="str">
            <v>2Q16</v>
          </cell>
          <cell r="BD232" t="str">
            <v>3Q16</v>
          </cell>
          <cell r="BE232" t="str">
            <v>4Q16</v>
          </cell>
          <cell r="BF232">
            <v>2016</v>
          </cell>
          <cell r="BG232" t="str">
            <v>1Q17</v>
          </cell>
          <cell r="BH232" t="str">
            <v>2Q17E</v>
          </cell>
          <cell r="BI232" t="str">
            <v>3Q17E</v>
          </cell>
          <cell r="BJ232" t="str">
            <v>4Q17E</v>
          </cell>
          <cell r="BK232" t="str">
            <v>2017E</v>
          </cell>
          <cell r="BL232" t="str">
            <v>1Q18E</v>
          </cell>
          <cell r="BM232" t="str">
            <v>2Q18E</v>
          </cell>
          <cell r="BN232" t="str">
            <v>3Q18E</v>
          </cell>
          <cell r="BO232" t="str">
            <v>4Q18E</v>
          </cell>
          <cell r="BP232" t="str">
            <v>2018E</v>
          </cell>
          <cell r="BQ232" t="str">
            <v>1Q19E</v>
          </cell>
          <cell r="BR232" t="str">
            <v>2Q19E</v>
          </cell>
          <cell r="BS232" t="str">
            <v>3Q19E</v>
          </cell>
          <cell r="BT232" t="str">
            <v>4Q19E</v>
          </cell>
          <cell r="BU232" t="str">
            <v>2019E</v>
          </cell>
          <cell r="BV232" t="str">
            <v>1Q20E</v>
          </cell>
          <cell r="BW232" t="str">
            <v>2Q20E</v>
          </cell>
          <cell r="BX232" t="str">
            <v>3Q20E</v>
          </cell>
          <cell r="BY232" t="str">
            <v>4Q20E</v>
          </cell>
          <cell r="BZ232" t="str">
            <v>2020E</v>
          </cell>
        </row>
        <row r="233">
          <cell r="B233" t="str">
            <v>Annualized run rate</v>
          </cell>
          <cell r="S233">
            <v>318.053</v>
          </cell>
          <cell r="T233">
            <v>321.68600000000004</v>
          </cell>
          <cell r="U233">
            <v>351.42199999999997</v>
          </cell>
          <cell r="V233">
            <v>348.66199999999998</v>
          </cell>
          <cell r="W233">
            <v>348.66199999999998</v>
          </cell>
          <cell r="X233">
            <v>360.69200000000001</v>
          </cell>
          <cell r="Y233">
            <v>367.5</v>
          </cell>
          <cell r="Z233">
            <v>371.024</v>
          </cell>
          <cell r="AA233">
            <v>369.32100000000003</v>
          </cell>
          <cell r="AB233">
            <v>369.32100000000003</v>
          </cell>
          <cell r="AC233">
            <v>375.72400000000005</v>
          </cell>
          <cell r="AD233">
            <v>376.14800000000002</v>
          </cell>
          <cell r="AE233">
            <v>377.73400000000004</v>
          </cell>
          <cell r="AF233">
            <v>371.94400000000002</v>
          </cell>
          <cell r="AG233">
            <v>371.94400000000002</v>
          </cell>
          <cell r="AH233">
            <v>380.61500000000001</v>
          </cell>
          <cell r="AI233">
            <v>385.54599999999999</v>
          </cell>
          <cell r="AJ233">
            <v>393.39</v>
          </cell>
          <cell r="AK233">
            <v>393.78</v>
          </cell>
          <cell r="AL233">
            <v>393.78</v>
          </cell>
          <cell r="AM233">
            <v>393.64499999999998</v>
          </cell>
          <cell r="AN233">
            <v>398.34</v>
          </cell>
          <cell r="AO233">
            <v>405.88299999999998</v>
          </cell>
          <cell r="AP233">
            <v>405.08199999999999</v>
          </cell>
          <cell r="AQ233">
            <v>405.08199999999999</v>
          </cell>
          <cell r="AR233">
            <v>410.99099999999999</v>
          </cell>
          <cell r="AS233">
            <v>416.10500000000002</v>
          </cell>
          <cell r="AT233">
            <v>418.012</v>
          </cell>
          <cell r="AU233">
            <v>417.67700000000002</v>
          </cell>
          <cell r="AV233">
            <v>417.67700000000002</v>
          </cell>
          <cell r="AW233">
            <v>417.64800000000002</v>
          </cell>
          <cell r="AX233">
            <v>425.43299999999999</v>
          </cell>
          <cell r="AY233">
            <v>430.33699999999999</v>
          </cell>
          <cell r="AZ233">
            <v>436.67099999999999</v>
          </cell>
          <cell r="BA233">
            <v>436.67099999999999</v>
          </cell>
          <cell r="BB233">
            <v>447.024</v>
          </cell>
          <cell r="BC233">
            <v>449.06200000000001</v>
          </cell>
          <cell r="BD233">
            <v>452.32299999999998</v>
          </cell>
          <cell r="BE233">
            <v>451.53300000000002</v>
          </cell>
          <cell r="BF233">
            <v>451.53300000000002</v>
          </cell>
          <cell r="BG233">
            <v>457.24900000000002</v>
          </cell>
          <cell r="BH233">
            <v>459.80912025000003</v>
          </cell>
          <cell r="BI233">
            <v>463.02249825000001</v>
          </cell>
          <cell r="BJ233">
            <v>467.41620875000001</v>
          </cell>
          <cell r="BK233">
            <v>467.41620875000001</v>
          </cell>
          <cell r="BL233">
            <v>472.29216725343753</v>
          </cell>
          <cell r="BM233">
            <v>475.35777102187501</v>
          </cell>
          <cell r="BN233">
            <v>479.17346391187499</v>
          </cell>
          <cell r="BO233">
            <v>484.37004333624998</v>
          </cell>
          <cell r="BP233">
            <v>484.37004333624998</v>
          </cell>
          <cell r="BQ233">
            <v>489.85138771036782</v>
          </cell>
          <cell r="BR233">
            <v>493.45871371814064</v>
          </cell>
          <cell r="BS233">
            <v>497.91987231107061</v>
          </cell>
          <cell r="BT233">
            <v>503.97681924597873</v>
          </cell>
          <cell r="BU233">
            <v>503.97681924597873</v>
          </cell>
          <cell r="BV233">
            <v>510.08136810560859</v>
          </cell>
          <cell r="BW233">
            <v>514.23791382174454</v>
          </cell>
          <cell r="BX233">
            <v>519.35453256715107</v>
          </cell>
          <cell r="BY233">
            <v>526.28588829190278</v>
          </cell>
          <cell r="BZ233">
            <v>526.28588829190278</v>
          </cell>
          <cell r="CB233">
            <v>3.1113435599872341E-2</v>
          </cell>
        </row>
        <row r="234">
          <cell r="B234" t="str">
            <v>Y/Y growth</v>
          </cell>
          <cell r="AW234">
            <v>1.6197434980328218E-2</v>
          </cell>
          <cell r="AX234">
            <v>2.2417418680381163E-2</v>
          </cell>
          <cell r="AY234">
            <v>2.9484799479440715E-2</v>
          </cell>
          <cell r="AZ234">
            <v>4.5475331416381382E-2</v>
          </cell>
          <cell r="BB234">
            <v>7.0336742903114535E-2</v>
          </cell>
          <cell r="BC234">
            <v>5.5541060519517904E-2</v>
          </cell>
          <cell r="BD234">
            <v>5.1090192105257115E-2</v>
          </cell>
          <cell r="BE234">
            <v>3.4034776754123808E-2</v>
          </cell>
          <cell r="BG234">
            <v>2.2873492250975458E-2</v>
          </cell>
        </row>
        <row r="235">
          <cell r="B235" t="str">
            <v>Subscription revenue - 1st quarter, 12.5%</v>
          </cell>
          <cell r="U235">
            <v>0</v>
          </cell>
          <cell r="V235">
            <v>0</v>
          </cell>
          <cell r="W235">
            <v>0</v>
          </cell>
          <cell r="X235">
            <v>9.9391562499999999</v>
          </cell>
          <cell r="Y235">
            <v>10.052687500000001</v>
          </cell>
          <cell r="Z235">
            <v>10.981937499999999</v>
          </cell>
          <cell r="AA235">
            <v>10.895687499999999</v>
          </cell>
          <cell r="AB235">
            <v>41.869468750000003</v>
          </cell>
          <cell r="AC235">
            <v>11.271625</v>
          </cell>
          <cell r="AD235">
            <v>11.484375</v>
          </cell>
          <cell r="AE235">
            <v>11.5945</v>
          </cell>
          <cell r="AF235">
            <v>11.541281250000001</v>
          </cell>
          <cell r="AG235">
            <v>45.891781249999994</v>
          </cell>
          <cell r="AH235">
            <v>11.741375000000001</v>
          </cell>
          <cell r="AI235">
            <v>11.754625000000001</v>
          </cell>
          <cell r="AJ235">
            <v>11.804187500000001</v>
          </cell>
          <cell r="AK235">
            <v>11.623250000000001</v>
          </cell>
          <cell r="AL235">
            <v>46.923437500000006</v>
          </cell>
          <cell r="AM235">
            <v>11.741375000000001</v>
          </cell>
          <cell r="AN235">
            <v>11.754625000000001</v>
          </cell>
          <cell r="AO235">
            <v>11.804187500000001</v>
          </cell>
          <cell r="AP235">
            <v>11.623250000000001</v>
          </cell>
          <cell r="AQ235">
            <v>46.923437500000006</v>
          </cell>
          <cell r="AR235">
            <v>11.89421875</v>
          </cell>
          <cell r="AS235">
            <v>12.0483125</v>
          </cell>
          <cell r="AT235">
            <v>12.2934375</v>
          </cell>
          <cell r="AU235">
            <v>12.305624999999999</v>
          </cell>
          <cell r="AV235">
            <v>48.541593749999997</v>
          </cell>
          <cell r="AW235">
            <v>12.84346875</v>
          </cell>
          <cell r="AX235">
            <v>13.003281250000001</v>
          </cell>
          <cell r="AY235">
            <v>13.062875</v>
          </cell>
          <cell r="AZ235">
            <v>13.052406250000001</v>
          </cell>
          <cell r="BA235">
            <v>51.962031249999995</v>
          </cell>
          <cell r="BB235">
            <v>13.051500000000001</v>
          </cell>
          <cell r="BC235">
            <v>13.29478125</v>
          </cell>
          <cell r="BD235">
            <v>13.44803125</v>
          </cell>
          <cell r="BE235">
            <v>13.64596875</v>
          </cell>
          <cell r="BF235">
            <v>53.440281250000005</v>
          </cell>
          <cell r="BG235">
            <v>13.9695</v>
          </cell>
          <cell r="BH235">
            <v>14.0331875</v>
          </cell>
          <cell r="BI235">
            <v>14.135093749999999</v>
          </cell>
          <cell r="BJ235">
            <v>14.11040625</v>
          </cell>
          <cell r="BK235">
            <v>56.2481875</v>
          </cell>
          <cell r="BL235">
            <v>14.289031250000001</v>
          </cell>
          <cell r="BM235">
            <v>14.369035007812501</v>
          </cell>
          <cell r="BN235">
            <v>14.4694530703125</v>
          </cell>
          <cell r="BO235">
            <v>14.6067565234375</v>
          </cell>
          <cell r="BP235">
            <v>57.734275851562501</v>
          </cell>
          <cell r="BQ235">
            <v>14.759130226669923</v>
          </cell>
          <cell r="BR235">
            <v>14.854930344433594</v>
          </cell>
          <cell r="BS235">
            <v>14.974170747246093</v>
          </cell>
          <cell r="BT235">
            <v>15.136563854257812</v>
          </cell>
          <cell r="BU235">
            <v>59.724795172607415</v>
          </cell>
          <cell r="BV235">
            <v>15.307855865948994</v>
          </cell>
          <cell r="BW235">
            <v>15.420584803691895</v>
          </cell>
          <cell r="BX235">
            <v>15.559996009720956</v>
          </cell>
          <cell r="BY235">
            <v>15.749275601436835</v>
          </cell>
          <cell r="BZ235">
            <v>62.037712280798679</v>
          </cell>
        </row>
        <row r="236">
          <cell r="B236" t="str">
            <v>Subscription revenue - 2nd quarter, 25%</v>
          </cell>
          <cell r="U236">
            <v>0</v>
          </cell>
          <cell r="V236">
            <v>19.8783125</v>
          </cell>
          <cell r="W236">
            <v>19.8783125</v>
          </cell>
          <cell r="X236">
            <v>20.105375000000002</v>
          </cell>
          <cell r="Y236">
            <v>21.963874999999998</v>
          </cell>
          <cell r="Z236">
            <v>21.791374999999999</v>
          </cell>
          <cell r="AA236">
            <v>21.791374999999999</v>
          </cell>
          <cell r="AB236">
            <v>85.652000000000001</v>
          </cell>
          <cell r="AC236">
            <v>22.96875</v>
          </cell>
          <cell r="AD236">
            <v>23.189</v>
          </cell>
          <cell r="AE236">
            <v>23.082562500000002</v>
          </cell>
          <cell r="AF236">
            <v>23.482750000000003</v>
          </cell>
          <cell r="AG236">
            <v>92.723062499999997</v>
          </cell>
          <cell r="AH236">
            <v>23.509250000000002</v>
          </cell>
          <cell r="AI236">
            <v>23.608375000000002</v>
          </cell>
          <cell r="AJ236">
            <v>23.246500000000001</v>
          </cell>
          <cell r="AK236">
            <v>23.788437500000001</v>
          </cell>
          <cell r="AL236">
            <v>94.152562500000002</v>
          </cell>
          <cell r="AM236">
            <v>23.509250000000002</v>
          </cell>
          <cell r="AN236">
            <v>23.608375000000002</v>
          </cell>
          <cell r="AO236">
            <v>23.246500000000001</v>
          </cell>
          <cell r="AP236">
            <v>23.246500000000001</v>
          </cell>
          <cell r="AQ236">
            <v>93.610624999999999</v>
          </cell>
          <cell r="AR236">
            <v>24.096625</v>
          </cell>
          <cell r="AS236">
            <v>24.586874999999999</v>
          </cell>
          <cell r="AT236">
            <v>24.611249999999998</v>
          </cell>
          <cell r="AU236">
            <v>24.611249999999998</v>
          </cell>
          <cell r="AV236">
            <v>97.905999999999992</v>
          </cell>
          <cell r="AW236">
            <v>26.006562500000001</v>
          </cell>
          <cell r="AX236">
            <v>26.12575</v>
          </cell>
          <cell r="AY236">
            <v>26.104812500000001</v>
          </cell>
          <cell r="AZ236">
            <v>26.103000000000002</v>
          </cell>
          <cell r="BA236">
            <v>104.340125</v>
          </cell>
          <cell r="BB236">
            <v>26.5895625</v>
          </cell>
          <cell r="BC236">
            <v>26.896062499999999</v>
          </cell>
          <cell r="BD236">
            <v>27.2919375</v>
          </cell>
          <cell r="BE236">
            <v>27.939</v>
          </cell>
          <cell r="BF236">
            <v>108.71656250000001</v>
          </cell>
          <cell r="BG236">
            <v>28.066375000000001</v>
          </cell>
          <cell r="BH236">
            <v>28.270187499999999</v>
          </cell>
          <cell r="BI236">
            <v>28.220812500000001</v>
          </cell>
          <cell r="BJ236">
            <v>28.578062500000001</v>
          </cell>
          <cell r="BK236">
            <v>113.13543750000001</v>
          </cell>
          <cell r="BL236">
            <v>28.738070015625002</v>
          </cell>
          <cell r="BM236">
            <v>28.938906140625001</v>
          </cell>
          <cell r="BN236">
            <v>29.213513046875001</v>
          </cell>
          <cell r="BO236">
            <v>29.518260453339845</v>
          </cell>
          <cell r="BP236">
            <v>116.40874965646486</v>
          </cell>
          <cell r="BQ236">
            <v>29.709860688867188</v>
          </cell>
          <cell r="BR236">
            <v>29.948341494492187</v>
          </cell>
          <cell r="BS236">
            <v>30.273127708515624</v>
          </cell>
          <cell r="BT236">
            <v>30.615711731897989</v>
          </cell>
          <cell r="BU236">
            <v>120.547041623773</v>
          </cell>
          <cell r="BV236">
            <v>30.84116960738379</v>
          </cell>
          <cell r="BW236">
            <v>31.119992019441913</v>
          </cell>
          <cell r="BX236">
            <v>31.498551202873671</v>
          </cell>
          <cell r="BY236">
            <v>31.880085506600537</v>
          </cell>
          <cell r="BZ236">
            <v>125.33979833629991</v>
          </cell>
        </row>
        <row r="237">
          <cell r="B237" t="str">
            <v>Subscription revenue - 3rd quarter, 25%</v>
          </cell>
          <cell r="U237">
            <v>19.8783125</v>
          </cell>
          <cell r="V237">
            <v>20.105375000000002</v>
          </cell>
          <cell r="W237">
            <v>39.983687500000002</v>
          </cell>
          <cell r="X237">
            <v>21.963874999999998</v>
          </cell>
          <cell r="Y237">
            <v>21.791374999999999</v>
          </cell>
          <cell r="Z237">
            <v>22.54325</v>
          </cell>
          <cell r="AA237">
            <v>22.96875</v>
          </cell>
          <cell r="AB237">
            <v>89.26724999999999</v>
          </cell>
          <cell r="AC237">
            <v>23.189</v>
          </cell>
          <cell r="AD237">
            <v>23.082562500000002</v>
          </cell>
          <cell r="AE237">
            <v>23.482750000000003</v>
          </cell>
          <cell r="AF237">
            <v>23.509250000000002</v>
          </cell>
          <cell r="AG237">
            <v>93.263562500000006</v>
          </cell>
          <cell r="AH237">
            <v>23.608375000000002</v>
          </cell>
          <cell r="AI237">
            <v>23.246500000000001</v>
          </cell>
          <cell r="AJ237">
            <v>23.788437500000001</v>
          </cell>
          <cell r="AK237">
            <v>24.096625</v>
          </cell>
          <cell r="AL237">
            <v>94.739937500000011</v>
          </cell>
          <cell r="AM237">
            <v>23.608375000000002</v>
          </cell>
          <cell r="AN237">
            <v>23.246500000000001</v>
          </cell>
          <cell r="AO237">
            <v>24.602812499999999</v>
          </cell>
          <cell r="AP237">
            <v>24.896249999999998</v>
          </cell>
          <cell r="AQ237">
            <v>96.353937500000001</v>
          </cell>
          <cell r="AR237">
            <v>24.586874999999999</v>
          </cell>
          <cell r="AS237">
            <v>24.611249999999998</v>
          </cell>
          <cell r="AT237">
            <v>25.686937499999999</v>
          </cell>
          <cell r="AU237">
            <v>26.006562500000001</v>
          </cell>
          <cell r="AV237">
            <v>100.891625</v>
          </cell>
          <cell r="AW237">
            <v>26.12575</v>
          </cell>
          <cell r="AX237">
            <v>26.104812500000001</v>
          </cell>
          <cell r="AY237">
            <v>26.103000000000002</v>
          </cell>
          <cell r="AZ237">
            <v>26.5895625</v>
          </cell>
          <cell r="BA237">
            <v>104.923125</v>
          </cell>
          <cell r="BB237">
            <v>26.896062499999999</v>
          </cell>
          <cell r="BC237">
            <v>27.2919375</v>
          </cell>
          <cell r="BD237">
            <v>27.939</v>
          </cell>
          <cell r="BE237">
            <v>28.066375000000001</v>
          </cell>
          <cell r="BF237">
            <v>110.193375</v>
          </cell>
          <cell r="BG237">
            <v>28.270187499999999</v>
          </cell>
          <cell r="BH237">
            <v>28.220812500000001</v>
          </cell>
          <cell r="BI237">
            <v>28.578062500000001</v>
          </cell>
          <cell r="BJ237">
            <v>28.738070015625002</v>
          </cell>
          <cell r="BK237">
            <v>113.807132515625</v>
          </cell>
          <cell r="BL237">
            <v>28.938906140625001</v>
          </cell>
          <cell r="BM237">
            <v>29.213513046875001</v>
          </cell>
          <cell r="BN237">
            <v>29.518260453339845</v>
          </cell>
          <cell r="BO237">
            <v>29.709860688867188</v>
          </cell>
          <cell r="BP237">
            <v>117.38054032970703</v>
          </cell>
          <cell r="BQ237">
            <v>29.948341494492187</v>
          </cell>
          <cell r="BR237">
            <v>30.273127708515624</v>
          </cell>
          <cell r="BS237">
            <v>30.615711731897989</v>
          </cell>
          <cell r="BT237">
            <v>30.84116960738379</v>
          </cell>
          <cell r="BU237">
            <v>121.67835054228959</v>
          </cell>
          <cell r="BV237">
            <v>31.119992019441913</v>
          </cell>
          <cell r="BW237">
            <v>31.498551202873671</v>
          </cell>
          <cell r="BX237">
            <v>31.880085506600537</v>
          </cell>
          <cell r="BY237">
            <v>32.139869613859034</v>
          </cell>
          <cell r="BZ237">
            <v>126.63849834277515</v>
          </cell>
        </row>
        <row r="238">
          <cell r="B238" t="str">
            <v>Subscription revenue - 4th quarter, 25%</v>
          </cell>
          <cell r="U238">
            <v>20.105375000000002</v>
          </cell>
          <cell r="V238">
            <v>21.963874999999998</v>
          </cell>
          <cell r="W238">
            <v>42.069249999999997</v>
          </cell>
          <cell r="X238">
            <v>21.791374999999999</v>
          </cell>
          <cell r="Y238">
            <v>22.54325</v>
          </cell>
          <cell r="Z238">
            <v>22.96875</v>
          </cell>
          <cell r="AA238">
            <v>23.189</v>
          </cell>
          <cell r="AB238">
            <v>90.49237500000001</v>
          </cell>
          <cell r="AC238">
            <v>23.082562500000002</v>
          </cell>
          <cell r="AD238">
            <v>23.482750000000003</v>
          </cell>
          <cell r="AE238">
            <v>23.509250000000002</v>
          </cell>
          <cell r="AF238">
            <v>23.608375000000002</v>
          </cell>
          <cell r="AG238">
            <v>93.682937500000008</v>
          </cell>
          <cell r="AH238">
            <v>23.246500000000001</v>
          </cell>
          <cell r="AI238">
            <v>23.788437500000001</v>
          </cell>
          <cell r="AJ238">
            <v>24.096625</v>
          </cell>
          <cell r="AK238">
            <v>24.586874999999999</v>
          </cell>
          <cell r="AL238">
            <v>95.718437499999993</v>
          </cell>
          <cell r="AM238">
            <v>23.246500000000001</v>
          </cell>
          <cell r="AN238">
            <v>24.602812499999999</v>
          </cell>
          <cell r="AO238">
            <v>24.896249999999998</v>
          </cell>
          <cell r="AP238">
            <v>25.367687499999999</v>
          </cell>
          <cell r="AQ238">
            <v>98.113249999999994</v>
          </cell>
          <cell r="AR238">
            <v>24.611249999999998</v>
          </cell>
          <cell r="AS238">
            <v>25.686937499999999</v>
          </cell>
          <cell r="AT238">
            <v>26.006562500000001</v>
          </cell>
          <cell r="AU238">
            <v>26.12575</v>
          </cell>
          <cell r="AV238">
            <v>102.43049999999999</v>
          </cell>
          <cell r="AW238">
            <v>26.104812500000001</v>
          </cell>
          <cell r="AX238">
            <v>26.103000000000002</v>
          </cell>
          <cell r="AY238">
            <v>26.5895625</v>
          </cell>
          <cell r="AZ238">
            <v>26.896062499999999</v>
          </cell>
          <cell r="BA238">
            <v>105.6934375</v>
          </cell>
          <cell r="BB238">
            <v>27.2919375</v>
          </cell>
          <cell r="BC238">
            <v>27.939</v>
          </cell>
          <cell r="BD238">
            <v>28.066375000000001</v>
          </cell>
          <cell r="BE238">
            <v>28.270187499999999</v>
          </cell>
          <cell r="BF238">
            <v>111.5675</v>
          </cell>
          <cell r="BG238">
            <v>28.220812500000001</v>
          </cell>
          <cell r="BH238">
            <v>28.578062500000001</v>
          </cell>
          <cell r="BI238">
            <v>28.738070015625002</v>
          </cell>
          <cell r="BJ238">
            <v>28.938906140625001</v>
          </cell>
          <cell r="BK238">
            <v>114.47585115625</v>
          </cell>
          <cell r="BL238">
            <v>29.213513046875001</v>
          </cell>
          <cell r="BM238">
            <v>29.518260453339845</v>
          </cell>
          <cell r="BN238">
            <v>29.709860688867188</v>
          </cell>
          <cell r="BO238">
            <v>29.948341494492187</v>
          </cell>
          <cell r="BP238">
            <v>118.38997568357422</v>
          </cell>
          <cell r="BQ238">
            <v>30.273127708515624</v>
          </cell>
          <cell r="BR238">
            <v>30.615711731897989</v>
          </cell>
          <cell r="BS238">
            <v>30.84116960738379</v>
          </cell>
          <cell r="BT238">
            <v>31.119992019441913</v>
          </cell>
          <cell r="BU238">
            <v>122.85000106723932</v>
          </cell>
          <cell r="BV238">
            <v>31.498551202873671</v>
          </cell>
          <cell r="BW238">
            <v>31.880085506600537</v>
          </cell>
          <cell r="BX238">
            <v>32.139869613859034</v>
          </cell>
          <cell r="BY238">
            <v>32.459658285446942</v>
          </cell>
          <cell r="BZ238">
            <v>127.97816460878019</v>
          </cell>
        </row>
        <row r="239">
          <cell r="B239" t="str">
            <v>Subscription revenue - 5th quarter, 12.5%</v>
          </cell>
          <cell r="U239">
            <v>10.981937499999999</v>
          </cell>
          <cell r="V239">
            <v>10.895687499999999</v>
          </cell>
          <cell r="W239">
            <v>21.877624999999998</v>
          </cell>
          <cell r="X239">
            <v>11.271625</v>
          </cell>
          <cell r="Y239">
            <v>11.484375</v>
          </cell>
          <cell r="Z239">
            <v>11.5945</v>
          </cell>
          <cell r="AA239">
            <v>11.541281250000001</v>
          </cell>
          <cell r="AB239">
            <v>45.891781249999994</v>
          </cell>
          <cell r="AC239">
            <v>11.741375000000001</v>
          </cell>
          <cell r="AD239">
            <v>11.754625000000001</v>
          </cell>
          <cell r="AE239">
            <v>11.804187500000001</v>
          </cell>
          <cell r="AF239">
            <v>11.623250000000001</v>
          </cell>
          <cell r="AG239">
            <v>46.923437500000006</v>
          </cell>
          <cell r="AH239">
            <v>11.89421875</v>
          </cell>
          <cell r="AI239">
            <v>12.0483125</v>
          </cell>
          <cell r="AJ239">
            <v>12.2934375</v>
          </cell>
          <cell r="AK239">
            <v>12.305624999999999</v>
          </cell>
          <cell r="AL239">
            <v>48.541593749999997</v>
          </cell>
          <cell r="AM239">
            <v>12.301406249999999</v>
          </cell>
          <cell r="AN239">
            <v>12.448124999999999</v>
          </cell>
          <cell r="AO239">
            <v>12.683843749999999</v>
          </cell>
          <cell r="AP239">
            <v>12.6588125</v>
          </cell>
          <cell r="AQ239">
            <v>50.092187499999994</v>
          </cell>
          <cell r="AR239">
            <v>12.84346875</v>
          </cell>
          <cell r="AS239">
            <v>13.003281250000001</v>
          </cell>
          <cell r="AT239">
            <v>13.062875</v>
          </cell>
          <cell r="AU239">
            <v>13.052406250000001</v>
          </cell>
          <cell r="AV239">
            <v>51.962031249999995</v>
          </cell>
          <cell r="AW239">
            <v>13.051500000000001</v>
          </cell>
          <cell r="AX239">
            <v>13.29478125</v>
          </cell>
          <cell r="AY239">
            <v>13.44803125</v>
          </cell>
          <cell r="AZ239">
            <v>13.64596875</v>
          </cell>
          <cell r="BA239">
            <v>53.440281250000005</v>
          </cell>
          <cell r="BB239">
            <v>13.9695</v>
          </cell>
          <cell r="BC239">
            <v>14.0331875</v>
          </cell>
          <cell r="BD239">
            <v>14.135093749999999</v>
          </cell>
          <cell r="BE239">
            <v>14.11040625</v>
          </cell>
          <cell r="BF239">
            <v>56.2481875</v>
          </cell>
          <cell r="BG239">
            <v>14.289031250000001</v>
          </cell>
          <cell r="BH239">
            <v>14.369035007812501</v>
          </cell>
          <cell r="BI239">
            <v>14.4694530703125</v>
          </cell>
          <cell r="BJ239">
            <v>14.6067565234375</v>
          </cell>
          <cell r="BK239">
            <v>57.734275851562501</v>
          </cell>
          <cell r="BL239">
            <v>14.759130226669923</v>
          </cell>
          <cell r="BM239">
            <v>14.854930344433594</v>
          </cell>
          <cell r="BN239">
            <v>14.974170747246093</v>
          </cell>
          <cell r="BO239">
            <v>15.136563854257812</v>
          </cell>
          <cell r="BP239">
            <v>59.724795172607415</v>
          </cell>
          <cell r="BQ239">
            <v>15.307855865948994</v>
          </cell>
          <cell r="BR239">
            <v>15.420584803691895</v>
          </cell>
          <cell r="BS239">
            <v>15.559996009720956</v>
          </cell>
          <cell r="BT239">
            <v>15.749275601436835</v>
          </cell>
          <cell r="BU239">
            <v>62.037712280798679</v>
          </cell>
          <cell r="BV239">
            <v>15.940042753300268</v>
          </cell>
          <cell r="BW239">
            <v>16.069934806929517</v>
          </cell>
          <cell r="BX239">
            <v>16.229829142723471</v>
          </cell>
          <cell r="BY239">
            <v>16.446434009121962</v>
          </cell>
          <cell r="BZ239">
            <v>64.686240712075218</v>
          </cell>
        </row>
        <row r="241">
          <cell r="B241" t="str">
            <v>Quarterly new sales</v>
          </cell>
          <cell r="D241">
            <v>13.159908940350322</v>
          </cell>
          <cell r="E241">
            <v>7.2997124772239523</v>
          </cell>
          <cell r="F241">
            <v>12.306791285336869</v>
          </cell>
          <cell r="G241">
            <v>8.7724331660384838</v>
          </cell>
          <cell r="H241">
            <v>41.538845868949629</v>
          </cell>
          <cell r="I241">
            <v>10.488366499999991</v>
          </cell>
          <cell r="J241">
            <v>10.111320249999993</v>
          </cell>
          <cell r="K241">
            <v>4.9681977500000087</v>
          </cell>
          <cell r="L241">
            <v>6.5890697500000091</v>
          </cell>
          <cell r="M241">
            <v>0</v>
          </cell>
          <cell r="N241">
            <v>0</v>
          </cell>
          <cell r="O241">
            <v>0</v>
          </cell>
          <cell r="P241">
            <v>0</v>
          </cell>
          <cell r="Q241">
            <v>14</v>
          </cell>
          <cell r="R241">
            <v>0</v>
          </cell>
          <cell r="S241">
            <v>0</v>
          </cell>
          <cell r="T241">
            <v>0</v>
          </cell>
          <cell r="U241">
            <v>41.26195174999998</v>
          </cell>
          <cell r="V241">
            <v>14.13362050000001</v>
          </cell>
          <cell r="W241">
            <v>55.395572249999987</v>
          </cell>
          <cell r="X241">
            <v>18.697811000000016</v>
          </cell>
          <cell r="Y241">
            <v>13.837224999999989</v>
          </cell>
          <cell r="Z241">
            <v>11.993497</v>
          </cell>
          <cell r="AA241">
            <v>13.190248000000008</v>
          </cell>
          <cell r="AB241">
            <v>57.718781000000007</v>
          </cell>
          <cell r="AC241">
            <v>12.626915250000009</v>
          </cell>
          <cell r="AD241">
            <v>11.373157999999993</v>
          </cell>
          <cell r="AE241">
            <v>13.470587249999998</v>
          </cell>
          <cell r="AF241">
            <v>10.820274999999995</v>
          </cell>
          <cell r="AG241">
            <v>48.290935499999996</v>
          </cell>
          <cell r="AH241">
            <v>17.955251999999991</v>
          </cell>
          <cell r="AI241">
            <v>13.647994999999995</v>
          </cell>
          <cell r="AJ241">
            <v>16.246704500000003</v>
          </cell>
          <cell r="AK241">
            <v>12.668412999999971</v>
          </cell>
          <cell r="AL241">
            <v>60.518364499999954</v>
          </cell>
          <cell r="AM241">
            <v>13.6</v>
          </cell>
          <cell r="AN241">
            <v>14.3</v>
          </cell>
          <cell r="AO241">
            <v>13.5</v>
          </cell>
          <cell r="AP241">
            <v>12.6</v>
          </cell>
          <cell r="AQ241">
            <v>53.900000000000006</v>
          </cell>
          <cell r="AR241">
            <v>14.9</v>
          </cell>
          <cell r="AS241">
            <v>12.7</v>
          </cell>
          <cell r="AT241">
            <v>13.9</v>
          </cell>
          <cell r="AU241">
            <v>14</v>
          </cell>
          <cell r="AV241">
            <v>55.6</v>
          </cell>
          <cell r="AW241">
            <v>13.5</v>
          </cell>
          <cell r="AX241">
            <v>12.399999999999999</v>
          </cell>
          <cell r="AY241">
            <v>10.399999999999999</v>
          </cell>
          <cell r="AZ241">
            <v>16.481000000000002</v>
          </cell>
          <cell r="BA241">
            <v>52.780999999999999</v>
          </cell>
          <cell r="BB241">
            <v>12.358000000000001</v>
          </cell>
          <cell r="BC241">
            <v>11.148999999999999</v>
          </cell>
          <cell r="BD241">
            <v>13.131</v>
          </cell>
          <cell r="BE241">
            <v>18.617000000000001</v>
          </cell>
          <cell r="BF241">
            <v>55.254999999999995</v>
          </cell>
          <cell r="BG241">
            <v>11.874000000000001</v>
          </cell>
          <cell r="BH241">
            <v>11.92943</v>
          </cell>
          <cell r="BI241">
            <v>14.050170000000001</v>
          </cell>
          <cell r="BJ241">
            <v>18.617000000000001</v>
          </cell>
          <cell r="BK241">
            <v>61.598100000000017</v>
          </cell>
          <cell r="BL241">
            <v>12.705180000000002</v>
          </cell>
          <cell r="BM241">
            <v>12.764490100000002</v>
          </cell>
          <cell r="BN241">
            <v>15.033681900000003</v>
          </cell>
          <cell r="BO241">
            <v>19.920190000000002</v>
          </cell>
          <cell r="BP241">
            <v>65.909967000000009</v>
          </cell>
          <cell r="BQ241">
            <v>13.594542600000002</v>
          </cell>
          <cell r="BR241">
            <v>13.658004407000002</v>
          </cell>
          <cell r="BS241">
            <v>16.086039633000006</v>
          </cell>
          <cell r="BT241">
            <v>21.314603300000002</v>
          </cell>
          <cell r="BU241">
            <v>70.523664690000018</v>
          </cell>
          <cell r="BV241">
            <v>14.546160582000002</v>
          </cell>
          <cell r="BW241">
            <v>14.614064715490002</v>
          </cell>
          <cell r="BX241">
            <v>17.212062407310007</v>
          </cell>
          <cell r="BY241">
            <v>22.806625531000002</v>
          </cell>
          <cell r="BZ241">
            <v>75.460321218300024</v>
          </cell>
        </row>
        <row r="242">
          <cell r="B242" t="str">
            <v>y/y change</v>
          </cell>
          <cell r="AR242">
            <v>9.5588235294117752E-2</v>
          </cell>
          <cell r="AS242">
            <v>-0.11188811188811199</v>
          </cell>
          <cell r="AT242">
            <v>2.9629629629629672E-2</v>
          </cell>
          <cell r="AU242">
            <v>0.11111111111111116</v>
          </cell>
          <cell r="AV242">
            <v>3.153988868274582E-2</v>
          </cell>
          <cell r="AW242">
            <v>-9.3959731543624136E-2</v>
          </cell>
          <cell r="AX242">
            <v>-2.3622047244094557E-2</v>
          </cell>
          <cell r="AY242">
            <v>-0.25179856115107924</v>
          </cell>
          <cell r="AZ242">
            <v>0.17721428571428577</v>
          </cell>
          <cell r="BA242">
            <v>-5.0701438848920866E-2</v>
          </cell>
          <cell r="BB242">
            <v>-8.4592592592592553E-2</v>
          </cell>
          <cell r="BC242">
            <v>-0.1008870967741935</v>
          </cell>
          <cell r="BD242">
            <v>0.26259615384615409</v>
          </cell>
          <cell r="BE242">
            <v>0.12960378617802304</v>
          </cell>
          <cell r="BF242">
            <v>4.6872927758094596E-2</v>
          </cell>
          <cell r="BG242">
            <v>-3.9164913416410374E-2</v>
          </cell>
          <cell r="BH242">
            <v>7.0000000000000062E-2</v>
          </cell>
          <cell r="BI242">
            <v>7.0000000000000062E-2</v>
          </cell>
          <cell r="BJ242">
            <v>0</v>
          </cell>
          <cell r="BK242">
            <v>0.11479685096371406</v>
          </cell>
          <cell r="BL242">
            <v>7.0000000000000062E-2</v>
          </cell>
          <cell r="BM242">
            <v>7.0000000000000062E-2</v>
          </cell>
          <cell r="BN242">
            <v>7.0000000000000062E-2</v>
          </cell>
          <cell r="BO242">
            <v>7.0000000000000062E-2</v>
          </cell>
          <cell r="BP242">
            <v>6.999999999999984E-2</v>
          </cell>
          <cell r="BQ242">
            <v>7.0000000000000062E-2</v>
          </cell>
          <cell r="BR242">
            <v>7.0000000000000062E-2</v>
          </cell>
          <cell r="BS242">
            <v>7.0000000000000062E-2</v>
          </cell>
          <cell r="BT242">
            <v>7.0000000000000062E-2</v>
          </cell>
          <cell r="BU242">
            <v>7.0000000000000062E-2</v>
          </cell>
          <cell r="BV242">
            <v>7.0000000000000062E-2</v>
          </cell>
          <cell r="BW242">
            <v>7.0000000000000062E-2</v>
          </cell>
          <cell r="BX242">
            <v>7.0000000000000062E-2</v>
          </cell>
          <cell r="BY242">
            <v>7.0000000000000062E-2</v>
          </cell>
          <cell r="BZ242">
            <v>7.0000000000000062E-2</v>
          </cell>
        </row>
        <row r="243">
          <cell r="B243" t="str">
            <v>BULL</v>
          </cell>
          <cell r="BE243">
            <v>18.170302500000002</v>
          </cell>
          <cell r="BG243">
            <v>13.884213000000003</v>
          </cell>
          <cell r="BH243">
            <v>12.5259015</v>
          </cell>
          <cell r="BI243">
            <v>14.752678500000002</v>
          </cell>
          <cell r="BJ243">
            <v>19.54785</v>
          </cell>
          <cell r="BL243">
            <v>13.340439000000003</v>
          </cell>
          <cell r="BM243">
            <v>13.402714605000002</v>
          </cell>
          <cell r="BN243">
            <v>15.785365995000005</v>
          </cell>
          <cell r="BO243">
            <v>20.916199500000001</v>
          </cell>
          <cell r="BQ243">
            <v>14.274269730000002</v>
          </cell>
          <cell r="BR243">
            <v>14.340904627350003</v>
          </cell>
          <cell r="BS243">
            <v>16.890341614650008</v>
          </cell>
          <cell r="BT243">
            <v>22.380333465000003</v>
          </cell>
          <cell r="BV243">
            <v>15.273468611100004</v>
          </cell>
          <cell r="BW243">
            <v>15.344767951264503</v>
          </cell>
          <cell r="BX243">
            <v>18.072665527675507</v>
          </cell>
          <cell r="BY243">
            <v>23.946956807550002</v>
          </cell>
        </row>
        <row r="244">
          <cell r="B244" t="str">
            <v>BASE</v>
          </cell>
          <cell r="AR244">
            <v>14.9</v>
          </cell>
          <cell r="AS244">
            <v>12.7</v>
          </cell>
          <cell r="AT244">
            <v>13.9</v>
          </cell>
          <cell r="AU244">
            <v>14</v>
          </cell>
          <cell r="AW244">
            <v>13.5</v>
          </cell>
          <cell r="AX244">
            <v>12.399999999999999</v>
          </cell>
          <cell r="AY244">
            <v>10.399999999999999</v>
          </cell>
          <cell r="AZ244">
            <v>16.481000000000002</v>
          </cell>
          <cell r="BB244">
            <v>12.358000000000001</v>
          </cell>
          <cell r="BC244">
            <v>11.148999999999999</v>
          </cell>
          <cell r="BD244">
            <v>13.131</v>
          </cell>
          <cell r="BE244">
            <v>18.617000000000001</v>
          </cell>
          <cell r="BG244">
            <v>11.874000000000001</v>
          </cell>
          <cell r="BH244">
            <v>11.92943</v>
          </cell>
          <cell r="BI244">
            <v>14.050170000000001</v>
          </cell>
          <cell r="BJ244">
            <v>18.617000000000001</v>
          </cell>
          <cell r="BL244">
            <v>12.705180000000002</v>
          </cell>
          <cell r="BM244">
            <v>12.764490100000002</v>
          </cell>
          <cell r="BN244">
            <v>15.033681900000003</v>
          </cell>
          <cell r="BO244">
            <v>19.920190000000002</v>
          </cell>
          <cell r="BQ244">
            <v>13.594542600000002</v>
          </cell>
          <cell r="BR244">
            <v>13.658004407000002</v>
          </cell>
          <cell r="BS244">
            <v>16.086039633000006</v>
          </cell>
          <cell r="BT244">
            <v>21.314603300000002</v>
          </cell>
          <cell r="BV244">
            <v>14.546160582000002</v>
          </cell>
          <cell r="BW244">
            <v>14.614064715490002</v>
          </cell>
          <cell r="BX244">
            <v>17.212062407310007</v>
          </cell>
          <cell r="BY244">
            <v>22.806625531000002</v>
          </cell>
        </row>
        <row r="245">
          <cell r="B245" t="str">
            <v>BEAR</v>
          </cell>
          <cell r="BE245">
            <v>13.844040000000001</v>
          </cell>
          <cell r="BG245">
            <v>10.578448000000002</v>
          </cell>
          <cell r="BH245">
            <v>9.5435440000000007</v>
          </cell>
          <cell r="BI245">
            <v>11.240136000000001</v>
          </cell>
          <cell r="BJ245">
            <v>14.893600000000001</v>
          </cell>
          <cell r="BL245">
            <v>10.164144000000002</v>
          </cell>
          <cell r="BM245">
            <v>10.211592080000003</v>
          </cell>
          <cell r="BN245">
            <v>12.026945520000003</v>
          </cell>
          <cell r="BO245">
            <v>15.936152000000002</v>
          </cell>
          <cell r="BQ245">
            <v>10.875634080000003</v>
          </cell>
          <cell r="BR245">
            <v>10.926403525600001</v>
          </cell>
          <cell r="BS245">
            <v>12.868831706400005</v>
          </cell>
          <cell r="BT245">
            <v>17.051682640000003</v>
          </cell>
          <cell r="BV245">
            <v>11.636928465600002</v>
          </cell>
          <cell r="BW245">
            <v>11.691251772392002</v>
          </cell>
          <cell r="BX245">
            <v>13.769649925848007</v>
          </cell>
          <cell r="BY245">
            <v>18.245300424800003</v>
          </cell>
        </row>
        <row r="247">
          <cell r="B247" t="str">
            <v>Quarterly cancellations</v>
          </cell>
          <cell r="D247">
            <v>-1.5571492395280453</v>
          </cell>
          <cell r="E247">
            <v>-1.9897124772239576</v>
          </cell>
          <cell r="F247">
            <v>-3.2657912853368698</v>
          </cell>
          <cell r="G247">
            <v>-4.2574331660384734</v>
          </cell>
          <cell r="H247">
            <v>-11.070086168127347</v>
          </cell>
          <cell r="I247">
            <v>-1.5983665000000014</v>
          </cell>
          <cell r="J247">
            <v>-5.1483202499999994</v>
          </cell>
          <cell r="K247">
            <v>-4.4841977499999999</v>
          </cell>
          <cell r="L247">
            <v>-10.564069750000003</v>
          </cell>
          <cell r="M247">
            <v>0</v>
          </cell>
          <cell r="N247">
            <v>0</v>
          </cell>
          <cell r="O247">
            <v>0</v>
          </cell>
          <cell r="P247">
            <v>0</v>
          </cell>
          <cell r="Q247">
            <v>0</v>
          </cell>
          <cell r="R247">
            <v>0</v>
          </cell>
          <cell r="S247">
            <v>0</v>
          </cell>
          <cell r="T247">
            <v>0</v>
          </cell>
          <cell r="U247">
            <v>-11.525951750000001</v>
          </cell>
          <cell r="V247">
            <v>-18.893620500000001</v>
          </cell>
          <cell r="W247">
            <v>-30.419572250000005</v>
          </cell>
          <cell r="X247">
            <v>-6.6678110000000022</v>
          </cell>
          <cell r="Y247">
            <v>-7.0292249999999967</v>
          </cell>
          <cell r="Z247">
            <v>-8.4694969999999987</v>
          </cell>
          <cell r="AA247">
            <v>-14.893247999999996</v>
          </cell>
          <cell r="AB247">
            <v>-37.059781000000001</v>
          </cell>
          <cell r="AC247">
            <v>-6.2239152500000028</v>
          </cell>
          <cell r="AD247">
            <v>-10.949158000000001</v>
          </cell>
          <cell r="AE247">
            <v>-11.884587250000001</v>
          </cell>
          <cell r="AF247">
            <v>-16.610275000000001</v>
          </cell>
          <cell r="AG247">
            <v>-45.667935500000006</v>
          </cell>
          <cell r="AH247">
            <v>-9.2842519999999986</v>
          </cell>
          <cell r="AI247">
            <v>-8.7169949999999972</v>
          </cell>
          <cell r="AJ247">
            <v>-8.4027044999999969</v>
          </cell>
          <cell r="AK247">
            <v>-12.278412999999999</v>
          </cell>
          <cell r="AL247">
            <v>-38.682364499999991</v>
          </cell>
          <cell r="AM247">
            <v>-9.7249970000000019</v>
          </cell>
          <cell r="AN247">
            <v>-9.0696700000000003</v>
          </cell>
          <cell r="AO247">
            <v>-8.8930310000000006</v>
          </cell>
          <cell r="AP247">
            <v>-13.147948999999999</v>
          </cell>
          <cell r="AQ247">
            <v>-40.835647000000002</v>
          </cell>
          <cell r="AR247">
            <v>-9.2174699999999969</v>
          </cell>
          <cell r="AS247">
            <v>-7.6817219999999979</v>
          </cell>
          <cell r="AT247">
            <v>-5.960936000000002</v>
          </cell>
          <cell r="AU247">
            <v>-10.410261999999998</v>
          </cell>
          <cell r="AV247">
            <v>-33.270389999999999</v>
          </cell>
          <cell r="AW247">
            <v>-7.4464387499999951</v>
          </cell>
          <cell r="AX247">
            <v>-6.4854000000000029</v>
          </cell>
          <cell r="AY247">
            <v>-4.9714547500000048</v>
          </cell>
          <cell r="AZ247">
            <v>-10.593</v>
          </cell>
          <cell r="BA247">
            <v>-28.973019999999998</v>
          </cell>
          <cell r="BB247">
            <v>-5.9109999999999996</v>
          </cell>
          <cell r="BC247">
            <v>-9.0150000000000006</v>
          </cell>
          <cell r="BD247">
            <v>-10.53</v>
          </cell>
          <cell r="BE247">
            <v>-13.749000000000001</v>
          </cell>
          <cell r="BF247">
            <v>-39.204999999999998</v>
          </cell>
          <cell r="BG247">
            <v>-7.6109999999999998</v>
          </cell>
          <cell r="BH247">
            <v>-9.3693097499999958</v>
          </cell>
          <cell r="BI247">
            <v>-10.836791999999997</v>
          </cell>
          <cell r="BJ247">
            <v>-14.2232895</v>
          </cell>
          <cell r="BK247">
            <v>-42.040391249999992</v>
          </cell>
          <cell r="BL247">
            <v>-7.8292214965624938</v>
          </cell>
          <cell r="BM247">
            <v>-9.6988863315624965</v>
          </cell>
          <cell r="BN247">
            <v>-11.217989009999997</v>
          </cell>
          <cell r="BO247">
            <v>-14.723610575625001</v>
          </cell>
          <cell r="BP247">
            <v>-43.469707413749987</v>
          </cell>
          <cell r="BQ247">
            <v>-8.1131982258821811</v>
          </cell>
          <cell r="BR247">
            <v>-10.050678399227182</v>
          </cell>
          <cell r="BS247">
            <v>-11.624881040069996</v>
          </cell>
          <cell r="BT247">
            <v>-15.257656365091874</v>
          </cell>
          <cell r="BU247">
            <v>-45.046414030271237</v>
          </cell>
          <cell r="BV247">
            <v>-8.441611722370137</v>
          </cell>
          <cell r="BW247">
            <v>-10.457518999354054</v>
          </cell>
          <cell r="BX247">
            <v>-12.095443661903486</v>
          </cell>
          <cell r="BY247">
            <v>-15.87526980624833</v>
          </cell>
          <cell r="BZ247">
            <v>-46.869844189876005</v>
          </cell>
        </row>
        <row r="248">
          <cell r="B248" t="str">
            <v>Cancellation rate (as % of beginning of year run rate)</v>
          </cell>
          <cell r="AU248">
            <v>0.10299999999999998</v>
          </cell>
          <cell r="AV248">
            <v>8.1999999999999962E-2</v>
          </cell>
          <cell r="AW248">
            <v>7.0999999999999952E-2</v>
          </cell>
          <cell r="AX248">
            <v>6.2000000000000055E-2</v>
          </cell>
          <cell r="AY248">
            <v>4.7000000000000042E-2</v>
          </cell>
          <cell r="AZ248">
            <v>0.10099999999999998</v>
          </cell>
          <cell r="BA248">
            <v>6.9999999999999951E-2</v>
          </cell>
          <cell r="BB248">
            <v>5.4000000000000048E-2</v>
          </cell>
          <cell r="BC248">
            <v>8.2999999999999963E-2</v>
          </cell>
          <cell r="BD248">
            <v>9.5999999999999974E-2</v>
          </cell>
          <cell r="BE248">
            <v>0.126</v>
          </cell>
          <cell r="BF248">
            <v>8.9781551786127317E-2</v>
          </cell>
          <cell r="BG248">
            <v>6.6999999999999948E-2</v>
          </cell>
          <cell r="BH248">
            <v>8.2999999999999963E-2</v>
          </cell>
          <cell r="BI248">
            <v>9.5999999999999974E-2</v>
          </cell>
          <cell r="BJ248">
            <v>0.126</v>
          </cell>
          <cell r="BK248">
            <v>9.3105910863657784E-2</v>
          </cell>
          <cell r="BL248">
            <v>6.6999999999999948E-2</v>
          </cell>
          <cell r="BM248">
            <v>8.2999999999999963E-2</v>
          </cell>
          <cell r="BN248">
            <v>9.5999999999999974E-2</v>
          </cell>
          <cell r="BO248">
            <v>0.126</v>
          </cell>
          <cell r="BP248">
            <v>9.2999999999999972E-2</v>
          </cell>
          <cell r="BQ248">
            <v>6.6999999999999948E-2</v>
          </cell>
          <cell r="BR248">
            <v>8.2999999999999963E-2</v>
          </cell>
          <cell r="BS248">
            <v>9.5999999999999974E-2</v>
          </cell>
          <cell r="BT248">
            <v>0.126</v>
          </cell>
          <cell r="BU248">
            <v>9.2999999999999972E-2</v>
          </cell>
          <cell r="BV248">
            <v>6.6999999999999948E-2</v>
          </cell>
          <cell r="BW248">
            <v>8.2999999999999963E-2</v>
          </cell>
          <cell r="BX248">
            <v>9.5999999999999974E-2</v>
          </cell>
          <cell r="BY248">
            <v>0.126</v>
          </cell>
          <cell r="BZ248">
            <v>9.2999999999999972E-2</v>
          </cell>
        </row>
        <row r="249">
          <cell r="B249" t="str">
            <v>BULL - Retention rate</v>
          </cell>
          <cell r="BE249">
            <v>0.90400000000000003</v>
          </cell>
          <cell r="BF249">
            <v>0.90400000000000003</v>
          </cell>
          <cell r="BG249">
            <v>0.96099999999999997</v>
          </cell>
          <cell r="BH249">
            <v>0.94200000000000006</v>
          </cell>
          <cell r="BI249">
            <v>0.92900000000000005</v>
          </cell>
          <cell r="BJ249">
            <v>0.89900000000000002</v>
          </cell>
          <cell r="BK249">
            <v>0.93274999999999997</v>
          </cell>
          <cell r="BL249">
            <v>0.95800000000000007</v>
          </cell>
          <cell r="BM249">
            <v>0.94200000000000006</v>
          </cell>
          <cell r="BN249">
            <v>0.92900000000000005</v>
          </cell>
          <cell r="BO249">
            <v>0.89900000000000002</v>
          </cell>
          <cell r="BP249">
            <v>0.93274999999999997</v>
          </cell>
          <cell r="BQ249">
            <v>0.95800000000000007</v>
          </cell>
          <cell r="BR249">
            <v>0.94200000000000006</v>
          </cell>
          <cell r="BS249">
            <v>0.92900000000000005</v>
          </cell>
          <cell r="BT249">
            <v>0.89900000000000002</v>
          </cell>
          <cell r="BU249">
            <v>0.93274999999999997</v>
          </cell>
          <cell r="BV249">
            <v>0.95800000000000007</v>
          </cell>
          <cell r="BW249">
            <v>0.94200000000000006</v>
          </cell>
          <cell r="BX249">
            <v>0.92900000000000005</v>
          </cell>
          <cell r="BY249">
            <v>0.89900000000000002</v>
          </cell>
          <cell r="BZ249">
            <v>0.93274999999999997</v>
          </cell>
        </row>
        <row r="250">
          <cell r="B250" t="str">
            <v>BASE - Retention rate</v>
          </cell>
          <cell r="D250">
            <v>0</v>
          </cell>
          <cell r="E250">
            <v>0</v>
          </cell>
          <cell r="F250">
            <v>0</v>
          </cell>
          <cell r="G250">
            <v>0</v>
          </cell>
          <cell r="H250">
            <v>0</v>
          </cell>
          <cell r="I250">
            <v>0</v>
          </cell>
          <cell r="J250">
            <v>0</v>
          </cell>
          <cell r="K250">
            <v>0</v>
          </cell>
          <cell r="L250">
            <v>0</v>
          </cell>
          <cell r="P250">
            <v>0</v>
          </cell>
          <cell r="Q250">
            <v>0</v>
          </cell>
          <cell r="S250">
            <v>0</v>
          </cell>
          <cell r="T250">
            <v>0</v>
          </cell>
          <cell r="AU250">
            <v>0.89700000000000002</v>
          </cell>
          <cell r="AV250">
            <v>0.91800000000000004</v>
          </cell>
          <cell r="AW250">
            <v>0.92900000000000005</v>
          </cell>
          <cell r="AX250">
            <v>0.93799999999999994</v>
          </cell>
          <cell r="AY250">
            <v>0.95299999999999996</v>
          </cell>
          <cell r="AZ250">
            <v>0.89900000000000002</v>
          </cell>
          <cell r="BA250">
            <v>0.93</v>
          </cell>
          <cell r="BB250">
            <v>0.94599999999999995</v>
          </cell>
          <cell r="BC250">
            <v>0.91700000000000004</v>
          </cell>
          <cell r="BD250">
            <v>0.90400000000000003</v>
          </cell>
          <cell r="BE250">
            <v>0.874</v>
          </cell>
          <cell r="BF250">
            <v>0.91</v>
          </cell>
          <cell r="BG250">
            <v>0.93300000000000005</v>
          </cell>
          <cell r="BH250">
            <v>0.91700000000000004</v>
          </cell>
          <cell r="BI250">
            <v>0.90400000000000003</v>
          </cell>
          <cell r="BJ250">
            <v>0.874</v>
          </cell>
          <cell r="BK250">
            <v>0.90775000000000006</v>
          </cell>
          <cell r="BL250">
            <v>0.93300000000000005</v>
          </cell>
          <cell r="BM250">
            <v>0.91700000000000004</v>
          </cell>
          <cell r="BN250">
            <v>0.90400000000000003</v>
          </cell>
          <cell r="BO250">
            <v>0.874</v>
          </cell>
          <cell r="BP250">
            <v>0.90775000000000006</v>
          </cell>
          <cell r="BQ250">
            <v>0.93300000000000005</v>
          </cell>
          <cell r="BR250">
            <v>0.91700000000000004</v>
          </cell>
          <cell r="BS250">
            <v>0.90400000000000003</v>
          </cell>
          <cell r="BT250">
            <v>0.874</v>
          </cell>
          <cell r="BU250">
            <v>0.90775000000000006</v>
          </cell>
          <cell r="BV250">
            <v>0.93300000000000005</v>
          </cell>
          <cell r="BW250">
            <v>0.91700000000000004</v>
          </cell>
          <cell r="BX250">
            <v>0.90400000000000003</v>
          </cell>
          <cell r="BY250">
            <v>0.874</v>
          </cell>
          <cell r="BZ250">
            <v>0.90775000000000006</v>
          </cell>
        </row>
        <row r="251">
          <cell r="B251" t="str">
            <v>BEAR - Retention rate</v>
          </cell>
          <cell r="BE251">
            <v>0.85899999999999999</v>
          </cell>
          <cell r="BF251">
            <v>0.85899999999999999</v>
          </cell>
          <cell r="BG251">
            <v>0.91599999999999993</v>
          </cell>
          <cell r="BH251">
            <v>0.89700000000000002</v>
          </cell>
          <cell r="BI251">
            <v>0.88400000000000001</v>
          </cell>
          <cell r="BJ251">
            <v>0.85399999999999998</v>
          </cell>
          <cell r="BK251">
            <v>0.88775000000000004</v>
          </cell>
          <cell r="BL251">
            <v>0.91300000000000003</v>
          </cell>
          <cell r="BM251">
            <v>0.89700000000000002</v>
          </cell>
          <cell r="BN251">
            <v>0.88400000000000001</v>
          </cell>
          <cell r="BO251">
            <v>0.85399999999999998</v>
          </cell>
          <cell r="BP251">
            <v>0.88775000000000004</v>
          </cell>
          <cell r="BQ251">
            <v>0.91300000000000003</v>
          </cell>
          <cell r="BR251">
            <v>0.89700000000000002</v>
          </cell>
          <cell r="BS251">
            <v>0.88400000000000001</v>
          </cell>
          <cell r="BT251">
            <v>0.85399999999999998</v>
          </cell>
          <cell r="BU251">
            <v>0.88775000000000004</v>
          </cell>
          <cell r="BV251">
            <v>0.91300000000000003</v>
          </cell>
          <cell r="BW251">
            <v>0.89700000000000002</v>
          </cell>
          <cell r="BX251">
            <v>0.88400000000000001</v>
          </cell>
          <cell r="BY251">
            <v>0.85399999999999998</v>
          </cell>
          <cell r="BZ251">
            <v>0.88775000000000004</v>
          </cell>
        </row>
        <row r="252">
          <cell r="B252" t="str">
            <v>Cancellation rate (as % of beginning of qtr run rate)</v>
          </cell>
          <cell r="AM252">
            <v>9.8786093757935928E-2</v>
          </cell>
          <cell r="AN252">
            <v>9.2160906400436948E-2</v>
          </cell>
          <cell r="AO252">
            <v>8.930090877140133E-2</v>
          </cell>
          <cell r="AP252">
            <v>0.12957378357802618</v>
          </cell>
          <cell r="AQ252">
            <v>0.10370167860226523</v>
          </cell>
          <cell r="AR252">
            <v>9.3630656711869542E-2</v>
          </cell>
          <cell r="AS252">
            <v>7.4762921815806169E-2</v>
          </cell>
          <cell r="AT252">
            <v>5.7302229004698349E-2</v>
          </cell>
          <cell r="AU252">
            <v>9.9616872242902096E-2</v>
          </cell>
          <cell r="AV252">
            <v>8.4489791253999705E-2</v>
          </cell>
          <cell r="AW252">
            <v>7.3530186480761872E-2</v>
          </cell>
          <cell r="AX252">
            <v>6.211355016664754E-2</v>
          </cell>
          <cell r="AY252">
            <v>4.6742539953412217E-2</v>
          </cell>
          <cell r="AZ252">
            <v>9.8462367865184725E-2</v>
          </cell>
          <cell r="BA252">
            <v>6.9367046784955838E-2</v>
          </cell>
          <cell r="BB252">
            <v>5.4146027558505144E-2</v>
          </cell>
          <cell r="BC252">
            <v>8.0666809835713518E-2</v>
          </cell>
          <cell r="BD252">
            <v>9.379551153292863E-2</v>
          </cell>
          <cell r="BE252">
            <v>0.12158568102882233</v>
          </cell>
          <cell r="BF252">
            <v>8.9781551786127317E-2</v>
          </cell>
          <cell r="BG252">
            <v>6.7423643454631213E-2</v>
          </cell>
          <cell r="BH252">
            <v>8.1962429660863076E-2</v>
          </cell>
          <cell r="BI252">
            <v>9.4272092681484787E-2</v>
          </cell>
          <cell r="BJ252">
            <v>0.12287342022262089</v>
          </cell>
          <cell r="BK252">
            <v>9.3105910863657784E-2</v>
          </cell>
          <cell r="BL252">
            <v>6.6999999999999948E-2</v>
          </cell>
          <cell r="BM252">
            <v>8.2143105510009098E-2</v>
          </cell>
          <cell r="BN252">
            <v>9.4396176470490617E-2</v>
          </cell>
          <cell r="BO252">
            <v>0.12290839693353993</v>
          </cell>
          <cell r="BP252">
            <v>9.2999999999999972E-2</v>
          </cell>
          <cell r="BQ252">
            <v>6.6999999999999948E-2</v>
          </cell>
          <cell r="BR252">
            <v>8.2071245699275638E-2</v>
          </cell>
          <cell r="BS252">
            <v>9.4231843247660443E-2</v>
          </cell>
          <cell r="BT252">
            <v>0.1225711783245301</v>
          </cell>
          <cell r="BU252">
            <v>9.2999999999999972E-2</v>
          </cell>
          <cell r="BV252">
            <v>6.6999999999999948E-2</v>
          </cell>
          <cell r="BW252">
            <v>8.2006673078001163E-2</v>
          </cell>
          <cell r="BX252">
            <v>9.4084417634723458E-2</v>
          </cell>
          <cell r="BY252">
            <v>0.12226923082987209</v>
          </cell>
          <cell r="BZ252">
            <v>9.2999999999999972E-2</v>
          </cell>
        </row>
        <row r="254">
          <cell r="B254" t="str">
            <v>Subtotal</v>
          </cell>
          <cell r="AM254">
            <v>94.406906249999992</v>
          </cell>
          <cell r="AN254">
            <v>95.6604375</v>
          </cell>
          <cell r="AO254">
            <v>97.233593750000011</v>
          </cell>
          <cell r="AP254">
            <v>99.148812499999991</v>
          </cell>
          <cell r="AQ254">
            <v>386.44974999999999</v>
          </cell>
          <cell r="AR254">
            <v>98.032437499999986</v>
          </cell>
          <cell r="AS254">
            <v>99.936656249999999</v>
          </cell>
          <cell r="AT254">
            <v>101.63568750000002</v>
          </cell>
          <cell r="AU254">
            <v>102.07690624999999</v>
          </cell>
          <cell r="AV254">
            <v>401.68168749999995</v>
          </cell>
          <cell r="AW254">
            <v>100.93446874999999</v>
          </cell>
          <cell r="AX254">
            <v>104.631625</v>
          </cell>
          <cell r="AY254">
            <v>105.30828125000001</v>
          </cell>
          <cell r="AZ254">
            <v>106.25563354687499</v>
          </cell>
          <cell r="BA254">
            <v>417.13000854687499</v>
          </cell>
          <cell r="BB254">
            <v>107.7985625</v>
          </cell>
          <cell r="BC254">
            <v>109.45496875000001</v>
          </cell>
          <cell r="BD254">
            <v>110.88043749999999</v>
          </cell>
          <cell r="BE254">
            <v>112.03193749999998</v>
          </cell>
          <cell r="BF254">
            <v>440.16590624999998</v>
          </cell>
          <cell r="BG254">
            <v>112.81590624999998</v>
          </cell>
          <cell r="BH254">
            <v>113.47128500781251</v>
          </cell>
          <cell r="BI254">
            <v>114.1414918359375</v>
          </cell>
          <cell r="BJ254">
            <v>114.97220142968749</v>
          </cell>
          <cell r="BK254">
            <v>455.40088452343753</v>
          </cell>
          <cell r="BL254">
            <v>115.93865067979493</v>
          </cell>
          <cell r="BM254">
            <v>116.89464499308595</v>
          </cell>
          <cell r="BN254">
            <v>117.88525800664064</v>
          </cell>
          <cell r="BO254">
            <v>118.91978301439454</v>
          </cell>
          <cell r="BP254">
            <v>469.63833669391602</v>
          </cell>
          <cell r="BQ254">
            <v>119.99831598449393</v>
          </cell>
          <cell r="BR254">
            <v>121.1126960830313</v>
          </cell>
          <cell r="BS254">
            <v>122.26417580476446</v>
          </cell>
          <cell r="BT254">
            <v>123.46271281441834</v>
          </cell>
          <cell r="BU254">
            <v>486.83790068670805</v>
          </cell>
          <cell r="BV254">
            <v>124.70761144894863</v>
          </cell>
          <cell r="BW254">
            <v>125.98914833953754</v>
          </cell>
          <cell r="BX254">
            <v>127.30833147577768</v>
          </cell>
          <cell r="BY254">
            <v>128.67532301646531</v>
          </cell>
          <cell r="BZ254">
            <v>506.68041428072917</v>
          </cell>
        </row>
        <row r="255">
          <cell r="B255" t="str">
            <v>Adjustments (FX, Other)</v>
          </cell>
          <cell r="AM255">
            <v>2.4930937500000141</v>
          </cell>
          <cell r="AN255">
            <v>-0.3604375000000033</v>
          </cell>
          <cell r="AO255">
            <v>1.1664062499999943</v>
          </cell>
          <cell r="AP255">
            <v>3.9511875000000032</v>
          </cell>
          <cell r="AQ255">
            <v>7.2502500000000083</v>
          </cell>
          <cell r="AR255">
            <v>2.4675625000000139</v>
          </cell>
          <cell r="AS255">
            <v>3.0633437500000014</v>
          </cell>
          <cell r="AT255">
            <v>0.56431249999998556</v>
          </cell>
          <cell r="AU255">
            <v>2.023093750000001</v>
          </cell>
          <cell r="AV255">
            <v>8.1183125000000018</v>
          </cell>
          <cell r="AW255">
            <v>4.4655312500000122</v>
          </cell>
          <cell r="AX255">
            <v>1.768375000000006</v>
          </cell>
          <cell r="AY255">
            <v>1.7567187499999903</v>
          </cell>
          <cell r="AZ255">
            <v>1.5993664531250147</v>
          </cell>
          <cell r="BA255">
            <v>9.5899914531250232</v>
          </cell>
          <cell r="BB255">
            <v>0.83143749999999272</v>
          </cell>
          <cell r="BC255">
            <v>0.99703124999999204</v>
          </cell>
          <cell r="BD255">
            <v>-1.3264374999999831</v>
          </cell>
          <cell r="BE255">
            <v>-0.80393749999998931</v>
          </cell>
          <cell r="BF255">
            <v>-0.30190624999998761</v>
          </cell>
          <cell r="BG255">
            <v>-1.5469062499999779</v>
          </cell>
          <cell r="BH255">
            <v>0</v>
          </cell>
          <cell r="BI255">
            <v>0</v>
          </cell>
          <cell r="BJ255">
            <v>0</v>
          </cell>
          <cell r="BK255">
            <v>-1.5469062499999779</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row>
        <row r="256">
          <cell r="B256" t="str">
            <v>Analytics Subscription revenue</v>
          </cell>
          <cell r="AM256">
            <v>96.9</v>
          </cell>
          <cell r="AN256">
            <v>95.3</v>
          </cell>
          <cell r="AO256">
            <v>98.4</v>
          </cell>
          <cell r="AP256">
            <v>103.1</v>
          </cell>
          <cell r="AQ256">
            <v>393.70000000000005</v>
          </cell>
          <cell r="AR256">
            <v>100.5</v>
          </cell>
          <cell r="AS256">
            <v>103</v>
          </cell>
          <cell r="AT256">
            <v>102.2</v>
          </cell>
          <cell r="AU256">
            <v>104.1</v>
          </cell>
          <cell r="AV256">
            <v>409.79999999999995</v>
          </cell>
          <cell r="AW256">
            <v>105.4</v>
          </cell>
          <cell r="AX256">
            <v>106.4</v>
          </cell>
          <cell r="AY256">
            <v>107.065</v>
          </cell>
          <cell r="AZ256">
            <v>107.855</v>
          </cell>
          <cell r="BA256">
            <v>426.72</v>
          </cell>
          <cell r="BB256">
            <v>108.63</v>
          </cell>
          <cell r="BC256">
            <v>110.452</v>
          </cell>
          <cell r="BD256">
            <v>109.554</v>
          </cell>
          <cell r="BE256">
            <v>111.22799999999999</v>
          </cell>
          <cell r="BF256">
            <v>439.86399999999998</v>
          </cell>
          <cell r="BG256">
            <v>111.26900000000001</v>
          </cell>
          <cell r="BH256">
            <v>113.47128500781251</v>
          </cell>
          <cell r="BI256">
            <v>114.1414918359375</v>
          </cell>
          <cell r="BJ256">
            <v>114.97220142968749</v>
          </cell>
          <cell r="BK256">
            <v>453.85397827343752</v>
          </cell>
          <cell r="BL256">
            <v>115.93865067979493</v>
          </cell>
          <cell r="BM256">
            <v>116.89464499308595</v>
          </cell>
          <cell r="BN256">
            <v>117.88525800664064</v>
          </cell>
          <cell r="BO256">
            <v>118.91978301439454</v>
          </cell>
          <cell r="BP256">
            <v>469.63833669391602</v>
          </cell>
          <cell r="BQ256">
            <v>119.99831598449393</v>
          </cell>
          <cell r="BR256">
            <v>121.1126960830313</v>
          </cell>
          <cell r="BS256">
            <v>122.26417580476446</v>
          </cell>
          <cell r="BT256">
            <v>123.46271281441834</v>
          </cell>
          <cell r="BU256">
            <v>486.83790068670805</v>
          </cell>
          <cell r="BV256">
            <v>124.70761144894863</v>
          </cell>
          <cell r="BW256">
            <v>125.98914833953754</v>
          </cell>
          <cell r="BX256">
            <v>127.30833147577768</v>
          </cell>
          <cell r="BY256">
            <v>128.67532301646531</v>
          </cell>
          <cell r="BZ256">
            <v>506.68041428072917</v>
          </cell>
        </row>
        <row r="258">
          <cell r="B258" t="str">
            <v>Analytics non-recurring revenue</v>
          </cell>
          <cell r="AM258">
            <v>1.1660000000000039</v>
          </cell>
          <cell r="AN258">
            <v>0.95300000000000296</v>
          </cell>
          <cell r="AO258">
            <v>0.59199999999999875</v>
          </cell>
          <cell r="AP258">
            <v>0.79300000000000281</v>
          </cell>
          <cell r="AQ258">
            <v>3.5040000000000084</v>
          </cell>
          <cell r="AR258">
            <v>1</v>
          </cell>
          <cell r="AS258">
            <v>1</v>
          </cell>
          <cell r="AT258">
            <v>1</v>
          </cell>
          <cell r="AU258">
            <v>1.4</v>
          </cell>
          <cell r="AV258">
            <v>4.3849999999999838</v>
          </cell>
          <cell r="AW258">
            <v>1.4</v>
          </cell>
          <cell r="AX258">
            <v>1.2</v>
          </cell>
          <cell r="AY258">
            <v>1.276</v>
          </cell>
          <cell r="AZ258">
            <v>2.8130000000000002</v>
          </cell>
          <cell r="BA258">
            <v>6.6890000000000001</v>
          </cell>
          <cell r="BB258">
            <v>1.633</v>
          </cell>
          <cell r="BC258">
            <v>1.9410000000000001</v>
          </cell>
          <cell r="BD258">
            <v>1.7370000000000001</v>
          </cell>
          <cell r="BE258">
            <v>3.1779999999999999</v>
          </cell>
          <cell r="BF258">
            <v>8.4890000000000008</v>
          </cell>
          <cell r="BG258">
            <v>1.151</v>
          </cell>
          <cell r="BH258">
            <v>1.9410000000000001</v>
          </cell>
          <cell r="BI258">
            <v>1.7370000000000001</v>
          </cell>
          <cell r="BJ258">
            <v>3.1779999999999999</v>
          </cell>
          <cell r="BK258">
            <v>8.0070000000000014</v>
          </cell>
          <cell r="BL258">
            <v>1.151</v>
          </cell>
          <cell r="BM258">
            <v>1.9410000000000001</v>
          </cell>
          <cell r="BN258">
            <v>1.7370000000000001</v>
          </cell>
          <cell r="BO258">
            <v>3.1779999999999999</v>
          </cell>
          <cell r="BP258">
            <v>8.0070000000000014</v>
          </cell>
          <cell r="BQ258">
            <v>1.151</v>
          </cell>
          <cell r="BR258">
            <v>1.9410000000000001</v>
          </cell>
          <cell r="BS258">
            <v>1.7370000000000001</v>
          </cell>
          <cell r="BT258">
            <v>3.1779999999999999</v>
          </cell>
          <cell r="BU258">
            <v>8.0070000000000014</v>
          </cell>
          <cell r="BV258">
            <v>1.151</v>
          </cell>
          <cell r="BW258">
            <v>1.9410000000000001</v>
          </cell>
          <cell r="BX258">
            <v>1.7370000000000001</v>
          </cell>
          <cell r="BY258">
            <v>3.1779999999999999</v>
          </cell>
          <cell r="BZ258">
            <v>8.0070000000000014</v>
          </cell>
        </row>
        <row r="260">
          <cell r="B260" t="str">
            <v>Analytics revenue</v>
          </cell>
          <cell r="AM260">
            <v>98.066000000000003</v>
          </cell>
          <cell r="AN260">
            <v>96.253</v>
          </cell>
          <cell r="AO260">
            <v>98.992000000000004</v>
          </cell>
          <cell r="AP260">
            <v>103.893</v>
          </cell>
          <cell r="AQ260">
            <v>397.20400000000006</v>
          </cell>
          <cell r="AR260">
            <v>101.5</v>
          </cell>
          <cell r="AS260">
            <v>104</v>
          </cell>
          <cell r="AT260">
            <v>103.2</v>
          </cell>
          <cell r="AU260">
            <v>105.5</v>
          </cell>
          <cell r="AV260">
            <v>414.18499999999995</v>
          </cell>
          <cell r="AW260">
            <v>106.80000000000001</v>
          </cell>
          <cell r="AX260">
            <v>107.60000000000001</v>
          </cell>
          <cell r="AY260">
            <v>108.34099999999999</v>
          </cell>
          <cell r="AZ260">
            <v>110.66800000000001</v>
          </cell>
          <cell r="BA260">
            <v>433.40900000000005</v>
          </cell>
          <cell r="BB260">
            <v>110.26299999999999</v>
          </cell>
          <cell r="BC260">
            <v>112.393</v>
          </cell>
          <cell r="BD260">
            <v>111.291</v>
          </cell>
          <cell r="BE260">
            <v>114.40599999999999</v>
          </cell>
          <cell r="BF260">
            <v>448.35299999999995</v>
          </cell>
          <cell r="BG260">
            <v>112.42</v>
          </cell>
          <cell r="BH260">
            <v>115.41228500781251</v>
          </cell>
          <cell r="BI260">
            <v>115.8784918359375</v>
          </cell>
          <cell r="BJ260">
            <v>118.15020142968748</v>
          </cell>
          <cell r="BK260">
            <v>461.86097827343752</v>
          </cell>
          <cell r="BL260">
            <v>117.08965067979493</v>
          </cell>
          <cell r="BM260">
            <v>118.83564499308595</v>
          </cell>
          <cell r="BN260">
            <v>119.62225800664064</v>
          </cell>
          <cell r="BO260">
            <v>122.09778301439454</v>
          </cell>
          <cell r="BP260">
            <v>477.64533669391602</v>
          </cell>
          <cell r="BQ260">
            <v>121.14931598449392</v>
          </cell>
          <cell r="BR260">
            <v>123.0536960830313</v>
          </cell>
          <cell r="BS260">
            <v>124.00117580476446</v>
          </cell>
          <cell r="BT260">
            <v>126.64071281441834</v>
          </cell>
          <cell r="BU260">
            <v>494.84490068670806</v>
          </cell>
          <cell r="BV260">
            <v>125.85861144894862</v>
          </cell>
          <cell r="BW260">
            <v>127.93014833953754</v>
          </cell>
          <cell r="BX260">
            <v>129.04533147577769</v>
          </cell>
          <cell r="BY260">
            <v>131.85332301646531</v>
          </cell>
          <cell r="BZ260">
            <v>514.68741428072917</v>
          </cell>
        </row>
        <row r="261">
          <cell r="B261" t="str">
            <v>Y/Y Growth</v>
          </cell>
          <cell r="AR261">
            <v>3.5017233291864569E-2</v>
          </cell>
          <cell r="AS261">
            <v>8.0485803039905157E-2</v>
          </cell>
          <cell r="AT261">
            <v>4.2508485534184626E-2</v>
          </cell>
          <cell r="AU261">
            <v>1.5467837101633464E-2</v>
          </cell>
          <cell r="AV261">
            <v>4.2751331809347093E-2</v>
          </cell>
          <cell r="AW261">
            <v>5.2216748768473042E-2</v>
          </cell>
          <cell r="AX261">
            <v>3.4615384615384714E-2</v>
          </cell>
          <cell r="AY261">
            <v>4.9815891472868135E-2</v>
          </cell>
          <cell r="AZ261">
            <v>4.8985781990521282E-2</v>
          </cell>
          <cell r="BA261">
            <v>4.6414042034356839E-2</v>
          </cell>
          <cell r="BB261">
            <v>3.2425093632958646E-2</v>
          </cell>
          <cell r="BC261">
            <v>4.4544609665427393E-2</v>
          </cell>
          <cell r="BD261">
            <v>2.7228842266547426E-2</v>
          </cell>
          <cell r="BE261">
            <v>3.3776701485524141E-2</v>
          </cell>
          <cell r="BF261">
            <v>3.4480133084453524E-2</v>
          </cell>
          <cell r="BG261">
            <v>1.9562319182318655E-2</v>
          </cell>
          <cell r="BH261">
            <v>2.6863639264122385E-2</v>
          </cell>
          <cell r="BI261">
            <v>4.1220690225961754E-2</v>
          </cell>
          <cell r="BJ261">
            <v>3.2727317008613976E-2</v>
          </cell>
          <cell r="BK261">
            <v>3.0127997969094933E-2</v>
          </cell>
          <cell r="BL261">
            <v>4.1537543851582592E-2</v>
          </cell>
          <cell r="BM261">
            <v>2.9662006822252174E-2</v>
          </cell>
          <cell r="BN261">
            <v>3.2307688091105069E-2</v>
          </cell>
          <cell r="BO261">
            <v>3.3411551880055956E-2</v>
          </cell>
          <cell r="BP261">
            <v>3.4175561831364831E-2</v>
          </cell>
          <cell r="BQ261">
            <v>3.4671427245102748E-2</v>
          </cell>
          <cell r="BR261">
            <v>3.5494830614086981E-2</v>
          </cell>
          <cell r="BS261">
            <v>3.6606212515071679E-2</v>
          </cell>
          <cell r="BT261">
            <v>3.7207307846762516E-2</v>
          </cell>
          <cell r="BU261">
            <v>3.600906922245084E-2</v>
          </cell>
          <cell r="BV261">
            <v>3.8871828752689241E-2</v>
          </cell>
          <cell r="BW261">
            <v>3.9628653276824855E-2</v>
          </cell>
          <cell r="BX261">
            <v>4.0678289042638482E-2</v>
          </cell>
          <cell r="BY261">
            <v>4.1160619568571422E-2</v>
          </cell>
          <cell r="BZ261">
            <v>4.0098450173953859E-2</v>
          </cell>
        </row>
        <row r="265">
          <cell r="C265">
            <v>2006</v>
          </cell>
          <cell r="D265" t="str">
            <v>1Q07</v>
          </cell>
          <cell r="E265" t="str">
            <v>2Q07</v>
          </cell>
          <cell r="F265" t="str">
            <v>3Q07</v>
          </cell>
          <cell r="G265" t="str">
            <v>4Q07</v>
          </cell>
          <cell r="H265">
            <v>2007</v>
          </cell>
          <cell r="I265" t="str">
            <v>1Q08</v>
          </cell>
          <cell r="J265" t="str">
            <v>2Q08</v>
          </cell>
          <cell r="K265" t="str">
            <v>3Q08</v>
          </cell>
          <cell r="L265" t="str">
            <v>4Q08</v>
          </cell>
          <cell r="P265" t="str">
            <v>3Q09</v>
          </cell>
          <cell r="Q265" t="str">
            <v>4Q09</v>
          </cell>
          <cell r="R265">
            <v>2009</v>
          </cell>
          <cell r="S265" t="str">
            <v>1Q10</v>
          </cell>
          <cell r="T265" t="str">
            <v>2Q10</v>
          </cell>
          <cell r="U265" t="str">
            <v>3Q10</v>
          </cell>
          <cell r="V265" t="str">
            <v>4Q10</v>
          </cell>
          <cell r="W265">
            <v>2010</v>
          </cell>
          <cell r="X265" t="str">
            <v>1Q11</v>
          </cell>
          <cell r="Y265" t="str">
            <v>2Q11</v>
          </cell>
          <cell r="Z265" t="str">
            <v>3Q11</v>
          </cell>
          <cell r="AA265" t="str">
            <v>4Q11</v>
          </cell>
          <cell r="AB265">
            <v>2011</v>
          </cell>
          <cell r="AC265" t="str">
            <v>1Q12</v>
          </cell>
          <cell r="AD265" t="str">
            <v>2Q12</v>
          </cell>
          <cell r="AE265" t="str">
            <v>3Q12</v>
          </cell>
          <cell r="AF265" t="str">
            <v>4Q12</v>
          </cell>
          <cell r="AG265">
            <v>2012</v>
          </cell>
          <cell r="AH265" t="str">
            <v>1Q13</v>
          </cell>
          <cell r="AI265" t="str">
            <v>2Q13</v>
          </cell>
          <cell r="AJ265" t="str">
            <v>3Q13</v>
          </cell>
          <cell r="AK265" t="str">
            <v>4Q13</v>
          </cell>
          <cell r="AL265">
            <v>2013</v>
          </cell>
          <cell r="AM265" t="str">
            <v>1Q13R</v>
          </cell>
          <cell r="AN265" t="str">
            <v>2Q13R</v>
          </cell>
          <cell r="AO265" t="str">
            <v>3Q13R</v>
          </cell>
          <cell r="AP265" t="str">
            <v>4Q13R</v>
          </cell>
          <cell r="AQ265" t="str">
            <v>2013R</v>
          </cell>
          <cell r="AR265" t="str">
            <v>1Q14</v>
          </cell>
          <cell r="AS265" t="str">
            <v>2Q14</v>
          </cell>
          <cell r="AT265" t="str">
            <v>3Q14</v>
          </cell>
          <cell r="AU265" t="str">
            <v>4Q14</v>
          </cell>
          <cell r="AV265">
            <v>2014</v>
          </cell>
          <cell r="AW265" t="str">
            <v>1Q15</v>
          </cell>
          <cell r="AX265" t="str">
            <v>2Q15</v>
          </cell>
          <cell r="AY265" t="str">
            <v>3Q15</v>
          </cell>
          <cell r="AZ265" t="str">
            <v>4Q15</v>
          </cell>
          <cell r="BA265">
            <v>2015</v>
          </cell>
          <cell r="BB265" t="str">
            <v>1Q16</v>
          </cell>
          <cell r="BC265" t="str">
            <v>2Q16</v>
          </cell>
          <cell r="BD265" t="str">
            <v>3Q16</v>
          </cell>
          <cell r="BE265" t="str">
            <v>4Q16</v>
          </cell>
          <cell r="BF265">
            <v>2016</v>
          </cell>
          <cell r="BG265" t="str">
            <v>1Q17</v>
          </cell>
          <cell r="BH265" t="str">
            <v>2Q17E</v>
          </cell>
          <cell r="BI265" t="str">
            <v>3Q17E</v>
          </cell>
          <cell r="BJ265" t="str">
            <v>4Q17E</v>
          </cell>
          <cell r="BK265" t="str">
            <v>2017E</v>
          </cell>
          <cell r="BL265" t="str">
            <v>1Q18E</v>
          </cell>
          <cell r="BM265" t="str">
            <v>2Q18E</v>
          </cell>
          <cell r="BN265" t="str">
            <v>3Q18E</v>
          </cell>
          <cell r="BO265" t="str">
            <v>4Q18E</v>
          </cell>
          <cell r="BP265" t="str">
            <v>2018E</v>
          </cell>
          <cell r="BQ265" t="str">
            <v>1Q19E</v>
          </cell>
          <cell r="BR265" t="str">
            <v>2Q19E</v>
          </cell>
          <cell r="BS265" t="str">
            <v>3Q19E</v>
          </cell>
          <cell r="BT265" t="str">
            <v>4Q19E</v>
          </cell>
          <cell r="BU265" t="str">
            <v>2019E</v>
          </cell>
          <cell r="BV265" t="str">
            <v>1Q20E</v>
          </cell>
          <cell r="BW265" t="str">
            <v>2Q20E</v>
          </cell>
          <cell r="BX265" t="str">
            <v>3Q20E</v>
          </cell>
          <cell r="BY265" t="str">
            <v>4Q20E</v>
          </cell>
          <cell r="BZ265" t="str">
            <v>2020E</v>
          </cell>
        </row>
        <row r="266">
          <cell r="A266" t="str">
            <v>Other</v>
          </cell>
        </row>
        <row r="268">
          <cell r="C268">
            <v>26.313200119258827</v>
          </cell>
          <cell r="D268">
            <v>15.896000000000001</v>
          </cell>
          <cell r="E268">
            <v>15.913</v>
          </cell>
          <cell r="F268">
            <v>17.053000000000001</v>
          </cell>
          <cell r="G268">
            <v>17.957999999999998</v>
          </cell>
          <cell r="H268">
            <v>17.957999999999998</v>
          </cell>
          <cell r="I268">
            <v>18.63</v>
          </cell>
          <cell r="J268">
            <v>19.315000000000001</v>
          </cell>
          <cell r="K268">
            <v>19.242999999999999</v>
          </cell>
          <cell r="L268">
            <v>19.699000000000002</v>
          </cell>
          <cell r="P268">
            <v>14.706</v>
          </cell>
          <cell r="Q268">
            <v>15.365</v>
          </cell>
          <cell r="R268">
            <v>15.365</v>
          </cell>
          <cell r="S268">
            <v>15.452999999999999</v>
          </cell>
          <cell r="T268">
            <v>15.343999999999999</v>
          </cell>
          <cell r="U268">
            <v>15.17</v>
          </cell>
          <cell r="V268">
            <v>15.288</v>
          </cell>
          <cell r="W268">
            <v>15.288</v>
          </cell>
          <cell r="X268">
            <v>15.047000000000001</v>
          </cell>
          <cell r="Y268">
            <v>15.074</v>
          </cell>
          <cell r="Z268">
            <v>15.343</v>
          </cell>
          <cell r="AA268">
            <v>14.928000000000001</v>
          </cell>
          <cell r="AB268">
            <v>14.928000000000001</v>
          </cell>
          <cell r="AC268">
            <v>14.926</v>
          </cell>
          <cell r="AD268">
            <v>14.839</v>
          </cell>
          <cell r="AE268">
            <v>14.04</v>
          </cell>
          <cell r="AF268">
            <v>13.128</v>
          </cell>
          <cell r="AG268">
            <v>13.128</v>
          </cell>
          <cell r="AH268">
            <v>13.03</v>
          </cell>
          <cell r="AI268">
            <v>12.794</v>
          </cell>
          <cell r="AJ268">
            <v>12.493</v>
          </cell>
          <cell r="AK268">
            <v>11.302</v>
          </cell>
          <cell r="AL268">
            <v>11.302</v>
          </cell>
        </row>
        <row r="270">
          <cell r="I270">
            <v>0.49675000000000002</v>
          </cell>
          <cell r="J270">
            <v>0.49728125000000001</v>
          </cell>
          <cell r="K270">
            <v>0.53290625000000003</v>
          </cell>
          <cell r="L270">
            <v>0.56118749999999995</v>
          </cell>
          <cell r="U270">
            <v>0.45956249999999998</v>
          </cell>
          <cell r="V270">
            <v>0.48015625000000001</v>
          </cell>
          <cell r="W270">
            <v>0.93971874999999994</v>
          </cell>
          <cell r="X270">
            <v>0.48290624999999998</v>
          </cell>
          <cell r="Y270">
            <v>0.47949999999999998</v>
          </cell>
          <cell r="Z270">
            <v>0.4740625</v>
          </cell>
          <cell r="AA270">
            <v>0.47775000000000001</v>
          </cell>
          <cell r="AB270">
            <v>1.9142187499999999</v>
          </cell>
          <cell r="AC270">
            <v>0.47021875000000002</v>
          </cell>
          <cell r="AD270">
            <v>0.4710625</v>
          </cell>
          <cell r="AE270">
            <v>0.47946875</v>
          </cell>
          <cell r="AF270">
            <v>0.46650000000000003</v>
          </cell>
          <cell r="AG270">
            <v>1.8872499999999999</v>
          </cell>
          <cell r="AH270">
            <v>0.4664375</v>
          </cell>
          <cell r="AI270">
            <v>0.46371875000000001</v>
          </cell>
          <cell r="AJ270">
            <v>0.43874999999999997</v>
          </cell>
          <cell r="AK270">
            <v>0.41025</v>
          </cell>
          <cell r="AL270">
            <v>1.77915625</v>
          </cell>
        </row>
        <row r="271">
          <cell r="I271">
            <v>0.99456250000000002</v>
          </cell>
          <cell r="J271">
            <v>1.0658125000000001</v>
          </cell>
          <cell r="K271">
            <v>1.1223749999999999</v>
          </cell>
          <cell r="L271">
            <v>1.1643749999999999</v>
          </cell>
          <cell r="U271">
            <v>0.96031250000000001</v>
          </cell>
          <cell r="V271">
            <v>0.96581249999999996</v>
          </cell>
          <cell r="W271">
            <v>1.9261249999999999</v>
          </cell>
          <cell r="X271">
            <v>0.95899999999999996</v>
          </cell>
          <cell r="Y271">
            <v>0.948125</v>
          </cell>
          <cell r="Z271">
            <v>0.95550000000000002</v>
          </cell>
          <cell r="AA271">
            <v>0.95550000000000002</v>
          </cell>
          <cell r="AB271">
            <v>3.8181250000000002</v>
          </cell>
          <cell r="AC271">
            <v>0.94212499999999999</v>
          </cell>
          <cell r="AD271">
            <v>0.9589375</v>
          </cell>
          <cell r="AE271">
            <v>0.93300000000000005</v>
          </cell>
          <cell r="AF271">
            <v>0.93287500000000001</v>
          </cell>
          <cell r="AG271">
            <v>3.7669375</v>
          </cell>
          <cell r="AH271">
            <v>0.92743750000000003</v>
          </cell>
          <cell r="AI271">
            <v>0.87749999999999995</v>
          </cell>
          <cell r="AJ271">
            <v>0.82050000000000001</v>
          </cell>
          <cell r="AK271">
            <v>0.81437499999999996</v>
          </cell>
          <cell r="AL271">
            <v>3.4398124999999999</v>
          </cell>
        </row>
        <row r="272">
          <cell r="B272" t="str">
            <v>Subtotal</v>
          </cell>
          <cell r="I272">
            <v>1.0658125000000001</v>
          </cell>
          <cell r="J272">
            <v>1.1223749999999999</v>
          </cell>
          <cell r="K272">
            <v>1.1643749999999999</v>
          </cell>
          <cell r="L272">
            <v>1.2071875000000001</v>
          </cell>
          <cell r="U272">
            <v>0.96581249999999996</v>
          </cell>
          <cell r="V272">
            <v>0.95899999999999996</v>
          </cell>
          <cell r="W272">
            <v>1.9248124999999998</v>
          </cell>
          <cell r="X272">
            <v>0.948125</v>
          </cell>
          <cell r="Y272">
            <v>0.95550000000000002</v>
          </cell>
          <cell r="Z272">
            <v>0.94043750000000004</v>
          </cell>
          <cell r="AA272">
            <v>0.94212499999999999</v>
          </cell>
          <cell r="AB272">
            <v>3.7861874999999996</v>
          </cell>
          <cell r="AC272">
            <v>0.9589375</v>
          </cell>
          <cell r="AD272">
            <v>0.93300000000000005</v>
          </cell>
          <cell r="AE272">
            <v>0.93287500000000001</v>
          </cell>
          <cell r="AF272">
            <v>0.92743750000000003</v>
          </cell>
          <cell r="AG272">
            <v>3.7522500000000001</v>
          </cell>
          <cell r="AH272">
            <v>0.87749999999999995</v>
          </cell>
          <cell r="AI272">
            <v>0.82050000000000001</v>
          </cell>
          <cell r="AJ272">
            <v>0.81437499999999996</v>
          </cell>
          <cell r="AK272">
            <v>0.79962500000000003</v>
          </cell>
          <cell r="AL272">
            <v>3.3120000000000003</v>
          </cell>
        </row>
        <row r="273">
          <cell r="B273" t="str">
            <v>Adjustments (FX, Other)</v>
          </cell>
          <cell r="I273">
            <v>1.1223749999999999</v>
          </cell>
          <cell r="J273">
            <v>1.1643749999999999</v>
          </cell>
          <cell r="K273">
            <v>1.2071875000000001</v>
          </cell>
          <cell r="L273">
            <v>1.2026874999999999</v>
          </cell>
          <cell r="U273">
            <v>0.95899999999999996</v>
          </cell>
          <cell r="V273">
            <v>0.948125</v>
          </cell>
          <cell r="W273">
            <v>1.907125</v>
          </cell>
          <cell r="X273">
            <v>0.95550000000000002</v>
          </cell>
          <cell r="Y273">
            <v>0.94043750000000004</v>
          </cell>
          <cell r="Z273">
            <v>0.94212499999999999</v>
          </cell>
          <cell r="AA273">
            <v>0.9589375</v>
          </cell>
          <cell r="AB273">
            <v>3.7969999999999997</v>
          </cell>
          <cell r="AC273">
            <v>0.93300000000000005</v>
          </cell>
          <cell r="AD273">
            <v>0.93287500000000001</v>
          </cell>
          <cell r="AE273">
            <v>0.92743750000000003</v>
          </cell>
          <cell r="AF273">
            <v>0.87749999999999995</v>
          </cell>
          <cell r="AG273">
            <v>3.6708124999999998</v>
          </cell>
          <cell r="AH273">
            <v>0.82050000000000001</v>
          </cell>
          <cell r="AI273">
            <v>0.81437499999999996</v>
          </cell>
          <cell r="AJ273">
            <v>0.79962500000000003</v>
          </cell>
          <cell r="AK273">
            <v>0.78081250000000002</v>
          </cell>
          <cell r="AL273">
            <v>3.2153125</v>
          </cell>
        </row>
        <row r="274">
          <cell r="B274" t="str">
            <v>RMA Subscription revenue</v>
          </cell>
          <cell r="I274">
            <v>0.58218749999999997</v>
          </cell>
          <cell r="J274">
            <v>0.60359375000000004</v>
          </cell>
          <cell r="K274">
            <v>0.60134374999999995</v>
          </cell>
          <cell r="L274">
            <v>0.61559375000000005</v>
          </cell>
          <cell r="U274">
            <v>0.4740625</v>
          </cell>
          <cell r="V274">
            <v>0.47775000000000001</v>
          </cell>
          <cell r="W274">
            <v>0.95181249999999995</v>
          </cell>
          <cell r="X274">
            <v>0.47021875000000002</v>
          </cell>
          <cell r="Y274">
            <v>0.4710625</v>
          </cell>
          <cell r="Z274">
            <v>0.47946875</v>
          </cell>
          <cell r="AA274">
            <v>0.46650000000000003</v>
          </cell>
          <cell r="AB274">
            <v>1.8872499999999999</v>
          </cell>
          <cell r="AC274">
            <v>0.4664375</v>
          </cell>
          <cell r="AD274">
            <v>0.46371875000000001</v>
          </cell>
          <cell r="AE274">
            <v>0.43874999999999997</v>
          </cell>
          <cell r="AF274">
            <v>0.41025</v>
          </cell>
          <cell r="AG274">
            <v>1.77915625</v>
          </cell>
          <cell r="AH274">
            <v>0.40718749999999998</v>
          </cell>
          <cell r="AI274">
            <v>0.39981250000000002</v>
          </cell>
          <cell r="AJ274">
            <v>0.39040625000000001</v>
          </cell>
          <cell r="AK274">
            <v>0.35318749999999999</v>
          </cell>
          <cell r="AL274">
            <v>1.55059375</v>
          </cell>
        </row>
        <row r="276">
          <cell r="B276" t="str">
            <v>Quarterly new sales</v>
          </cell>
          <cell r="D276">
            <v>-9.0160222129082932</v>
          </cell>
          <cell r="E276">
            <v>0.70114320310072886</v>
          </cell>
          <cell r="F276">
            <v>1.8767696033392478</v>
          </cell>
          <cell r="G276">
            <v>1.8917450044722037</v>
          </cell>
          <cell r="H276">
            <v>-4.5463644019961116</v>
          </cell>
          <cell r="I276">
            <v>1.0446285000000004</v>
          </cell>
          <cell r="J276">
            <v>0.86009050000000242</v>
          </cell>
          <cell r="K276">
            <v>0.41735549999999716</v>
          </cell>
          <cell r="L276">
            <v>1.3179840000000027</v>
          </cell>
          <cell r="Q276">
            <v>1</v>
          </cell>
          <cell r="U276">
            <v>0.1986012500000004</v>
          </cell>
          <cell r="V276">
            <v>0.82497475000000053</v>
          </cell>
          <cell r="W276">
            <v>1.0235760000000009</v>
          </cell>
          <cell r="X276">
            <v>0.64188200000000029</v>
          </cell>
          <cell r="Y276">
            <v>0.45506399999999919</v>
          </cell>
          <cell r="Z276">
            <v>0.67795400000000006</v>
          </cell>
          <cell r="AA276">
            <v>0.54050000000000087</v>
          </cell>
          <cell r="AB276">
            <v>2.3154000000000003</v>
          </cell>
          <cell r="AC276">
            <v>0.36373599999999928</v>
          </cell>
          <cell r="AD276">
            <v>0.45414000000000032</v>
          </cell>
          <cell r="AE276">
            <v>7.4170999999998655E-2</v>
          </cell>
          <cell r="AF276">
            <v>0.55706100000000114</v>
          </cell>
          <cell r="AG276">
            <v>1.4491079999999994</v>
          </cell>
          <cell r="AH276">
            <v>0.22691799999999918</v>
          </cell>
          <cell r="AI276">
            <v>0.22005000000000113</v>
          </cell>
          <cell r="AJ276">
            <v>0.33230299999999968</v>
          </cell>
          <cell r="AK276">
            <v>0.23007874999999922</v>
          </cell>
          <cell r="AL276">
            <v>1.0093497499999993</v>
          </cell>
        </row>
        <row r="277">
          <cell r="B277" t="str">
            <v>y/y change</v>
          </cell>
          <cell r="I277">
            <v>-1.1158635676944539</v>
          </cell>
          <cell r="J277">
            <v>0.22669733685835736</v>
          </cell>
          <cell r="K277">
            <v>-0.77762027941127343</v>
          </cell>
          <cell r="L277">
            <v>-0.30329722193836595</v>
          </cell>
          <cell r="AB277">
            <v>1.2620694506319006</v>
          </cell>
          <cell r="AC277">
            <v>-0.43332886729959852</v>
          </cell>
          <cell r="AD277">
            <v>-2.0304836242789337E-3</v>
          </cell>
          <cell r="AE277">
            <v>-0.8905958221354271</v>
          </cell>
          <cell r="AF277">
            <v>3.0640148011101376E-2</v>
          </cell>
          <cell r="AG277">
            <v>-0.37414356050790398</v>
          </cell>
          <cell r="AH277">
            <v>-0.37614643587657082</v>
          </cell>
          <cell r="AI277">
            <v>-0.51545778834720357</v>
          </cell>
          <cell r="AJ277">
            <v>3.4802281215030906</v>
          </cell>
          <cell r="AK277">
            <v>-0.58697745848300498</v>
          </cell>
          <cell r="AL277">
            <v>-0.30346823701201031</v>
          </cell>
        </row>
        <row r="278">
          <cell r="B278" t="str">
            <v>BULL</v>
          </cell>
        </row>
        <row r="279">
          <cell r="B279" t="str">
            <v>BASE</v>
          </cell>
          <cell r="H279">
            <v>-23.045177718556538</v>
          </cell>
          <cell r="X279">
            <v>0.64188200000000029</v>
          </cell>
          <cell r="Y279">
            <v>0.45506399999999919</v>
          </cell>
          <cell r="Z279">
            <v>0.67795400000000006</v>
          </cell>
          <cell r="AA279">
            <v>0.54050000000000087</v>
          </cell>
          <cell r="AC279">
            <v>0.36373599999999928</v>
          </cell>
          <cell r="AD279">
            <v>0.45414000000000032</v>
          </cell>
          <cell r="AE279">
            <v>7.4170999999998655E-2</v>
          </cell>
          <cell r="AF279">
            <v>0.55706100000000114</v>
          </cell>
          <cell r="AH279">
            <v>0.22691799999999918</v>
          </cell>
          <cell r="AI279">
            <v>0.22005000000000113</v>
          </cell>
          <cell r="AJ279">
            <v>0.33230299999999968</v>
          </cell>
          <cell r="AK279">
            <v>0.23007874999999922</v>
          </cell>
        </row>
        <row r="280">
          <cell r="B280" t="str">
            <v>BEAR</v>
          </cell>
        </row>
        <row r="288">
          <cell r="B288" t="str">
            <v>Quarterly cancellations</v>
          </cell>
          <cell r="D288">
            <v>-1.4011779063505323</v>
          </cell>
          <cell r="E288">
            <v>-0.6841432031007294</v>
          </cell>
          <cell r="F288">
            <v>-0.73676960333924713</v>
          </cell>
          <cell r="G288">
            <v>-0.98674500447220614</v>
          </cell>
          <cell r="H288">
            <v>-3.8088357172627152</v>
          </cell>
          <cell r="I288">
            <v>-0.37262849999999981</v>
          </cell>
          <cell r="J288">
            <v>-0.17509050000000015</v>
          </cell>
          <cell r="K288">
            <v>-0.48935549999999989</v>
          </cell>
          <cell r="L288">
            <v>-0.86198399999999964</v>
          </cell>
          <cell r="U288">
            <v>-0.37260124999999988</v>
          </cell>
          <cell r="V288">
            <v>-0.70697475000000021</v>
          </cell>
          <cell r="W288">
            <v>-1.0795760000000001</v>
          </cell>
          <cell r="X288">
            <v>-0.88288199999999994</v>
          </cell>
          <cell r="Y288">
            <v>-0.42806399999999994</v>
          </cell>
          <cell r="Z288">
            <v>-0.40895399999999993</v>
          </cell>
          <cell r="AA288">
            <v>-0.95550000000000002</v>
          </cell>
          <cell r="AB288">
            <v>-2.6753999999999998</v>
          </cell>
          <cell r="AC288">
            <v>-0.36573599999999995</v>
          </cell>
          <cell r="AD288">
            <v>-0.54114000000000007</v>
          </cell>
          <cell r="AE288">
            <v>-0.87317099999999992</v>
          </cell>
          <cell r="AF288">
            <v>-1.4690610000000002</v>
          </cell>
          <cell r="AG288">
            <v>-3.2491080000000001</v>
          </cell>
          <cell r="AH288">
            <v>-0.32491799999999993</v>
          </cell>
          <cell r="AI288">
            <v>-0.45605000000000001</v>
          </cell>
          <cell r="AJ288">
            <v>-0.63330299999999984</v>
          </cell>
          <cell r="AK288">
            <v>-1.4210787499999999</v>
          </cell>
          <cell r="AL288">
            <v>-2.8353497499999998</v>
          </cell>
        </row>
        <row r="289">
          <cell r="B289" t="str">
            <v>Cancellation rate (as % of beginning of year run rate)</v>
          </cell>
          <cell r="D289">
            <v>0.21299999999999997</v>
          </cell>
          <cell r="E289">
            <v>0.10399999999999998</v>
          </cell>
          <cell r="F289">
            <v>0.11199999999999999</v>
          </cell>
          <cell r="G289">
            <v>0.15000000000000002</v>
          </cell>
          <cell r="H289">
            <v>0.25900000000000001</v>
          </cell>
          <cell r="I289">
            <v>8.2999999999999963E-2</v>
          </cell>
          <cell r="J289">
            <v>3.9000000000000035E-2</v>
          </cell>
          <cell r="K289">
            <v>0.10899999999999999</v>
          </cell>
          <cell r="L289">
            <v>0.19199999999999995</v>
          </cell>
          <cell r="U289">
            <v>9.6999999999999975E-2</v>
          </cell>
          <cell r="V289">
            <v>0.18300000000000005</v>
          </cell>
          <cell r="W289">
            <v>0.15124999999999988</v>
          </cell>
          <cell r="X289">
            <v>0.23099999999999998</v>
          </cell>
          <cell r="Y289">
            <v>0.11199999999999999</v>
          </cell>
          <cell r="Z289">
            <v>0.10699999999999998</v>
          </cell>
          <cell r="AA289">
            <v>0.25</v>
          </cell>
          <cell r="AB289">
            <v>0.17500000000000004</v>
          </cell>
          <cell r="AC289">
            <v>9.7999999999999976E-2</v>
          </cell>
          <cell r="AD289">
            <v>0.14500000000000002</v>
          </cell>
          <cell r="AE289">
            <v>0.23399999999999999</v>
          </cell>
          <cell r="AF289">
            <v>0.39600000000000002</v>
          </cell>
          <cell r="AG289">
            <v>0.21824999999999994</v>
          </cell>
          <cell r="AH289">
            <v>9.8999999999999977E-2</v>
          </cell>
          <cell r="AI289">
            <v>0.14000000000000001</v>
          </cell>
          <cell r="AJ289">
            <v>0.19799999999999995</v>
          </cell>
          <cell r="AK289">
            <v>0.45499999999999996</v>
          </cell>
          <cell r="AL289">
            <v>0.22299999999999998</v>
          </cell>
        </row>
        <row r="290">
          <cell r="B290" t="str">
            <v>BULL - Retention rate</v>
          </cell>
        </row>
        <row r="291">
          <cell r="B291" t="str">
            <v>BASE - Retention rate</v>
          </cell>
          <cell r="D291">
            <v>0.78700000000000003</v>
          </cell>
          <cell r="E291">
            <v>0.89600000000000002</v>
          </cell>
          <cell r="F291">
            <v>0.88800000000000001</v>
          </cell>
          <cell r="G291">
            <v>0.85</v>
          </cell>
          <cell r="H291">
            <v>0.74099999999999999</v>
          </cell>
          <cell r="I291">
            <v>0.91700000000000004</v>
          </cell>
          <cell r="J291">
            <v>0.96099999999999997</v>
          </cell>
          <cell r="K291">
            <v>0.89100000000000001</v>
          </cell>
          <cell r="L291">
            <v>0.80800000000000005</v>
          </cell>
          <cell r="P291">
            <v>0.84499999999999997</v>
          </cell>
          <cell r="Q291">
            <v>0.88500000000000001</v>
          </cell>
          <cell r="S291">
            <v>0.80700000000000005</v>
          </cell>
          <cell r="T291">
            <v>0.86799999999999999</v>
          </cell>
          <cell r="U291">
            <v>0.90300000000000002</v>
          </cell>
          <cell r="V291">
            <v>0.81699999999999995</v>
          </cell>
          <cell r="W291">
            <v>0.84875000000000012</v>
          </cell>
          <cell r="X291">
            <v>0.76900000000000002</v>
          </cell>
          <cell r="Y291">
            <v>0.88800000000000001</v>
          </cell>
          <cell r="Z291">
            <v>0.89300000000000002</v>
          </cell>
          <cell r="AA291">
            <v>0.75</v>
          </cell>
          <cell r="AB291">
            <v>0.82499999999999996</v>
          </cell>
          <cell r="AC291">
            <v>0.90200000000000002</v>
          </cell>
          <cell r="AD291">
            <v>0.85499999999999998</v>
          </cell>
          <cell r="AE291">
            <v>0.76600000000000001</v>
          </cell>
          <cell r="AF291">
            <v>0.60399999999999998</v>
          </cell>
          <cell r="AG291">
            <v>0.78175000000000006</v>
          </cell>
          <cell r="AH291">
            <v>0.90100000000000002</v>
          </cell>
          <cell r="AI291">
            <v>0.86</v>
          </cell>
          <cell r="AJ291">
            <v>0.80200000000000005</v>
          </cell>
          <cell r="AK291">
            <v>0.54500000000000004</v>
          </cell>
          <cell r="AL291">
            <v>0.77700000000000002</v>
          </cell>
        </row>
        <row r="292">
          <cell r="B292" t="str">
            <v>BEAR - Retention rate</v>
          </cell>
        </row>
        <row r="293">
          <cell r="B293" t="str">
            <v>Cancellation rate (as % of beginning of qtr run rate)</v>
          </cell>
          <cell r="D293">
            <v>0.21299999999999997</v>
          </cell>
          <cell r="E293">
            <v>0.17215480702081765</v>
          </cell>
          <cell r="F293">
            <v>0.18519942269571976</v>
          </cell>
          <cell r="G293">
            <v>0.23145370420974751</v>
          </cell>
          <cell r="H293">
            <v>0.14474999999999999</v>
          </cell>
          <cell r="I293">
            <v>8.2999999999999963E-2</v>
          </cell>
          <cell r="J293">
            <v>3.7593236714975879E-2</v>
          </cell>
          <cell r="K293">
            <v>0.10134206575200619</v>
          </cell>
          <cell r="L293">
            <v>0.17917871433768118</v>
          </cell>
          <cell r="U293">
            <v>9.7132755474452534E-2</v>
          </cell>
          <cell r="V293">
            <v>0.18641390903098226</v>
          </cell>
          <cell r="W293">
            <v>7.0262024080702895E-2</v>
          </cell>
          <cell r="X293">
            <v>0.23099999999999998</v>
          </cell>
          <cell r="Y293">
            <v>0.11379384594935865</v>
          </cell>
          <cell r="Z293">
            <v>0.10851903940559902</v>
          </cell>
          <cell r="AA293">
            <v>0.24910382584892132</v>
          </cell>
          <cell r="AB293">
            <v>0.17499999999999999</v>
          </cell>
          <cell r="AC293">
            <v>9.7999999999999976E-2</v>
          </cell>
          <cell r="AD293">
            <v>0.14501942918397429</v>
          </cell>
          <cell r="AE293">
            <v>0.23537192533189566</v>
          </cell>
          <cell r="AF293">
            <v>0.41853589743589753</v>
          </cell>
          <cell r="AG293">
            <v>0.21765192926045016</v>
          </cell>
          <cell r="AH293">
            <v>9.8999999999999977E-2</v>
          </cell>
          <cell r="AI293">
            <v>0.14000000000000001</v>
          </cell>
          <cell r="AJ293">
            <v>0.19799999999999995</v>
          </cell>
          <cell r="AK293">
            <v>0.45499999999999996</v>
          </cell>
          <cell r="AL293">
            <v>0.21597728138330285</v>
          </cell>
        </row>
        <row r="301">
          <cell r="B301" t="str">
            <v>Subtotal</v>
          </cell>
          <cell r="I301">
            <v>4.2616874999999999</v>
          </cell>
          <cell r="J301">
            <v>4.4534374999999997</v>
          </cell>
          <cell r="K301">
            <v>4.6281874999999992</v>
          </cell>
          <cell r="L301">
            <v>4.7510312500000005</v>
          </cell>
          <cell r="U301">
            <v>3.8187500000000001</v>
          </cell>
          <cell r="V301">
            <v>3.8308437500000001</v>
          </cell>
          <cell r="W301">
            <v>7.6495937500000002</v>
          </cell>
          <cell r="X301">
            <v>3.8157499999999995</v>
          </cell>
          <cell r="Y301">
            <v>3.7946249999999995</v>
          </cell>
          <cell r="Z301">
            <v>3.7915937500000001</v>
          </cell>
          <cell r="AA301">
            <v>3.8008125000000001</v>
          </cell>
          <cell r="AB301">
            <v>15.202781250000001</v>
          </cell>
          <cell r="AC301">
            <v>3.7707187499999999</v>
          </cell>
          <cell r="AD301">
            <v>3.7595937500000001</v>
          </cell>
          <cell r="AE301">
            <v>3.7115312500000002</v>
          </cell>
          <cell r="AF301">
            <v>3.6145624999999999</v>
          </cell>
          <cell r="AG301">
            <v>14.856406250000001</v>
          </cell>
          <cell r="AH301">
            <v>3.4990625</v>
          </cell>
          <cell r="AI301">
            <v>3.3759062499999999</v>
          </cell>
          <cell r="AJ301">
            <v>3.2636562499999995</v>
          </cell>
          <cell r="AK301">
            <v>3.1582500000000007</v>
          </cell>
          <cell r="AL301">
            <v>13.296875</v>
          </cell>
        </row>
        <row r="302">
          <cell r="B302" t="str">
            <v>Adjustments (FX, Other)</v>
          </cell>
          <cell r="I302">
            <v>2.0583125000000004</v>
          </cell>
          <cell r="J302">
            <v>1.1305624999999999</v>
          </cell>
          <cell r="K302">
            <v>1.2108125000000012</v>
          </cell>
          <cell r="L302">
            <v>1.7759687499999997</v>
          </cell>
          <cell r="U302">
            <v>-0.52875000000000005</v>
          </cell>
          <cell r="V302">
            <v>1.0401562500000003</v>
          </cell>
          <cell r="W302">
            <v>0.51140625000000028</v>
          </cell>
          <cell r="X302">
            <v>5.4250000000000576E-2</v>
          </cell>
          <cell r="Y302">
            <v>-0.84562499999999963</v>
          </cell>
          <cell r="Z302">
            <v>-0.99459374999999994</v>
          </cell>
          <cell r="AA302">
            <v>0.84618750000000009</v>
          </cell>
          <cell r="AB302">
            <v>-0.9397812499999989</v>
          </cell>
          <cell r="AC302">
            <v>-5.0697187499999998</v>
          </cell>
          <cell r="AD302">
            <v>2.0406249999999737E-2</v>
          </cell>
          <cell r="AE302">
            <v>-0.40153125000000012</v>
          </cell>
          <cell r="AF302">
            <v>-0.34456249999999988</v>
          </cell>
          <cell r="AG302">
            <v>-5.795406250000001</v>
          </cell>
          <cell r="AH302">
            <v>-0.35306250000000006</v>
          </cell>
          <cell r="AI302">
            <v>-0.31090624999999994</v>
          </cell>
          <cell r="AJ302">
            <v>-0.19865624999999953</v>
          </cell>
          <cell r="AK302">
            <v>-9.3250000000000721E-2</v>
          </cell>
          <cell r="AL302">
            <v>-0.95587500000000025</v>
          </cell>
        </row>
        <row r="303">
          <cell r="B303" t="str">
            <v>Other revenue</v>
          </cell>
          <cell r="D303">
            <v>7.2210000000000001</v>
          </cell>
          <cell r="E303">
            <v>6.2939999999999996</v>
          </cell>
          <cell r="F303">
            <v>6.35</v>
          </cell>
          <cell r="G303">
            <v>6.3109999999999999</v>
          </cell>
          <cell r="I303">
            <v>6.32</v>
          </cell>
          <cell r="J303">
            <v>5.5839999999999996</v>
          </cell>
          <cell r="K303">
            <v>5.8390000000000004</v>
          </cell>
          <cell r="L303">
            <v>6.5270000000000001</v>
          </cell>
          <cell r="P303">
            <v>3.0550000000000002</v>
          </cell>
          <cell r="Q303">
            <v>6.6639999999999997</v>
          </cell>
          <cell r="R303">
            <v>9.7189999999999994</v>
          </cell>
          <cell r="S303">
            <v>5.6920000000000002</v>
          </cell>
          <cell r="T303">
            <v>5.1040000000000001</v>
          </cell>
          <cell r="U303">
            <v>3.29</v>
          </cell>
          <cell r="V303">
            <v>4.8710000000000004</v>
          </cell>
          <cell r="W303">
            <v>18.957000000000001</v>
          </cell>
          <cell r="X303">
            <v>3.87</v>
          </cell>
          <cell r="Y303">
            <v>2.9489999999999998</v>
          </cell>
          <cell r="Z303">
            <v>2.7970000000000002</v>
          </cell>
          <cell r="AA303">
            <v>4.6470000000000002</v>
          </cell>
          <cell r="AB303">
            <v>14.263</v>
          </cell>
          <cell r="AC303">
            <v>-1.2989999999999999</v>
          </cell>
          <cell r="AD303">
            <v>3.78</v>
          </cell>
          <cell r="AE303">
            <v>3.31</v>
          </cell>
          <cell r="AF303">
            <v>3.27</v>
          </cell>
          <cell r="AG303">
            <v>9.0609999999999999</v>
          </cell>
          <cell r="AH303">
            <v>3.1459999999999999</v>
          </cell>
          <cell r="AI303">
            <v>3.0649999999999999</v>
          </cell>
          <cell r="AJ303">
            <v>3.0649999999999999</v>
          </cell>
          <cell r="AK303">
            <v>3.0649999999999999</v>
          </cell>
          <cell r="AL303">
            <v>12.340999999999999</v>
          </cell>
        </row>
        <row r="304">
          <cell r="Z304">
            <v>-0.14984802431610944</v>
          </cell>
          <cell r="AA304">
            <v>-4.5986450420858138E-2</v>
          </cell>
          <cell r="AC304">
            <v>-1.3356589147286821</v>
          </cell>
          <cell r="AD304">
            <v>0.28179043743641907</v>
          </cell>
          <cell r="AE304">
            <v>0.18341079728280296</v>
          </cell>
          <cell r="AF304">
            <v>-0.29632020658489355</v>
          </cell>
          <cell r="AG304">
            <v>-0.36471990464839099</v>
          </cell>
          <cell r="AH304">
            <v>-3.4218629715165512</v>
          </cell>
          <cell r="AI304">
            <v>-0.18915343915343907</v>
          </cell>
          <cell r="AJ304">
            <v>-7.4018126888217517E-2</v>
          </cell>
          <cell r="AK304">
            <v>-6.2691131498470942E-2</v>
          </cell>
          <cell r="AL304">
            <v>0.36199095022624417</v>
          </cell>
        </row>
        <row r="305">
          <cell r="C305">
            <v>2006</v>
          </cell>
          <cell r="D305" t="str">
            <v>1Q07</v>
          </cell>
          <cell r="E305" t="str">
            <v>2Q07</v>
          </cell>
          <cell r="F305" t="str">
            <v>3Q07</v>
          </cell>
          <cell r="G305" t="str">
            <v>4Q07</v>
          </cell>
          <cell r="H305">
            <v>2007</v>
          </cell>
          <cell r="I305" t="str">
            <v>1Q08</v>
          </cell>
          <cell r="J305" t="str">
            <v>2Q08</v>
          </cell>
          <cell r="K305" t="str">
            <v>3Q08</v>
          </cell>
          <cell r="L305" t="str">
            <v>4Q08</v>
          </cell>
          <cell r="P305" t="str">
            <v>3Q09</v>
          </cell>
          <cell r="Q305" t="str">
            <v>4Q09</v>
          </cell>
          <cell r="R305">
            <v>2009</v>
          </cell>
          <cell r="S305" t="str">
            <v>1Q10</v>
          </cell>
          <cell r="T305" t="str">
            <v>2Q10</v>
          </cell>
          <cell r="U305" t="str">
            <v>3Q10</v>
          </cell>
          <cell r="V305" t="str">
            <v>4Q10</v>
          </cell>
          <cell r="W305">
            <v>2010</v>
          </cell>
          <cell r="X305" t="str">
            <v>1Q11</v>
          </cell>
          <cell r="Y305" t="str">
            <v>2Q11</v>
          </cell>
          <cell r="Z305" t="str">
            <v>3Q11</v>
          </cell>
          <cell r="AA305" t="str">
            <v>4Q11</v>
          </cell>
          <cell r="AB305">
            <v>2011</v>
          </cell>
          <cell r="AC305" t="str">
            <v>1Q12</v>
          </cell>
          <cell r="AD305" t="str">
            <v>2Q12</v>
          </cell>
          <cell r="AE305" t="str">
            <v>3Q12</v>
          </cell>
          <cell r="AF305" t="str">
            <v>4Q12</v>
          </cell>
          <cell r="AG305">
            <v>2012</v>
          </cell>
          <cell r="AH305" t="str">
            <v>1Q13</v>
          </cell>
          <cell r="AI305" t="str">
            <v>2Q13</v>
          </cell>
          <cell r="AJ305" t="str">
            <v>3Q13</v>
          </cell>
          <cell r="AK305" t="str">
            <v>4Q13</v>
          </cell>
          <cell r="AL305">
            <v>2013</v>
          </cell>
        </row>
        <row r="306">
          <cell r="A306" t="str">
            <v>Governance</v>
          </cell>
        </row>
        <row r="308">
          <cell r="B308" t="str">
            <v>Annualized run rate</v>
          </cell>
          <cell r="C308">
            <v>0</v>
          </cell>
          <cell r="D308">
            <v>0.96199999999999997</v>
          </cell>
          <cell r="E308">
            <v>0.96599999999999997</v>
          </cell>
          <cell r="F308">
            <v>0.94099999999999995</v>
          </cell>
          <cell r="G308">
            <v>0.86699999999999999</v>
          </cell>
          <cell r="H308">
            <v>0.93400000000000005</v>
          </cell>
          <cell r="I308">
            <v>0.96799999999999997</v>
          </cell>
          <cell r="J308">
            <v>0.91800000000000004</v>
          </cell>
          <cell r="K308">
            <v>0.92</v>
          </cell>
          <cell r="L308">
            <v>0.80500000000000005</v>
          </cell>
          <cell r="P308">
            <v>113.907</v>
          </cell>
          <cell r="Q308">
            <v>111.84099999999999</v>
          </cell>
          <cell r="R308">
            <v>111.84099999999999</v>
          </cell>
          <cell r="S308">
            <v>106.68600000000001</v>
          </cell>
          <cell r="T308">
            <v>105.44799999999999</v>
          </cell>
          <cell r="U308">
            <v>105.735</v>
          </cell>
          <cell r="V308">
            <v>105.036</v>
          </cell>
          <cell r="W308">
            <v>105.036</v>
          </cell>
          <cell r="X308">
            <v>105.87</v>
          </cell>
          <cell r="Y308">
            <v>107.755</v>
          </cell>
          <cell r="Z308">
            <v>107.152</v>
          </cell>
          <cell r="AA308">
            <v>108.251</v>
          </cell>
          <cell r="AB308">
            <v>108.251</v>
          </cell>
          <cell r="AC308">
            <v>113.054</v>
          </cell>
          <cell r="AD308">
            <v>113.976</v>
          </cell>
          <cell r="AE308">
            <v>115.84</v>
          </cell>
          <cell r="AF308">
            <v>117.261</v>
          </cell>
          <cell r="AG308">
            <v>117.261</v>
          </cell>
          <cell r="AH308">
            <v>110.17400000000001</v>
          </cell>
          <cell r="AI308">
            <v>111.68600000000001</v>
          </cell>
          <cell r="AJ308">
            <v>112.911</v>
          </cell>
          <cell r="AK308">
            <v>115.482</v>
          </cell>
          <cell r="AL308">
            <v>115.482</v>
          </cell>
        </row>
        <row r="309">
          <cell r="B309" t="str">
            <v>Revenue</v>
          </cell>
        </row>
        <row r="310">
          <cell r="B310" t="str">
            <v>Subscription revenue - 1st quarter, 12.5%</v>
          </cell>
          <cell r="I310">
            <v>3.0062499999999999E-2</v>
          </cell>
          <cell r="J310">
            <v>3.0187499999999999E-2</v>
          </cell>
          <cell r="K310">
            <v>2.9406249999999998E-2</v>
          </cell>
          <cell r="L310">
            <v>2.709375E-2</v>
          </cell>
          <cell r="U310">
            <v>3.5595937499999999</v>
          </cell>
          <cell r="V310">
            <v>3.4950312499999998</v>
          </cell>
          <cell r="W310">
            <v>7.0546249999999997</v>
          </cell>
          <cell r="X310">
            <v>3.282375</v>
          </cell>
          <cell r="Y310">
            <v>3.2952499999999998</v>
          </cell>
          <cell r="Z310">
            <v>3.30421875</v>
          </cell>
          <cell r="AA310">
            <v>3.282375</v>
          </cell>
          <cell r="AB310">
            <v>13.16421875</v>
          </cell>
          <cell r="AC310">
            <v>3.3084375000000001</v>
          </cell>
          <cell r="AD310">
            <v>3.3673437499999999</v>
          </cell>
          <cell r="AE310">
            <v>3.3485</v>
          </cell>
          <cell r="AF310">
            <v>3.3828437500000001</v>
          </cell>
          <cell r="AG310">
            <v>13.407125000000001</v>
          </cell>
          <cell r="AH310">
            <v>3.5329375000000001</v>
          </cell>
          <cell r="AI310">
            <v>3.56175</v>
          </cell>
          <cell r="AJ310">
            <v>3.62</v>
          </cell>
          <cell r="AK310">
            <v>3.6644062499999999</v>
          </cell>
          <cell r="AL310">
            <v>14.379093749999999</v>
          </cell>
        </row>
        <row r="311">
          <cell r="B311" t="str">
            <v>Subscription revenue - 2nd quarter, 25%</v>
          </cell>
          <cell r="I311">
            <v>6.0374999999999998E-2</v>
          </cell>
          <cell r="J311">
            <v>5.8812499999999997E-2</v>
          </cell>
          <cell r="K311">
            <v>5.41875E-2</v>
          </cell>
          <cell r="L311">
            <v>6.0499999999999998E-2</v>
          </cell>
          <cell r="U311">
            <v>6.9900624999999996</v>
          </cell>
          <cell r="V311">
            <v>6.6678750000000004</v>
          </cell>
          <cell r="W311">
            <v>13.657937499999999</v>
          </cell>
          <cell r="X311">
            <v>6.5904999999999996</v>
          </cell>
          <cell r="Y311">
            <v>6.6084375</v>
          </cell>
          <cell r="Z311">
            <v>6.5647500000000001</v>
          </cell>
          <cell r="AA311">
            <v>6.5647500000000001</v>
          </cell>
          <cell r="AB311">
            <v>26.3284375</v>
          </cell>
          <cell r="AC311">
            <v>6.7346874999999997</v>
          </cell>
          <cell r="AD311">
            <v>6.6970000000000001</v>
          </cell>
          <cell r="AE311">
            <v>6.7656875000000003</v>
          </cell>
          <cell r="AF311">
            <v>7.0658750000000001</v>
          </cell>
          <cell r="AG311">
            <v>27.263249999999999</v>
          </cell>
          <cell r="AH311">
            <v>7.1234999999999999</v>
          </cell>
          <cell r="AI311">
            <v>7.24</v>
          </cell>
          <cell r="AJ311">
            <v>7.3288124999999997</v>
          </cell>
          <cell r="AK311">
            <v>6.8858750000000004</v>
          </cell>
          <cell r="AL311">
            <v>28.578187499999999</v>
          </cell>
        </row>
        <row r="312">
          <cell r="B312" t="str">
            <v>Subscription revenue - 3rd quarter, 25%</v>
          </cell>
          <cell r="I312">
            <v>5.8812499999999997E-2</v>
          </cell>
          <cell r="J312">
            <v>5.41875E-2</v>
          </cell>
          <cell r="K312">
            <v>6.0499999999999998E-2</v>
          </cell>
          <cell r="L312">
            <v>5.7375000000000002E-2</v>
          </cell>
          <cell r="U312">
            <v>6.6678750000000004</v>
          </cell>
          <cell r="V312">
            <v>6.5904999999999996</v>
          </cell>
          <cell r="W312">
            <v>13.258375000000001</v>
          </cell>
          <cell r="X312">
            <v>6.6084375</v>
          </cell>
          <cell r="Y312">
            <v>6.5647500000000001</v>
          </cell>
          <cell r="Z312">
            <v>6.6168750000000003</v>
          </cell>
          <cell r="AA312">
            <v>6.7346874999999997</v>
          </cell>
          <cell r="AB312">
            <v>26.524750000000001</v>
          </cell>
          <cell r="AC312">
            <v>6.6970000000000001</v>
          </cell>
          <cell r="AD312">
            <v>6.7656875000000003</v>
          </cell>
          <cell r="AE312">
            <v>7.0658750000000001</v>
          </cell>
          <cell r="AF312">
            <v>7.1234999999999999</v>
          </cell>
          <cell r="AG312">
            <v>27.6520625</v>
          </cell>
          <cell r="AH312">
            <v>7.24</v>
          </cell>
          <cell r="AI312">
            <v>7.3288124999999997</v>
          </cell>
          <cell r="AJ312">
            <v>6.8858750000000004</v>
          </cell>
          <cell r="AK312">
            <v>6.9803750000000004</v>
          </cell>
          <cell r="AL312">
            <v>28.435062500000001</v>
          </cell>
        </row>
        <row r="313">
          <cell r="B313" t="str">
            <v>Subscription revenue - 4th quarter, 25%</v>
          </cell>
          <cell r="I313">
            <v>5.41875E-2</v>
          </cell>
          <cell r="J313">
            <v>6.0499999999999998E-2</v>
          </cell>
          <cell r="K313">
            <v>5.7375000000000002E-2</v>
          </cell>
          <cell r="L313">
            <v>5.7500000000000002E-2</v>
          </cell>
          <cell r="U313">
            <v>6.5904999999999996</v>
          </cell>
          <cell r="V313">
            <v>6.6084375</v>
          </cell>
          <cell r="W313">
            <v>13.1989375</v>
          </cell>
          <cell r="X313">
            <v>6.5647500000000001</v>
          </cell>
          <cell r="Y313">
            <v>6.6168750000000003</v>
          </cell>
          <cell r="Z313">
            <v>6.7346874999999997</v>
          </cell>
          <cell r="AA313">
            <v>6.6970000000000001</v>
          </cell>
          <cell r="AB313">
            <v>26.613312499999999</v>
          </cell>
          <cell r="AC313">
            <v>6.7656875000000003</v>
          </cell>
          <cell r="AD313">
            <v>7.0658750000000001</v>
          </cell>
          <cell r="AE313">
            <v>7.1234999999999999</v>
          </cell>
          <cell r="AF313">
            <v>7.24</v>
          </cell>
          <cell r="AG313">
            <v>28.195062499999999</v>
          </cell>
          <cell r="AH313">
            <v>7.3288124999999997</v>
          </cell>
          <cell r="AI313">
            <v>6.8858750000000004</v>
          </cell>
          <cell r="AJ313">
            <v>6.9803750000000004</v>
          </cell>
          <cell r="AK313">
            <v>7.0569375000000001</v>
          </cell>
          <cell r="AL313">
            <v>28.251999999999999</v>
          </cell>
        </row>
        <row r="314">
          <cell r="B314" t="str">
            <v>Subscription revenue - 5th quarter, 12.5%</v>
          </cell>
          <cell r="I314">
            <v>3.0249999999999999E-2</v>
          </cell>
          <cell r="J314">
            <v>2.8687500000000001E-2</v>
          </cell>
          <cell r="K314">
            <v>2.8750000000000001E-2</v>
          </cell>
          <cell r="L314">
            <v>2.5156250000000002E-2</v>
          </cell>
          <cell r="U314">
            <v>3.30421875</v>
          </cell>
          <cell r="V314">
            <v>3.282375</v>
          </cell>
          <cell r="W314">
            <v>6.5865937500000005</v>
          </cell>
          <cell r="X314">
            <v>3.3084375000000001</v>
          </cell>
          <cell r="Y314">
            <v>3.3673437499999999</v>
          </cell>
          <cell r="Z314">
            <v>3.3485</v>
          </cell>
          <cell r="AA314">
            <v>3.3828437500000001</v>
          </cell>
          <cell r="AB314">
            <v>13.407125000000001</v>
          </cell>
          <cell r="AC314">
            <v>3.5329375000000001</v>
          </cell>
          <cell r="AD314">
            <v>3.56175</v>
          </cell>
          <cell r="AE314">
            <v>3.62</v>
          </cell>
          <cell r="AF314">
            <v>3.6644062499999999</v>
          </cell>
          <cell r="AG314">
            <v>14.379093749999999</v>
          </cell>
          <cell r="AH314">
            <v>3.4429375000000002</v>
          </cell>
          <cell r="AI314">
            <v>3.4901875000000002</v>
          </cell>
          <cell r="AJ314">
            <v>3.52846875</v>
          </cell>
          <cell r="AK314">
            <v>3.6088125</v>
          </cell>
          <cell r="AL314">
            <v>14.070406250000001</v>
          </cell>
        </row>
        <row r="316">
          <cell r="B316" t="str">
            <v>Quarterly new sales</v>
          </cell>
          <cell r="D316">
            <v>0.96199999999999997</v>
          </cell>
          <cell r="E316">
            <v>4.0000000000000036E-3</v>
          </cell>
          <cell r="F316">
            <v>-2.5000000000000022E-2</v>
          </cell>
          <cell r="G316">
            <v>-7.3999999999999955E-2</v>
          </cell>
          <cell r="H316">
            <v>0.86699999999999999</v>
          </cell>
          <cell r="I316">
            <v>0.26749999999999996</v>
          </cell>
          <cell r="J316">
            <v>0.18350000000000008</v>
          </cell>
          <cell r="K316">
            <v>0.23550000000000001</v>
          </cell>
          <cell r="L316">
            <v>0.11850000000000002</v>
          </cell>
          <cell r="Q316">
            <v>7</v>
          </cell>
          <cell r="U316">
            <v>3.893872250000006</v>
          </cell>
          <cell r="V316">
            <v>6.6086285000000009</v>
          </cell>
          <cell r="W316">
            <v>10.502500750000006</v>
          </cell>
          <cell r="X316">
            <v>4.7728500000000036</v>
          </cell>
          <cell r="Y316">
            <v>4.4058639999999905</v>
          </cell>
          <cell r="Z316">
            <v>3.020742000000006</v>
          </cell>
          <cell r="AA316">
            <v>6.1932460000000029</v>
          </cell>
          <cell r="AB316">
            <v>18.392702000000003</v>
          </cell>
          <cell r="AC316">
            <v>7.8610907499999971</v>
          </cell>
          <cell r="AD316">
            <v>3.1548164999999959</v>
          </cell>
          <cell r="AE316">
            <v>4.3999660000000036</v>
          </cell>
          <cell r="AF316">
            <v>6.170439999999993</v>
          </cell>
          <cell r="AG316">
            <v>21.586313249999989</v>
          </cell>
          <cell r="AH316">
            <v>5.8445250000000097</v>
          </cell>
          <cell r="AI316">
            <v>3.4675884999999993</v>
          </cell>
          <cell r="AJ316">
            <v>4.4359724999999948</v>
          </cell>
          <cell r="AK316">
            <v>5.365547249999997</v>
          </cell>
          <cell r="AL316">
            <v>19.113633249999999</v>
          </cell>
        </row>
        <row r="317">
          <cell r="B317" t="str">
            <v>y/y change</v>
          </cell>
          <cell r="Z317">
            <v>-0.22423186841838449</v>
          </cell>
          <cell r="AA317">
            <v>-6.2854569597912469E-2</v>
          </cell>
          <cell r="AC317">
            <v>0.64704332840964862</v>
          </cell>
          <cell r="AD317">
            <v>-0.28395054863245828</v>
          </cell>
          <cell r="AE317">
            <v>0.4565845080447104</v>
          </cell>
          <cell r="AF317">
            <v>-3.6823985354383915E-3</v>
          </cell>
          <cell r="AG317">
            <v>0.17363469760995343</v>
          </cell>
          <cell r="AH317">
            <v>-0.25652492944442706</v>
          </cell>
          <cell r="AI317">
            <v>9.9141106939184542E-2</v>
          </cell>
          <cell r="AJ317">
            <v>8.1833586895878607E-3</v>
          </cell>
          <cell r="AK317">
            <v>-0.13044333143179365</v>
          </cell>
          <cell r="AL317">
            <v>-0.11454850911143855</v>
          </cell>
        </row>
        <row r="318">
          <cell r="B318" t="str">
            <v>BULL</v>
          </cell>
        </row>
        <row r="319">
          <cell r="B319" t="str">
            <v>BASE</v>
          </cell>
          <cell r="H319">
            <v>0</v>
          </cell>
          <cell r="X319">
            <v>4.7728500000000036</v>
          </cell>
          <cell r="Y319">
            <v>4.4058639999999905</v>
          </cell>
          <cell r="Z319">
            <v>3.020742000000006</v>
          </cell>
          <cell r="AA319">
            <v>6.1932460000000029</v>
          </cell>
          <cell r="AC319">
            <v>7.8610907499999971</v>
          </cell>
          <cell r="AD319">
            <v>3.1548164999999959</v>
          </cell>
          <cell r="AE319">
            <v>4.3999660000000036</v>
          </cell>
          <cell r="AF319">
            <v>6.170439999999993</v>
          </cell>
          <cell r="AH319">
            <v>5.8445250000000097</v>
          </cell>
          <cell r="AI319">
            <v>3.4675884999999993</v>
          </cell>
          <cell r="AJ319">
            <v>4.4359724999999948</v>
          </cell>
          <cell r="AK319">
            <v>5.365547249999997</v>
          </cell>
        </row>
        <row r="320">
          <cell r="B320" t="str">
            <v>BEAR</v>
          </cell>
        </row>
        <row r="328">
          <cell r="B328" t="str">
            <v>Quarterly cancellations</v>
          </cell>
          <cell r="D328">
            <v>0</v>
          </cell>
          <cell r="E328">
            <v>0</v>
          </cell>
          <cell r="F328">
            <v>0</v>
          </cell>
          <cell r="G328">
            <v>0</v>
          </cell>
          <cell r="H328">
            <v>0</v>
          </cell>
          <cell r="I328">
            <v>-0.23350000000000001</v>
          </cell>
          <cell r="J328">
            <v>-0.23350000000000001</v>
          </cell>
          <cell r="K328">
            <v>-0.23350000000000001</v>
          </cell>
          <cell r="L328">
            <v>-0.23350000000000001</v>
          </cell>
          <cell r="U328">
            <v>-3.6068722499999999</v>
          </cell>
          <cell r="V328">
            <v>-5.307628499999999</v>
          </cell>
          <cell r="W328">
            <v>-8.9145007499999984</v>
          </cell>
          <cell r="X328">
            <v>-3.9388500000000009</v>
          </cell>
          <cell r="Y328">
            <v>-2.5208639999999995</v>
          </cell>
          <cell r="Z328">
            <v>-3.6237420000000005</v>
          </cell>
          <cell r="AA328">
            <v>-5.0942459999999992</v>
          </cell>
          <cell r="AB328">
            <v>-15.177702</v>
          </cell>
          <cell r="AC328">
            <v>-3.0580907499999999</v>
          </cell>
          <cell r="AD328">
            <v>-2.2328164999999989</v>
          </cell>
          <cell r="AE328">
            <v>-2.5359659999999993</v>
          </cell>
          <cell r="AF328">
            <v>-4.7494400000000008</v>
          </cell>
          <cell r="AG328">
            <v>-12.576313249999998</v>
          </cell>
          <cell r="AH328">
            <v>-2.9315249999999993</v>
          </cell>
          <cell r="AI328">
            <v>-1.9555884999999988</v>
          </cell>
          <cell r="AJ328">
            <v>-3.2109725</v>
          </cell>
          <cell r="AK328">
            <v>-2.7945472499999995</v>
          </cell>
          <cell r="AL328">
            <v>-10.892633249999998</v>
          </cell>
        </row>
        <row r="329">
          <cell r="B329" t="str">
            <v>Cancellation rate (as % of beginning of year run rate)</v>
          </cell>
          <cell r="D329">
            <v>1</v>
          </cell>
          <cell r="E329">
            <v>1</v>
          </cell>
          <cell r="F329">
            <v>1</v>
          </cell>
          <cell r="G329">
            <v>1</v>
          </cell>
          <cell r="H329">
            <v>1</v>
          </cell>
          <cell r="I329">
            <v>1</v>
          </cell>
          <cell r="J329">
            <v>1</v>
          </cell>
          <cell r="K329">
            <v>1</v>
          </cell>
          <cell r="L329">
            <v>1</v>
          </cell>
          <cell r="U329">
            <v>0.129</v>
          </cell>
          <cell r="V329">
            <v>0.19899999999999995</v>
          </cell>
          <cell r="W329">
            <v>0.15599999999999992</v>
          </cell>
          <cell r="X329">
            <v>0.15000000000000002</v>
          </cell>
          <cell r="Y329">
            <v>9.5999999999999974E-2</v>
          </cell>
          <cell r="Z329">
            <v>0.13800000000000001</v>
          </cell>
          <cell r="AA329">
            <v>0.19399999999999995</v>
          </cell>
          <cell r="AB329">
            <v>0.14449999999999996</v>
          </cell>
          <cell r="AC329">
            <v>0.11299999999999999</v>
          </cell>
          <cell r="AD329">
            <v>7.8999999999999959E-2</v>
          </cell>
          <cell r="AE329">
            <v>8.8999999999999968E-2</v>
          </cell>
          <cell r="AF329">
            <v>0.16400000000000003</v>
          </cell>
          <cell r="AG329">
            <v>0.11124999999999996</v>
          </cell>
          <cell r="AH329">
            <v>9.9999999999999978E-2</v>
          </cell>
          <cell r="AI329">
            <v>7.0999999999999952E-2</v>
          </cell>
          <cell r="AJ329">
            <v>0.11499999999999999</v>
          </cell>
          <cell r="AK329">
            <v>9.8999999999999977E-2</v>
          </cell>
          <cell r="AL329">
            <v>9.6249999999999947E-2</v>
          </cell>
        </row>
        <row r="330">
          <cell r="B330" t="str">
            <v>BULL - Retention rate</v>
          </cell>
        </row>
        <row r="331">
          <cell r="B331" t="str">
            <v>BASE - Retention rate</v>
          </cell>
          <cell r="D331">
            <v>0</v>
          </cell>
          <cell r="E331">
            <v>0</v>
          </cell>
          <cell r="F331">
            <v>0</v>
          </cell>
          <cell r="G331">
            <v>0</v>
          </cell>
          <cell r="H331">
            <v>0</v>
          </cell>
          <cell r="I331">
            <v>0</v>
          </cell>
          <cell r="J331">
            <v>0</v>
          </cell>
          <cell r="K331">
            <v>0</v>
          </cell>
          <cell r="L331">
            <v>0</v>
          </cell>
          <cell r="P331">
            <v>0.85399999999999998</v>
          </cell>
          <cell r="Q331">
            <v>0.78700000000000003</v>
          </cell>
          <cell r="S331">
            <v>0.84799999999999998</v>
          </cell>
          <cell r="T331">
            <v>0.85599999999999998</v>
          </cell>
          <cell r="U331">
            <v>0.871</v>
          </cell>
          <cell r="V331">
            <v>0.80100000000000005</v>
          </cell>
          <cell r="W331">
            <v>0.84400000000000008</v>
          </cell>
          <cell r="X331">
            <v>0.85</v>
          </cell>
          <cell r="Y331">
            <v>0.90400000000000003</v>
          </cell>
          <cell r="Z331">
            <v>0.86199999999999999</v>
          </cell>
          <cell r="AA331">
            <v>0.80600000000000005</v>
          </cell>
          <cell r="AB331">
            <v>0.85550000000000004</v>
          </cell>
          <cell r="AC331">
            <v>0.88700000000000001</v>
          </cell>
          <cell r="AD331">
            <v>0.92100000000000004</v>
          </cell>
          <cell r="AE331">
            <v>0.91100000000000003</v>
          </cell>
          <cell r="AF331">
            <v>0.83599999999999997</v>
          </cell>
          <cell r="AG331">
            <v>0.88875000000000004</v>
          </cell>
          <cell r="AH331">
            <v>0.9</v>
          </cell>
          <cell r="AI331">
            <v>0.92900000000000005</v>
          </cell>
          <cell r="AJ331">
            <v>0.88500000000000001</v>
          </cell>
          <cell r="AK331">
            <v>0.90100000000000002</v>
          </cell>
          <cell r="AL331">
            <v>0.90375000000000005</v>
          </cell>
        </row>
        <row r="332">
          <cell r="B332" t="str">
            <v>BEAR - Retention rate</v>
          </cell>
        </row>
        <row r="333">
          <cell r="B333" t="str">
            <v>Cancellation rate (as % of beginning of qtr run rate)</v>
          </cell>
          <cell r="E333">
            <v>0</v>
          </cell>
          <cell r="F333">
            <v>0</v>
          </cell>
          <cell r="G333">
            <v>0</v>
          </cell>
          <cell r="I333">
            <v>1</v>
          </cell>
          <cell r="J333">
            <v>0.9648760330578513</v>
          </cell>
          <cell r="K333">
            <v>1.0174291938997821</v>
          </cell>
          <cell r="L333">
            <v>1.0152173913043478</v>
          </cell>
          <cell r="U333">
            <v>0.13682088802063577</v>
          </cell>
          <cell r="V333">
            <v>0.20078984253085541</v>
          </cell>
          <cell r="X333">
            <v>0.15000000000000002</v>
          </cell>
          <cell r="Y333">
            <v>9.5243751771039928E-2</v>
          </cell>
          <cell r="Z333">
            <v>0.13451782283884742</v>
          </cell>
          <cell r="AA333">
            <v>0.19016895624906671</v>
          </cell>
          <cell r="AB333">
            <v>0.14449999999999999</v>
          </cell>
          <cell r="AC333">
            <v>0.11299999999999999</v>
          </cell>
          <cell r="AD333">
            <v>7.8999999999999959E-2</v>
          </cell>
          <cell r="AE333">
            <v>8.8999999999999982E-2</v>
          </cell>
          <cell r="AF333">
            <v>0.16400000000000003</v>
          </cell>
          <cell r="AG333">
            <v>0.11617734016313935</v>
          </cell>
          <cell r="AH333">
            <v>9.9999999999999978E-2</v>
          </cell>
          <cell r="AI333">
            <v>7.0999999999999952E-2</v>
          </cell>
          <cell r="AJ333">
            <v>0.11499999999999999</v>
          </cell>
          <cell r="AK333">
            <v>9.8999999999999977E-2</v>
          </cell>
          <cell r="AL333">
            <v>9.2892208406887181E-2</v>
          </cell>
        </row>
        <row r="335">
          <cell r="B335" t="str">
            <v>Subtotal</v>
          </cell>
          <cell r="I335">
            <v>0.23368749999999999</v>
          </cell>
          <cell r="J335">
            <v>0.232375</v>
          </cell>
          <cell r="K335">
            <v>0.23021875</v>
          </cell>
          <cell r="L335">
            <v>0.22762499999999999</v>
          </cell>
          <cell r="U335">
            <v>27.11225</v>
          </cell>
          <cell r="V335">
            <v>26.64421875</v>
          </cell>
          <cell r="W335">
            <v>53.756468749999996</v>
          </cell>
          <cell r="X335">
            <v>26.354500000000002</v>
          </cell>
          <cell r="Y335">
            <v>26.45265625</v>
          </cell>
          <cell r="Z335">
            <v>26.569031250000002</v>
          </cell>
          <cell r="AA335">
            <v>26.661656249999997</v>
          </cell>
          <cell r="AB335">
            <v>106.03784375000001</v>
          </cell>
          <cell r="AC335">
            <v>27.038749999999997</v>
          </cell>
          <cell r="AD335">
            <v>27.457656249999996</v>
          </cell>
          <cell r="AE335">
            <v>27.923562499999999</v>
          </cell>
          <cell r="AF335">
            <v>28.476624999999999</v>
          </cell>
          <cell r="AG335">
            <v>110.89659374999999</v>
          </cell>
          <cell r="AH335">
            <v>28.668187499999995</v>
          </cell>
          <cell r="AI335">
            <v>28.506625000000003</v>
          </cell>
          <cell r="AJ335">
            <v>28.343531250000005</v>
          </cell>
          <cell r="AK335">
            <v>28.196406249999999</v>
          </cell>
          <cell r="AL335">
            <v>113.71475000000001</v>
          </cell>
        </row>
        <row r="336">
          <cell r="B336" t="str">
            <v>Adjustments (FX, Other)</v>
          </cell>
          <cell r="I336">
            <v>0.2195430552114796</v>
          </cell>
          <cell r="J336">
            <v>0.20600015596839039</v>
          </cell>
          <cell r="K336">
            <v>0.23407893385583209</v>
          </cell>
          <cell r="L336">
            <v>0.22472846689506218</v>
          </cell>
          <cell r="U336">
            <v>3.1957500000000003</v>
          </cell>
          <cell r="V336">
            <v>1.6417812500000011</v>
          </cell>
          <cell r="W336">
            <v>4.8375312500000014</v>
          </cell>
          <cell r="X336">
            <v>4.8954999999999984</v>
          </cell>
          <cell r="Y336">
            <v>4.5203437499999986</v>
          </cell>
          <cell r="Z336">
            <v>2.2269687499999975</v>
          </cell>
          <cell r="AA336">
            <v>1.9053437500000037</v>
          </cell>
          <cell r="AB336">
            <v>13.548156249999998</v>
          </cell>
          <cell r="AC336">
            <v>3.9242500000000042</v>
          </cell>
          <cell r="AD336">
            <v>3.5313437500000049</v>
          </cell>
          <cell r="AE336">
            <v>2.1314375000000005</v>
          </cell>
          <cell r="AF336">
            <v>2.6673749999999998</v>
          </cell>
          <cell r="AG336">
            <v>12.254406250000009</v>
          </cell>
          <cell r="AH336">
            <v>3.7718125000000029</v>
          </cell>
          <cell r="AI336">
            <v>0.96837499999999821</v>
          </cell>
          <cell r="AJ336">
            <v>1.1314687499999962</v>
          </cell>
          <cell r="AK336">
            <v>1.2785937500000024</v>
          </cell>
          <cell r="AL336">
            <v>7.1502499999999998</v>
          </cell>
        </row>
        <row r="337">
          <cell r="B337" t="str">
            <v>Governance revenue</v>
          </cell>
          <cell r="D337">
            <v>0.41809369580447697</v>
          </cell>
          <cell r="E337">
            <v>0.37685911303407238</v>
          </cell>
          <cell r="F337">
            <v>0.43720713798738198</v>
          </cell>
          <cell r="G337">
            <v>0.47916543705365044</v>
          </cell>
          <cell r="I337">
            <v>0.45323055521147959</v>
          </cell>
          <cell r="J337">
            <v>0.43837515596839038</v>
          </cell>
          <cell r="K337">
            <v>0.46429768385583209</v>
          </cell>
          <cell r="L337">
            <v>0.45235346689506217</v>
          </cell>
          <cell r="U337">
            <v>30.308</v>
          </cell>
          <cell r="V337">
            <v>28.286000000000001</v>
          </cell>
          <cell r="W337">
            <v>58.594000000000001</v>
          </cell>
          <cell r="X337">
            <v>31.25</v>
          </cell>
          <cell r="Y337">
            <v>30.972999999999999</v>
          </cell>
          <cell r="Z337">
            <v>28.795999999999999</v>
          </cell>
          <cell r="AA337">
            <v>28.567</v>
          </cell>
          <cell r="AB337">
            <v>119.58600000000001</v>
          </cell>
          <cell r="AC337">
            <v>30.963000000000001</v>
          </cell>
          <cell r="AD337">
            <v>30.989000000000001</v>
          </cell>
          <cell r="AE337">
            <v>30.055</v>
          </cell>
          <cell r="AF337">
            <v>31.143999999999998</v>
          </cell>
          <cell r="AG337">
            <v>123.15100000000001</v>
          </cell>
          <cell r="AH337">
            <v>32.44</v>
          </cell>
          <cell r="AI337">
            <v>29.475000000000001</v>
          </cell>
          <cell r="AJ337">
            <v>29.475000000000001</v>
          </cell>
          <cell r="AK337">
            <v>29.475000000000001</v>
          </cell>
          <cell r="AL337">
            <v>120.86500000000001</v>
          </cell>
        </row>
        <row r="338">
          <cell r="Z338">
            <v>-4.9887818397782779E-2</v>
          </cell>
          <cell r="AA338">
            <v>9.9342430884536981E-3</v>
          </cell>
          <cell r="AC338">
            <v>-9.18399999999997E-3</v>
          </cell>
          <cell r="AD338">
            <v>5.1657895586476599E-4</v>
          </cell>
          <cell r="AE338">
            <v>4.3721350187525987E-2</v>
          </cell>
          <cell r="AF338">
            <v>9.0208982392270709E-2</v>
          </cell>
          <cell r="AG338">
            <v>2.981118191092591E-2</v>
          </cell>
          <cell r="AH338">
            <v>4.770209605012421E-2</v>
          </cell>
          <cell r="AI338">
            <v>-4.8856045693633221E-2</v>
          </cell>
          <cell r="AJ338">
            <v>-1.9297953751455599E-2</v>
          </cell>
          <cell r="AK338">
            <v>-5.3589776521962396E-2</v>
          </cell>
          <cell r="AL338">
            <v>6.8174386439359802E-2</v>
          </cell>
        </row>
        <row r="340">
          <cell r="AM340" t="str">
            <v>1Q13R</v>
          </cell>
          <cell r="AN340" t="str">
            <v>2Q13R</v>
          </cell>
          <cell r="AO340" t="str">
            <v>3Q13R</v>
          </cell>
          <cell r="AP340" t="str">
            <v>4Q13R</v>
          </cell>
          <cell r="AQ340" t="str">
            <v>2013R</v>
          </cell>
          <cell r="AR340" t="str">
            <v>1Q14</v>
          </cell>
          <cell r="AS340" t="str">
            <v>2Q14</v>
          </cell>
          <cell r="AT340" t="str">
            <v>3Q14</v>
          </cell>
          <cell r="AU340" t="str">
            <v>4Q14</v>
          </cell>
          <cell r="AV340">
            <v>2014</v>
          </cell>
          <cell r="AW340" t="str">
            <v>1Q15</v>
          </cell>
          <cell r="AX340" t="str">
            <v>2Q15</v>
          </cell>
          <cell r="AY340" t="str">
            <v>3Q15</v>
          </cell>
          <cell r="AZ340" t="str">
            <v>4Q15</v>
          </cell>
          <cell r="BA340">
            <v>2015</v>
          </cell>
          <cell r="BB340" t="str">
            <v>1Q16</v>
          </cell>
          <cell r="BC340" t="str">
            <v>2Q16</v>
          </cell>
          <cell r="BD340" t="str">
            <v>3Q16</v>
          </cell>
          <cell r="BE340" t="str">
            <v>4Q16</v>
          </cell>
          <cell r="BF340">
            <v>2016</v>
          </cell>
          <cell r="BG340" t="str">
            <v>1Q17</v>
          </cell>
          <cell r="BH340" t="str">
            <v>2Q17E</v>
          </cell>
          <cell r="BI340" t="str">
            <v>3Q17E</v>
          </cell>
          <cell r="BJ340" t="str">
            <v>4Q17E</v>
          </cell>
          <cell r="BK340" t="str">
            <v>2017E</v>
          </cell>
          <cell r="BL340" t="str">
            <v>1Q18E</v>
          </cell>
          <cell r="BM340" t="str">
            <v>2Q18E</v>
          </cell>
          <cell r="BN340" t="str">
            <v>3Q18E</v>
          </cell>
          <cell r="BO340" t="str">
            <v>4Q18E</v>
          </cell>
          <cell r="BP340" t="str">
            <v>2018E</v>
          </cell>
          <cell r="BQ340" t="str">
            <v>1Q19E</v>
          </cell>
          <cell r="BR340" t="str">
            <v>2Q19E</v>
          </cell>
          <cell r="BS340" t="str">
            <v>3Q19E</v>
          </cell>
          <cell r="BT340" t="str">
            <v>4Q19E</v>
          </cell>
          <cell r="BU340" t="str">
            <v>2019E</v>
          </cell>
          <cell r="BV340" t="str">
            <v>1Q20E</v>
          </cell>
          <cell r="BW340" t="str">
            <v>2Q20E</v>
          </cell>
          <cell r="BX340" t="str">
            <v>3Q20E</v>
          </cell>
          <cell r="BY340" t="str">
            <v>4Q20E</v>
          </cell>
          <cell r="BZ340" t="str">
            <v>2020E</v>
          </cell>
        </row>
        <row r="341">
          <cell r="A341" t="str">
            <v>ESG</v>
          </cell>
        </row>
        <row r="343">
          <cell r="B343" t="str">
            <v>Annualized run rate</v>
          </cell>
          <cell r="AM343">
            <v>19.899999999999999</v>
          </cell>
          <cell r="AN343">
            <v>20.6</v>
          </cell>
          <cell r="AO343">
            <v>21.8</v>
          </cell>
          <cell r="AP343">
            <v>22.9</v>
          </cell>
          <cell r="AQ343">
            <v>22.9</v>
          </cell>
          <cell r="AR343">
            <v>24.3</v>
          </cell>
          <cell r="AS343">
            <v>25.2</v>
          </cell>
          <cell r="AT343">
            <v>33.5</v>
          </cell>
          <cell r="AU343">
            <v>34.5</v>
          </cell>
          <cell r="AV343">
            <v>34.5</v>
          </cell>
          <cell r="AW343">
            <v>35.299999999999997</v>
          </cell>
          <cell r="AX343">
            <v>37.200000000000003</v>
          </cell>
          <cell r="AY343">
            <v>38.799999999999997</v>
          </cell>
          <cell r="AZ343">
            <v>40.299999999999997</v>
          </cell>
          <cell r="BA343">
            <v>40.299999999999997</v>
          </cell>
          <cell r="BB343">
            <v>42.049499999999995</v>
          </cell>
          <cell r="BC343">
            <v>43.615224999999995</v>
          </cell>
          <cell r="BD343">
            <v>45.504374999999996</v>
          </cell>
          <cell r="BE343">
            <v>47.301449999999996</v>
          </cell>
          <cell r="BF343">
            <v>47.301449999999996</v>
          </cell>
          <cell r="BG343">
            <v>49.110708249999995</v>
          </cell>
          <cell r="BH343">
            <v>50.785589399999992</v>
          </cell>
          <cell r="BI343">
            <v>52.784587937499992</v>
          </cell>
          <cell r="BJ343">
            <v>54.642216612499993</v>
          </cell>
          <cell r="BK343">
            <v>54.642216612499993</v>
          </cell>
          <cell r="BL343">
            <v>56.517677963312494</v>
          </cell>
          <cell r="BM343">
            <v>58.325717918115615</v>
          </cell>
          <cell r="BN343">
            <v>60.459407735703117</v>
          </cell>
          <cell r="BO343">
            <v>62.400527733012495</v>
          </cell>
          <cell r="BP343">
            <v>62.400527733012495</v>
          </cell>
          <cell r="BQ343">
            <v>64.348271039017305</v>
          </cell>
          <cell r="BR343">
            <v>66.236656858154404</v>
          </cell>
          <cell r="BS343">
            <v>68.452837911693194</v>
          </cell>
          <cell r="BT343">
            <v>70.422652358968605</v>
          </cell>
          <cell r="BU343">
            <v>70.422652358968605</v>
          </cell>
          <cell r="BV343">
            <v>72.451926381124082</v>
          </cell>
          <cell r="BW343">
            <v>74.429563677306191</v>
          </cell>
          <cell r="BX343">
            <v>76.738757913953734</v>
          </cell>
          <cell r="BY343">
            <v>78.746885483131834</v>
          </cell>
          <cell r="BZ343">
            <v>78.746885483131834</v>
          </cell>
          <cell r="CB343">
            <v>0.10731653841843047</v>
          </cell>
        </row>
        <row r="344">
          <cell r="B344" t="str">
            <v>Revenue</v>
          </cell>
          <cell r="AR344">
            <v>0.22110552763819102</v>
          </cell>
          <cell r="AS344">
            <v>0.22330097087378631</v>
          </cell>
          <cell r="AT344">
            <v>0.53669724770642202</v>
          </cell>
          <cell r="AU344">
            <v>0.50655021834061142</v>
          </cell>
          <cell r="AW344">
            <v>0.4526748971193415</v>
          </cell>
          <cell r="AX344">
            <v>0.47619047619047628</v>
          </cell>
          <cell r="AY344">
            <v>0.15820895522388057</v>
          </cell>
          <cell r="AZ344">
            <v>0.1681159420289855</v>
          </cell>
        </row>
        <row r="345">
          <cell r="B345" t="str">
            <v>Subscription revenue - 1st quarter, 12.5%</v>
          </cell>
          <cell r="AM345">
            <v>0</v>
          </cell>
          <cell r="AN345">
            <v>0</v>
          </cell>
          <cell r="AO345">
            <v>0</v>
          </cell>
          <cell r="AP345">
            <v>0</v>
          </cell>
          <cell r="AQ345">
            <v>0</v>
          </cell>
          <cell r="AR345">
            <v>0</v>
          </cell>
          <cell r="AS345">
            <v>0</v>
          </cell>
          <cell r="AT345">
            <v>0</v>
          </cell>
          <cell r="AU345">
            <v>0</v>
          </cell>
          <cell r="AV345">
            <v>0</v>
          </cell>
          <cell r="AW345">
            <v>0.62187499999999996</v>
          </cell>
          <cell r="AX345">
            <v>0.78749999999999998</v>
          </cell>
          <cell r="AY345">
            <v>1.046875</v>
          </cell>
          <cell r="AZ345">
            <v>1.078125</v>
          </cell>
          <cell r="BA345">
            <v>3.5343749999999998</v>
          </cell>
          <cell r="BB345">
            <v>1.1031249999999999</v>
          </cell>
          <cell r="BC345">
            <v>1.1625000000000001</v>
          </cell>
          <cell r="BD345">
            <v>1.2124999999999999</v>
          </cell>
          <cell r="BE345">
            <v>1.2593749999999999</v>
          </cell>
          <cell r="BF345">
            <v>4.7374999999999998</v>
          </cell>
          <cell r="BG345">
            <v>1.3140468749999998</v>
          </cell>
          <cell r="BH345">
            <v>1.3629757812499999</v>
          </cell>
          <cell r="BI345">
            <v>1.4220117187499999</v>
          </cell>
          <cell r="BJ345">
            <v>1.4781703124999999</v>
          </cell>
          <cell r="BK345">
            <v>5.5772046874999992</v>
          </cell>
          <cell r="BL345">
            <v>1.5347096328124998</v>
          </cell>
          <cell r="BM345">
            <v>0</v>
          </cell>
          <cell r="BN345">
            <v>0</v>
          </cell>
          <cell r="BO345">
            <v>0</v>
          </cell>
          <cell r="BP345">
            <v>1.5347096328124998</v>
          </cell>
          <cell r="BQ345">
            <v>0</v>
          </cell>
          <cell r="BR345">
            <v>0</v>
          </cell>
          <cell r="BS345">
            <v>0</v>
          </cell>
          <cell r="BT345">
            <v>0</v>
          </cell>
          <cell r="BU345">
            <v>0</v>
          </cell>
          <cell r="BV345">
            <v>0</v>
          </cell>
          <cell r="BW345">
            <v>0</v>
          </cell>
          <cell r="BX345">
            <v>0</v>
          </cell>
          <cell r="BY345">
            <v>0</v>
          </cell>
          <cell r="BZ345">
            <v>0</v>
          </cell>
        </row>
        <row r="346">
          <cell r="B346" t="str">
            <v>Subscription revenue - 2nd quarter, 25%</v>
          </cell>
          <cell r="AM346">
            <v>0</v>
          </cell>
          <cell r="AN346">
            <v>0</v>
          </cell>
          <cell r="AO346">
            <v>0</v>
          </cell>
          <cell r="AP346">
            <v>0</v>
          </cell>
          <cell r="AQ346">
            <v>0</v>
          </cell>
          <cell r="AR346">
            <v>0</v>
          </cell>
          <cell r="AS346">
            <v>0</v>
          </cell>
          <cell r="AT346">
            <v>0</v>
          </cell>
          <cell r="AU346">
            <v>0</v>
          </cell>
          <cell r="AV346">
            <v>0</v>
          </cell>
          <cell r="AW346">
            <v>1.2875000000000001</v>
          </cell>
          <cell r="AX346">
            <v>2.09375</v>
          </cell>
          <cell r="AY346">
            <v>2.15625</v>
          </cell>
          <cell r="AZ346">
            <v>2.2062499999999998</v>
          </cell>
          <cell r="BA346">
            <v>7.7437499999999995</v>
          </cell>
          <cell r="BB346">
            <v>2.3250000000000002</v>
          </cell>
          <cell r="BC346">
            <v>2.4249999999999998</v>
          </cell>
          <cell r="BD346">
            <v>2.5187499999999998</v>
          </cell>
          <cell r="BE346">
            <v>2.6280937499999997</v>
          </cell>
          <cell r="BF346">
            <v>9.8968437499999986</v>
          </cell>
          <cell r="BG346">
            <v>2.7259515624999997</v>
          </cell>
          <cell r="BH346">
            <v>2.8440234374999998</v>
          </cell>
          <cell r="BI346">
            <v>2.9563406249999997</v>
          </cell>
          <cell r="BJ346">
            <v>3.0694192656249997</v>
          </cell>
          <cell r="BK346">
            <v>11.595734890624998</v>
          </cell>
          <cell r="BL346">
            <v>0</v>
          </cell>
          <cell r="BM346">
            <v>0</v>
          </cell>
          <cell r="BN346">
            <v>0</v>
          </cell>
          <cell r="BO346">
            <v>0</v>
          </cell>
          <cell r="BP346">
            <v>0</v>
          </cell>
          <cell r="BQ346">
            <v>0</v>
          </cell>
          <cell r="BR346">
            <v>0</v>
          </cell>
          <cell r="BS346">
            <v>0</v>
          </cell>
          <cell r="BT346">
            <v>0</v>
          </cell>
          <cell r="BU346">
            <v>0</v>
          </cell>
          <cell r="BV346">
            <v>0</v>
          </cell>
          <cell r="BW346">
            <v>0</v>
          </cell>
          <cell r="BX346">
            <v>0</v>
          </cell>
          <cell r="BY346">
            <v>0</v>
          </cell>
          <cell r="BZ346">
            <v>0</v>
          </cell>
        </row>
        <row r="347">
          <cell r="B347" t="str">
            <v>Subscription revenue - 3rd quarter, 25%</v>
          </cell>
          <cell r="AM347">
            <v>0</v>
          </cell>
          <cell r="AN347">
            <v>0</v>
          </cell>
          <cell r="AO347">
            <v>0</v>
          </cell>
          <cell r="AP347">
            <v>0</v>
          </cell>
          <cell r="AQ347">
            <v>0</v>
          </cell>
          <cell r="AR347">
            <v>0</v>
          </cell>
          <cell r="AS347">
            <v>0</v>
          </cell>
          <cell r="AT347">
            <v>0</v>
          </cell>
          <cell r="AU347">
            <v>1.2437499999999999</v>
          </cell>
          <cell r="AV347">
            <v>1.2437499999999999</v>
          </cell>
          <cell r="AW347">
            <v>1.3625</v>
          </cell>
          <cell r="AX347">
            <v>2.15625</v>
          </cell>
          <cell r="AY347">
            <v>2.2062499999999998</v>
          </cell>
          <cell r="AZ347">
            <v>2.3250000000000002</v>
          </cell>
          <cell r="BA347">
            <v>8.0500000000000007</v>
          </cell>
          <cell r="BB347">
            <v>2.4249999999999998</v>
          </cell>
          <cell r="BC347">
            <v>2.5187499999999998</v>
          </cell>
          <cell r="BD347">
            <v>2.6280937499999997</v>
          </cell>
          <cell r="BE347">
            <v>2.7259515624999997</v>
          </cell>
          <cell r="BF347">
            <v>10.2977953125</v>
          </cell>
          <cell r="BG347">
            <v>2.8440234374999998</v>
          </cell>
          <cell r="BH347">
            <v>2.9563406249999997</v>
          </cell>
          <cell r="BI347">
            <v>3.0694192656249997</v>
          </cell>
          <cell r="BJ347">
            <v>0</v>
          </cell>
          <cell r="BK347">
            <v>8.8697833281249991</v>
          </cell>
          <cell r="BL347">
            <v>0</v>
          </cell>
          <cell r="BM347">
            <v>0</v>
          </cell>
          <cell r="BN347">
            <v>0</v>
          </cell>
          <cell r="BO347">
            <v>0</v>
          </cell>
          <cell r="BP347">
            <v>0</v>
          </cell>
          <cell r="BQ347">
            <v>0</v>
          </cell>
          <cell r="BR347">
            <v>0</v>
          </cell>
          <cell r="BS347">
            <v>0</v>
          </cell>
          <cell r="BT347">
            <v>0</v>
          </cell>
          <cell r="BU347">
            <v>0</v>
          </cell>
          <cell r="BV347">
            <v>0</v>
          </cell>
          <cell r="BW347">
            <v>0</v>
          </cell>
          <cell r="BX347">
            <v>0</v>
          </cell>
          <cell r="BY347">
            <v>0</v>
          </cell>
          <cell r="BZ347">
            <v>0</v>
          </cell>
        </row>
        <row r="348">
          <cell r="B348" t="str">
            <v>Subscription revenue - 4th quarter, 25%</v>
          </cell>
          <cell r="AM348">
            <v>0</v>
          </cell>
          <cell r="AN348">
            <v>0</v>
          </cell>
          <cell r="AO348">
            <v>0</v>
          </cell>
          <cell r="AP348">
            <v>0</v>
          </cell>
          <cell r="AQ348">
            <v>0</v>
          </cell>
          <cell r="AR348">
            <v>0</v>
          </cell>
          <cell r="AS348">
            <v>1.51875</v>
          </cell>
          <cell r="AT348">
            <v>1.575</v>
          </cell>
          <cell r="AU348">
            <v>2.09375</v>
          </cell>
          <cell r="AV348">
            <v>5.1875</v>
          </cell>
          <cell r="AW348">
            <v>1.4312499999999999</v>
          </cell>
          <cell r="AX348">
            <v>2.2062499999999998</v>
          </cell>
          <cell r="AY348">
            <v>2.3250000000000002</v>
          </cell>
          <cell r="AZ348">
            <v>2.4249999999999998</v>
          </cell>
          <cell r="BA348">
            <v>8.3874999999999993</v>
          </cell>
          <cell r="BB348">
            <v>2.5187499999999998</v>
          </cell>
          <cell r="BC348">
            <v>2.6280937499999997</v>
          </cell>
          <cell r="BD348">
            <v>2.7259515624999997</v>
          </cell>
          <cell r="BE348">
            <v>2.8440234374999998</v>
          </cell>
          <cell r="BF348">
            <v>10.716818749999998</v>
          </cell>
          <cell r="BG348">
            <v>2.9563406249999997</v>
          </cell>
          <cell r="BH348">
            <v>3.0694192656249997</v>
          </cell>
          <cell r="BI348">
            <v>0</v>
          </cell>
          <cell r="BJ348">
            <v>0</v>
          </cell>
          <cell r="BK348">
            <v>6.0257598906249994</v>
          </cell>
          <cell r="BL348">
            <v>0</v>
          </cell>
          <cell r="BM348">
            <v>0</v>
          </cell>
          <cell r="BN348">
            <v>0</v>
          </cell>
          <cell r="BO348">
            <v>0</v>
          </cell>
          <cell r="BP348">
            <v>0</v>
          </cell>
          <cell r="BQ348">
            <v>0</v>
          </cell>
          <cell r="BR348">
            <v>0</v>
          </cell>
          <cell r="BS348">
            <v>0</v>
          </cell>
          <cell r="BT348">
            <v>0</v>
          </cell>
          <cell r="BU348">
            <v>0</v>
          </cell>
          <cell r="BV348">
            <v>0</v>
          </cell>
          <cell r="BW348">
            <v>0</v>
          </cell>
          <cell r="BX348">
            <v>0</v>
          </cell>
          <cell r="BY348">
            <v>0</v>
          </cell>
          <cell r="BZ348">
            <v>0</v>
          </cell>
        </row>
        <row r="349">
          <cell r="B349" t="str">
            <v>Subscription revenue - 5th quarter, 12.5%</v>
          </cell>
          <cell r="AM349">
            <v>0</v>
          </cell>
          <cell r="AN349">
            <v>0</v>
          </cell>
          <cell r="AO349">
            <v>0</v>
          </cell>
          <cell r="AP349">
            <v>0</v>
          </cell>
          <cell r="AQ349">
            <v>0</v>
          </cell>
          <cell r="AR349">
            <v>0.75937500000000002</v>
          </cell>
          <cell r="AS349">
            <v>0.78749999999999998</v>
          </cell>
          <cell r="AT349">
            <v>1.046875</v>
          </cell>
          <cell r="AU349">
            <v>1.078125</v>
          </cell>
          <cell r="AV349">
            <v>3.671875</v>
          </cell>
          <cell r="AW349">
            <v>1.1031249999999999</v>
          </cell>
          <cell r="AX349">
            <v>1.1625000000000001</v>
          </cell>
          <cell r="AY349">
            <v>1.2124999999999999</v>
          </cell>
          <cell r="AZ349">
            <v>1.2593749999999999</v>
          </cell>
          <cell r="BA349">
            <v>4.7374999999999998</v>
          </cell>
          <cell r="BB349">
            <v>1.3140468749999998</v>
          </cell>
          <cell r="BC349">
            <v>1.3629757812499999</v>
          </cell>
          <cell r="BD349">
            <v>1.4220117187499999</v>
          </cell>
          <cell r="BE349">
            <v>1.4781703124999999</v>
          </cell>
          <cell r="BF349">
            <v>5.5772046874999992</v>
          </cell>
          <cell r="BG349">
            <v>1.5347096328124998</v>
          </cell>
          <cell r="BH349">
            <v>0</v>
          </cell>
          <cell r="BI349">
            <v>0</v>
          </cell>
          <cell r="BJ349">
            <v>0</v>
          </cell>
          <cell r="BK349">
            <v>1.5347096328124998</v>
          </cell>
          <cell r="BL349">
            <v>0</v>
          </cell>
          <cell r="BM349">
            <v>0</v>
          </cell>
          <cell r="BN349">
            <v>0</v>
          </cell>
          <cell r="BO349">
            <v>0</v>
          </cell>
          <cell r="BP349">
            <v>0</v>
          </cell>
          <cell r="BQ349">
            <v>0</v>
          </cell>
          <cell r="BR349">
            <v>0</v>
          </cell>
          <cell r="BS349">
            <v>0</v>
          </cell>
          <cell r="BT349">
            <v>0</v>
          </cell>
          <cell r="BU349">
            <v>0</v>
          </cell>
          <cell r="BV349">
            <v>0</v>
          </cell>
          <cell r="BW349">
            <v>0</v>
          </cell>
          <cell r="BX349">
            <v>0</v>
          </cell>
          <cell r="BY349">
            <v>0</v>
          </cell>
          <cell r="BZ349">
            <v>0</v>
          </cell>
        </row>
        <row r="351">
          <cell r="B351" t="str">
            <v>Quarterly new sales</v>
          </cell>
          <cell r="AM351">
            <v>1</v>
          </cell>
          <cell r="AN351">
            <v>1.4</v>
          </cell>
          <cell r="AO351">
            <v>1.4</v>
          </cell>
          <cell r="AP351">
            <v>1.6</v>
          </cell>
          <cell r="AQ351">
            <v>5.4</v>
          </cell>
          <cell r="AR351">
            <v>1.7</v>
          </cell>
          <cell r="AS351">
            <v>1.2</v>
          </cell>
          <cell r="AT351">
            <v>1.8</v>
          </cell>
          <cell r="AU351">
            <v>2.2999999999999998</v>
          </cell>
          <cell r="AV351">
            <v>6.9</v>
          </cell>
          <cell r="AW351">
            <v>2.2000000000000002</v>
          </cell>
          <cell r="AX351">
            <v>2</v>
          </cell>
          <cell r="AY351">
            <v>2.5</v>
          </cell>
          <cell r="AZ351">
            <v>2.8</v>
          </cell>
          <cell r="BA351">
            <v>9.5</v>
          </cell>
          <cell r="BB351">
            <v>2.3540000000000005</v>
          </cell>
          <cell r="BC351">
            <v>2.14</v>
          </cell>
          <cell r="BD351">
            <v>2.6750000000000003</v>
          </cell>
          <cell r="BE351">
            <v>2.996</v>
          </cell>
          <cell r="BF351">
            <v>10.165000000000001</v>
          </cell>
          <cell r="BG351">
            <v>2.5187800000000009</v>
          </cell>
          <cell r="BH351">
            <v>2.2898000000000001</v>
          </cell>
          <cell r="BI351">
            <v>2.8622500000000004</v>
          </cell>
          <cell r="BJ351">
            <v>3.2057200000000003</v>
          </cell>
          <cell r="BK351">
            <v>10.876550000000002</v>
          </cell>
          <cell r="BL351">
            <v>2.6950946000000013</v>
          </cell>
          <cell r="BM351">
            <v>2.4500860000000002</v>
          </cell>
          <cell r="BN351">
            <v>3.0626075000000008</v>
          </cell>
          <cell r="BO351">
            <v>3.4301204000000007</v>
          </cell>
          <cell r="BP351">
            <v>11.637908500000002</v>
          </cell>
          <cell r="BQ351">
            <v>2.8837512220000017</v>
          </cell>
          <cell r="BR351">
            <v>2.6215920200000005</v>
          </cell>
          <cell r="BS351">
            <v>3.2769900250000012</v>
          </cell>
          <cell r="BT351">
            <v>3.6702288280000008</v>
          </cell>
          <cell r="BU351">
            <v>12.452562095000005</v>
          </cell>
          <cell r="BV351">
            <v>3.0856138075400019</v>
          </cell>
          <cell r="BW351">
            <v>2.8051034614000008</v>
          </cell>
          <cell r="BX351">
            <v>3.5063793267500016</v>
          </cell>
          <cell r="BY351">
            <v>3.9271448459600009</v>
          </cell>
          <cell r="BZ351">
            <v>13.324241441650006</v>
          </cell>
        </row>
        <row r="352">
          <cell r="B352" t="str">
            <v>y/y change</v>
          </cell>
          <cell r="AR352">
            <v>0.7</v>
          </cell>
          <cell r="AS352">
            <v>-0.14285714285714279</v>
          </cell>
          <cell r="AT352">
            <v>0.28571428571428581</v>
          </cell>
          <cell r="AU352">
            <v>0.43749999999999978</v>
          </cell>
          <cell r="AV352">
            <v>0.27777777777777768</v>
          </cell>
          <cell r="AW352">
            <v>0.29411764705882359</v>
          </cell>
          <cell r="AX352">
            <v>0.66666666666666674</v>
          </cell>
          <cell r="AY352">
            <v>0.38888888888888884</v>
          </cell>
          <cell r="AZ352">
            <v>0.21739130434782616</v>
          </cell>
          <cell r="BA352">
            <v>0.37681159420289845</v>
          </cell>
          <cell r="BB352">
            <v>7.0000000000000062E-2</v>
          </cell>
          <cell r="BC352">
            <v>7.0000000000000062E-2</v>
          </cell>
          <cell r="BD352">
            <v>7.0000000000000062E-2</v>
          </cell>
          <cell r="BE352">
            <v>7.0000000000000062E-2</v>
          </cell>
          <cell r="BF352">
            <v>7.0000000000000062E-2</v>
          </cell>
          <cell r="BG352">
            <v>7.0000000000000062E-2</v>
          </cell>
          <cell r="BH352">
            <v>7.0000000000000062E-2</v>
          </cell>
          <cell r="BI352">
            <v>7.0000000000000062E-2</v>
          </cell>
          <cell r="BJ352">
            <v>7.0000000000000062E-2</v>
          </cell>
          <cell r="BK352">
            <v>7.0000000000000062E-2</v>
          </cell>
          <cell r="BL352">
            <v>7.0000000000000062E-2</v>
          </cell>
          <cell r="BM352">
            <v>7.0000000000000062E-2</v>
          </cell>
          <cell r="BN352">
            <v>7.0000000000000062E-2</v>
          </cell>
          <cell r="BO352">
            <v>7.0000000000000062E-2</v>
          </cell>
          <cell r="BP352">
            <v>7.0000000000000062E-2</v>
          </cell>
          <cell r="BQ352">
            <v>7.0000000000000062E-2</v>
          </cell>
          <cell r="BR352">
            <v>7.0000000000000062E-2</v>
          </cell>
          <cell r="BS352">
            <v>7.0000000000000062E-2</v>
          </cell>
          <cell r="BT352">
            <v>7.0000000000000062E-2</v>
          </cell>
          <cell r="BU352">
            <v>7.0000000000000284E-2</v>
          </cell>
          <cell r="BV352">
            <v>7.0000000000000062E-2</v>
          </cell>
          <cell r="BW352">
            <v>7.0000000000000062E-2</v>
          </cell>
          <cell r="BX352">
            <v>7.0000000000000062E-2</v>
          </cell>
          <cell r="BY352">
            <v>7.0000000000000062E-2</v>
          </cell>
          <cell r="BZ352">
            <v>7.0000000000000062E-2</v>
          </cell>
        </row>
        <row r="353">
          <cell r="B353" t="str">
            <v>BULL</v>
          </cell>
          <cell r="BB353">
            <v>2.4717000000000007</v>
          </cell>
          <cell r="BC353">
            <v>2.2470000000000003</v>
          </cell>
          <cell r="BD353">
            <v>2.8087500000000003</v>
          </cell>
          <cell r="BE353">
            <v>3.1457999999999999</v>
          </cell>
          <cell r="BG353">
            <v>2.6447190000000012</v>
          </cell>
          <cell r="BH353">
            <v>2.40429</v>
          </cell>
          <cell r="BI353">
            <v>3.0053625000000004</v>
          </cell>
          <cell r="BJ353">
            <v>3.3660060000000005</v>
          </cell>
          <cell r="BL353">
            <v>2.8298493300000014</v>
          </cell>
          <cell r="BM353">
            <v>2.5725903000000003</v>
          </cell>
          <cell r="BN353">
            <v>3.2157378750000012</v>
          </cell>
          <cell r="BO353">
            <v>3.601626420000001</v>
          </cell>
          <cell r="BQ353">
            <v>3.027938783100002</v>
          </cell>
          <cell r="BR353">
            <v>2.7526716210000006</v>
          </cell>
          <cell r="BS353">
            <v>3.4408395262500013</v>
          </cell>
          <cell r="BT353">
            <v>3.8537402694000011</v>
          </cell>
          <cell r="BV353">
            <v>3.2398944979170023</v>
          </cell>
          <cell r="BW353">
            <v>2.9453586344700011</v>
          </cell>
          <cell r="BX353">
            <v>3.6816982930875017</v>
          </cell>
          <cell r="BY353">
            <v>4.1235020882580011</v>
          </cell>
        </row>
        <row r="354">
          <cell r="B354" t="str">
            <v>BASE</v>
          </cell>
          <cell r="AM354">
            <v>1</v>
          </cell>
          <cell r="AN354">
            <v>1.4</v>
          </cell>
          <cell r="AO354">
            <v>1.4</v>
          </cell>
          <cell r="AP354">
            <v>1.6</v>
          </cell>
          <cell r="AR354">
            <v>1.7</v>
          </cell>
          <cell r="AS354">
            <v>1.2</v>
          </cell>
          <cell r="AT354">
            <v>1.8</v>
          </cell>
          <cell r="AU354">
            <v>2.2999999999999998</v>
          </cell>
          <cell r="AW354">
            <v>2.2000000000000002</v>
          </cell>
          <cell r="AX354">
            <v>2</v>
          </cell>
          <cell r="AY354">
            <v>2.5</v>
          </cell>
          <cell r="AZ354">
            <v>2.8</v>
          </cell>
          <cell r="BB354">
            <v>2.3540000000000005</v>
          </cell>
          <cell r="BC354">
            <v>2.14</v>
          </cell>
          <cell r="BD354">
            <v>2.6750000000000003</v>
          </cell>
          <cell r="BE354">
            <v>2.996</v>
          </cell>
          <cell r="BG354">
            <v>2.5187800000000009</v>
          </cell>
          <cell r="BH354">
            <v>2.2898000000000001</v>
          </cell>
          <cell r="BI354">
            <v>2.8622500000000004</v>
          </cell>
          <cell r="BJ354">
            <v>3.2057200000000003</v>
          </cell>
          <cell r="BL354">
            <v>2.6950946000000013</v>
          </cell>
          <cell r="BM354">
            <v>2.4500860000000002</v>
          </cell>
          <cell r="BN354">
            <v>3.0626075000000008</v>
          </cell>
          <cell r="BO354">
            <v>3.4301204000000007</v>
          </cell>
          <cell r="BQ354">
            <v>2.8837512220000017</v>
          </cell>
          <cell r="BR354">
            <v>2.6215920200000005</v>
          </cell>
          <cell r="BS354">
            <v>3.2769900250000012</v>
          </cell>
          <cell r="BT354">
            <v>3.6702288280000008</v>
          </cell>
          <cell r="BV354">
            <v>3.0856138075400019</v>
          </cell>
          <cell r="BW354">
            <v>2.8051034614000008</v>
          </cell>
          <cell r="BX354">
            <v>3.5063793267500016</v>
          </cell>
          <cell r="BY354">
            <v>3.9271448459600009</v>
          </cell>
        </row>
        <row r="355">
          <cell r="B355" t="str">
            <v>BEAR</v>
          </cell>
          <cell r="BB355">
            <v>1.8832000000000004</v>
          </cell>
          <cell r="BC355">
            <v>1.7120000000000002</v>
          </cell>
          <cell r="BD355">
            <v>2.14</v>
          </cell>
          <cell r="BE355">
            <v>2.3968000000000003</v>
          </cell>
          <cell r="BG355">
            <v>2.0150240000000008</v>
          </cell>
          <cell r="BH355">
            <v>1.8318400000000001</v>
          </cell>
          <cell r="BI355">
            <v>2.2898000000000005</v>
          </cell>
          <cell r="BJ355">
            <v>2.5645760000000006</v>
          </cell>
          <cell r="BL355">
            <v>2.1560756800000012</v>
          </cell>
          <cell r="BM355">
            <v>1.9600688000000002</v>
          </cell>
          <cell r="BN355">
            <v>2.4500860000000007</v>
          </cell>
          <cell r="BO355">
            <v>2.7440963200000006</v>
          </cell>
          <cell r="BQ355">
            <v>2.3070009776000013</v>
          </cell>
          <cell r="BR355">
            <v>2.0972736160000003</v>
          </cell>
          <cell r="BS355">
            <v>2.6215920200000014</v>
          </cell>
          <cell r="BT355">
            <v>2.9361830624000009</v>
          </cell>
          <cell r="BV355">
            <v>2.4684910460320015</v>
          </cell>
          <cell r="BW355">
            <v>2.2440827691200007</v>
          </cell>
          <cell r="BX355">
            <v>2.8051034614000017</v>
          </cell>
          <cell r="BY355">
            <v>3.1417158767680009</v>
          </cell>
        </row>
        <row r="363">
          <cell r="B363" t="str">
            <v>Quarterly cancellations</v>
          </cell>
          <cell r="AM363">
            <v>-0.4</v>
          </cell>
          <cell r="AN363">
            <v>-0.6</v>
          </cell>
          <cell r="AO363">
            <v>-0.4</v>
          </cell>
          <cell r="AP363">
            <v>-0.6</v>
          </cell>
          <cell r="AQ363">
            <v>-2</v>
          </cell>
          <cell r="AR363">
            <v>-0.31487500000000024</v>
          </cell>
          <cell r="AS363">
            <v>-0.24045000000000019</v>
          </cell>
          <cell r="AT363">
            <v>-0.27337500000000026</v>
          </cell>
          <cell r="AU363">
            <v>-0.76229999999999998</v>
          </cell>
          <cell r="AV363">
            <v>-1.5910000000000006</v>
          </cell>
          <cell r="AW363">
            <v>-0.51750000000000052</v>
          </cell>
          <cell r="AX363">
            <v>-0.54715000000000047</v>
          </cell>
          <cell r="AY363">
            <v>-0.7718999999999997</v>
          </cell>
          <cell r="AZ363">
            <v>-1.0694999999999999</v>
          </cell>
          <cell r="BA363">
            <v>-2.9060500000000005</v>
          </cell>
          <cell r="BB363">
            <v>-0.60450000000000048</v>
          </cell>
          <cell r="BC363">
            <v>-0.57427500000000042</v>
          </cell>
          <cell r="BD363">
            <v>-0.78584999999999949</v>
          </cell>
          <cell r="BE363">
            <v>-1.1989249999999998</v>
          </cell>
          <cell r="BF363">
            <v>-3.1635499999999999</v>
          </cell>
          <cell r="BG363">
            <v>-0.70952175000000062</v>
          </cell>
          <cell r="BH363">
            <v>-0.61491885000000046</v>
          </cell>
          <cell r="BI363">
            <v>-0.8632514624999994</v>
          </cell>
          <cell r="BJ363">
            <v>-1.3480913249999997</v>
          </cell>
          <cell r="BK363">
            <v>-3.5357833875000004</v>
          </cell>
          <cell r="BL363">
            <v>0</v>
          </cell>
          <cell r="BM363">
            <v>0</v>
          </cell>
          <cell r="BN363">
            <v>0</v>
          </cell>
          <cell r="BO363">
            <v>0</v>
          </cell>
          <cell r="BP363">
            <v>0</v>
          </cell>
          <cell r="BQ363">
            <v>0</v>
          </cell>
          <cell r="BR363">
            <v>0</v>
          </cell>
          <cell r="BS363">
            <v>0</v>
          </cell>
          <cell r="BT363">
            <v>0</v>
          </cell>
          <cell r="BU363">
            <v>0</v>
          </cell>
          <cell r="BV363">
            <v>0</v>
          </cell>
          <cell r="BW363">
            <v>0</v>
          </cell>
          <cell r="BX363">
            <v>0</v>
          </cell>
          <cell r="BY363">
            <v>0</v>
          </cell>
          <cell r="BZ363">
            <v>0</v>
          </cell>
        </row>
        <row r="364">
          <cell r="B364" t="str">
            <v>Cancellation rate (as % of beginning of year run rate)</v>
          </cell>
          <cell r="AM364">
            <v>0</v>
          </cell>
          <cell r="AN364">
            <v>0.11499999999999999</v>
          </cell>
          <cell r="AO364">
            <v>9.099999999999997E-2</v>
          </cell>
          <cell r="AP364">
            <v>0.13300000000000001</v>
          </cell>
          <cell r="AQ364">
            <v>0.10450000000000004</v>
          </cell>
          <cell r="AR364">
            <v>5.5000000000000049E-2</v>
          </cell>
          <cell r="AS364">
            <v>4.2000000000000037E-2</v>
          </cell>
          <cell r="AT364">
            <v>4.500000000000004E-2</v>
          </cell>
          <cell r="AU364">
            <v>0.121</v>
          </cell>
          <cell r="AV364">
            <v>6.5749999999999975E-2</v>
          </cell>
          <cell r="AW364">
            <v>6.0000000000000053E-2</v>
          </cell>
          <cell r="AX364">
            <v>6.2000000000000055E-2</v>
          </cell>
          <cell r="AY364">
            <v>8.2999999999999963E-2</v>
          </cell>
          <cell r="AZ364">
            <v>0.124</v>
          </cell>
          <cell r="BA364">
            <v>8.2250000000000045E-2</v>
          </cell>
          <cell r="BB364">
            <v>6.0000000000000053E-2</v>
          </cell>
          <cell r="BC364">
            <v>5.7000000000000051E-2</v>
          </cell>
          <cell r="BD364">
            <v>7.7999999999999958E-2</v>
          </cell>
          <cell r="BE364">
            <v>0.11899999999999999</v>
          </cell>
          <cell r="BF364">
            <v>7.8500000000000014E-2</v>
          </cell>
          <cell r="BG364">
            <v>6.0000000000000053E-2</v>
          </cell>
          <cell r="BH364">
            <v>5.2000000000000046E-2</v>
          </cell>
          <cell r="BI364">
            <v>7.2999999999999954E-2</v>
          </cell>
          <cell r="BJ364">
            <v>0.11399999999999999</v>
          </cell>
          <cell r="BK364">
            <v>7.4749999999999983E-2</v>
          </cell>
          <cell r="BL364">
            <v>6.0000000000000053E-2</v>
          </cell>
          <cell r="BM364">
            <v>4.7000000000000042E-2</v>
          </cell>
          <cell r="BN364">
            <v>6.7999999999999949E-2</v>
          </cell>
          <cell r="BO364">
            <v>0.10899999999999999</v>
          </cell>
          <cell r="BP364">
            <v>7.1000000000000063E-2</v>
          </cell>
          <cell r="BQ364">
            <v>6.0000000000000053E-2</v>
          </cell>
          <cell r="BR364">
            <v>4.7000000000000042E-2</v>
          </cell>
          <cell r="BS364">
            <v>6.7999999999999949E-2</v>
          </cell>
          <cell r="BT364">
            <v>0.10899999999999999</v>
          </cell>
          <cell r="BU364">
            <v>7.1000000000000063E-2</v>
          </cell>
          <cell r="BV364">
            <v>6.0000000000000053E-2</v>
          </cell>
          <cell r="BW364">
            <v>4.7000000000000042E-2</v>
          </cell>
          <cell r="BX364">
            <v>6.7999999999999949E-2</v>
          </cell>
          <cell r="BY364">
            <v>0.10899999999999999</v>
          </cell>
          <cell r="BZ364">
            <v>7.1000000000000063E-2</v>
          </cell>
        </row>
        <row r="365">
          <cell r="B365" t="str">
            <v>BULL - Retention rate</v>
          </cell>
          <cell r="BB365">
            <v>0.95499999999999996</v>
          </cell>
          <cell r="BC365">
            <v>0.95799999999999996</v>
          </cell>
          <cell r="BD365">
            <v>0.94700000000000006</v>
          </cell>
          <cell r="BE365">
            <v>0.90600000000000003</v>
          </cell>
          <cell r="BF365">
            <v>0.9415</v>
          </cell>
          <cell r="BG365">
            <v>0.95499999999999996</v>
          </cell>
          <cell r="BH365">
            <v>0.96299999999999997</v>
          </cell>
          <cell r="BI365">
            <v>0.95200000000000007</v>
          </cell>
          <cell r="BJ365">
            <v>0.91100000000000003</v>
          </cell>
          <cell r="BK365">
            <v>0.94525000000000003</v>
          </cell>
          <cell r="BL365">
            <v>0.95499999999999996</v>
          </cell>
          <cell r="BM365">
            <v>0.96799999999999997</v>
          </cell>
          <cell r="BN365">
            <v>0.95700000000000007</v>
          </cell>
          <cell r="BO365">
            <v>0.91600000000000004</v>
          </cell>
          <cell r="BP365">
            <v>0.94899999999999995</v>
          </cell>
          <cell r="BQ365">
            <v>0.95499999999999996</v>
          </cell>
          <cell r="BR365">
            <v>0.96799999999999997</v>
          </cell>
          <cell r="BS365">
            <v>0.95700000000000007</v>
          </cell>
          <cell r="BT365">
            <v>0.91600000000000004</v>
          </cell>
          <cell r="BU365">
            <v>0.94899999999999995</v>
          </cell>
          <cell r="BV365">
            <v>0.95499999999999996</v>
          </cell>
          <cell r="BW365">
            <v>0.96799999999999997</v>
          </cell>
          <cell r="BX365">
            <v>0.95700000000000007</v>
          </cell>
          <cell r="BY365">
            <v>0.91600000000000004</v>
          </cell>
          <cell r="BZ365">
            <v>0.94899999999999995</v>
          </cell>
        </row>
        <row r="366">
          <cell r="B366" t="str">
            <v>BASE - Retention rate</v>
          </cell>
          <cell r="AM366">
            <v>0.92100000000000004</v>
          </cell>
          <cell r="AN366">
            <v>0.88500000000000001</v>
          </cell>
          <cell r="AO366">
            <v>0.90900000000000003</v>
          </cell>
          <cell r="AP366">
            <v>0.86699999999999999</v>
          </cell>
          <cell r="AQ366">
            <v>0.89549999999999996</v>
          </cell>
          <cell r="AR366">
            <v>0.94499999999999995</v>
          </cell>
          <cell r="AS366">
            <v>0.95799999999999996</v>
          </cell>
          <cell r="AT366">
            <v>0.95499999999999996</v>
          </cell>
          <cell r="AU366">
            <v>0.879</v>
          </cell>
          <cell r="AV366">
            <v>0.93425000000000002</v>
          </cell>
          <cell r="AW366">
            <v>0.94</v>
          </cell>
          <cell r="AX366">
            <v>0.93799999999999994</v>
          </cell>
          <cell r="AY366">
            <v>0.91700000000000004</v>
          </cell>
          <cell r="AZ366">
            <v>0.876</v>
          </cell>
          <cell r="BA366">
            <v>0.91774999999999995</v>
          </cell>
          <cell r="BB366">
            <v>0.94</v>
          </cell>
          <cell r="BC366">
            <v>0.94299999999999995</v>
          </cell>
          <cell r="BD366">
            <v>0.92200000000000004</v>
          </cell>
          <cell r="BE366">
            <v>0.88100000000000001</v>
          </cell>
          <cell r="BF366">
            <v>0.92149999999999999</v>
          </cell>
          <cell r="BG366">
            <v>0.94</v>
          </cell>
          <cell r="BH366">
            <v>0.94799999999999995</v>
          </cell>
          <cell r="BI366">
            <v>0.92700000000000005</v>
          </cell>
          <cell r="BJ366">
            <v>0.88600000000000001</v>
          </cell>
          <cell r="BK366">
            <v>0.92525000000000002</v>
          </cell>
          <cell r="BL366">
            <v>0.94</v>
          </cell>
          <cell r="BM366">
            <v>0.95299999999999996</v>
          </cell>
          <cell r="BN366">
            <v>0.93200000000000005</v>
          </cell>
          <cell r="BO366">
            <v>0.89100000000000001</v>
          </cell>
          <cell r="BP366">
            <v>0.92899999999999994</v>
          </cell>
          <cell r="BQ366">
            <v>0.94</v>
          </cell>
          <cell r="BR366">
            <v>0.95299999999999996</v>
          </cell>
          <cell r="BS366">
            <v>0.93200000000000005</v>
          </cell>
          <cell r="BT366">
            <v>0.89100000000000001</v>
          </cell>
          <cell r="BU366">
            <v>0.92899999999999994</v>
          </cell>
          <cell r="BV366">
            <v>0.94</v>
          </cell>
          <cell r="BW366">
            <v>0.95299999999999996</v>
          </cell>
          <cell r="BX366">
            <v>0.93200000000000005</v>
          </cell>
          <cell r="BY366">
            <v>0.89100000000000001</v>
          </cell>
          <cell r="BZ366">
            <v>0.92899999999999994</v>
          </cell>
        </row>
        <row r="367">
          <cell r="B367" t="str">
            <v>BEAR - Retention rate</v>
          </cell>
          <cell r="BB367">
            <v>0.89999999999999991</v>
          </cell>
          <cell r="BC367">
            <v>0.90299999999999991</v>
          </cell>
          <cell r="BD367">
            <v>0.88200000000000001</v>
          </cell>
          <cell r="BE367">
            <v>0.84099999999999997</v>
          </cell>
          <cell r="BF367">
            <v>0.88149999999999995</v>
          </cell>
          <cell r="BG367">
            <v>0.89999999999999991</v>
          </cell>
          <cell r="BH367">
            <v>0.90799999999999992</v>
          </cell>
          <cell r="BI367">
            <v>0.88700000000000001</v>
          </cell>
          <cell r="BJ367">
            <v>0.84599999999999997</v>
          </cell>
          <cell r="BK367">
            <v>0.88524999999999998</v>
          </cell>
          <cell r="BL367">
            <v>0.89999999999999991</v>
          </cell>
          <cell r="BM367">
            <v>0.91299999999999992</v>
          </cell>
          <cell r="BN367">
            <v>0.89200000000000002</v>
          </cell>
          <cell r="BO367">
            <v>0.85099999999999998</v>
          </cell>
          <cell r="BP367">
            <v>0.8889999999999999</v>
          </cell>
          <cell r="BQ367">
            <v>0.89999999999999991</v>
          </cell>
          <cell r="BR367">
            <v>0.91299999999999992</v>
          </cell>
          <cell r="BS367">
            <v>0.89200000000000002</v>
          </cell>
          <cell r="BT367">
            <v>0.85099999999999998</v>
          </cell>
          <cell r="BU367">
            <v>0.8889999999999999</v>
          </cell>
          <cell r="BV367">
            <v>0.89999999999999991</v>
          </cell>
          <cell r="BW367">
            <v>0.91299999999999992</v>
          </cell>
          <cell r="BX367">
            <v>0.89200000000000002</v>
          </cell>
          <cell r="BY367">
            <v>0.85099999999999998</v>
          </cell>
          <cell r="BZ367">
            <v>0.8889999999999999</v>
          </cell>
        </row>
        <row r="368">
          <cell r="B368" t="str">
            <v>Cancellation rate (as % of beginning of qtr run rate)</v>
          </cell>
          <cell r="AR368">
            <v>5.5000000000000042E-2</v>
          </cell>
          <cell r="AS368">
            <v>3.958024691358028E-2</v>
          </cell>
          <cell r="AT368">
            <v>4.3392857142857184E-2</v>
          </cell>
          <cell r="AU368">
            <v>9.1020895522388054E-2</v>
          </cell>
          <cell r="AV368">
            <v>6.9475982532751127E-2</v>
          </cell>
          <cell r="AW368">
            <v>6.000000000000006E-2</v>
          </cell>
          <cell r="AX368">
            <v>6.2000000000000055E-2</v>
          </cell>
          <cell r="AY368">
            <v>8.2999999999999963E-2</v>
          </cell>
          <cell r="AZ368">
            <v>0.11025773195876289</v>
          </cell>
          <cell r="BA368">
            <v>8.4233333333333341E-2</v>
          </cell>
          <cell r="BB368">
            <v>6.0000000000000053E-2</v>
          </cell>
          <cell r="BC368">
            <v>5.4628473584703789E-2</v>
          </cell>
          <cell r="BD368">
            <v>7.2071163223392715E-2</v>
          </cell>
          <cell r="BE368">
            <v>0.10538986635900394</v>
          </cell>
          <cell r="BF368">
            <v>7.85E-2</v>
          </cell>
          <cell r="BG368">
            <v>6.000000000000006E-2</v>
          </cell>
          <cell r="BH368">
            <v>5.0084299079519022E-2</v>
          </cell>
          <cell r="BI368" t="e">
            <v>#DIV/0!</v>
          </cell>
          <cell r="BJ368" t="e">
            <v>#DIV/0!</v>
          </cell>
          <cell r="BK368">
            <v>7.4750000000000011E-2</v>
          </cell>
          <cell r="BL368" t="e">
            <v>#DIV/0!</v>
          </cell>
          <cell r="BM368" t="e">
            <v>#DIV/0!</v>
          </cell>
          <cell r="BN368" t="e">
            <v>#DIV/0!</v>
          </cell>
          <cell r="BO368" t="e">
            <v>#DIV/0!</v>
          </cell>
          <cell r="BP368" t="e">
            <v>#DIV/0!</v>
          </cell>
          <cell r="BQ368" t="e">
            <v>#DIV/0!</v>
          </cell>
          <cell r="BR368" t="e">
            <v>#DIV/0!</v>
          </cell>
          <cell r="BS368" t="e">
            <v>#DIV/0!</v>
          </cell>
          <cell r="BT368" t="e">
            <v>#DIV/0!</v>
          </cell>
          <cell r="BU368" t="e">
            <v>#DIV/0!</v>
          </cell>
          <cell r="BV368" t="e">
            <v>#DIV/0!</v>
          </cell>
          <cell r="BW368" t="e">
            <v>#DIV/0!</v>
          </cell>
          <cell r="BX368" t="e">
            <v>#DIV/0!</v>
          </cell>
          <cell r="BY368" t="e">
            <v>#DIV/0!</v>
          </cell>
          <cell r="BZ368" t="e">
            <v>#DIV/0!</v>
          </cell>
        </row>
        <row r="376">
          <cell r="B376" t="str">
            <v>Subtotal</v>
          </cell>
          <cell r="AM376">
            <v>0</v>
          </cell>
          <cell r="AN376">
            <v>0</v>
          </cell>
          <cell r="AO376">
            <v>0</v>
          </cell>
          <cell r="AP376">
            <v>0</v>
          </cell>
          <cell r="AQ376">
            <v>0</v>
          </cell>
          <cell r="AR376">
            <v>0.75937500000000002</v>
          </cell>
          <cell r="AS376">
            <v>2.3062499999999999</v>
          </cell>
          <cell r="AT376">
            <v>2.6218750000000002</v>
          </cell>
          <cell r="AU376">
            <v>4.4156250000000004</v>
          </cell>
          <cell r="AV376">
            <v>10.103125</v>
          </cell>
          <cell r="AW376">
            <v>5.8062500000000004</v>
          </cell>
          <cell r="AX376">
            <v>8.40625</v>
          </cell>
          <cell r="AY376">
            <v>8.9468750000000004</v>
          </cell>
          <cell r="AZ376">
            <v>9.2937500000000011</v>
          </cell>
          <cell r="BA376">
            <v>32.453125</v>
          </cell>
          <cell r="BB376">
            <v>9.6859218749999982</v>
          </cell>
          <cell r="BC376">
            <v>10.097319531249999</v>
          </cell>
          <cell r="BD376">
            <v>10.507307031249997</v>
          </cell>
          <cell r="BE376">
            <v>10.935614062499999</v>
          </cell>
          <cell r="BF376">
            <v>41.226162499999994</v>
          </cell>
          <cell r="BG376">
            <v>11.3750721328125</v>
          </cell>
          <cell r="BH376">
            <v>10.232759109374998</v>
          </cell>
          <cell r="BI376">
            <v>7.4477716093749997</v>
          </cell>
          <cell r="BJ376">
            <v>4.5475895781249998</v>
          </cell>
          <cell r="BK376">
            <v>33.603192429687496</v>
          </cell>
          <cell r="BL376">
            <v>1.5347096328124998</v>
          </cell>
          <cell r="BM376">
            <v>0</v>
          </cell>
          <cell r="BN376">
            <v>0</v>
          </cell>
          <cell r="BO376">
            <v>0</v>
          </cell>
          <cell r="BP376">
            <v>1.5347096328124998</v>
          </cell>
          <cell r="BQ376">
            <v>0</v>
          </cell>
          <cell r="BR376">
            <v>0</v>
          </cell>
          <cell r="BS376">
            <v>0</v>
          </cell>
          <cell r="BT376">
            <v>0</v>
          </cell>
          <cell r="BU376">
            <v>0</v>
          </cell>
          <cell r="BV376">
            <v>0</v>
          </cell>
          <cell r="BW376">
            <v>0</v>
          </cell>
          <cell r="BX376">
            <v>0</v>
          </cell>
          <cell r="BY376">
            <v>0</v>
          </cell>
          <cell r="BZ376">
            <v>0</v>
          </cell>
        </row>
        <row r="377">
          <cell r="B377" t="str">
            <v>Adjustments (FX, Other)</v>
          </cell>
          <cell r="AM377">
            <v>4.9000000000000004</v>
          </cell>
          <cell r="AN377">
            <v>5.0999999999999996</v>
          </cell>
          <cell r="AO377">
            <v>5.3</v>
          </cell>
          <cell r="AP377">
            <v>5.7</v>
          </cell>
          <cell r="AQ377">
            <v>21</v>
          </cell>
          <cell r="AR377">
            <v>5.0406249999999995</v>
          </cell>
          <cell r="AS377">
            <v>3.7937499999999997</v>
          </cell>
          <cell r="AT377">
            <v>4.7781250000000002</v>
          </cell>
          <cell r="AU377">
            <v>4.0843749999999996</v>
          </cell>
          <cell r="AV377">
            <v>17.696874999999999</v>
          </cell>
          <cell r="AW377">
            <v>2.9937500000000004</v>
          </cell>
          <cell r="AX377">
            <v>0.69374999999999964</v>
          </cell>
          <cell r="AY377">
            <v>0.55312499999999964</v>
          </cell>
          <cell r="AZ377">
            <v>0.55312499999999964</v>
          </cell>
          <cell r="BA377">
            <v>4.7937499999999993</v>
          </cell>
          <cell r="BB377">
            <v>0.55312499999999964</v>
          </cell>
          <cell r="BC377">
            <v>0.69374999999999964</v>
          </cell>
          <cell r="BD377">
            <v>0.55312499999999964</v>
          </cell>
          <cell r="BE377">
            <v>0.55312499999999964</v>
          </cell>
          <cell r="BF377">
            <v>2.3531249999999986</v>
          </cell>
          <cell r="BG377">
            <v>0.55312499999999964</v>
          </cell>
          <cell r="BH377">
            <v>0.69374999999999964</v>
          </cell>
          <cell r="BI377">
            <v>0.55312499999999964</v>
          </cell>
          <cell r="BJ377">
            <v>0.55312499999999964</v>
          </cell>
          <cell r="BK377">
            <v>2.3531249999999986</v>
          </cell>
          <cell r="BL377">
            <v>0.55312499999999964</v>
          </cell>
          <cell r="BM377">
            <v>0.69374999999999964</v>
          </cell>
          <cell r="BN377">
            <v>0.55312499999999964</v>
          </cell>
          <cell r="BO377">
            <v>0.55312499999999964</v>
          </cell>
          <cell r="BP377">
            <v>2.3531249999999986</v>
          </cell>
          <cell r="BQ377">
            <v>0.55312499999999964</v>
          </cell>
          <cell r="BR377">
            <v>0.69374999999999964</v>
          </cell>
          <cell r="BS377">
            <v>0.55312499999999964</v>
          </cell>
          <cell r="BT377">
            <v>0.55312499999999964</v>
          </cell>
          <cell r="BU377">
            <v>2.3531249999999986</v>
          </cell>
          <cell r="BV377">
            <v>0.55312499999999964</v>
          </cell>
          <cell r="BW377">
            <v>0.69374999999999964</v>
          </cell>
          <cell r="BX377">
            <v>0.55312499999999964</v>
          </cell>
          <cell r="BY377">
            <v>0.55312499999999964</v>
          </cell>
          <cell r="BZ377">
            <v>2.3531249999999986</v>
          </cell>
        </row>
        <row r="378">
          <cell r="B378" t="str">
            <v>ESG recurring revenue</v>
          </cell>
          <cell r="AM378">
            <v>4.9000000000000004</v>
          </cell>
          <cell r="AN378">
            <v>5.0999999999999996</v>
          </cell>
          <cell r="AO378">
            <v>5.3</v>
          </cell>
          <cell r="AP378">
            <v>5.7</v>
          </cell>
          <cell r="AQ378">
            <v>21</v>
          </cell>
          <cell r="AR378">
            <v>5.8</v>
          </cell>
          <cell r="AS378">
            <v>6.1</v>
          </cell>
          <cell r="AT378">
            <v>7.4</v>
          </cell>
          <cell r="AU378">
            <v>8.5</v>
          </cell>
          <cell r="AV378">
            <v>27.799999999999997</v>
          </cell>
          <cell r="AW378">
            <v>8.8000000000000007</v>
          </cell>
          <cell r="AX378">
            <v>9.1</v>
          </cell>
          <cell r="AY378">
            <v>9.5</v>
          </cell>
          <cell r="AZ378">
            <v>9.76</v>
          </cell>
          <cell r="BA378">
            <v>37.159999999999997</v>
          </cell>
          <cell r="BB378">
            <v>10.239046874999998</v>
          </cell>
          <cell r="BC378">
            <v>10.791069531249999</v>
          </cell>
          <cell r="BD378">
            <v>11.060432031249997</v>
          </cell>
          <cell r="BE378">
            <v>11.488739062499999</v>
          </cell>
          <cell r="BF378">
            <v>43.579287499999992</v>
          </cell>
          <cell r="BG378">
            <v>11.9281971328125</v>
          </cell>
          <cell r="BH378">
            <v>10.926509109374997</v>
          </cell>
          <cell r="BI378">
            <v>8.0008966093749994</v>
          </cell>
          <cell r="BJ378">
            <v>5.1007145781249994</v>
          </cell>
          <cell r="BK378">
            <v>35.956317429687495</v>
          </cell>
          <cell r="BL378">
            <v>2.0878346328124993</v>
          </cell>
          <cell r="BM378">
            <v>0.69374999999999964</v>
          </cell>
          <cell r="BN378">
            <v>0.55312499999999964</v>
          </cell>
          <cell r="BO378">
            <v>0.55312499999999964</v>
          </cell>
          <cell r="BP378">
            <v>3.8878346328124982</v>
          </cell>
          <cell r="BQ378">
            <v>0.55312499999999964</v>
          </cell>
          <cell r="BR378">
            <v>0.69374999999999964</v>
          </cell>
          <cell r="BS378">
            <v>0.55312499999999964</v>
          </cell>
          <cell r="BT378">
            <v>0.55312499999999964</v>
          </cell>
          <cell r="BU378">
            <v>2.3531249999999986</v>
          </cell>
          <cell r="BV378">
            <v>0.55312499999999964</v>
          </cell>
          <cell r="BW378">
            <v>0.69374999999999964</v>
          </cell>
          <cell r="BX378">
            <v>0.55312499999999964</v>
          </cell>
          <cell r="BY378">
            <v>0.55312499999999964</v>
          </cell>
          <cell r="BZ378">
            <v>2.3531249999999986</v>
          </cell>
          <cell r="CB378">
            <v>-0.44220710958314846</v>
          </cell>
        </row>
        <row r="383">
          <cell r="B383" t="str">
            <v>y/y change</v>
          </cell>
          <cell r="AR383">
            <v>0.18367346938775508</v>
          </cell>
          <cell r="AS383">
            <v>0.19607843137254899</v>
          </cell>
          <cell r="AT383">
            <v>0.39622641509433976</v>
          </cell>
          <cell r="AU383">
            <v>0.49122807017543857</v>
          </cell>
          <cell r="AV383">
            <v>0.32380952380952377</v>
          </cell>
          <cell r="AW383">
            <v>0.51724137931034497</v>
          </cell>
          <cell r="AX383">
            <v>0.49180327868852469</v>
          </cell>
          <cell r="AY383">
            <v>0.28378378378378377</v>
          </cell>
          <cell r="AZ383">
            <v>0.14823529411764702</v>
          </cell>
          <cell r="BA383">
            <v>0.33669064748201438</v>
          </cell>
          <cell r="BB383">
            <v>0.16352805397727233</v>
          </cell>
          <cell r="BC383">
            <v>0.185831816620879</v>
          </cell>
          <cell r="BD383">
            <v>0.16425600328947332</v>
          </cell>
          <cell r="BE383">
            <v>0.17712490394467206</v>
          </cell>
          <cell r="BF383">
            <v>0.17274724165769628</v>
          </cell>
          <cell r="BG383">
            <v>0.16497143517691937</v>
          </cell>
          <cell r="BH383">
            <v>1.2551080106821377E-2</v>
          </cell>
          <cell r="BI383">
            <v>-0.27661988367458223</v>
          </cell>
          <cell r="BJ383">
            <v>-0.55602485613290087</v>
          </cell>
          <cell r="BK383">
            <v>-0.1749218609944575</v>
          </cell>
          <cell r="BL383">
            <v>-0.82496645473193841</v>
          </cell>
          <cell r="BM383">
            <v>-0.93650762626420558</v>
          </cell>
          <cell r="BN383">
            <v>-0.93086712314818831</v>
          </cell>
          <cell r="BO383">
            <v>-0.89155931163603241</v>
          </cell>
          <cell r="BP383">
            <v>-0.89187339219553974</v>
          </cell>
          <cell r="BQ383">
            <v>-0.73507240884547875</v>
          </cell>
          <cell r="BR383">
            <v>0</v>
          </cell>
          <cell r="BS383">
            <v>0</v>
          </cell>
          <cell r="BT383">
            <v>0</v>
          </cell>
          <cell r="BU383">
            <v>-0.39474663347557959</v>
          </cell>
          <cell r="BV383">
            <v>0</v>
          </cell>
          <cell r="BW383">
            <v>0</v>
          </cell>
          <cell r="BX383">
            <v>0</v>
          </cell>
          <cell r="BY383">
            <v>0</v>
          </cell>
          <cell r="BZ383">
            <v>0</v>
          </cell>
        </row>
        <row r="385">
          <cell r="B385" t="str">
            <v>ESG non-recurring revenue</v>
          </cell>
          <cell r="AM385">
            <v>0.2</v>
          </cell>
          <cell r="AN385">
            <v>0.1</v>
          </cell>
          <cell r="AO385">
            <v>0.1</v>
          </cell>
          <cell r="AP385">
            <v>0</v>
          </cell>
          <cell r="AQ385">
            <v>0.4</v>
          </cell>
          <cell r="AR385">
            <v>0.1</v>
          </cell>
          <cell r="AS385">
            <v>0.1</v>
          </cell>
          <cell r="AT385">
            <v>0.1</v>
          </cell>
          <cell r="AU385">
            <v>0.1</v>
          </cell>
          <cell r="AV385">
            <v>0.4</v>
          </cell>
          <cell r="AW385">
            <v>0.1</v>
          </cell>
          <cell r="AX385">
            <v>0.1</v>
          </cell>
          <cell r="AY385">
            <v>0.2</v>
          </cell>
          <cell r="AZ385">
            <v>0.129</v>
          </cell>
          <cell r="BA385">
            <v>0.52900000000000003</v>
          </cell>
          <cell r="BB385">
            <v>0.1</v>
          </cell>
          <cell r="BC385">
            <v>0.1</v>
          </cell>
          <cell r="BD385">
            <v>0.2</v>
          </cell>
          <cell r="BE385">
            <v>0.129</v>
          </cell>
          <cell r="BF385">
            <v>0.52900000000000003</v>
          </cell>
          <cell r="BG385">
            <v>0.1</v>
          </cell>
          <cell r="BH385">
            <v>0.1</v>
          </cell>
          <cell r="BI385">
            <v>0.2</v>
          </cell>
          <cell r="BJ385">
            <v>0.129</v>
          </cell>
          <cell r="BK385">
            <v>0.52900000000000003</v>
          </cell>
          <cell r="BL385">
            <v>0.1</v>
          </cell>
          <cell r="BM385">
            <v>0.1</v>
          </cell>
          <cell r="BN385">
            <v>0.2</v>
          </cell>
          <cell r="BO385">
            <v>0.129</v>
          </cell>
          <cell r="BP385">
            <v>0.52900000000000003</v>
          </cell>
          <cell r="BQ385">
            <v>0.1</v>
          </cell>
          <cell r="BR385">
            <v>0.1</v>
          </cell>
          <cell r="BS385">
            <v>0.2</v>
          </cell>
          <cell r="BT385">
            <v>0.129</v>
          </cell>
          <cell r="BU385">
            <v>0.52900000000000003</v>
          </cell>
          <cell r="BV385">
            <v>0.1</v>
          </cell>
          <cell r="BW385">
            <v>0.1</v>
          </cell>
          <cell r="BX385">
            <v>0.2</v>
          </cell>
          <cell r="BY385">
            <v>0.129</v>
          </cell>
          <cell r="BZ385">
            <v>0.52900000000000003</v>
          </cell>
          <cell r="CB385">
            <v>0</v>
          </cell>
        </row>
        <row r="387">
          <cell r="B387" t="str">
            <v>ESG revenue</v>
          </cell>
          <cell r="D387">
            <v>0</v>
          </cell>
          <cell r="E387">
            <v>0</v>
          </cell>
          <cell r="F387">
            <v>0</v>
          </cell>
          <cell r="G387">
            <v>0</v>
          </cell>
          <cell r="I387">
            <v>0</v>
          </cell>
          <cell r="J387">
            <v>0</v>
          </cell>
          <cell r="K387">
            <v>0</v>
          </cell>
          <cell r="L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5.1000000000000005</v>
          </cell>
          <cell r="AN387">
            <v>5.1999999999999993</v>
          </cell>
          <cell r="AO387">
            <v>5.3999999999999995</v>
          </cell>
          <cell r="AP387">
            <v>5.7</v>
          </cell>
          <cell r="AQ387">
            <v>21.4</v>
          </cell>
          <cell r="AR387">
            <v>5.8999999999999995</v>
          </cell>
          <cell r="AS387">
            <v>6.1999999999999993</v>
          </cell>
          <cell r="AT387">
            <v>7.5</v>
          </cell>
          <cell r="AU387">
            <v>8.6</v>
          </cell>
          <cell r="AV387">
            <v>28.199999999999996</v>
          </cell>
          <cell r="AW387">
            <v>8.9</v>
          </cell>
          <cell r="AX387">
            <v>9.1999999999999993</v>
          </cell>
          <cell r="AY387">
            <v>9.6999999999999993</v>
          </cell>
          <cell r="AZ387">
            <v>9.8889999999999993</v>
          </cell>
          <cell r="BA387">
            <v>37.689</v>
          </cell>
          <cell r="BB387">
            <v>10.339046874999998</v>
          </cell>
          <cell r="BC387">
            <v>10.891069531249999</v>
          </cell>
          <cell r="BD387">
            <v>11.260432031249996</v>
          </cell>
          <cell r="BE387">
            <v>11.617739062499998</v>
          </cell>
          <cell r="BF387">
            <v>44.108287499999996</v>
          </cell>
          <cell r="BG387">
            <v>12.028197132812499</v>
          </cell>
          <cell r="BH387">
            <v>11.026509109374997</v>
          </cell>
          <cell r="BI387">
            <v>8.2008966093749986</v>
          </cell>
          <cell r="BJ387">
            <v>5.2297145781249998</v>
          </cell>
          <cell r="BK387">
            <v>36.485317429687498</v>
          </cell>
          <cell r="BL387">
            <v>2.1878346328124993</v>
          </cell>
          <cell r="BM387">
            <v>0.79374999999999962</v>
          </cell>
          <cell r="BN387">
            <v>0.7531249999999996</v>
          </cell>
          <cell r="BO387">
            <v>0.68212499999999965</v>
          </cell>
          <cell r="BP387">
            <v>4.4168346328124981</v>
          </cell>
          <cell r="BQ387">
            <v>0.65312499999999962</v>
          </cell>
          <cell r="BR387">
            <v>0.79374999999999962</v>
          </cell>
          <cell r="BS387">
            <v>0.7531249999999996</v>
          </cell>
          <cell r="BT387">
            <v>0.68212499999999965</v>
          </cell>
          <cell r="BU387">
            <v>2.8821249999999985</v>
          </cell>
          <cell r="BV387">
            <v>0.65312499999999962</v>
          </cell>
          <cell r="BW387">
            <v>0.79374999999999962</v>
          </cell>
          <cell r="BX387">
            <v>0.7531249999999996</v>
          </cell>
          <cell r="BY387">
            <v>0.68212499999999965</v>
          </cell>
          <cell r="BZ387">
            <v>2.8821249999999985</v>
          </cell>
          <cell r="CB387">
            <v>-0.42051990428485531</v>
          </cell>
        </row>
        <row r="388">
          <cell r="B388" t="str">
            <v>y/y change</v>
          </cell>
          <cell r="AR388">
            <v>0.15686274509803888</v>
          </cell>
          <cell r="AS388">
            <v>0.19230769230769229</v>
          </cell>
          <cell r="AT388">
            <v>0.38888888888888906</v>
          </cell>
          <cell r="AU388">
            <v>0.50877192982456121</v>
          </cell>
          <cell r="AV388">
            <v>0.31775700934579421</v>
          </cell>
          <cell r="AW388">
            <v>0.50847457627118664</v>
          </cell>
          <cell r="AX388">
            <v>0.4838709677419355</v>
          </cell>
          <cell r="AY388">
            <v>0.29333333333333322</v>
          </cell>
          <cell r="AZ388">
            <v>0.14988372093023261</v>
          </cell>
          <cell r="BA388">
            <v>0.33648936170212784</v>
          </cell>
          <cell r="BB388">
            <v>0.16169066011235933</v>
          </cell>
          <cell r="BC388">
            <v>0.18381190557065219</v>
          </cell>
          <cell r="BD388">
            <v>0.16086928157216462</v>
          </cell>
          <cell r="BE388">
            <v>0.17481434548488206</v>
          </cell>
          <cell r="BF388">
            <v>0.17032257422590136</v>
          </cell>
          <cell r="BG388">
            <v>0.16337581967027326</v>
          </cell>
          <cell r="BH388">
            <v>1.2435838164137847E-2</v>
          </cell>
          <cell r="BI388">
            <v>-0.27170675275905598</v>
          </cell>
          <cell r="BJ388">
            <v>-0.54985091763632465</v>
          </cell>
          <cell r="BK388">
            <v>-0.17282398620242279</v>
          </cell>
          <cell r="BL388">
            <v>-0.8181078503573771</v>
          </cell>
          <cell r="BM388">
            <v>-0.92801438858603624</v>
          </cell>
          <cell r="BN388">
            <v>-0.90816552922529814</v>
          </cell>
          <cell r="BO388">
            <v>-0.86956745156739301</v>
          </cell>
          <cell r="BP388">
            <v>-0.87894213497458584</v>
          </cell>
          <cell r="BQ388">
            <v>-0.70147423840695122</v>
          </cell>
          <cell r="BR388">
            <v>0</v>
          </cell>
          <cell r="BS388">
            <v>0</v>
          </cell>
          <cell r="BT388">
            <v>0</v>
          </cell>
          <cell r="BU388">
            <v>-0.34746821205648037</v>
          </cell>
          <cell r="BV388">
            <v>0</v>
          </cell>
          <cell r="BW388">
            <v>0</v>
          </cell>
          <cell r="BX388">
            <v>0</v>
          </cell>
          <cell r="BY388">
            <v>0</v>
          </cell>
          <cell r="BZ388">
            <v>0</v>
          </cell>
        </row>
        <row r="390">
          <cell r="AM390" t="str">
            <v>1Q13R</v>
          </cell>
          <cell r="AN390" t="str">
            <v>2Q13R</v>
          </cell>
          <cell r="AO390" t="str">
            <v>3Q13R</v>
          </cell>
          <cell r="AP390" t="str">
            <v>4Q13R</v>
          </cell>
          <cell r="AQ390" t="str">
            <v>2013R</v>
          </cell>
          <cell r="AR390" t="str">
            <v>1Q14</v>
          </cell>
          <cell r="AS390" t="str">
            <v>2Q14</v>
          </cell>
          <cell r="AT390" t="str">
            <v>3Q14</v>
          </cell>
          <cell r="AU390" t="str">
            <v>4Q14</v>
          </cell>
          <cell r="AV390">
            <v>2014</v>
          </cell>
          <cell r="AW390" t="str">
            <v>1Q15</v>
          </cell>
          <cell r="AX390" t="str">
            <v>2Q15</v>
          </cell>
          <cell r="AY390" t="str">
            <v>3Q15</v>
          </cell>
          <cell r="AZ390" t="str">
            <v>4Q15</v>
          </cell>
          <cell r="BA390">
            <v>2015</v>
          </cell>
          <cell r="BB390" t="str">
            <v>1Q16</v>
          </cell>
          <cell r="BC390" t="str">
            <v>2Q16</v>
          </cell>
          <cell r="BD390" t="str">
            <v>3Q16</v>
          </cell>
          <cell r="BE390" t="str">
            <v>4Q16</v>
          </cell>
          <cell r="BF390">
            <v>2016</v>
          </cell>
          <cell r="BG390" t="str">
            <v>1Q17</v>
          </cell>
          <cell r="BH390" t="str">
            <v>2Q17E</v>
          </cell>
          <cell r="BI390" t="str">
            <v>3Q17E</v>
          </cell>
          <cell r="BJ390" t="str">
            <v>4Q17E</v>
          </cell>
          <cell r="BK390" t="str">
            <v>2017E</v>
          </cell>
          <cell r="BL390" t="str">
            <v>1Q18E</v>
          </cell>
          <cell r="BM390" t="str">
            <v>2Q18E</v>
          </cell>
          <cell r="BN390" t="str">
            <v>3Q18E</v>
          </cell>
          <cell r="BO390" t="str">
            <v>4Q18E</v>
          </cell>
          <cell r="BP390" t="str">
            <v>2018E</v>
          </cell>
          <cell r="BQ390" t="str">
            <v>1Q19E</v>
          </cell>
          <cell r="BR390" t="str">
            <v>2Q19E</v>
          </cell>
          <cell r="BS390" t="str">
            <v>3Q19E</v>
          </cell>
          <cell r="BT390" t="str">
            <v>4Q19E</v>
          </cell>
          <cell r="BU390" t="str">
            <v>2019E</v>
          </cell>
          <cell r="BV390" t="str">
            <v>1Q20E</v>
          </cell>
          <cell r="BW390" t="str">
            <v>2Q20E</v>
          </cell>
          <cell r="BX390" t="str">
            <v>3Q20E</v>
          </cell>
          <cell r="BY390" t="str">
            <v>4Q20E</v>
          </cell>
          <cell r="BZ390" t="str">
            <v>2020E</v>
          </cell>
        </row>
        <row r="391">
          <cell r="A391" t="str">
            <v>Real Estate</v>
          </cell>
        </row>
        <row r="393">
          <cell r="B393" t="str">
            <v>Annualized run rate</v>
          </cell>
          <cell r="AM393">
            <v>39.1</v>
          </cell>
          <cell r="AN393">
            <v>40.299999999999997</v>
          </cell>
          <cell r="AO393">
            <v>42.2</v>
          </cell>
          <cell r="AP393">
            <v>43.5</v>
          </cell>
          <cell r="AQ393">
            <v>43.5</v>
          </cell>
          <cell r="AR393">
            <v>45.6</v>
          </cell>
          <cell r="AS393">
            <v>48.2</v>
          </cell>
          <cell r="AT393">
            <v>45.9</v>
          </cell>
          <cell r="AU393">
            <v>44.7</v>
          </cell>
          <cell r="AV393">
            <v>44.7</v>
          </cell>
          <cell r="AW393">
            <v>42.8</v>
          </cell>
          <cell r="AX393">
            <v>45.9</v>
          </cell>
          <cell r="AY393">
            <v>44</v>
          </cell>
          <cell r="AZ393">
            <v>42.4</v>
          </cell>
          <cell r="BA393">
            <v>42.4</v>
          </cell>
          <cell r="BB393">
            <v>43.599599999999995</v>
          </cell>
          <cell r="BC393">
            <v>45.183799999999998</v>
          </cell>
          <cell r="BD393">
            <v>44.714799999999997</v>
          </cell>
          <cell r="BE393">
            <v>45.653399999999998</v>
          </cell>
          <cell r="BF393">
            <v>45.653399999999998</v>
          </cell>
          <cell r="BG393">
            <v>46.985548100000003</v>
          </cell>
          <cell r="BH393">
            <v>48.729646299999999</v>
          </cell>
          <cell r="BI393">
            <v>48.275964299999998</v>
          </cell>
          <cell r="BJ393">
            <v>49.324204649999999</v>
          </cell>
          <cell r="BK393">
            <v>49.324204649999999</v>
          </cell>
          <cell r="BL393">
            <v>50.736063717474998</v>
          </cell>
          <cell r="BM393">
            <v>52.589421991925001</v>
          </cell>
          <cell r="BN393">
            <v>52.089730252424999</v>
          </cell>
          <cell r="BO393">
            <v>53.190088194337505</v>
          </cell>
          <cell r="BP393">
            <v>53.190088194337505</v>
          </cell>
          <cell r="BQ393">
            <v>54.689001503798885</v>
          </cell>
          <cell r="BR393">
            <v>56.660938748551771</v>
          </cell>
          <cell r="BS393">
            <v>56.113872910721646</v>
          </cell>
          <cell r="BT393">
            <v>57.272765691025043</v>
          </cell>
          <cell r="BU393">
            <v>57.272765691025043</v>
          </cell>
          <cell r="BV393">
            <v>58.866360849440831</v>
          </cell>
          <cell r="BW393">
            <v>60.966630675603156</v>
          </cell>
          <cell r="BX393">
            <v>60.370489089432404</v>
          </cell>
          <cell r="BY393">
            <v>61.594422497649042</v>
          </cell>
          <cell r="BZ393">
            <v>61.594422497649042</v>
          </cell>
          <cell r="CB393">
            <v>6.1728932436754924E-2</v>
          </cell>
        </row>
        <row r="394">
          <cell r="B394" t="str">
            <v>Revenue</v>
          </cell>
          <cell r="AR394">
            <v>0.16624040920716121</v>
          </cell>
          <cell r="AS394">
            <v>0.19602977667493815</v>
          </cell>
          <cell r="AT394">
            <v>8.7677725118483263E-2</v>
          </cell>
          <cell r="AU394">
            <v>2.7586206896551779E-2</v>
          </cell>
          <cell r="AW394">
            <v>-6.1403508771929904E-2</v>
          </cell>
          <cell r="AX394">
            <v>-4.7717842323651505E-2</v>
          </cell>
          <cell r="AY394">
            <v>-4.1394335511982572E-2</v>
          </cell>
          <cell r="AZ394">
            <v>-5.1454138702460961E-2</v>
          </cell>
        </row>
        <row r="395">
          <cell r="B395" t="str">
            <v>Subscription revenue - 1st quarter, 12.5%</v>
          </cell>
          <cell r="AM395">
            <v>0</v>
          </cell>
          <cell r="AN395">
            <v>0</v>
          </cell>
          <cell r="AO395">
            <v>0</v>
          </cell>
          <cell r="AP395">
            <v>0</v>
          </cell>
          <cell r="AQ395">
            <v>0</v>
          </cell>
          <cell r="AR395">
            <v>0</v>
          </cell>
          <cell r="AS395">
            <v>0</v>
          </cell>
          <cell r="AT395">
            <v>0</v>
          </cell>
          <cell r="AU395">
            <v>0</v>
          </cell>
          <cell r="AV395">
            <v>0</v>
          </cell>
          <cell r="AW395">
            <v>1.221875</v>
          </cell>
          <cell r="AX395">
            <v>1.5062500000000001</v>
          </cell>
          <cell r="AY395">
            <v>1.434375</v>
          </cell>
          <cell r="AZ395">
            <v>1.3968750000000001</v>
          </cell>
          <cell r="BA395">
            <v>5.5593750000000011</v>
          </cell>
          <cell r="BB395">
            <v>1.3374999999999999</v>
          </cell>
          <cell r="BC395">
            <v>1.434375</v>
          </cell>
          <cell r="BD395">
            <v>1.375</v>
          </cell>
          <cell r="BE395">
            <v>1.325</v>
          </cell>
          <cell r="BF395">
            <v>5.4718749999999998</v>
          </cell>
          <cell r="BG395">
            <v>1.3624874999999999</v>
          </cell>
          <cell r="BH395">
            <v>1.4119937499999999</v>
          </cell>
          <cell r="BI395">
            <v>1.3973374999999999</v>
          </cell>
          <cell r="BJ395">
            <v>1.4266687499999999</v>
          </cell>
          <cell r="BK395">
            <v>5.5984875000000001</v>
          </cell>
          <cell r="BL395">
            <v>1.4682983781250001</v>
          </cell>
          <cell r="BM395">
            <v>1.522801446875</v>
          </cell>
          <cell r="BN395">
            <v>1.5086238843749999</v>
          </cell>
          <cell r="BO395">
            <v>1.5413813953125</v>
          </cell>
          <cell r="BP395">
            <v>6.0411051046874995</v>
          </cell>
          <cell r="BQ395">
            <v>1.5855019911710937</v>
          </cell>
          <cell r="BR395">
            <v>1.6434194372476563</v>
          </cell>
          <cell r="BS395">
            <v>1.6278040703882812</v>
          </cell>
          <cell r="BT395">
            <v>1.662190256073047</v>
          </cell>
          <cell r="BU395">
            <v>6.5189157548800782</v>
          </cell>
          <cell r="BV395">
            <v>1.7090312969937151</v>
          </cell>
          <cell r="BW395">
            <v>1.7706543358922429</v>
          </cell>
          <cell r="BX395">
            <v>1.7535585284600514</v>
          </cell>
          <cell r="BY395">
            <v>1.7897739278445326</v>
          </cell>
          <cell r="BZ395">
            <v>7.0230180891905416</v>
          </cell>
        </row>
        <row r="396">
          <cell r="B396" t="str">
            <v>Subscription revenue - 2nd quarter, 25%</v>
          </cell>
          <cell r="AM396">
            <v>0</v>
          </cell>
          <cell r="AN396">
            <v>0</v>
          </cell>
          <cell r="AO396">
            <v>0</v>
          </cell>
          <cell r="AP396">
            <v>0</v>
          </cell>
          <cell r="AQ396">
            <v>0</v>
          </cell>
          <cell r="AR396">
            <v>0</v>
          </cell>
          <cell r="AS396">
            <v>0</v>
          </cell>
          <cell r="AT396">
            <v>0</v>
          </cell>
          <cell r="AU396">
            <v>0</v>
          </cell>
          <cell r="AV396">
            <v>0</v>
          </cell>
          <cell r="AW396">
            <v>2.5187499999999998</v>
          </cell>
          <cell r="AX396">
            <v>2.8687499999999999</v>
          </cell>
          <cell r="AY396">
            <v>2.7937500000000002</v>
          </cell>
          <cell r="AZ396">
            <v>2.6749999999999998</v>
          </cell>
          <cell r="BA396">
            <v>10.856249999999999</v>
          </cell>
          <cell r="BB396">
            <v>2.8687499999999999</v>
          </cell>
          <cell r="BC396">
            <v>2.75</v>
          </cell>
          <cell r="BD396">
            <v>2.65</v>
          </cell>
          <cell r="BE396">
            <v>2.7249749999999997</v>
          </cell>
          <cell r="BF396">
            <v>10.993725000000001</v>
          </cell>
          <cell r="BG396">
            <v>2.8239874999999999</v>
          </cell>
          <cell r="BH396">
            <v>2.7946749999999998</v>
          </cell>
          <cell r="BI396">
            <v>2.8533374999999999</v>
          </cell>
          <cell r="BJ396">
            <v>2.9365967562500002</v>
          </cell>
          <cell r="BK396">
            <v>11.408596756249999</v>
          </cell>
          <cell r="BL396">
            <v>3.0456028937499999</v>
          </cell>
          <cell r="BM396">
            <v>3.0172477687499999</v>
          </cell>
          <cell r="BN396">
            <v>3.0827627906249999</v>
          </cell>
          <cell r="BO396">
            <v>3.1710039823421874</v>
          </cell>
          <cell r="BP396">
            <v>12.316617435467187</v>
          </cell>
          <cell r="BQ396">
            <v>3.2868388744953125</v>
          </cell>
          <cell r="BR396">
            <v>3.2556081407765625</v>
          </cell>
          <cell r="BS396">
            <v>3.3243805121460941</v>
          </cell>
          <cell r="BT396">
            <v>3.4180625939874303</v>
          </cell>
          <cell r="BU396">
            <v>13.2848901214054</v>
          </cell>
          <cell r="BV396">
            <v>3.5413086717844857</v>
          </cell>
          <cell r="BW396">
            <v>3.5071170569201029</v>
          </cell>
          <cell r="BX396">
            <v>3.5795478556890652</v>
          </cell>
          <cell r="BY396">
            <v>3.6791475530900519</v>
          </cell>
          <cell r="BZ396">
            <v>14.307121137483707</v>
          </cell>
        </row>
        <row r="397">
          <cell r="B397" t="str">
            <v>Subscription revenue - 3rd quarter, 25%</v>
          </cell>
          <cell r="AM397">
            <v>0</v>
          </cell>
          <cell r="AN397">
            <v>0</v>
          </cell>
          <cell r="AO397">
            <v>0</v>
          </cell>
          <cell r="AP397">
            <v>0</v>
          </cell>
          <cell r="AQ397">
            <v>0</v>
          </cell>
          <cell r="AR397">
            <v>0</v>
          </cell>
          <cell r="AS397">
            <v>0</v>
          </cell>
          <cell r="AT397">
            <v>0</v>
          </cell>
          <cell r="AU397">
            <v>2.4437500000000001</v>
          </cell>
          <cell r="AV397">
            <v>2.4437500000000001</v>
          </cell>
          <cell r="AW397">
            <v>2.6375000000000002</v>
          </cell>
          <cell r="AX397">
            <v>2.7937500000000002</v>
          </cell>
          <cell r="AY397">
            <v>2.6749999999999998</v>
          </cell>
          <cell r="AZ397">
            <v>2.8687499999999999</v>
          </cell>
          <cell r="BA397">
            <v>10.975</v>
          </cell>
          <cell r="BB397">
            <v>2.75</v>
          </cell>
          <cell r="BC397">
            <v>2.65</v>
          </cell>
          <cell r="BD397">
            <v>2.7249749999999997</v>
          </cell>
          <cell r="BE397">
            <v>2.8239874999999999</v>
          </cell>
          <cell r="BF397">
            <v>10.948962499999999</v>
          </cell>
          <cell r="BG397">
            <v>2.7946749999999998</v>
          </cell>
          <cell r="BH397">
            <v>2.8533374999999999</v>
          </cell>
          <cell r="BI397">
            <v>2.9365967562500002</v>
          </cell>
          <cell r="BJ397">
            <v>3.0456028937499999</v>
          </cell>
          <cell r="BK397">
            <v>11.630212150000002</v>
          </cell>
          <cell r="BL397">
            <v>3.0172477687499999</v>
          </cell>
          <cell r="BM397">
            <v>3.0827627906249999</v>
          </cell>
          <cell r="BN397">
            <v>3.1710039823421874</v>
          </cell>
          <cell r="BO397">
            <v>3.2868388744953125</v>
          </cell>
          <cell r="BP397">
            <v>12.557853416212501</v>
          </cell>
          <cell r="BQ397">
            <v>3.2556081407765625</v>
          </cell>
          <cell r="BR397">
            <v>3.3243805121460941</v>
          </cell>
          <cell r="BS397">
            <v>3.4180625939874303</v>
          </cell>
          <cell r="BT397">
            <v>3.5413086717844857</v>
          </cell>
          <cell r="BU397">
            <v>13.539359918694572</v>
          </cell>
          <cell r="BV397">
            <v>3.5071170569201029</v>
          </cell>
          <cell r="BW397">
            <v>3.5795478556890652</v>
          </cell>
          <cell r="BX397">
            <v>3.6791475530900519</v>
          </cell>
          <cell r="BY397">
            <v>3.8104144172251972</v>
          </cell>
          <cell r="BZ397">
            <v>14.576226882924416</v>
          </cell>
        </row>
        <row r="398">
          <cell r="B398" t="str">
            <v>Subscription revenue - 4th quarter, 25%</v>
          </cell>
          <cell r="AM398">
            <v>0</v>
          </cell>
          <cell r="AN398">
            <v>0</v>
          </cell>
          <cell r="AO398">
            <v>0</v>
          </cell>
          <cell r="AP398">
            <v>0</v>
          </cell>
          <cell r="AQ398">
            <v>0</v>
          </cell>
          <cell r="AR398">
            <v>0</v>
          </cell>
          <cell r="AS398">
            <v>2.85</v>
          </cell>
          <cell r="AT398">
            <v>3.0125000000000002</v>
          </cell>
          <cell r="AU398">
            <v>2.8687499999999999</v>
          </cell>
          <cell r="AV398">
            <v>8.7312500000000011</v>
          </cell>
          <cell r="AW398">
            <v>2.71875</v>
          </cell>
          <cell r="AX398">
            <v>2.6749999999999998</v>
          </cell>
          <cell r="AY398">
            <v>2.8687499999999999</v>
          </cell>
          <cell r="AZ398">
            <v>2.75</v>
          </cell>
          <cell r="BA398">
            <v>11.012499999999999</v>
          </cell>
          <cell r="BB398">
            <v>2.65</v>
          </cell>
          <cell r="BC398">
            <v>2.7249749999999997</v>
          </cell>
          <cell r="BD398">
            <v>2.8239874999999999</v>
          </cell>
          <cell r="BE398">
            <v>2.7946749999999998</v>
          </cell>
          <cell r="BF398">
            <v>10.993637499999998</v>
          </cell>
          <cell r="BG398">
            <v>2.8533374999999999</v>
          </cell>
          <cell r="BH398">
            <v>2.9365967562500002</v>
          </cell>
          <cell r="BI398">
            <v>3.0456028937499999</v>
          </cell>
          <cell r="BJ398">
            <v>3.0172477687499999</v>
          </cell>
          <cell r="BK398">
            <v>11.85278491875</v>
          </cell>
          <cell r="BL398">
            <v>3.0827627906249999</v>
          </cell>
          <cell r="BM398">
            <v>3.1710039823421874</v>
          </cell>
          <cell r="BN398">
            <v>3.2868388744953125</v>
          </cell>
          <cell r="BO398">
            <v>3.2556081407765625</v>
          </cell>
          <cell r="BP398">
            <v>12.796213788239063</v>
          </cell>
          <cell r="BQ398">
            <v>3.3243805121460941</v>
          </cell>
          <cell r="BR398">
            <v>3.4180625939874303</v>
          </cell>
          <cell r="BS398">
            <v>3.5413086717844857</v>
          </cell>
          <cell r="BT398">
            <v>3.5071170569201029</v>
          </cell>
          <cell r="BU398">
            <v>13.790868834838113</v>
          </cell>
          <cell r="BV398">
            <v>3.5795478556890652</v>
          </cell>
          <cell r="BW398">
            <v>3.6791475530900519</v>
          </cell>
          <cell r="BX398">
            <v>3.8104144172251972</v>
          </cell>
          <cell r="BY398">
            <v>3.7731555680895252</v>
          </cell>
          <cell r="BZ398">
            <v>14.84226539409384</v>
          </cell>
        </row>
        <row r="399">
          <cell r="B399" t="str">
            <v>Subscription revenue - 5th quarter, 12.5%</v>
          </cell>
          <cell r="AM399">
            <v>0</v>
          </cell>
          <cell r="AN399">
            <v>0</v>
          </cell>
          <cell r="AO399">
            <v>0</v>
          </cell>
          <cell r="AP399">
            <v>0</v>
          </cell>
          <cell r="AQ399">
            <v>0</v>
          </cell>
          <cell r="AR399">
            <v>1.425</v>
          </cell>
          <cell r="AS399">
            <v>1.5062500000000001</v>
          </cell>
          <cell r="AT399">
            <v>1.434375</v>
          </cell>
          <cell r="AU399">
            <v>1.3968750000000001</v>
          </cell>
          <cell r="AV399">
            <v>5.7625000000000011</v>
          </cell>
          <cell r="AW399">
            <v>1.3374999999999999</v>
          </cell>
          <cell r="AX399">
            <v>1.434375</v>
          </cell>
          <cell r="AY399">
            <v>1.375</v>
          </cell>
          <cell r="AZ399">
            <v>1.325</v>
          </cell>
          <cell r="BA399">
            <v>5.4718749999999998</v>
          </cell>
          <cell r="BB399">
            <v>1.3624874999999999</v>
          </cell>
          <cell r="BC399">
            <v>1.4119937499999999</v>
          </cell>
          <cell r="BD399">
            <v>1.3973374999999999</v>
          </cell>
          <cell r="BE399">
            <v>1.4266687499999999</v>
          </cell>
          <cell r="BF399">
            <v>5.5984875000000001</v>
          </cell>
          <cell r="BG399">
            <v>1.4682983781250001</v>
          </cell>
          <cell r="BH399">
            <v>1.522801446875</v>
          </cell>
          <cell r="BI399">
            <v>1.5086238843749999</v>
          </cell>
          <cell r="BJ399">
            <v>1.5413813953125</v>
          </cell>
          <cell r="BK399">
            <v>6.0411051046874995</v>
          </cell>
          <cell r="BL399">
            <v>1.5855019911710937</v>
          </cell>
          <cell r="BM399">
            <v>1.6434194372476563</v>
          </cell>
          <cell r="BN399">
            <v>1.6278040703882812</v>
          </cell>
          <cell r="BO399">
            <v>1.662190256073047</v>
          </cell>
          <cell r="BP399">
            <v>6.5189157548800782</v>
          </cell>
          <cell r="BQ399">
            <v>1.7090312969937151</v>
          </cell>
          <cell r="BR399">
            <v>1.7706543358922429</v>
          </cell>
          <cell r="BS399">
            <v>1.7535585284600514</v>
          </cell>
          <cell r="BT399">
            <v>1.7897739278445326</v>
          </cell>
          <cell r="BU399">
            <v>7.0230180891905416</v>
          </cell>
          <cell r="BV399">
            <v>1.839573776545026</v>
          </cell>
          <cell r="BW399">
            <v>1.9052072086125986</v>
          </cell>
          <cell r="BX399">
            <v>1.8865777840447626</v>
          </cell>
          <cell r="BY399">
            <v>1.9248257030515326</v>
          </cell>
          <cell r="BZ399">
            <v>7.5561844722539195</v>
          </cell>
        </row>
        <row r="401">
          <cell r="B401" t="str">
            <v>Quarterly new sales</v>
          </cell>
          <cell r="AM401">
            <v>1.7</v>
          </cell>
          <cell r="AN401">
            <v>3.4</v>
          </cell>
          <cell r="AO401">
            <v>1.9</v>
          </cell>
          <cell r="AP401">
            <v>2.2999999999999998</v>
          </cell>
          <cell r="AQ401">
            <v>9.3000000000000007</v>
          </cell>
          <cell r="AR401">
            <v>3</v>
          </cell>
          <cell r="AS401">
            <v>3.7</v>
          </cell>
          <cell r="AT401">
            <v>1.2</v>
          </cell>
          <cell r="AU401">
            <v>2.7</v>
          </cell>
          <cell r="AV401">
            <v>10.6</v>
          </cell>
          <cell r="AW401">
            <v>2.2999999999999998</v>
          </cell>
          <cell r="AX401">
            <v>2.6</v>
          </cell>
          <cell r="AY401">
            <v>0.8</v>
          </cell>
          <cell r="AZ401">
            <v>1.4</v>
          </cell>
          <cell r="BA401">
            <v>7.1</v>
          </cell>
          <cell r="BB401">
            <v>2.4609999999999999</v>
          </cell>
          <cell r="BC401">
            <v>2.7820000000000005</v>
          </cell>
          <cell r="BD401">
            <v>0.85600000000000009</v>
          </cell>
          <cell r="BE401">
            <v>2.8890000000000002</v>
          </cell>
          <cell r="BF401">
            <v>8.9879999999999995</v>
          </cell>
          <cell r="BG401">
            <v>2.63327</v>
          </cell>
          <cell r="BH401">
            <v>2.9767400000000008</v>
          </cell>
          <cell r="BI401">
            <v>0.91592000000000018</v>
          </cell>
          <cell r="BJ401">
            <v>3.0912300000000004</v>
          </cell>
          <cell r="BK401">
            <v>9.6171600000000019</v>
          </cell>
          <cell r="BL401">
            <v>2.8175989000000001</v>
          </cell>
          <cell r="BM401">
            <v>3.1851118000000009</v>
          </cell>
          <cell r="BN401">
            <v>0.98003440000000019</v>
          </cell>
          <cell r="BO401">
            <v>3.3076161000000006</v>
          </cell>
          <cell r="BP401">
            <v>10.290361200000003</v>
          </cell>
          <cell r="BQ401">
            <v>3.0148308230000005</v>
          </cell>
          <cell r="BR401">
            <v>3.4080696260000014</v>
          </cell>
          <cell r="BS401">
            <v>1.0486368080000004</v>
          </cell>
          <cell r="BT401">
            <v>3.5391492270000007</v>
          </cell>
          <cell r="BU401">
            <v>11.010686484000002</v>
          </cell>
          <cell r="BV401">
            <v>3.2258689806100009</v>
          </cell>
          <cell r="BW401">
            <v>3.6466344998200015</v>
          </cell>
          <cell r="BX401">
            <v>1.1220413845600004</v>
          </cell>
          <cell r="BY401">
            <v>3.786889672890001</v>
          </cell>
          <cell r="BZ401">
            <v>11.781434537880003</v>
          </cell>
        </row>
        <row r="402">
          <cell r="B402" t="str">
            <v>y/y change</v>
          </cell>
          <cell r="AR402">
            <v>0.76470588235294112</v>
          </cell>
          <cell r="AS402">
            <v>8.8235294117647189E-2</v>
          </cell>
          <cell r="AT402">
            <v>-0.36842105263157898</v>
          </cell>
          <cell r="AU402">
            <v>0.17391304347826098</v>
          </cell>
          <cell r="AV402">
            <v>0.13978494623655902</v>
          </cell>
          <cell r="AW402">
            <v>-0.23333333333333339</v>
          </cell>
          <cell r="AX402">
            <v>-0.29729729729729726</v>
          </cell>
          <cell r="AY402">
            <v>-0.33333333333333326</v>
          </cell>
          <cell r="AZ402">
            <v>-0.48148148148148151</v>
          </cell>
          <cell r="BA402">
            <v>-0.33018867924528306</v>
          </cell>
          <cell r="BB402">
            <v>7.0000000000000062E-2</v>
          </cell>
          <cell r="BC402">
            <v>7.0000000000000062E-2</v>
          </cell>
          <cell r="BD402">
            <v>7.0000000000000062E-2</v>
          </cell>
          <cell r="BE402">
            <v>1.0635714285714291</v>
          </cell>
          <cell r="BF402">
            <v>0.26591549295774652</v>
          </cell>
          <cell r="BG402">
            <v>7.0000000000000062E-2</v>
          </cell>
          <cell r="BH402">
            <v>7.0000000000000062E-2</v>
          </cell>
          <cell r="BI402">
            <v>7.0000000000000062E-2</v>
          </cell>
          <cell r="BJ402">
            <v>7.0000000000000062E-2</v>
          </cell>
          <cell r="BK402">
            <v>7.0000000000000284E-2</v>
          </cell>
          <cell r="BL402">
            <v>7.0000000000000062E-2</v>
          </cell>
          <cell r="BM402">
            <v>7.0000000000000062E-2</v>
          </cell>
          <cell r="BN402">
            <v>7.0000000000000062E-2</v>
          </cell>
          <cell r="BO402">
            <v>7.0000000000000062E-2</v>
          </cell>
          <cell r="BP402">
            <v>7.0000000000000062E-2</v>
          </cell>
          <cell r="BQ402">
            <v>7.0000000000000062E-2</v>
          </cell>
          <cell r="BR402">
            <v>7.0000000000000062E-2</v>
          </cell>
          <cell r="BS402">
            <v>7.0000000000000062E-2</v>
          </cell>
          <cell r="BT402">
            <v>7.0000000000000062E-2</v>
          </cell>
          <cell r="BU402">
            <v>6.999999999999984E-2</v>
          </cell>
          <cell r="BV402">
            <v>7.0000000000000062E-2</v>
          </cell>
          <cell r="BW402">
            <v>7.0000000000000062E-2</v>
          </cell>
          <cell r="BX402">
            <v>7.0000000000000062E-2</v>
          </cell>
          <cell r="BY402">
            <v>7.0000000000000062E-2</v>
          </cell>
          <cell r="BZ402">
            <v>7.0000000000000062E-2</v>
          </cell>
        </row>
        <row r="403">
          <cell r="B403" t="str">
            <v>BULL</v>
          </cell>
          <cell r="AZ403">
            <v>2.8350000000000004</v>
          </cell>
          <cell r="BB403">
            <v>2.58405</v>
          </cell>
          <cell r="BC403">
            <v>2.9211000000000005</v>
          </cell>
          <cell r="BD403">
            <v>0.89880000000000015</v>
          </cell>
          <cell r="BE403">
            <v>3.0334500000000002</v>
          </cell>
          <cell r="BG403">
            <v>2.7649335000000002</v>
          </cell>
          <cell r="BH403">
            <v>3.1255770000000012</v>
          </cell>
          <cell r="BI403">
            <v>0.96171600000000024</v>
          </cell>
          <cell r="BJ403">
            <v>3.2457915000000006</v>
          </cell>
          <cell r="BL403">
            <v>2.9584788450000001</v>
          </cell>
          <cell r="BM403">
            <v>3.3443673900000013</v>
          </cell>
          <cell r="BN403">
            <v>1.0290361200000002</v>
          </cell>
          <cell r="BO403">
            <v>3.4729969050000009</v>
          </cell>
          <cell r="BQ403">
            <v>3.1655723641500009</v>
          </cell>
          <cell r="BR403">
            <v>3.5784731073000016</v>
          </cell>
          <cell r="BS403">
            <v>1.1010686484000005</v>
          </cell>
          <cell r="BT403">
            <v>3.7161066883500009</v>
          </cell>
          <cell r="BV403">
            <v>3.387162429640501</v>
          </cell>
          <cell r="BW403">
            <v>3.8289662248110017</v>
          </cell>
          <cell r="BX403">
            <v>1.1781434537880004</v>
          </cell>
          <cell r="BY403">
            <v>3.9762341565345012</v>
          </cell>
        </row>
        <row r="404">
          <cell r="B404" t="str">
            <v>BASE</v>
          </cell>
          <cell r="AM404">
            <v>1.7</v>
          </cell>
          <cell r="AN404">
            <v>3.4</v>
          </cell>
          <cell r="AO404">
            <v>1.9</v>
          </cell>
          <cell r="AP404">
            <v>2.2999999999999998</v>
          </cell>
          <cell r="AR404">
            <v>3</v>
          </cell>
          <cell r="AS404">
            <v>3.7</v>
          </cell>
          <cell r="AT404">
            <v>1.2</v>
          </cell>
          <cell r="AU404">
            <v>2.7</v>
          </cell>
          <cell r="AW404">
            <v>2.2999999999999998</v>
          </cell>
          <cell r="AX404">
            <v>2.6</v>
          </cell>
          <cell r="AY404">
            <v>0.8</v>
          </cell>
          <cell r="AZ404">
            <v>2.7</v>
          </cell>
          <cell r="BB404">
            <v>2.4609999999999999</v>
          </cell>
          <cell r="BC404">
            <v>2.7820000000000005</v>
          </cell>
          <cell r="BD404">
            <v>0.85600000000000009</v>
          </cell>
          <cell r="BE404">
            <v>2.8890000000000002</v>
          </cell>
          <cell r="BG404">
            <v>2.63327</v>
          </cell>
          <cell r="BH404">
            <v>2.9767400000000008</v>
          </cell>
          <cell r="BI404">
            <v>0.91592000000000018</v>
          </cell>
          <cell r="BJ404">
            <v>3.0912300000000004</v>
          </cell>
          <cell r="BL404">
            <v>2.8175989000000001</v>
          </cell>
          <cell r="BM404">
            <v>3.1851118000000009</v>
          </cell>
          <cell r="BN404">
            <v>0.98003440000000019</v>
          </cell>
          <cell r="BO404">
            <v>3.3076161000000006</v>
          </cell>
          <cell r="BQ404">
            <v>3.0148308230000005</v>
          </cell>
          <cell r="BR404">
            <v>3.4080696260000014</v>
          </cell>
          <cell r="BS404">
            <v>1.0486368080000004</v>
          </cell>
          <cell r="BT404">
            <v>3.5391492270000007</v>
          </cell>
          <cell r="BV404">
            <v>3.2258689806100009</v>
          </cell>
          <cell r="BW404">
            <v>3.6466344998200015</v>
          </cell>
          <cell r="BX404">
            <v>1.1220413845600004</v>
          </cell>
          <cell r="BY404">
            <v>3.786889672890001</v>
          </cell>
        </row>
        <row r="405">
          <cell r="B405" t="str">
            <v>BEAR</v>
          </cell>
          <cell r="AZ405">
            <v>2.16</v>
          </cell>
          <cell r="BB405">
            <v>1.9687999999999999</v>
          </cell>
          <cell r="BC405">
            <v>2.2256000000000005</v>
          </cell>
          <cell r="BD405">
            <v>0.68480000000000008</v>
          </cell>
          <cell r="BE405">
            <v>2.3112000000000004</v>
          </cell>
          <cell r="BG405">
            <v>2.1066160000000003</v>
          </cell>
          <cell r="BH405">
            <v>2.3813920000000008</v>
          </cell>
          <cell r="BI405">
            <v>0.73273600000000016</v>
          </cell>
          <cell r="BJ405">
            <v>2.4729840000000003</v>
          </cell>
          <cell r="BL405">
            <v>2.2540791200000001</v>
          </cell>
          <cell r="BM405">
            <v>2.5480894400000009</v>
          </cell>
          <cell r="BN405">
            <v>0.7840275200000002</v>
          </cell>
          <cell r="BO405">
            <v>2.6460928800000008</v>
          </cell>
          <cell r="BQ405">
            <v>2.4118646584000007</v>
          </cell>
          <cell r="BR405">
            <v>2.7264557008000012</v>
          </cell>
          <cell r="BS405">
            <v>0.83890944640000031</v>
          </cell>
          <cell r="BT405">
            <v>2.8313193816000006</v>
          </cell>
          <cell r="BV405">
            <v>2.5806951844880008</v>
          </cell>
          <cell r="BW405">
            <v>2.9173075998560014</v>
          </cell>
          <cell r="BX405">
            <v>0.89763310764800031</v>
          </cell>
          <cell r="BY405">
            <v>3.0295117383120012</v>
          </cell>
        </row>
        <row r="413">
          <cell r="B413" t="str">
            <v>Quarterly cancellations</v>
          </cell>
          <cell r="AM413">
            <v>-0.8</v>
          </cell>
          <cell r="AN413">
            <v>-0.9</v>
          </cell>
          <cell r="AO413">
            <v>-0.1</v>
          </cell>
          <cell r="AP413">
            <v>-1.8</v>
          </cell>
          <cell r="AQ413">
            <v>-3.6</v>
          </cell>
          <cell r="AR413">
            <v>-0.9</v>
          </cell>
          <cell r="AS413">
            <v>-1.7</v>
          </cell>
          <cell r="AT413">
            <v>-0.7</v>
          </cell>
          <cell r="AU413">
            <v>-2.1</v>
          </cell>
          <cell r="AV413">
            <v>-5.4</v>
          </cell>
          <cell r="AW413">
            <v>-1.3</v>
          </cell>
          <cell r="AX413">
            <v>-1.3</v>
          </cell>
          <cell r="AY413">
            <v>-1.4</v>
          </cell>
          <cell r="AZ413">
            <v>-2.1</v>
          </cell>
          <cell r="BA413">
            <v>-6.1</v>
          </cell>
          <cell r="BB413">
            <v>-1.2613999999999999</v>
          </cell>
          <cell r="BC413">
            <v>-1.1977999999999998</v>
          </cell>
          <cell r="BD413">
            <v>-1.325</v>
          </cell>
          <cell r="BE413">
            <v>-1.9503999999999992</v>
          </cell>
          <cell r="BF413">
            <v>-5.7345999999999986</v>
          </cell>
          <cell r="BG413">
            <v>-1.3011218999999998</v>
          </cell>
          <cell r="BH413">
            <v>-1.2326417999999997</v>
          </cell>
          <cell r="BI413">
            <v>-1.369602</v>
          </cell>
          <cell r="BJ413">
            <v>-2.0429896499999991</v>
          </cell>
          <cell r="BK413">
            <v>-5.9463553499999993</v>
          </cell>
          <cell r="BL413">
            <v>-1.4057398325249999</v>
          </cell>
          <cell r="BM413">
            <v>-1.3317535255499997</v>
          </cell>
          <cell r="BN413">
            <v>-1.4797261394999999</v>
          </cell>
          <cell r="BO413">
            <v>-2.207258158087499</v>
          </cell>
          <cell r="BP413">
            <v>-6.424477655662499</v>
          </cell>
          <cell r="BQ413">
            <v>-1.5159175135386187</v>
          </cell>
          <cell r="BR413">
            <v>-1.4361323812471125</v>
          </cell>
          <cell r="BS413">
            <v>-1.5957026458301251</v>
          </cell>
          <cell r="BT413">
            <v>-2.3802564466966025</v>
          </cell>
          <cell r="BU413">
            <v>-6.9280089873124595</v>
          </cell>
          <cell r="BV413">
            <v>-1.6322738221942137</v>
          </cell>
          <cell r="BW413">
            <v>-1.5463646736576759</v>
          </cell>
          <cell r="BX413">
            <v>-1.7181829707307512</v>
          </cell>
          <cell r="BY413">
            <v>-2.5629562646733697</v>
          </cell>
          <cell r="BZ413">
            <v>-7.4597777312560112</v>
          </cell>
        </row>
        <row r="414">
          <cell r="B414" t="str">
            <v>Cancellation rate (as % of beginning of year run rate)</v>
          </cell>
          <cell r="AM414">
            <v>0</v>
          </cell>
          <cell r="AN414">
            <v>8.9999999999999969E-2</v>
          </cell>
          <cell r="AO414">
            <v>1.3000000000000012E-2</v>
          </cell>
          <cell r="AP414">
            <v>0.17800000000000005</v>
          </cell>
          <cell r="AQ414">
            <v>9.0499999999999914E-2</v>
          </cell>
          <cell r="AR414">
            <v>8.6999999999999966E-2</v>
          </cell>
          <cell r="AS414">
            <v>0.15300000000000002</v>
          </cell>
          <cell r="AT414">
            <v>6.3999999999999946E-2</v>
          </cell>
          <cell r="AU414">
            <v>0.18899999999999995</v>
          </cell>
          <cell r="AV414">
            <v>0.12324999999999997</v>
          </cell>
          <cell r="AW414">
            <v>0.11899999999999999</v>
          </cell>
          <cell r="AX414">
            <v>0.11799999999999999</v>
          </cell>
          <cell r="AY414">
            <v>0.13</v>
          </cell>
          <cell r="AZ414">
            <v>0.18899999999999995</v>
          </cell>
          <cell r="BA414">
            <v>0.13900000000000001</v>
          </cell>
          <cell r="BB414">
            <v>0.11899999999999999</v>
          </cell>
          <cell r="BC414">
            <v>0.11299999999999999</v>
          </cell>
          <cell r="BD414">
            <v>0.125</v>
          </cell>
          <cell r="BE414">
            <v>0.18399999999999994</v>
          </cell>
          <cell r="BF414">
            <v>0.13525000000000009</v>
          </cell>
          <cell r="BG414">
            <v>0.11399999999999999</v>
          </cell>
          <cell r="BH414">
            <v>0.10799999999999998</v>
          </cell>
          <cell r="BI414">
            <v>0.12</v>
          </cell>
          <cell r="BJ414">
            <v>0.17899999999999994</v>
          </cell>
          <cell r="BK414">
            <v>0.13024999999999998</v>
          </cell>
          <cell r="BL414">
            <v>0.11399999999999999</v>
          </cell>
          <cell r="BM414">
            <v>0.10799999999999998</v>
          </cell>
          <cell r="BN414">
            <v>0.12</v>
          </cell>
          <cell r="BO414">
            <v>0.17899999999999994</v>
          </cell>
          <cell r="BP414">
            <v>0.13024999999999998</v>
          </cell>
          <cell r="BQ414">
            <v>0.11399999999999999</v>
          </cell>
          <cell r="BR414">
            <v>0.10799999999999998</v>
          </cell>
          <cell r="BS414">
            <v>0.12</v>
          </cell>
          <cell r="BT414">
            <v>0.17899999999999994</v>
          </cell>
          <cell r="BU414">
            <v>0.13024999999999998</v>
          </cell>
          <cell r="BV414">
            <v>0.11399999999999999</v>
          </cell>
          <cell r="BW414">
            <v>0.10799999999999998</v>
          </cell>
          <cell r="BX414">
            <v>0.12</v>
          </cell>
          <cell r="BY414">
            <v>0.17899999999999994</v>
          </cell>
          <cell r="BZ414">
            <v>0.13024999999999998</v>
          </cell>
        </row>
        <row r="415">
          <cell r="B415" t="str">
            <v>BULL - Retention rate</v>
          </cell>
          <cell r="BB415">
            <v>0.89600000000000002</v>
          </cell>
          <cell r="BC415">
            <v>0.90200000000000002</v>
          </cell>
          <cell r="BD415">
            <v>0.9</v>
          </cell>
          <cell r="BE415">
            <v>0.84100000000000008</v>
          </cell>
          <cell r="BF415">
            <v>0.88475000000000004</v>
          </cell>
          <cell r="BG415">
            <v>0.90100000000000002</v>
          </cell>
          <cell r="BH415">
            <v>0.90700000000000003</v>
          </cell>
          <cell r="BI415">
            <v>0.90500000000000003</v>
          </cell>
          <cell r="BJ415">
            <v>0.84600000000000009</v>
          </cell>
          <cell r="BK415">
            <v>0.88975000000000004</v>
          </cell>
          <cell r="BL415">
            <v>0.90100000000000002</v>
          </cell>
          <cell r="BM415">
            <v>0.90700000000000003</v>
          </cell>
          <cell r="BN415">
            <v>0.90500000000000003</v>
          </cell>
          <cell r="BO415">
            <v>0.84600000000000009</v>
          </cell>
          <cell r="BP415">
            <v>0.88975000000000004</v>
          </cell>
          <cell r="BQ415">
            <v>0.90100000000000002</v>
          </cell>
          <cell r="BR415">
            <v>0.90700000000000003</v>
          </cell>
          <cell r="BS415">
            <v>0.90500000000000003</v>
          </cell>
          <cell r="BT415">
            <v>0.84600000000000009</v>
          </cell>
          <cell r="BU415">
            <v>0.88975000000000004</v>
          </cell>
          <cell r="BV415">
            <v>0.90100000000000002</v>
          </cell>
          <cell r="BW415">
            <v>0.90700000000000003</v>
          </cell>
          <cell r="BX415">
            <v>0.90500000000000003</v>
          </cell>
          <cell r="BY415">
            <v>0.84600000000000009</v>
          </cell>
          <cell r="BZ415">
            <v>0.88975000000000004</v>
          </cell>
        </row>
        <row r="416">
          <cell r="B416" t="str">
            <v>BASE - Retention rate</v>
          </cell>
          <cell r="AM416">
            <v>0.91900000000000004</v>
          </cell>
          <cell r="AN416">
            <v>0.91</v>
          </cell>
          <cell r="AO416">
            <v>0.98699999999999999</v>
          </cell>
          <cell r="AP416">
            <v>0.82199999999999995</v>
          </cell>
          <cell r="AQ416">
            <v>0.90950000000000009</v>
          </cell>
          <cell r="AR416">
            <v>0.91300000000000003</v>
          </cell>
          <cell r="AS416">
            <v>0.84699999999999998</v>
          </cell>
          <cell r="AT416">
            <v>0.93600000000000005</v>
          </cell>
          <cell r="AU416">
            <v>0.81100000000000005</v>
          </cell>
          <cell r="AV416">
            <v>0.87675000000000003</v>
          </cell>
          <cell r="AW416">
            <v>0.88100000000000001</v>
          </cell>
          <cell r="AX416">
            <v>0.88200000000000001</v>
          </cell>
          <cell r="AY416">
            <v>0.87</v>
          </cell>
          <cell r="AZ416">
            <v>0.81100000000000005</v>
          </cell>
          <cell r="BA416">
            <v>0.86099999999999999</v>
          </cell>
          <cell r="BB416">
            <v>0.88100000000000001</v>
          </cell>
          <cell r="BC416">
            <v>0.88700000000000001</v>
          </cell>
          <cell r="BD416">
            <v>0.875</v>
          </cell>
          <cell r="BE416">
            <v>0.81600000000000006</v>
          </cell>
          <cell r="BF416">
            <v>0.86474999999999991</v>
          </cell>
          <cell r="BG416">
            <v>0.88600000000000001</v>
          </cell>
          <cell r="BH416">
            <v>0.89200000000000002</v>
          </cell>
          <cell r="BI416">
            <v>0.88</v>
          </cell>
          <cell r="BJ416">
            <v>0.82100000000000006</v>
          </cell>
          <cell r="BK416">
            <v>0.86975000000000002</v>
          </cell>
          <cell r="BL416">
            <v>0.88600000000000001</v>
          </cell>
          <cell r="BM416">
            <v>0.89200000000000002</v>
          </cell>
          <cell r="BN416">
            <v>0.88</v>
          </cell>
          <cell r="BO416">
            <v>0.82100000000000006</v>
          </cell>
          <cell r="BP416">
            <v>0.86975000000000002</v>
          </cell>
          <cell r="BQ416">
            <v>0.88600000000000001</v>
          </cell>
          <cell r="BR416">
            <v>0.89200000000000002</v>
          </cell>
          <cell r="BS416">
            <v>0.88</v>
          </cell>
          <cell r="BT416">
            <v>0.82100000000000006</v>
          </cell>
          <cell r="BU416">
            <v>0.86975000000000002</v>
          </cell>
          <cell r="BV416">
            <v>0.88600000000000001</v>
          </cell>
          <cell r="BW416">
            <v>0.89200000000000002</v>
          </cell>
          <cell r="BX416">
            <v>0.88</v>
          </cell>
          <cell r="BY416">
            <v>0.82100000000000006</v>
          </cell>
          <cell r="BZ416">
            <v>0.86975000000000002</v>
          </cell>
        </row>
        <row r="417">
          <cell r="B417" t="str">
            <v>BEAR - Retention rate</v>
          </cell>
          <cell r="BB417">
            <v>0.84099999999999997</v>
          </cell>
          <cell r="BC417">
            <v>0.84699999999999998</v>
          </cell>
          <cell r="BD417">
            <v>0.83499999999999996</v>
          </cell>
          <cell r="BE417">
            <v>0.77600000000000002</v>
          </cell>
          <cell r="BF417">
            <v>0.82474999999999987</v>
          </cell>
          <cell r="BG417">
            <v>0.84599999999999997</v>
          </cell>
          <cell r="BH417">
            <v>0.85199999999999998</v>
          </cell>
          <cell r="BI417">
            <v>0.84</v>
          </cell>
          <cell r="BJ417">
            <v>0.78100000000000003</v>
          </cell>
          <cell r="BK417">
            <v>0.82974999999999999</v>
          </cell>
          <cell r="BL417">
            <v>0.84599999999999997</v>
          </cell>
          <cell r="BM417">
            <v>0.85199999999999998</v>
          </cell>
          <cell r="BN417">
            <v>0.84</v>
          </cell>
          <cell r="BO417">
            <v>0.78100000000000003</v>
          </cell>
          <cell r="BP417">
            <v>0.82974999999999999</v>
          </cell>
          <cell r="BQ417">
            <v>0.84599999999999997</v>
          </cell>
          <cell r="BR417">
            <v>0.85199999999999998</v>
          </cell>
          <cell r="BS417">
            <v>0.84</v>
          </cell>
          <cell r="BT417">
            <v>0.78100000000000003</v>
          </cell>
          <cell r="BU417">
            <v>0.82974999999999999</v>
          </cell>
          <cell r="BV417">
            <v>0.84599999999999997</v>
          </cell>
          <cell r="BW417">
            <v>0.85199999999999998</v>
          </cell>
          <cell r="BX417">
            <v>0.84</v>
          </cell>
          <cell r="BY417">
            <v>0.78100000000000003</v>
          </cell>
          <cell r="BZ417">
            <v>0.82974999999999999</v>
          </cell>
        </row>
        <row r="418">
          <cell r="B418" t="str">
            <v>Cancellation rate (as % of beginning of qtr run rate)</v>
          </cell>
          <cell r="AR418">
            <v>8.2758620689655171E-2</v>
          </cell>
          <cell r="AS418">
            <v>0.14912280701754385</v>
          </cell>
          <cell r="AT418">
            <v>5.8091286307053937E-2</v>
          </cell>
          <cell r="AU418">
            <v>0.18300653594771243</v>
          </cell>
          <cell r="AV418">
            <v>0.12413793103448277</v>
          </cell>
          <cell r="AW418">
            <v>0.116331096196868</v>
          </cell>
          <cell r="AX418">
            <v>0.12149532710280375</v>
          </cell>
          <cell r="AY418">
            <v>0.12200435729847495</v>
          </cell>
          <cell r="AZ418">
            <v>0.19090909090909092</v>
          </cell>
          <cell r="BA418">
            <v>0.13646532438478745</v>
          </cell>
          <cell r="BB418">
            <v>0.11899999999999999</v>
          </cell>
          <cell r="BC418">
            <v>0.10989091643042595</v>
          </cell>
          <cell r="BD418">
            <v>0.11729867784471426</v>
          </cell>
          <cell r="BE418">
            <v>0.17447467057886867</v>
          </cell>
          <cell r="BF418">
            <v>0.13524999999999998</v>
          </cell>
          <cell r="BG418">
            <v>0.11399999999999999</v>
          </cell>
          <cell r="BH418">
            <v>0.10493795218704703</v>
          </cell>
          <cell r="BI418">
            <v>0.11242453857088637</v>
          </cell>
          <cell r="BJ418">
            <v>0.16927592681975689</v>
          </cell>
          <cell r="BK418">
            <v>0.13024999999999998</v>
          </cell>
          <cell r="BL418">
            <v>0.11399999999999999</v>
          </cell>
          <cell r="BM418">
            <v>0.10499462732985369</v>
          </cell>
          <cell r="BN418">
            <v>0.11254933661200603</v>
          </cell>
          <cell r="BO418">
            <v>0.16949660882413509</v>
          </cell>
          <cell r="BP418">
            <v>0.13024999999999998</v>
          </cell>
          <cell r="BQ418">
            <v>0.11399999999999999</v>
          </cell>
          <cell r="BR418">
            <v>0.10503994161585516</v>
          </cell>
          <cell r="BS418">
            <v>0.11264922050878733</v>
          </cell>
          <cell r="BT418">
            <v>0.16967329633323586</v>
          </cell>
          <cell r="BU418">
            <v>0.13024999999999998</v>
          </cell>
          <cell r="BV418">
            <v>0.11399999999999999</v>
          </cell>
          <cell r="BW418">
            <v>0.10507628814444471</v>
          </cell>
          <cell r="BX418">
            <v>0.11272940306463822</v>
          </cell>
          <cell r="BY418">
            <v>0.16981517316360481</v>
          </cell>
          <cell r="BZ418">
            <v>0.13024999999999998</v>
          </cell>
        </row>
        <row r="426">
          <cell r="B426" t="str">
            <v>Subtotal</v>
          </cell>
          <cell r="AM426">
            <v>0</v>
          </cell>
          <cell r="AN426">
            <v>0</v>
          </cell>
          <cell r="AO426">
            <v>0</v>
          </cell>
          <cell r="AP426">
            <v>0</v>
          </cell>
          <cell r="AQ426">
            <v>0</v>
          </cell>
          <cell r="AR426">
            <v>1.425</v>
          </cell>
          <cell r="AS426">
            <v>4.3562500000000002</v>
          </cell>
          <cell r="AT426">
            <v>4.4468750000000004</v>
          </cell>
          <cell r="AU426">
            <v>6.7093749999999996</v>
          </cell>
          <cell r="AV426">
            <v>16.9375</v>
          </cell>
          <cell r="AW426">
            <v>10.434375000000001</v>
          </cell>
          <cell r="AX426">
            <v>11.278124999999999</v>
          </cell>
          <cell r="AY426">
            <v>11.146875</v>
          </cell>
          <cell r="AZ426">
            <v>11.015625</v>
          </cell>
          <cell r="BA426">
            <v>43.875</v>
          </cell>
          <cell r="BB426">
            <v>10.9687375</v>
          </cell>
          <cell r="BC426">
            <v>10.971343749999999</v>
          </cell>
          <cell r="BD426">
            <v>10.971299999999999</v>
          </cell>
          <cell r="BE426">
            <v>11.095306249999998</v>
          </cell>
          <cell r="BF426">
            <v>44.006687499999998</v>
          </cell>
          <cell r="BG426">
            <v>11.302785878125</v>
          </cell>
          <cell r="BH426">
            <v>11.519404453124999</v>
          </cell>
          <cell r="BI426">
            <v>11.741498534374999</v>
          </cell>
          <cell r="BJ426">
            <v>11.9674975640625</v>
          </cell>
          <cell r="BK426">
            <v>46.531186429687494</v>
          </cell>
          <cell r="BL426">
            <v>12.199413822421095</v>
          </cell>
          <cell r="BM426">
            <v>12.437235425839845</v>
          </cell>
          <cell r="BN426">
            <v>12.677033602225782</v>
          </cell>
          <cell r="BO426">
            <v>12.917022648999609</v>
          </cell>
          <cell r="BP426">
            <v>50.230705499486334</v>
          </cell>
          <cell r="BQ426">
            <v>13.161360815582777</v>
          </cell>
          <cell r="BR426">
            <v>13.412125020049986</v>
          </cell>
          <cell r="BS426">
            <v>13.665114376766343</v>
          </cell>
          <cell r="BT426">
            <v>13.918452506609599</v>
          </cell>
          <cell r="BU426">
            <v>54.157052719008703</v>
          </cell>
          <cell r="BV426">
            <v>14.176578657932394</v>
          </cell>
          <cell r="BW426">
            <v>14.441674010204062</v>
          </cell>
          <cell r="BX426">
            <v>14.709246138509128</v>
          </cell>
          <cell r="BY426">
            <v>14.977317169300839</v>
          </cell>
          <cell r="BZ426">
            <v>58.304815975946426</v>
          </cell>
        </row>
        <row r="427">
          <cell r="B427" t="str">
            <v>Adjustments (FX, Other)</v>
          </cell>
          <cell r="AM427">
            <v>7.6</v>
          </cell>
          <cell r="AN427">
            <v>14.6</v>
          </cell>
          <cell r="AO427">
            <v>10.9</v>
          </cell>
          <cell r="AP427">
            <v>8.6</v>
          </cell>
          <cell r="AQ427">
            <v>41.7</v>
          </cell>
          <cell r="AR427">
            <v>10.375</v>
          </cell>
          <cell r="AS427">
            <v>12.443750000000001</v>
          </cell>
          <cell r="AT427">
            <v>4.453125</v>
          </cell>
          <cell r="AU427">
            <v>-0.70937499999999964</v>
          </cell>
          <cell r="AV427">
            <v>26.5625</v>
          </cell>
          <cell r="AW427">
            <v>2.5656249999999989</v>
          </cell>
          <cell r="AX427">
            <v>1.3218750000000004</v>
          </cell>
          <cell r="AY427">
            <v>-3.046875</v>
          </cell>
          <cell r="AZ427">
            <v>-4.1346249999999998</v>
          </cell>
          <cell r="BA427">
            <v>-3.2940000000000005</v>
          </cell>
          <cell r="BB427">
            <v>2.5656249999999989</v>
          </cell>
          <cell r="BC427">
            <v>1.3218750000000004</v>
          </cell>
          <cell r="BD427">
            <v>-3.046875</v>
          </cell>
          <cell r="BE427">
            <v>-4.1346249999999998</v>
          </cell>
          <cell r="BF427">
            <v>-3.2940000000000005</v>
          </cell>
          <cell r="BG427">
            <v>2.5656249999999989</v>
          </cell>
          <cell r="BH427">
            <v>1.3218750000000004</v>
          </cell>
          <cell r="BI427">
            <v>-3.046875</v>
          </cell>
          <cell r="BJ427">
            <v>-4.1346249999999998</v>
          </cell>
          <cell r="BK427">
            <v>-3.2940000000000005</v>
          </cell>
          <cell r="BL427">
            <v>2.5656249999999989</v>
          </cell>
          <cell r="BM427">
            <v>1.3218750000000004</v>
          </cell>
          <cell r="BN427">
            <v>-3.046875</v>
          </cell>
          <cell r="BO427">
            <v>-4.1346249999999998</v>
          </cell>
          <cell r="BP427">
            <v>-3.2940000000000005</v>
          </cell>
          <cell r="BQ427">
            <v>2.5656249999999989</v>
          </cell>
          <cell r="BR427">
            <v>1.3218750000000004</v>
          </cell>
          <cell r="BS427">
            <v>-3.046875</v>
          </cell>
          <cell r="BT427">
            <v>-4.1346249999999998</v>
          </cell>
          <cell r="BU427">
            <v>-3.2940000000000005</v>
          </cell>
          <cell r="BV427">
            <v>2.5656249999999989</v>
          </cell>
          <cell r="BW427">
            <v>1.3218750000000004</v>
          </cell>
          <cell r="BX427">
            <v>-3.046875</v>
          </cell>
          <cell r="BY427">
            <v>-4.1346249999999998</v>
          </cell>
          <cell r="BZ427">
            <v>-3.2940000000000005</v>
          </cell>
        </row>
        <row r="428">
          <cell r="B428" t="str">
            <v>Real Estate recurring</v>
          </cell>
          <cell r="AM428">
            <v>7.6</v>
          </cell>
          <cell r="AN428">
            <v>14.6</v>
          </cell>
          <cell r="AO428">
            <v>10.9</v>
          </cell>
          <cell r="AP428">
            <v>8.6</v>
          </cell>
          <cell r="AQ428">
            <v>41.7</v>
          </cell>
          <cell r="AR428">
            <v>11.8</v>
          </cell>
          <cell r="AS428">
            <v>16.8</v>
          </cell>
          <cell r="AT428">
            <v>8.9</v>
          </cell>
          <cell r="AU428">
            <v>6</v>
          </cell>
          <cell r="AV428">
            <v>43.5</v>
          </cell>
          <cell r="AW428">
            <v>13</v>
          </cell>
          <cell r="AX428">
            <v>12.6</v>
          </cell>
          <cell r="AY428">
            <v>8.1</v>
          </cell>
          <cell r="AZ428">
            <v>6.8810000000000002</v>
          </cell>
          <cell r="BA428">
            <v>40.581000000000003</v>
          </cell>
          <cell r="BB428">
            <v>13.534362499999999</v>
          </cell>
          <cell r="BC428">
            <v>12.293218749999999</v>
          </cell>
          <cell r="BD428">
            <v>7.9244249999999994</v>
          </cell>
          <cell r="BE428">
            <v>6.9606812499999986</v>
          </cell>
          <cell r="BF428">
            <v>40.712687499999994</v>
          </cell>
          <cell r="BG428">
            <v>13.868410878124999</v>
          </cell>
          <cell r="BH428">
            <v>12.841279453124999</v>
          </cell>
          <cell r="BI428">
            <v>8.6946235343749994</v>
          </cell>
          <cell r="BJ428">
            <v>7.8328725640624999</v>
          </cell>
          <cell r="BK428">
            <v>43.237186429687497</v>
          </cell>
          <cell r="BL428">
            <v>14.765038822421094</v>
          </cell>
          <cell r="BM428">
            <v>13.759110425839845</v>
          </cell>
          <cell r="BN428">
            <v>9.6301586022257819</v>
          </cell>
          <cell r="BO428">
            <v>8.7823976489996092</v>
          </cell>
          <cell r="BP428">
            <v>46.936705499486337</v>
          </cell>
          <cell r="BQ428">
            <v>15.726985815582776</v>
          </cell>
          <cell r="BR428">
            <v>14.734000020049987</v>
          </cell>
          <cell r="BS428">
            <v>10.618239376766343</v>
          </cell>
          <cell r="BT428">
            <v>9.7838275066095992</v>
          </cell>
          <cell r="BU428">
            <v>50.863052719008707</v>
          </cell>
          <cell r="BV428">
            <v>16.742203657932393</v>
          </cell>
          <cell r="BW428">
            <v>15.763549010204063</v>
          </cell>
          <cell r="BX428">
            <v>11.662371138509128</v>
          </cell>
          <cell r="BY428">
            <v>10.84269216930084</v>
          </cell>
          <cell r="BZ428">
            <v>55.010815975946421</v>
          </cell>
          <cell r="CB428">
            <v>6.2046820332419372E-2</v>
          </cell>
        </row>
        <row r="430">
          <cell r="B430" t="str">
            <v>Real Estate non-recurring revenue</v>
          </cell>
          <cell r="AM430">
            <v>0.4</v>
          </cell>
          <cell r="AN430">
            <v>2.4</v>
          </cell>
          <cell r="AO430">
            <v>0.6</v>
          </cell>
          <cell r="AP430">
            <v>1.3</v>
          </cell>
          <cell r="AQ430">
            <v>4.7</v>
          </cell>
          <cell r="AR430">
            <v>1.4</v>
          </cell>
          <cell r="AS430">
            <v>1.8</v>
          </cell>
          <cell r="AT430">
            <v>2.1</v>
          </cell>
          <cell r="AU430">
            <v>1.6</v>
          </cell>
          <cell r="AV430">
            <v>6.9</v>
          </cell>
          <cell r="AW430">
            <v>0.5</v>
          </cell>
          <cell r="AX430">
            <v>1.1000000000000001</v>
          </cell>
          <cell r="AY430">
            <v>1.1000000000000001</v>
          </cell>
          <cell r="AZ430">
            <v>1.7529999999999999</v>
          </cell>
          <cell r="BA430">
            <v>4.4530000000000003</v>
          </cell>
          <cell r="BB430">
            <v>1.7529999999999999</v>
          </cell>
          <cell r="BC430">
            <v>1.7529999999999999</v>
          </cell>
          <cell r="BD430">
            <v>1.7529999999999999</v>
          </cell>
          <cell r="BE430">
            <v>1.7529999999999999</v>
          </cell>
          <cell r="BF430">
            <v>7.0119999999999996</v>
          </cell>
          <cell r="BG430">
            <v>1.7529999999999999</v>
          </cell>
          <cell r="BH430">
            <v>1.7529999999999999</v>
          </cell>
          <cell r="BI430">
            <v>1.7529999999999999</v>
          </cell>
          <cell r="BJ430">
            <v>1.7529999999999999</v>
          </cell>
          <cell r="BK430">
            <v>7.0119999999999996</v>
          </cell>
          <cell r="BL430">
            <v>1.7529999999999999</v>
          </cell>
          <cell r="BM430">
            <v>1.7529999999999999</v>
          </cell>
          <cell r="BN430">
            <v>1.7529999999999999</v>
          </cell>
          <cell r="BO430">
            <v>1.7529999999999999</v>
          </cell>
          <cell r="BP430">
            <v>7.0119999999999996</v>
          </cell>
          <cell r="BQ430">
            <v>1.7529999999999999</v>
          </cell>
          <cell r="BR430">
            <v>1.7529999999999999</v>
          </cell>
          <cell r="BS430">
            <v>1.7529999999999999</v>
          </cell>
          <cell r="BT430">
            <v>1.7529999999999999</v>
          </cell>
          <cell r="BU430">
            <v>7.0119999999999996</v>
          </cell>
          <cell r="BV430">
            <v>1.7529999999999999</v>
          </cell>
          <cell r="BW430">
            <v>1.7529999999999999</v>
          </cell>
          <cell r="BX430">
            <v>1.7529999999999999</v>
          </cell>
          <cell r="BY430">
            <v>1.7529999999999999</v>
          </cell>
          <cell r="BZ430">
            <v>7.0119999999999996</v>
          </cell>
          <cell r="CB430">
            <v>0</v>
          </cell>
        </row>
        <row r="432">
          <cell r="B432" t="str">
            <v>Real Estate revenue</v>
          </cell>
          <cell r="D432">
            <v>0</v>
          </cell>
          <cell r="E432">
            <v>0</v>
          </cell>
          <cell r="F432">
            <v>0</v>
          </cell>
          <cell r="G432">
            <v>0</v>
          </cell>
          <cell r="I432">
            <v>0</v>
          </cell>
          <cell r="J432">
            <v>0</v>
          </cell>
          <cell r="K432">
            <v>0</v>
          </cell>
          <cell r="L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8</v>
          </cell>
          <cell r="AN432">
            <v>17</v>
          </cell>
          <cell r="AO432">
            <v>11.5</v>
          </cell>
          <cell r="AP432">
            <v>9.9</v>
          </cell>
          <cell r="AQ432">
            <v>46.400000000000006</v>
          </cell>
          <cell r="AR432">
            <v>13.200000000000001</v>
          </cell>
          <cell r="AS432">
            <v>18.600000000000001</v>
          </cell>
          <cell r="AT432">
            <v>11</v>
          </cell>
          <cell r="AU432">
            <v>7.6</v>
          </cell>
          <cell r="AV432">
            <v>50.4</v>
          </cell>
          <cell r="AW432">
            <v>13.5</v>
          </cell>
          <cell r="AX432">
            <v>13.7</v>
          </cell>
          <cell r="AY432">
            <v>9.1999999999999993</v>
          </cell>
          <cell r="AZ432">
            <v>8.6340000000000003</v>
          </cell>
          <cell r="BA432">
            <v>45.034000000000006</v>
          </cell>
          <cell r="BB432">
            <v>15.287362499999999</v>
          </cell>
          <cell r="BC432">
            <v>14.04621875</v>
          </cell>
          <cell r="BD432">
            <v>9.6774249999999995</v>
          </cell>
          <cell r="BE432">
            <v>8.7136812499999987</v>
          </cell>
          <cell r="BF432">
            <v>47.724687499999995</v>
          </cell>
          <cell r="BG432">
            <v>15.621410878124999</v>
          </cell>
          <cell r="BH432">
            <v>14.594279453124999</v>
          </cell>
          <cell r="BI432">
            <v>10.447623534374999</v>
          </cell>
          <cell r="BJ432">
            <v>9.5858725640625</v>
          </cell>
          <cell r="BK432">
            <v>50.249186429687498</v>
          </cell>
          <cell r="BL432">
            <v>16.518038822421094</v>
          </cell>
          <cell r="BM432">
            <v>15.512110425839845</v>
          </cell>
          <cell r="BN432">
            <v>11.383158602225782</v>
          </cell>
          <cell r="BO432">
            <v>10.535397648999609</v>
          </cell>
          <cell r="BP432">
            <v>53.948705499486337</v>
          </cell>
          <cell r="BQ432">
            <v>17.479985815582776</v>
          </cell>
          <cell r="BR432">
            <v>16.487000020049987</v>
          </cell>
          <cell r="BS432">
            <v>12.371239376766344</v>
          </cell>
          <cell r="BT432">
            <v>11.536827506609599</v>
          </cell>
          <cell r="BU432">
            <v>57.875052719008707</v>
          </cell>
          <cell r="BV432">
            <v>18.495203657932393</v>
          </cell>
          <cell r="BW432">
            <v>17.516549010204063</v>
          </cell>
          <cell r="BX432">
            <v>13.415371138509128</v>
          </cell>
          <cell r="BY432">
            <v>12.59569216930084</v>
          </cell>
          <cell r="BZ432">
            <v>62.022815975946422</v>
          </cell>
          <cell r="CB432">
            <v>5.3808451791704126E-2</v>
          </cell>
        </row>
        <row r="433">
          <cell r="B433" t="str">
            <v>y/y change</v>
          </cell>
          <cell r="AR433">
            <v>0.65000000000000013</v>
          </cell>
          <cell r="AS433">
            <v>9.4117647058823639E-2</v>
          </cell>
          <cell r="AT433">
            <v>-4.3478260869565188E-2</v>
          </cell>
          <cell r="AU433">
            <v>-0.23232323232323238</v>
          </cell>
          <cell r="AV433">
            <v>8.6206896551723977E-2</v>
          </cell>
          <cell r="AW433">
            <v>2.2727272727272707E-2</v>
          </cell>
          <cell r="AX433">
            <v>-0.26344086021505386</v>
          </cell>
          <cell r="AY433">
            <v>-0.16363636363636369</v>
          </cell>
          <cell r="AZ433">
            <v>0.13605263157894742</v>
          </cell>
          <cell r="BA433">
            <v>-0.10646825396825388</v>
          </cell>
          <cell r="BB433">
            <v>0.13239722222222206</v>
          </cell>
          <cell r="BC433">
            <v>2.5271441605839495E-2</v>
          </cell>
          <cell r="BD433">
            <v>5.189402173913038E-2</v>
          </cell>
          <cell r="BE433">
            <v>9.2287757702105289E-3</v>
          </cell>
          <cell r="BF433">
            <v>5.9747912688190796E-2</v>
          </cell>
          <cell r="BG433">
            <v>2.1851276053995727E-2</v>
          </cell>
          <cell r="BH433">
            <v>3.9018380169040023E-2</v>
          </cell>
          <cell r="BI433">
            <v>7.9587135459587621E-2</v>
          </cell>
          <cell r="BJ433">
            <v>0.10009447087159651</v>
          </cell>
          <cell r="BK433">
            <v>5.2897128549820316E-2</v>
          </cell>
          <cell r="BL433">
            <v>5.7397372829599114E-2</v>
          </cell>
          <cell r="BM433">
            <v>6.2889776481449777E-2</v>
          </cell>
          <cell r="BN433">
            <v>8.9545250627826034E-2</v>
          </cell>
          <cell r="BO433">
            <v>9.9054632595146908E-2</v>
          </cell>
          <cell r="BP433">
            <v>7.3623462043022059E-2</v>
          </cell>
          <cell r="BQ433">
            <v>5.8236150399160191E-2</v>
          </cell>
          <cell r="BR433">
            <v>6.2846999373224133E-2</v>
          </cell>
          <cell r="BS433">
            <v>8.6801986080327298E-2</v>
          </cell>
          <cell r="BT433">
            <v>9.5053826250695028E-2</v>
          </cell>
          <cell r="BU433">
            <v>7.2779266586104674E-2</v>
          </cell>
          <cell r="BV433">
            <v>5.8078871062045456E-2</v>
          </cell>
          <cell r="BW433">
            <v>6.244610838248521E-2</v>
          </cell>
          <cell r="BX433">
            <v>8.4399931966695485E-2</v>
          </cell>
          <cell r="BY433">
            <v>9.1781268471302191E-2</v>
          </cell>
          <cell r="BZ433">
            <v>7.1667550387827239E-2</v>
          </cell>
        </row>
        <row r="436">
          <cell r="AM436" t="str">
            <v>1Q13R</v>
          </cell>
          <cell r="AN436" t="str">
            <v>2Q13R</v>
          </cell>
          <cell r="AO436" t="str">
            <v>3Q13R</v>
          </cell>
          <cell r="AP436" t="str">
            <v>4Q13R</v>
          </cell>
          <cell r="AQ436" t="str">
            <v>2013R</v>
          </cell>
          <cell r="AR436" t="str">
            <v>1Q14</v>
          </cell>
          <cell r="AS436" t="str">
            <v>2Q14</v>
          </cell>
          <cell r="AT436" t="str">
            <v>3Q14</v>
          </cell>
          <cell r="AU436" t="str">
            <v>4Q14</v>
          </cell>
          <cell r="AV436">
            <v>2014</v>
          </cell>
          <cell r="AW436" t="str">
            <v>1Q15</v>
          </cell>
          <cell r="AX436" t="str">
            <v>2Q15</v>
          </cell>
          <cell r="AY436" t="str">
            <v>3Q15</v>
          </cell>
          <cell r="AZ436" t="str">
            <v>4Q15</v>
          </cell>
          <cell r="BA436">
            <v>2015</v>
          </cell>
          <cell r="BB436" t="str">
            <v>1Q16</v>
          </cell>
          <cell r="BC436" t="str">
            <v>2Q16</v>
          </cell>
          <cell r="BD436" t="str">
            <v>3Q16</v>
          </cell>
          <cell r="BE436" t="str">
            <v>4Q16</v>
          </cell>
          <cell r="BF436">
            <v>2016</v>
          </cell>
          <cell r="BG436" t="str">
            <v>1Q17</v>
          </cell>
          <cell r="BH436" t="str">
            <v>2Q17E</v>
          </cell>
          <cell r="BI436" t="str">
            <v>3Q17E</v>
          </cell>
          <cell r="BJ436" t="str">
            <v>4Q17E</v>
          </cell>
          <cell r="BK436" t="str">
            <v>2017E</v>
          </cell>
          <cell r="BL436" t="str">
            <v>1Q18E</v>
          </cell>
          <cell r="BM436" t="str">
            <v>2Q18E</v>
          </cell>
          <cell r="BN436" t="str">
            <v>3Q18E</v>
          </cell>
          <cell r="BO436" t="str">
            <v>4Q18E</v>
          </cell>
          <cell r="BP436" t="str">
            <v>2018E</v>
          </cell>
          <cell r="BQ436" t="str">
            <v>1Q19E</v>
          </cell>
          <cell r="BR436" t="str">
            <v>2Q19E</v>
          </cell>
          <cell r="BS436" t="str">
            <v>3Q19E</v>
          </cell>
          <cell r="BT436" t="str">
            <v>4Q19E</v>
          </cell>
          <cell r="BU436" t="str">
            <v>2019E</v>
          </cell>
          <cell r="BV436" t="str">
            <v>1Q20E</v>
          </cell>
          <cell r="BW436" t="str">
            <v>2Q20E</v>
          </cell>
          <cell r="BX436" t="str">
            <v>3Q20E</v>
          </cell>
          <cell r="BY436" t="str">
            <v>4Q20E</v>
          </cell>
          <cell r="BZ436" t="str">
            <v>2020E</v>
          </cell>
        </row>
        <row r="437">
          <cell r="A437" t="str">
            <v>All Other</v>
          </cell>
        </row>
        <row r="439">
          <cell r="B439" t="str">
            <v>Annualized run rate</v>
          </cell>
          <cell r="AM439">
            <v>59</v>
          </cell>
          <cell r="AN439">
            <v>60.9</v>
          </cell>
          <cell r="AO439">
            <v>64</v>
          </cell>
          <cell r="AP439">
            <v>66.400000000000006</v>
          </cell>
          <cell r="AQ439">
            <v>66.400000000000006</v>
          </cell>
          <cell r="AR439">
            <v>69.900000000000006</v>
          </cell>
          <cell r="AS439">
            <v>73.400000000000006</v>
          </cell>
          <cell r="AT439">
            <v>79.400000000000006</v>
          </cell>
          <cell r="AU439">
            <v>79.2</v>
          </cell>
          <cell r="AV439">
            <v>79.2</v>
          </cell>
          <cell r="AW439">
            <v>78.099999999999994</v>
          </cell>
          <cell r="AX439">
            <v>83.1</v>
          </cell>
          <cell r="AY439">
            <v>82.8</v>
          </cell>
          <cell r="AZ439">
            <v>82.699999999999989</v>
          </cell>
          <cell r="BA439">
            <v>82.699999999999989</v>
          </cell>
          <cell r="BB439">
            <v>86.99</v>
          </cell>
          <cell r="BC439">
            <v>86.924000000000007</v>
          </cell>
          <cell r="BD439">
            <v>86.738</v>
          </cell>
          <cell r="BE439">
            <v>88.073999999999998</v>
          </cell>
          <cell r="BF439">
            <v>88.073999999999998</v>
          </cell>
          <cell r="BG439">
            <v>91.239000000000004</v>
          </cell>
          <cell r="BH439">
            <v>93.765764500000003</v>
          </cell>
          <cell r="BI439">
            <v>95.998545000000007</v>
          </cell>
          <cell r="BJ439">
            <v>100.23186050000001</v>
          </cell>
          <cell r="BK439">
            <v>100.23186050000001</v>
          </cell>
          <cell r="BL439">
            <v>102.73692515050001</v>
          </cell>
          <cell r="BM439">
            <v>105.28625164262502</v>
          </cell>
          <cell r="BN439">
            <v>107.54498597675001</v>
          </cell>
          <cell r="BO439">
            <v>111.89934765712502</v>
          </cell>
          <cell r="BP439">
            <v>111.89934765712502</v>
          </cell>
          <cell r="BQ439">
            <v>114.49139295163964</v>
          </cell>
          <cell r="BR439">
            <v>117.09940243246866</v>
          </cell>
          <cell r="BS439">
            <v>119.4150833319262</v>
          </cell>
          <cell r="BT439">
            <v>123.93820106495529</v>
          </cell>
          <cell r="BU439">
            <v>123.93820106495529</v>
          </cell>
          <cell r="BV439">
            <v>126.63177744772115</v>
          </cell>
          <cell r="BW439">
            <v>129.31404569110856</v>
          </cell>
          <cell r="BX439">
            <v>131.70034594871581</v>
          </cell>
          <cell r="BY439">
            <v>136.41705937520587</v>
          </cell>
          <cell r="BZ439">
            <v>136.41705937520587</v>
          </cell>
          <cell r="CB439">
            <v>9.1450872926293503E-2</v>
          </cell>
        </row>
        <row r="440">
          <cell r="B440" t="str">
            <v>Revenue</v>
          </cell>
          <cell r="AR440">
            <v>0.18474576271186449</v>
          </cell>
          <cell r="AS440">
            <v>0.20525451559934327</v>
          </cell>
          <cell r="AT440">
            <v>0.24062500000000009</v>
          </cell>
          <cell r="AU440">
            <v>0.19277108433734935</v>
          </cell>
          <cell r="AW440">
            <v>0.11731044349070086</v>
          </cell>
          <cell r="AX440">
            <v>0.1321525885558581</v>
          </cell>
          <cell r="AY440">
            <v>4.2821158690176109E-2</v>
          </cell>
          <cell r="AZ440">
            <v>4.4191919191919116E-2</v>
          </cell>
          <cell r="BB440">
            <v>0.11382842509603064</v>
          </cell>
          <cell r="BC440">
            <v>4.6016847172081876E-2</v>
          </cell>
          <cell r="BD440">
            <v>4.7560386473429972E-2</v>
          </cell>
          <cell r="BE440">
            <v>6.4981862152358127E-2</v>
          </cell>
          <cell r="BG440">
            <v>4.8844694792504972E-2</v>
          </cell>
        </row>
        <row r="441">
          <cell r="B441" t="str">
            <v>Subscription revenue - 1st quarter, 12.5%</v>
          </cell>
          <cell r="AR441">
            <v>1.84375</v>
          </cell>
          <cell r="AS441">
            <v>1.903125</v>
          </cell>
          <cell r="AT441">
            <v>2</v>
          </cell>
          <cell r="AU441">
            <v>2.0750000000000002</v>
          </cell>
          <cell r="AW441">
            <v>2.1843750000000002</v>
          </cell>
          <cell r="AX441">
            <v>2.2937500000000002</v>
          </cell>
          <cell r="AY441">
            <v>2.4812500000000002</v>
          </cell>
          <cell r="AZ441">
            <v>2.4750000000000001</v>
          </cell>
          <cell r="BA441">
            <v>9.4343750000000011</v>
          </cell>
          <cell r="BB441">
            <v>2.4406249999999998</v>
          </cell>
          <cell r="BC441">
            <v>2.5968749999999998</v>
          </cell>
          <cell r="BD441">
            <v>2.5874999999999999</v>
          </cell>
          <cell r="BE441">
            <v>2.5843749999999996</v>
          </cell>
          <cell r="BF441">
            <v>10.209375</v>
          </cell>
          <cell r="BG441">
            <v>2.7184374999999998</v>
          </cell>
          <cell r="BH441">
            <v>2.7163750000000002</v>
          </cell>
          <cell r="BI441">
            <v>2.7105625</v>
          </cell>
          <cell r="BJ441">
            <v>2.7523124999999999</v>
          </cell>
          <cell r="BK441">
            <v>10.8976875</v>
          </cell>
          <cell r="BL441">
            <v>2.8512187500000001</v>
          </cell>
          <cell r="BM441">
            <v>2.9301801406250001</v>
          </cell>
          <cell r="BN441">
            <v>2.9999545312500002</v>
          </cell>
          <cell r="BO441">
            <v>3.1322456406250003</v>
          </cell>
          <cell r="BP441">
            <v>11.913599062500001</v>
          </cell>
          <cell r="BQ441">
            <v>3.2105289109531254</v>
          </cell>
          <cell r="BR441">
            <v>3.2901953638320318</v>
          </cell>
          <cell r="BS441">
            <v>3.3607808117734379</v>
          </cell>
          <cell r="BT441">
            <v>3.4968546142851569</v>
          </cell>
          <cell r="BU441">
            <v>13.358359700843751</v>
          </cell>
          <cell r="BV441">
            <v>3.5778560297387387</v>
          </cell>
          <cell r="BW441">
            <v>3.6593563260146458</v>
          </cell>
          <cell r="BX441">
            <v>3.7317213541226937</v>
          </cell>
          <cell r="BY441">
            <v>3.8730687832798529</v>
          </cell>
          <cell r="BZ441">
            <v>14.842002493155931</v>
          </cell>
        </row>
        <row r="442">
          <cell r="B442" t="str">
            <v>Subscription revenue - 2nd quarter, 25%</v>
          </cell>
          <cell r="AR442">
            <v>3.8062499999999999</v>
          </cell>
          <cell r="AS442">
            <v>4</v>
          </cell>
          <cell r="AT442">
            <v>4.1500000000000004</v>
          </cell>
          <cell r="AU442">
            <v>4.1500000000000004</v>
          </cell>
          <cell r="AW442">
            <v>4.5875000000000004</v>
          </cell>
          <cell r="AX442">
            <v>4.9625000000000004</v>
          </cell>
          <cell r="AY442">
            <v>4.95</v>
          </cell>
          <cell r="AZ442">
            <v>4.95</v>
          </cell>
          <cell r="BA442">
            <v>19.45</v>
          </cell>
          <cell r="BB442">
            <v>5.1937499999999996</v>
          </cell>
          <cell r="BC442">
            <v>5.1749999999999998</v>
          </cell>
          <cell r="BD442">
            <v>5.1687499999999993</v>
          </cell>
          <cell r="BE442">
            <v>5.4368749999999997</v>
          </cell>
          <cell r="BF442">
            <v>20.974374999999998</v>
          </cell>
          <cell r="BG442">
            <v>5.4327500000000004</v>
          </cell>
          <cell r="BH442">
            <v>5.421125</v>
          </cell>
          <cell r="BI442">
            <v>5.5046249999999999</v>
          </cell>
          <cell r="BJ442">
            <v>5.7024375000000003</v>
          </cell>
          <cell r="BK442">
            <v>22.060937500000001</v>
          </cell>
          <cell r="BL442">
            <v>5.8603602812500002</v>
          </cell>
          <cell r="BM442">
            <v>5.9999090625000004</v>
          </cell>
          <cell r="BN442">
            <v>6.2644912812500007</v>
          </cell>
          <cell r="BO442">
            <v>6.4210578219062509</v>
          </cell>
          <cell r="BP442">
            <v>24.545818446906253</v>
          </cell>
          <cell r="BQ442">
            <v>6.5803907276640636</v>
          </cell>
          <cell r="BR442">
            <v>6.7215616235468758</v>
          </cell>
          <cell r="BS442">
            <v>6.9937092285703137</v>
          </cell>
          <cell r="BT442">
            <v>7.1557120594774775</v>
          </cell>
          <cell r="BU442">
            <v>27.45137363925873</v>
          </cell>
          <cell r="BV442">
            <v>7.3187126520292916</v>
          </cell>
          <cell r="BW442">
            <v>7.4634427082453874</v>
          </cell>
          <cell r="BX442">
            <v>7.7461375665597059</v>
          </cell>
          <cell r="BY442">
            <v>7.9144860904825718</v>
          </cell>
          <cell r="BZ442">
            <v>30.442779017316958</v>
          </cell>
        </row>
        <row r="443">
          <cell r="B443" t="str">
            <v>Subscription revenue - 3rd quarter, 25%</v>
          </cell>
          <cell r="AR443">
            <v>4</v>
          </cell>
          <cell r="AS443">
            <v>4.1500000000000004</v>
          </cell>
          <cell r="AT443">
            <v>4.1500000000000004</v>
          </cell>
          <cell r="AU443">
            <v>4.3687500000000004</v>
          </cell>
          <cell r="AW443">
            <v>4.9625000000000004</v>
          </cell>
          <cell r="AX443">
            <v>4.95</v>
          </cell>
          <cell r="AY443">
            <v>4.95</v>
          </cell>
          <cell r="AZ443">
            <v>4.8812499999999996</v>
          </cell>
          <cell r="BA443">
            <v>19.743749999999999</v>
          </cell>
          <cell r="BB443">
            <v>5.1749999999999998</v>
          </cell>
          <cell r="BC443">
            <v>5.1687499999999993</v>
          </cell>
          <cell r="BD443">
            <v>5.4368749999999997</v>
          </cell>
          <cell r="BE443">
            <v>5.4327500000000004</v>
          </cell>
          <cell r="BF443">
            <v>21.213374999999999</v>
          </cell>
          <cell r="BG443">
            <v>5.421125</v>
          </cell>
          <cell r="BH443">
            <v>5.5046249999999999</v>
          </cell>
          <cell r="BI443">
            <v>5.7024375000000003</v>
          </cell>
          <cell r="BJ443">
            <v>5.8603602812500002</v>
          </cell>
          <cell r="BK443">
            <v>22.488547781250002</v>
          </cell>
          <cell r="BL443">
            <v>5.9999090625000004</v>
          </cell>
          <cell r="BM443">
            <v>6.2644912812500007</v>
          </cell>
          <cell r="BN443">
            <v>6.4210578219062509</v>
          </cell>
          <cell r="BO443">
            <v>6.5803907276640636</v>
          </cell>
          <cell r="BP443">
            <v>25.265848893320314</v>
          </cell>
          <cell r="BQ443">
            <v>6.7215616235468758</v>
          </cell>
          <cell r="BR443">
            <v>6.9937092285703137</v>
          </cell>
          <cell r="BS443">
            <v>7.1557120594774775</v>
          </cell>
          <cell r="BT443">
            <v>7.3187126520292916</v>
          </cell>
          <cell r="BU443">
            <v>28.189695563623957</v>
          </cell>
          <cell r="BV443">
            <v>7.4634427082453874</v>
          </cell>
          <cell r="BW443">
            <v>7.7461375665597059</v>
          </cell>
          <cell r="BX443">
            <v>7.9144860904825718</v>
          </cell>
          <cell r="BY443">
            <v>8.082127855694285</v>
          </cell>
          <cell r="BZ443">
            <v>31.206194220981949</v>
          </cell>
        </row>
        <row r="444">
          <cell r="B444" t="str">
            <v>Subscription revenue - 4th quarter, 25%</v>
          </cell>
          <cell r="AR444">
            <v>4.1500000000000004</v>
          </cell>
          <cell r="AS444">
            <v>4.3687500000000004</v>
          </cell>
          <cell r="AT444">
            <v>4.5875000000000004</v>
          </cell>
          <cell r="AU444">
            <v>4.9625000000000004</v>
          </cell>
          <cell r="AW444">
            <v>4.95</v>
          </cell>
          <cell r="AX444">
            <v>4.8812499999999996</v>
          </cell>
          <cell r="AY444">
            <v>5.1937499999999996</v>
          </cell>
          <cell r="AZ444">
            <v>5.1749999999999998</v>
          </cell>
          <cell r="BA444">
            <v>20.2</v>
          </cell>
          <cell r="BB444">
            <v>5.1687499999999993</v>
          </cell>
          <cell r="BC444">
            <v>5.4368749999999997</v>
          </cell>
          <cell r="BD444">
            <v>5.4327500000000004</v>
          </cell>
          <cell r="BE444">
            <v>5.421125</v>
          </cell>
          <cell r="BF444">
            <v>21.459500000000002</v>
          </cell>
          <cell r="BG444">
            <v>5.5046249999999999</v>
          </cell>
          <cell r="BH444">
            <v>5.7024375000000003</v>
          </cell>
          <cell r="BI444">
            <v>5.8603602812500002</v>
          </cell>
          <cell r="BJ444">
            <v>5.9999090625000004</v>
          </cell>
          <cell r="BK444">
            <v>23.067331843749997</v>
          </cell>
          <cell r="BL444">
            <v>6.2644912812500007</v>
          </cell>
          <cell r="BM444">
            <v>6.4210578219062509</v>
          </cell>
          <cell r="BN444">
            <v>6.5803907276640636</v>
          </cell>
          <cell r="BO444">
            <v>6.7215616235468758</v>
          </cell>
          <cell r="BP444">
            <v>25.987501454367191</v>
          </cell>
          <cell r="BQ444">
            <v>6.9937092285703137</v>
          </cell>
          <cell r="BR444">
            <v>7.1557120594774775</v>
          </cell>
          <cell r="BS444">
            <v>7.3187126520292916</v>
          </cell>
          <cell r="BT444">
            <v>7.4634427082453874</v>
          </cell>
          <cell r="BU444">
            <v>28.931576648322469</v>
          </cell>
          <cell r="BV444">
            <v>7.7461375665597059</v>
          </cell>
          <cell r="BW444">
            <v>7.9144860904825718</v>
          </cell>
          <cell r="BX444">
            <v>8.082127855694285</v>
          </cell>
          <cell r="BY444">
            <v>8.2312716217947379</v>
          </cell>
          <cell r="BZ444">
            <v>31.974023134531301</v>
          </cell>
        </row>
        <row r="445">
          <cell r="B445" t="str">
            <v>Subscription revenue - 5th quarter, 12.5%</v>
          </cell>
          <cell r="AR445">
            <v>2.1843750000000002</v>
          </cell>
          <cell r="AS445">
            <v>2.2937500000000002</v>
          </cell>
          <cell r="AT445">
            <v>2.4812500000000002</v>
          </cell>
          <cell r="AU445">
            <v>2.4750000000000001</v>
          </cell>
          <cell r="AW445">
            <v>2.4406249999999998</v>
          </cell>
          <cell r="AX445">
            <v>2.5968749999999998</v>
          </cell>
          <cell r="AY445">
            <v>2.5874999999999999</v>
          </cell>
          <cell r="AZ445">
            <v>2.5843749999999996</v>
          </cell>
          <cell r="BA445">
            <v>10.209375</v>
          </cell>
          <cell r="BB445">
            <v>2.7184374999999998</v>
          </cell>
          <cell r="BC445">
            <v>2.7163750000000002</v>
          </cell>
          <cell r="BD445">
            <v>2.7105625</v>
          </cell>
          <cell r="BE445">
            <v>2.7523124999999999</v>
          </cell>
          <cell r="BF445">
            <v>10.8976875</v>
          </cell>
          <cell r="BG445">
            <v>2.8512187500000001</v>
          </cell>
          <cell r="BH445">
            <v>2.9301801406250001</v>
          </cell>
          <cell r="BI445">
            <v>2.9999545312500002</v>
          </cell>
          <cell r="BJ445">
            <v>3.1322456406250003</v>
          </cell>
          <cell r="BK445">
            <v>11.913599062500001</v>
          </cell>
          <cell r="BL445">
            <v>3.2105289109531254</v>
          </cell>
          <cell r="BM445">
            <v>3.2901953638320318</v>
          </cell>
          <cell r="BN445">
            <v>3.3607808117734379</v>
          </cell>
          <cell r="BO445">
            <v>3.4968546142851569</v>
          </cell>
          <cell r="BP445">
            <v>13.358359700843751</v>
          </cell>
          <cell r="BQ445">
            <v>3.5778560297387387</v>
          </cell>
          <cell r="BR445">
            <v>3.6593563260146458</v>
          </cell>
          <cell r="BS445">
            <v>3.7317213541226937</v>
          </cell>
          <cell r="BT445">
            <v>3.8730687832798529</v>
          </cell>
          <cell r="BU445">
            <v>14.842002493155931</v>
          </cell>
          <cell r="BV445">
            <v>3.9572430452412859</v>
          </cell>
          <cell r="BW445">
            <v>4.0410639278471425</v>
          </cell>
          <cell r="BX445">
            <v>4.115635810897369</v>
          </cell>
          <cell r="BY445">
            <v>4.2630331054751833</v>
          </cell>
          <cell r="BZ445">
            <v>16.376975889460983</v>
          </cell>
        </row>
        <row r="447">
          <cell r="B447" t="str">
            <v>Quarterly new sales</v>
          </cell>
          <cell r="AM447">
            <v>2.7</v>
          </cell>
          <cell r="AN447">
            <v>4.8</v>
          </cell>
          <cell r="AO447">
            <v>3.3</v>
          </cell>
          <cell r="AP447">
            <v>3.9</v>
          </cell>
          <cell r="AQ447">
            <v>3.9</v>
          </cell>
          <cell r="AR447">
            <v>4.7</v>
          </cell>
          <cell r="AS447">
            <v>4.9000000000000004</v>
          </cell>
          <cell r="AT447">
            <v>3</v>
          </cell>
          <cell r="AU447">
            <v>5</v>
          </cell>
          <cell r="AV447">
            <v>5</v>
          </cell>
          <cell r="AW447">
            <v>4.5</v>
          </cell>
          <cell r="AX447">
            <v>4.5999999999999996</v>
          </cell>
          <cell r="AY447">
            <v>3.3</v>
          </cell>
          <cell r="AZ447">
            <v>4.1999999999999993</v>
          </cell>
          <cell r="BA447">
            <v>4.1999999999999993</v>
          </cell>
          <cell r="BB447">
            <v>5.2560000000000002</v>
          </cell>
          <cell r="BC447">
            <v>4.4809999999999999</v>
          </cell>
          <cell r="BD447">
            <v>3.8769999999999998</v>
          </cell>
          <cell r="BE447">
            <v>6.3639999999999999</v>
          </cell>
          <cell r="BF447">
            <v>19.978000000000002</v>
          </cell>
          <cell r="BG447">
            <v>4.1210000000000004</v>
          </cell>
          <cell r="BH447">
            <v>4.79467</v>
          </cell>
          <cell r="BI447">
            <v>4.14839</v>
          </cell>
          <cell r="BJ447">
            <v>6.8094800000000006</v>
          </cell>
          <cell r="BK447">
            <v>19.873540000000002</v>
          </cell>
          <cell r="BL447">
            <v>4.4094700000000007</v>
          </cell>
          <cell r="BM447">
            <v>5.1302969000000003</v>
          </cell>
          <cell r="BN447">
            <v>4.4387772999999999</v>
          </cell>
          <cell r="BO447">
            <v>7.2861436000000008</v>
          </cell>
          <cell r="BP447">
            <v>21.264687800000001</v>
          </cell>
          <cell r="BQ447">
            <v>4.7181329000000014</v>
          </cell>
          <cell r="BR447">
            <v>5.489417683000001</v>
          </cell>
          <cell r="BS447">
            <v>4.7494917110000001</v>
          </cell>
          <cell r="BT447">
            <v>7.7961736520000011</v>
          </cell>
          <cell r="BU447">
            <v>22.753215946000005</v>
          </cell>
          <cell r="BV447">
            <v>5.048402203000002</v>
          </cell>
          <cell r="BW447">
            <v>5.8736769208100013</v>
          </cell>
          <cell r="BX447">
            <v>5.0819561307700001</v>
          </cell>
          <cell r="BY447">
            <v>8.3419058076400017</v>
          </cell>
          <cell r="BZ447">
            <v>24.345941062220007</v>
          </cell>
        </row>
        <row r="448">
          <cell r="B448" t="str">
            <v>y/y change</v>
          </cell>
          <cell r="AR448">
            <v>0.7407407407407407</v>
          </cell>
          <cell r="AS448">
            <v>2.0833333333333481E-2</v>
          </cell>
          <cell r="AT448">
            <v>-9.0909090909090828E-2</v>
          </cell>
          <cell r="AU448">
            <v>0.28205128205128216</v>
          </cell>
          <cell r="AV448">
            <v>0.28205128205128216</v>
          </cell>
          <cell r="AW448">
            <v>-4.2553191489361764E-2</v>
          </cell>
          <cell r="AX448">
            <v>-6.1224489795918546E-2</v>
          </cell>
          <cell r="AY448">
            <v>9.9999999999999867E-2</v>
          </cell>
          <cell r="AZ448">
            <v>-0.16000000000000014</v>
          </cell>
          <cell r="BA448">
            <v>-0.16000000000000014</v>
          </cell>
          <cell r="BB448">
            <v>0.16800000000000015</v>
          </cell>
          <cell r="BC448">
            <v>-2.5869565217391255E-2</v>
          </cell>
          <cell r="BD448">
            <v>0.17484848484848481</v>
          </cell>
          <cell r="BE448">
            <v>0.51523809523809549</v>
          </cell>
          <cell r="BF448">
            <v>3.7566666666666677</v>
          </cell>
          <cell r="BG448">
            <v>-0.21594368340943682</v>
          </cell>
          <cell r="BH448">
            <v>7.0000000000000062E-2</v>
          </cell>
          <cell r="BI448">
            <v>7.0000000000000062E-2</v>
          </cell>
          <cell r="BJ448">
            <v>7.0000000000000062E-2</v>
          </cell>
          <cell r="BK448">
            <v>-5.2287516267894851E-3</v>
          </cell>
          <cell r="BL448">
            <v>7.0000000000000062E-2</v>
          </cell>
          <cell r="BM448">
            <v>7.0000000000000062E-2</v>
          </cell>
          <cell r="BN448">
            <v>7.0000000000000062E-2</v>
          </cell>
          <cell r="BO448">
            <v>7.0000000000000062E-2</v>
          </cell>
          <cell r="BP448">
            <v>6.999999999999984E-2</v>
          </cell>
          <cell r="BQ448">
            <v>7.0000000000000062E-2</v>
          </cell>
          <cell r="BR448">
            <v>7.0000000000000062E-2</v>
          </cell>
          <cell r="BS448">
            <v>7.0000000000000062E-2</v>
          </cell>
          <cell r="BT448">
            <v>7.0000000000000062E-2</v>
          </cell>
          <cell r="BU448">
            <v>7.0000000000000062E-2</v>
          </cell>
          <cell r="BV448">
            <v>7.0000000000000062E-2</v>
          </cell>
          <cell r="BW448">
            <v>7.0000000000000062E-2</v>
          </cell>
          <cell r="BX448">
            <v>7.0000000000000062E-2</v>
          </cell>
          <cell r="BY448">
            <v>7.0000000000000062E-2</v>
          </cell>
          <cell r="BZ448">
            <v>7.0000000000000062E-2</v>
          </cell>
        </row>
        <row r="449">
          <cell r="B449" t="str">
            <v>BULL</v>
          </cell>
          <cell r="BE449">
            <v>4.7187000000000001</v>
          </cell>
          <cell r="BG449">
            <v>5.9051160000000014</v>
          </cell>
          <cell r="BH449">
            <v>5.0344034999999998</v>
          </cell>
          <cell r="BI449">
            <v>4.3558095000000003</v>
          </cell>
          <cell r="BJ449">
            <v>7.149954000000001</v>
          </cell>
          <cell r="BL449">
            <v>4.6299435000000013</v>
          </cell>
          <cell r="BM449">
            <v>5.3868117450000002</v>
          </cell>
          <cell r="BN449">
            <v>4.6607161650000002</v>
          </cell>
          <cell r="BO449">
            <v>7.6504507800000008</v>
          </cell>
          <cell r="BQ449">
            <v>4.9540395450000014</v>
          </cell>
          <cell r="BR449">
            <v>5.7638885671500013</v>
          </cell>
          <cell r="BS449">
            <v>4.9869662965500003</v>
          </cell>
          <cell r="BT449">
            <v>8.185982334600002</v>
          </cell>
          <cell r="BV449">
            <v>5.3008223131500021</v>
          </cell>
          <cell r="BW449">
            <v>6.1673607668505017</v>
          </cell>
          <cell r="BX449">
            <v>5.3360539373085007</v>
          </cell>
          <cell r="BY449">
            <v>8.7590010980220026</v>
          </cell>
        </row>
        <row r="450">
          <cell r="B450" t="str">
            <v>BASE</v>
          </cell>
          <cell r="AM450">
            <v>2.7</v>
          </cell>
          <cell r="AN450">
            <v>4.8</v>
          </cell>
          <cell r="AO450">
            <v>3.3</v>
          </cell>
          <cell r="AP450">
            <v>3.9</v>
          </cell>
          <cell r="AR450">
            <v>4.7</v>
          </cell>
          <cell r="AS450">
            <v>4.9000000000000004</v>
          </cell>
          <cell r="AT450">
            <v>3</v>
          </cell>
          <cell r="AU450">
            <v>5</v>
          </cell>
          <cell r="AW450">
            <v>4.5</v>
          </cell>
          <cell r="AX450">
            <v>4.5999999999999996</v>
          </cell>
          <cell r="AY450">
            <v>3.3</v>
          </cell>
          <cell r="AZ450">
            <v>4.1999999999999993</v>
          </cell>
          <cell r="BB450">
            <v>5.2560000000000002</v>
          </cell>
          <cell r="BC450">
            <v>4.4809999999999999</v>
          </cell>
          <cell r="BD450">
            <v>3.8769999999999998</v>
          </cell>
          <cell r="BE450">
            <v>6.3639999999999999</v>
          </cell>
          <cell r="BG450">
            <v>4.1210000000000004</v>
          </cell>
          <cell r="BH450">
            <v>4.79467</v>
          </cell>
          <cell r="BI450">
            <v>4.14839</v>
          </cell>
          <cell r="BJ450">
            <v>6.8094800000000006</v>
          </cell>
          <cell r="BL450">
            <v>4.4094700000000007</v>
          </cell>
          <cell r="BM450">
            <v>5.1302969000000003</v>
          </cell>
          <cell r="BN450">
            <v>4.4387772999999999</v>
          </cell>
          <cell r="BO450">
            <v>7.2861436000000008</v>
          </cell>
          <cell r="BQ450">
            <v>4.7181329000000014</v>
          </cell>
          <cell r="BR450">
            <v>5.489417683000001</v>
          </cell>
          <cell r="BS450">
            <v>4.7494917110000001</v>
          </cell>
          <cell r="BT450">
            <v>7.7961736520000011</v>
          </cell>
          <cell r="BV450">
            <v>5.048402203000002</v>
          </cell>
          <cell r="BW450">
            <v>5.8736769208100013</v>
          </cell>
          <cell r="BX450">
            <v>5.0819561307700001</v>
          </cell>
          <cell r="BY450">
            <v>8.3419058076400017</v>
          </cell>
        </row>
        <row r="451">
          <cell r="B451" t="str">
            <v>BEAR</v>
          </cell>
          <cell r="BE451">
            <v>3.5952000000000002</v>
          </cell>
          <cell r="BG451">
            <v>4.4991360000000009</v>
          </cell>
          <cell r="BH451">
            <v>3.8357360000000003</v>
          </cell>
          <cell r="BI451">
            <v>3.3187120000000001</v>
          </cell>
          <cell r="BJ451">
            <v>5.4475840000000009</v>
          </cell>
          <cell r="BL451">
            <v>3.5275760000000007</v>
          </cell>
          <cell r="BM451">
            <v>4.1042375200000007</v>
          </cell>
          <cell r="BN451">
            <v>3.5510218400000002</v>
          </cell>
          <cell r="BO451">
            <v>5.828914880000001</v>
          </cell>
          <cell r="BQ451">
            <v>3.7745063200000013</v>
          </cell>
          <cell r="BR451">
            <v>4.3915341464000006</v>
          </cell>
          <cell r="BS451">
            <v>3.7995933688000001</v>
          </cell>
          <cell r="BT451">
            <v>6.2369389216000011</v>
          </cell>
          <cell r="BV451">
            <v>4.0387217624000016</v>
          </cell>
          <cell r="BW451">
            <v>4.6989415366480012</v>
          </cell>
          <cell r="BX451">
            <v>4.0655649046160001</v>
          </cell>
          <cell r="BY451">
            <v>6.6735246461120017</v>
          </cell>
        </row>
        <row r="459">
          <cell r="B459" t="str">
            <v>Quarterly cancellations</v>
          </cell>
          <cell r="AM459">
            <v>-1.2000000000000002</v>
          </cell>
          <cell r="AN459">
            <v>-1.5</v>
          </cell>
          <cell r="AO459">
            <v>-0.5</v>
          </cell>
          <cell r="AP459">
            <v>-2.4</v>
          </cell>
          <cell r="AQ459">
            <v>-2.4</v>
          </cell>
          <cell r="AR459">
            <v>-1.2148750000000001</v>
          </cell>
          <cell r="AS459">
            <v>-1.9404500000000002</v>
          </cell>
          <cell r="AT459">
            <v>-0.97337500000000021</v>
          </cell>
          <cell r="AU459">
            <v>-2.8623000000000003</v>
          </cell>
          <cell r="AV459">
            <v>-2.8623000000000003</v>
          </cell>
          <cell r="AW459">
            <v>-1.8175000000000006</v>
          </cell>
          <cell r="AX459">
            <v>-1.8471500000000005</v>
          </cell>
          <cell r="AY459">
            <v>-2.1718999999999995</v>
          </cell>
          <cell r="AZ459">
            <v>-3.1695000000000002</v>
          </cell>
          <cell r="BA459">
            <v>-3.1695000000000002</v>
          </cell>
          <cell r="BB459">
            <v>-1.6160000000000001</v>
          </cell>
          <cell r="BC459">
            <v>-2.2429999999999999</v>
          </cell>
          <cell r="BD459">
            <v>-1.903</v>
          </cell>
          <cell r="BE459">
            <v>-2.5259999999999998</v>
          </cell>
          <cell r="BF459">
            <v>-8.2880000000000003</v>
          </cell>
          <cell r="BG459">
            <v>-1.6830000000000001</v>
          </cell>
          <cell r="BH459">
            <v>-2.2679054999999995</v>
          </cell>
          <cell r="BI459">
            <v>-1.9156094999999993</v>
          </cell>
          <cell r="BJ459">
            <v>-2.5761645</v>
          </cell>
          <cell r="BK459">
            <v>-8.4426794999999988</v>
          </cell>
          <cell r="BL459">
            <v>-1.9044053494999991</v>
          </cell>
          <cell r="BM459">
            <v>-2.5809704078749998</v>
          </cell>
          <cell r="BN459">
            <v>-2.1800429658749994</v>
          </cell>
          <cell r="BO459">
            <v>-2.9317819196250001</v>
          </cell>
          <cell r="BP459">
            <v>-9.5972006428749985</v>
          </cell>
          <cell r="BQ459">
            <v>-2.1260876054853743</v>
          </cell>
          <cell r="BR459">
            <v>-2.8814082021709688</v>
          </cell>
          <cell r="BS459">
            <v>-2.4338108115424681</v>
          </cell>
          <cell r="BT459">
            <v>-3.2730559189709068</v>
          </cell>
          <cell r="BU459">
            <v>-10.714362538169718</v>
          </cell>
          <cell r="BV459">
            <v>-2.3548258202341494</v>
          </cell>
          <cell r="BW459">
            <v>-3.191408677422598</v>
          </cell>
          <cell r="BX459">
            <v>-2.6956558731627767</v>
          </cell>
          <cell r="BY459">
            <v>-3.625192381149942</v>
          </cell>
          <cell r="BZ459">
            <v>-11.867082751969466</v>
          </cell>
        </row>
        <row r="460">
          <cell r="B460" t="str">
            <v>Cancellation rate (as % of beginning of year run rate)</v>
          </cell>
          <cell r="AQ460">
            <v>9.4750000000000112E-2</v>
          </cell>
          <cell r="AR460">
            <v>7.5999999999999956E-2</v>
          </cell>
          <cell r="AS460">
            <v>0.11499999999999999</v>
          </cell>
          <cell r="AT460">
            <v>5.7000000000000051E-2</v>
          </cell>
          <cell r="AU460">
            <v>0.16100000000000003</v>
          </cell>
          <cell r="AV460">
            <v>0.10224999999999995</v>
          </cell>
          <cell r="AW460">
            <v>9.2999999999999972E-2</v>
          </cell>
          <cell r="AX460">
            <v>9.2999999999999972E-2</v>
          </cell>
          <cell r="AY460">
            <v>0.10899999999999999</v>
          </cell>
          <cell r="AZ460">
            <v>0.16100000000000003</v>
          </cell>
          <cell r="BA460">
            <v>0.11399999999999999</v>
          </cell>
          <cell r="BB460">
            <v>7.7999999999999958E-2</v>
          </cell>
          <cell r="BC460">
            <v>0.10799999999999998</v>
          </cell>
          <cell r="BD460">
            <v>9.1999999999999971E-2</v>
          </cell>
          <cell r="BE460">
            <v>0.122</v>
          </cell>
          <cell r="BF460">
            <v>9.9999999999999978E-2</v>
          </cell>
          <cell r="BG460">
            <v>7.5999999999999956E-2</v>
          </cell>
          <cell r="BH460">
            <v>0.10299999999999998</v>
          </cell>
          <cell r="BI460">
            <v>8.6999999999999966E-2</v>
          </cell>
          <cell r="BJ460">
            <v>0.11699999999999999</v>
          </cell>
          <cell r="BK460">
            <v>9.5750000000000002E-2</v>
          </cell>
          <cell r="BL460">
            <v>7.5999999999999956E-2</v>
          </cell>
          <cell r="BM460">
            <v>0.10299999999999998</v>
          </cell>
          <cell r="BN460">
            <v>8.6999999999999966E-2</v>
          </cell>
          <cell r="BO460">
            <v>0.11699999999999999</v>
          </cell>
          <cell r="BP460">
            <v>9.5750000000000002E-2</v>
          </cell>
          <cell r="BQ460">
            <v>7.5999999999999956E-2</v>
          </cell>
          <cell r="BR460">
            <v>0.10299999999999998</v>
          </cell>
          <cell r="BS460">
            <v>8.6999999999999966E-2</v>
          </cell>
          <cell r="BT460">
            <v>0.11699999999999999</v>
          </cell>
          <cell r="BU460">
            <v>9.5750000000000002E-2</v>
          </cell>
          <cell r="BV460">
            <v>7.5999999999999956E-2</v>
          </cell>
          <cell r="BW460">
            <v>0.10299999999999998</v>
          </cell>
          <cell r="BX460">
            <v>8.6999999999999966E-2</v>
          </cell>
          <cell r="BY460">
            <v>0.11699999999999999</v>
          </cell>
          <cell r="BZ460">
            <v>9.5750000000000002E-2</v>
          </cell>
        </row>
        <row r="461">
          <cell r="B461" t="str">
            <v>BULL - Retention rate</v>
          </cell>
          <cell r="BE461">
            <v>0.86899999999999999</v>
          </cell>
          <cell r="BF461">
            <v>0.86899999999999999</v>
          </cell>
          <cell r="BG461">
            <v>0.94200000000000006</v>
          </cell>
          <cell r="BH461">
            <v>0.91200000000000003</v>
          </cell>
          <cell r="BI461">
            <v>0.93800000000000006</v>
          </cell>
          <cell r="BJ461">
            <v>0.90800000000000003</v>
          </cell>
          <cell r="BK461">
            <v>0.91933333333333334</v>
          </cell>
          <cell r="BL461">
            <v>0.93900000000000006</v>
          </cell>
          <cell r="BM461">
            <v>0.91200000000000003</v>
          </cell>
          <cell r="BN461">
            <v>0.93800000000000006</v>
          </cell>
          <cell r="BO461">
            <v>0.90800000000000003</v>
          </cell>
          <cell r="BP461">
            <v>0.92425000000000002</v>
          </cell>
          <cell r="BQ461">
            <v>0.93900000000000006</v>
          </cell>
          <cell r="BR461">
            <v>0.91200000000000003</v>
          </cell>
          <cell r="BS461">
            <v>0.93800000000000006</v>
          </cell>
          <cell r="BT461">
            <v>0.90800000000000003</v>
          </cell>
          <cell r="BU461">
            <v>0.92425000000000002</v>
          </cell>
          <cell r="BV461">
            <v>0.93900000000000006</v>
          </cell>
          <cell r="BW461">
            <v>0.91200000000000003</v>
          </cell>
          <cell r="BX461">
            <v>0.93800000000000006</v>
          </cell>
          <cell r="BY461">
            <v>0.90800000000000003</v>
          </cell>
          <cell r="BZ461">
            <v>0.92425000000000002</v>
          </cell>
        </row>
        <row r="462">
          <cell r="B462" t="str">
            <v>BASE - Retention rate</v>
          </cell>
          <cell r="AM462">
            <v>0.92</v>
          </cell>
          <cell r="AN462">
            <v>0.90200000000000002</v>
          </cell>
          <cell r="AO462">
            <v>0.96199999999999997</v>
          </cell>
          <cell r="AP462">
            <v>0.83699999999999997</v>
          </cell>
          <cell r="AQ462">
            <v>0.90524999999999989</v>
          </cell>
          <cell r="AR462">
            <v>0.92400000000000004</v>
          </cell>
          <cell r="AS462">
            <v>0.88500000000000001</v>
          </cell>
          <cell r="AT462">
            <v>0.94299999999999995</v>
          </cell>
          <cell r="AU462">
            <v>0.83899999999999997</v>
          </cell>
          <cell r="AV462">
            <v>0.89775000000000005</v>
          </cell>
          <cell r="AW462">
            <v>0.90700000000000003</v>
          </cell>
          <cell r="AX462">
            <v>0.90700000000000003</v>
          </cell>
          <cell r="AY462">
            <v>0.89100000000000001</v>
          </cell>
          <cell r="AZ462">
            <v>0.83899999999999997</v>
          </cell>
          <cell r="BA462">
            <v>0.88600000000000001</v>
          </cell>
          <cell r="BB462">
            <v>0.92200000000000004</v>
          </cell>
          <cell r="BC462">
            <v>0.89200000000000002</v>
          </cell>
          <cell r="BD462">
            <v>0.90800000000000003</v>
          </cell>
          <cell r="BE462">
            <v>0.878</v>
          </cell>
          <cell r="BF462">
            <v>0.9</v>
          </cell>
          <cell r="BG462">
            <v>0.92400000000000004</v>
          </cell>
          <cell r="BH462">
            <v>0.89700000000000002</v>
          </cell>
          <cell r="BI462">
            <v>0.91300000000000003</v>
          </cell>
          <cell r="BJ462">
            <v>0.88300000000000001</v>
          </cell>
          <cell r="BK462">
            <v>0.90425</v>
          </cell>
          <cell r="BL462">
            <v>0.92400000000000004</v>
          </cell>
          <cell r="BM462">
            <v>0.89700000000000002</v>
          </cell>
          <cell r="BN462">
            <v>0.91300000000000003</v>
          </cell>
          <cell r="BO462">
            <v>0.88300000000000001</v>
          </cell>
          <cell r="BP462">
            <v>0.90425</v>
          </cell>
          <cell r="BQ462">
            <v>0.92400000000000004</v>
          </cell>
          <cell r="BR462">
            <v>0.89700000000000002</v>
          </cell>
          <cell r="BS462">
            <v>0.91300000000000003</v>
          </cell>
          <cell r="BT462">
            <v>0.88300000000000001</v>
          </cell>
          <cell r="BU462">
            <v>0.90425</v>
          </cell>
          <cell r="BV462">
            <v>0.92400000000000004</v>
          </cell>
          <cell r="BW462">
            <v>0.89700000000000002</v>
          </cell>
          <cell r="BX462">
            <v>0.91300000000000003</v>
          </cell>
          <cell r="BY462">
            <v>0.88300000000000001</v>
          </cell>
          <cell r="BZ462">
            <v>0.90425</v>
          </cell>
        </row>
        <row r="463">
          <cell r="B463" t="str">
            <v>BEAR - Retention rate</v>
          </cell>
          <cell r="BE463">
            <v>0.80399999999999994</v>
          </cell>
          <cell r="BF463">
            <v>0.80399999999999994</v>
          </cell>
          <cell r="BG463">
            <v>0.88700000000000001</v>
          </cell>
          <cell r="BH463">
            <v>0.85699999999999998</v>
          </cell>
          <cell r="BI463">
            <v>0.873</v>
          </cell>
          <cell r="BJ463">
            <v>0.84299999999999997</v>
          </cell>
          <cell r="BK463">
            <v>0.85766666666666669</v>
          </cell>
          <cell r="BL463">
            <v>0.88400000000000001</v>
          </cell>
          <cell r="BM463">
            <v>0.85699999999999998</v>
          </cell>
          <cell r="BN463">
            <v>0.873</v>
          </cell>
          <cell r="BO463">
            <v>0.84299999999999997</v>
          </cell>
          <cell r="BP463">
            <v>0.86424999999999996</v>
          </cell>
          <cell r="BQ463">
            <v>0.88400000000000001</v>
          </cell>
          <cell r="BR463">
            <v>0.85699999999999998</v>
          </cell>
          <cell r="BS463">
            <v>0.873</v>
          </cell>
          <cell r="BT463">
            <v>0.84299999999999997</v>
          </cell>
          <cell r="BU463">
            <v>0.86424999999999996</v>
          </cell>
          <cell r="BV463">
            <v>0.88400000000000001</v>
          </cell>
          <cell r="BW463">
            <v>0.85699999999999998</v>
          </cell>
          <cell r="BX463">
            <v>0.873</v>
          </cell>
          <cell r="BY463">
            <v>0.84299999999999997</v>
          </cell>
          <cell r="BZ463">
            <v>0.86424999999999996</v>
          </cell>
        </row>
        <row r="464">
          <cell r="B464" t="str">
            <v>Cancellation rate (as % of beginning of qtr run rate)</v>
          </cell>
          <cell r="AR464">
            <v>7.3185240963855425E-2</v>
          </cell>
          <cell r="AS464">
            <v>0.11104148783977111</v>
          </cell>
          <cell r="AT464">
            <v>5.3044959128065401E-2</v>
          </cell>
          <cell r="AU464">
            <v>0.14419647355163728</v>
          </cell>
          <cell r="AV464">
            <v>4.3106927710843373E-2</v>
          </cell>
          <cell r="AW464">
            <v>9.1792929292929315E-2</v>
          </cell>
          <cell r="AX464">
            <v>9.4604353393085816E-2</v>
          </cell>
          <cell r="AY464">
            <v>0.10454392298435618</v>
          </cell>
          <cell r="AZ464">
            <v>0.15311594202898551</v>
          </cell>
          <cell r="BA464">
            <v>4.0018939393939398E-2</v>
          </cell>
          <cell r="BB464">
            <v>7.8162031438935922E-2</v>
          </cell>
          <cell r="BC464">
            <v>0.10313829175767329</v>
          </cell>
          <cell r="BD464">
            <v>8.7570751461046425E-2</v>
          </cell>
          <cell r="BE464">
            <v>0.11648873619405566</v>
          </cell>
          <cell r="BF464">
            <v>0.10021765417170497</v>
          </cell>
          <cell r="BG464">
            <v>7.6435724504394037E-2</v>
          </cell>
          <cell r="BH464">
            <v>9.9427021339558719E-2</v>
          </cell>
          <cell r="BI464">
            <v>8.171893058046785E-2</v>
          </cell>
          <cell r="BJ464">
            <v>0.10734181439937449</v>
          </cell>
          <cell r="BK464">
            <v>9.5858931126098501E-2</v>
          </cell>
          <cell r="BL464">
            <v>7.5999999999999956E-2</v>
          </cell>
          <cell r="BM464">
            <v>0.10048852071810087</v>
          </cell>
          <cell r="BN464">
            <v>8.2823462013815727E-2</v>
          </cell>
          <cell r="BO464">
            <v>0.10904392772932502</v>
          </cell>
          <cell r="BP464">
            <v>9.5749999999999974E-2</v>
          </cell>
          <cell r="BQ464">
            <v>7.5999999999999956E-2</v>
          </cell>
          <cell r="BR464">
            <v>0.10066811584301556</v>
          </cell>
          <cell r="BS464">
            <v>8.313657494353309E-2</v>
          </cell>
          <cell r="BT464">
            <v>0.1096362646207136</v>
          </cell>
          <cell r="BU464">
            <v>9.5749999999999974E-2</v>
          </cell>
          <cell r="BV464">
            <v>7.5999999999999956E-2</v>
          </cell>
          <cell r="BW464">
            <v>0.10080909363339369</v>
          </cell>
          <cell r="BX464">
            <v>8.3383235247371928E-2</v>
          </cell>
          <cell r="BY464">
            <v>0.11010426297776299</v>
          </cell>
          <cell r="BZ464">
            <v>9.5749999999999974E-2</v>
          </cell>
        </row>
        <row r="472">
          <cell r="B472" t="str">
            <v>Subtotal</v>
          </cell>
          <cell r="AR472">
            <v>15.984375</v>
          </cell>
          <cell r="AS472">
            <v>16.715625000000003</v>
          </cell>
          <cell r="AT472">
            <v>17.368750000000002</v>
          </cell>
          <cell r="AU472">
            <v>18.03125</v>
          </cell>
          <cell r="AV472">
            <v>68.100000000000009</v>
          </cell>
          <cell r="AW472">
            <v>19.125</v>
          </cell>
          <cell r="AX472">
            <v>19.684374999999999</v>
          </cell>
          <cell r="AY472">
            <v>20.162500000000001</v>
          </cell>
          <cell r="AZ472">
            <v>20.065624999999997</v>
          </cell>
          <cell r="BA472">
            <v>79.037499999999994</v>
          </cell>
          <cell r="BB472">
            <v>20.696562499999999</v>
          </cell>
          <cell r="BC472">
            <v>21.093874999999997</v>
          </cell>
          <cell r="BD472">
            <v>21.336437500000002</v>
          </cell>
          <cell r="BE472">
            <v>21.627437499999996</v>
          </cell>
          <cell r="BF472">
            <v>84.754312499999997</v>
          </cell>
          <cell r="BG472">
            <v>21.928156250000001</v>
          </cell>
          <cell r="BH472">
            <v>22.274742640625004</v>
          </cell>
          <cell r="BI472">
            <v>22.777939812500001</v>
          </cell>
          <cell r="BJ472">
            <v>23.447264984375003</v>
          </cell>
          <cell r="BK472">
            <v>90.428103687500027</v>
          </cell>
          <cell r="BL472">
            <v>24.186508285953128</v>
          </cell>
          <cell r="BM472">
            <v>24.905833670113282</v>
          </cell>
          <cell r="BN472">
            <v>25.626675173843751</v>
          </cell>
          <cell r="BO472">
            <v>26.352110428027345</v>
          </cell>
          <cell r="BP472">
            <v>101.0711275579375</v>
          </cell>
          <cell r="BQ472">
            <v>27.08404652047312</v>
          </cell>
          <cell r="BR472">
            <v>27.820534601441341</v>
          </cell>
          <cell r="BS472">
            <v>28.560636105973213</v>
          </cell>
          <cell r="BT472">
            <v>29.307790817317166</v>
          </cell>
          <cell r="BU472">
            <v>112.77300804520485</v>
          </cell>
          <cell r="BV472">
            <v>30.06339200181441</v>
          </cell>
          <cell r="BW472">
            <v>30.824486619149454</v>
          </cell>
          <cell r="BX472">
            <v>31.590108677756625</v>
          </cell>
          <cell r="BY472">
            <v>32.363987456726626</v>
          </cell>
          <cell r="BZ472">
            <v>124.8419747554471</v>
          </cell>
        </row>
        <row r="473">
          <cell r="B473" t="str">
            <v>Adjustments (FX, Other)</v>
          </cell>
          <cell r="AM473">
            <v>12.5</v>
          </cell>
          <cell r="AN473">
            <v>19.7</v>
          </cell>
          <cell r="AO473">
            <v>16.2</v>
          </cell>
          <cell r="AP473">
            <v>14.3</v>
          </cell>
          <cell r="AQ473">
            <v>62.7</v>
          </cell>
          <cell r="AR473">
            <v>1.6156250000000014</v>
          </cell>
          <cell r="AS473">
            <v>6.1843749999999957</v>
          </cell>
          <cell r="AT473">
            <v>-1.0687500000000014</v>
          </cell>
          <cell r="AU473">
            <v>-3.53125</v>
          </cell>
          <cell r="AV473">
            <v>3.1999999999999957</v>
          </cell>
          <cell r="AW473">
            <v>2.6750000000000007</v>
          </cell>
          <cell r="AX473">
            <v>2.015625</v>
          </cell>
          <cell r="AY473">
            <v>-2.5625</v>
          </cell>
          <cell r="AZ473">
            <v>-3.4246249999999989</v>
          </cell>
          <cell r="BA473">
            <v>-1.2964999999999982</v>
          </cell>
          <cell r="BB473">
            <v>2.3664375</v>
          </cell>
          <cell r="BC473">
            <v>4.0471250000000012</v>
          </cell>
          <cell r="BD473">
            <v>-3.0074375000000018</v>
          </cell>
          <cell r="BE473">
            <v>-3.7034374999999962</v>
          </cell>
          <cell r="BF473">
            <v>-0.29731249999999676</v>
          </cell>
          <cell r="BG473">
            <v>2.7238437500000003</v>
          </cell>
          <cell r="BH473">
            <v>4.0471250000000012</v>
          </cell>
          <cell r="BI473">
            <v>-3.0074375000000018</v>
          </cell>
          <cell r="BJ473">
            <v>-3.7034374999999962</v>
          </cell>
          <cell r="BK473">
            <v>6.009375000000361E-2</v>
          </cell>
          <cell r="BL473">
            <v>2.7238437500000003</v>
          </cell>
          <cell r="BM473">
            <v>4.0471250000000012</v>
          </cell>
          <cell r="BN473">
            <v>-3.0074375000000018</v>
          </cell>
          <cell r="BO473">
            <v>-3.7034374999999962</v>
          </cell>
          <cell r="BP473">
            <v>6.009375000000361E-2</v>
          </cell>
          <cell r="BQ473">
            <v>2.7238437500000003</v>
          </cell>
          <cell r="BR473">
            <v>4.0471250000000012</v>
          </cell>
          <cell r="BS473">
            <v>-3.0074375000000018</v>
          </cell>
          <cell r="BT473">
            <v>-3.7034374999999962</v>
          </cell>
          <cell r="BU473">
            <v>6.009375000000361E-2</v>
          </cell>
          <cell r="BV473">
            <v>2.7238437500000003</v>
          </cell>
          <cell r="BW473">
            <v>4.0471250000000012</v>
          </cell>
          <cell r="BX473">
            <v>-3.0074375000000018</v>
          </cell>
          <cell r="BY473">
            <v>-3.7034374999999962</v>
          </cell>
          <cell r="BZ473">
            <v>6.009375000000361E-2</v>
          </cell>
        </row>
        <row r="474">
          <cell r="B474" t="str">
            <v>All Other recurring</v>
          </cell>
          <cell r="AM474">
            <v>12.5</v>
          </cell>
          <cell r="AN474">
            <v>19.7</v>
          </cell>
          <cell r="AO474">
            <v>16.2</v>
          </cell>
          <cell r="AP474">
            <v>14.3</v>
          </cell>
          <cell r="AQ474">
            <v>62.7</v>
          </cell>
          <cell r="AR474">
            <v>17.600000000000001</v>
          </cell>
          <cell r="AS474">
            <v>22.9</v>
          </cell>
          <cell r="AT474">
            <v>16.3</v>
          </cell>
          <cell r="AU474">
            <v>14.5</v>
          </cell>
          <cell r="AV474">
            <v>71.3</v>
          </cell>
          <cell r="AW474">
            <v>21.8</v>
          </cell>
          <cell r="AX474">
            <v>21.7</v>
          </cell>
          <cell r="AY474">
            <v>17.600000000000001</v>
          </cell>
          <cell r="AZ474">
            <v>16.640999999999998</v>
          </cell>
          <cell r="BA474">
            <v>77.741</v>
          </cell>
          <cell r="BB474">
            <v>23.062999999999999</v>
          </cell>
          <cell r="BC474">
            <v>25.140999999999998</v>
          </cell>
          <cell r="BD474">
            <v>18.329000000000001</v>
          </cell>
          <cell r="BE474">
            <v>17.923999999999999</v>
          </cell>
          <cell r="BF474">
            <v>84.456999999999994</v>
          </cell>
          <cell r="BG474">
            <v>24.652000000000001</v>
          </cell>
          <cell r="BH474">
            <v>26.321867640625005</v>
          </cell>
          <cell r="BI474">
            <v>19.7705023125</v>
          </cell>
          <cell r="BJ474">
            <v>19.743827484375007</v>
          </cell>
          <cell r="BK474">
            <v>90.488197437500006</v>
          </cell>
          <cell r="BL474">
            <v>26.910352035953128</v>
          </cell>
          <cell r="BM474">
            <v>28.952958670113283</v>
          </cell>
          <cell r="BN474">
            <v>22.619237673843749</v>
          </cell>
          <cell r="BO474">
            <v>22.648672928027349</v>
          </cell>
          <cell r="BP474">
            <v>101.13122130793751</v>
          </cell>
          <cell r="BQ474">
            <v>29.80789027047312</v>
          </cell>
          <cell r="BR474">
            <v>31.867659601441343</v>
          </cell>
          <cell r="BS474">
            <v>25.553198605973211</v>
          </cell>
          <cell r="BT474">
            <v>25.60435331731717</v>
          </cell>
          <cell r="BU474">
            <v>112.83310179520484</v>
          </cell>
          <cell r="BV474">
            <v>32.787235751814407</v>
          </cell>
          <cell r="BW474">
            <v>34.871611619149455</v>
          </cell>
          <cell r="BX474">
            <v>28.582671177756623</v>
          </cell>
          <cell r="BY474">
            <v>28.66054995672663</v>
          </cell>
          <cell r="BZ474">
            <v>124.9020685054471</v>
          </cell>
          <cell r="CB474">
            <v>8.1401072610023162E-2</v>
          </cell>
        </row>
        <row r="476">
          <cell r="B476" t="str">
            <v>All Other non-recurring revenue</v>
          </cell>
          <cell r="AM476">
            <v>0.60000000000000009</v>
          </cell>
          <cell r="AN476">
            <v>2.5</v>
          </cell>
          <cell r="AO476">
            <v>0.7</v>
          </cell>
          <cell r="AP476">
            <v>1.3</v>
          </cell>
          <cell r="AQ476">
            <v>5.0999999999999996</v>
          </cell>
          <cell r="AR476">
            <v>1.5</v>
          </cell>
          <cell r="AS476">
            <v>1.9000000000000001</v>
          </cell>
          <cell r="AT476">
            <v>2.2000000000000002</v>
          </cell>
          <cell r="AU476">
            <v>1.7000000000000002</v>
          </cell>
          <cell r="AV476">
            <v>7.3000000000000007</v>
          </cell>
          <cell r="AW476">
            <v>0.6</v>
          </cell>
          <cell r="AX476">
            <v>1.2000000000000002</v>
          </cell>
          <cell r="AY476">
            <v>1.3</v>
          </cell>
          <cell r="AZ476">
            <v>1.8819999999999999</v>
          </cell>
          <cell r="BA476">
            <v>4.9820000000000002</v>
          </cell>
          <cell r="BB476">
            <v>0.88900000000000001</v>
          </cell>
          <cell r="BC476">
            <v>0.94499999999999995</v>
          </cell>
          <cell r="BD476">
            <v>1.0620000000000001</v>
          </cell>
          <cell r="BE476">
            <v>1.4119999999999999</v>
          </cell>
          <cell r="BF476">
            <v>4.3079999999999998</v>
          </cell>
          <cell r="BG476">
            <v>0.7</v>
          </cell>
          <cell r="BH476">
            <v>0.94499999999999995</v>
          </cell>
          <cell r="BI476">
            <v>1.0620000000000001</v>
          </cell>
          <cell r="BJ476">
            <v>1.4119999999999999</v>
          </cell>
          <cell r="BK476">
            <v>4.1189999999999998</v>
          </cell>
          <cell r="BL476">
            <v>1.4119999999999999</v>
          </cell>
          <cell r="BM476">
            <v>1.4119999999999999</v>
          </cell>
          <cell r="BN476">
            <v>1.4119999999999999</v>
          </cell>
          <cell r="BO476">
            <v>1.4119999999999999</v>
          </cell>
          <cell r="BP476">
            <v>5.6479999999999997</v>
          </cell>
          <cell r="BQ476">
            <v>1.4119999999999999</v>
          </cell>
          <cell r="BR476">
            <v>1.4119999999999999</v>
          </cell>
          <cell r="BS476">
            <v>1.4119999999999999</v>
          </cell>
          <cell r="BT476">
            <v>1.4119999999999999</v>
          </cell>
          <cell r="BU476">
            <v>5.6479999999999997</v>
          </cell>
          <cell r="BV476">
            <v>1.4119999999999999</v>
          </cell>
          <cell r="BW476">
            <v>1.4119999999999999</v>
          </cell>
          <cell r="BX476">
            <v>1.4119999999999999</v>
          </cell>
          <cell r="BY476">
            <v>1.4119999999999999</v>
          </cell>
          <cell r="BZ476">
            <v>5.6479999999999997</v>
          </cell>
          <cell r="CB476">
            <v>5.5659350173518085E-2</v>
          </cell>
        </row>
        <row r="478">
          <cell r="B478" t="str">
            <v>All Other revenue</v>
          </cell>
          <cell r="D478">
            <v>0</v>
          </cell>
          <cell r="E478">
            <v>0</v>
          </cell>
          <cell r="F478">
            <v>0</v>
          </cell>
          <cell r="G478">
            <v>0</v>
          </cell>
          <cell r="I478">
            <v>0</v>
          </cell>
          <cell r="J478">
            <v>0</v>
          </cell>
          <cell r="K478">
            <v>0</v>
          </cell>
          <cell r="L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13.1</v>
          </cell>
          <cell r="AN478">
            <v>22.2</v>
          </cell>
          <cell r="AO478">
            <v>16.899999999999999</v>
          </cell>
          <cell r="AP478">
            <v>15.600000000000001</v>
          </cell>
          <cell r="AQ478">
            <v>67.8</v>
          </cell>
          <cell r="AR478">
            <v>19.100000000000001</v>
          </cell>
          <cell r="AS478">
            <v>24.799999999999997</v>
          </cell>
          <cell r="AT478">
            <v>18.5</v>
          </cell>
          <cell r="AU478">
            <v>16.2</v>
          </cell>
          <cell r="AV478">
            <v>78.599999999999994</v>
          </cell>
          <cell r="AW478">
            <v>22.400000000000002</v>
          </cell>
          <cell r="AX478">
            <v>22.9</v>
          </cell>
          <cell r="AY478">
            <v>18.900000000000002</v>
          </cell>
          <cell r="AZ478">
            <v>18.523</v>
          </cell>
          <cell r="BA478">
            <v>82.722999999999999</v>
          </cell>
          <cell r="BB478">
            <v>23.951999999999998</v>
          </cell>
          <cell r="BC478">
            <v>26.085999999999999</v>
          </cell>
          <cell r="BD478">
            <v>19.391000000000002</v>
          </cell>
          <cell r="BE478">
            <v>19.335999999999999</v>
          </cell>
          <cell r="BF478">
            <v>88.764999999999986</v>
          </cell>
          <cell r="BG478">
            <v>25.352</v>
          </cell>
          <cell r="BH478">
            <v>27.266867640625005</v>
          </cell>
          <cell r="BI478">
            <v>20.832502312500001</v>
          </cell>
          <cell r="BJ478">
            <v>21.155827484375006</v>
          </cell>
          <cell r="BK478">
            <v>94.607197437500005</v>
          </cell>
          <cell r="BL478">
            <v>28.322352035953127</v>
          </cell>
          <cell r="BM478">
            <v>30.364958670113282</v>
          </cell>
          <cell r="BN478">
            <v>24.031237673843748</v>
          </cell>
          <cell r="BO478">
            <v>24.060672928027348</v>
          </cell>
          <cell r="BP478">
            <v>106.7792213079375</v>
          </cell>
          <cell r="BQ478">
            <v>31.219890270473119</v>
          </cell>
          <cell r="BR478">
            <v>33.279659601441345</v>
          </cell>
          <cell r="BS478">
            <v>26.96519860597321</v>
          </cell>
          <cell r="BT478">
            <v>27.016353317317169</v>
          </cell>
          <cell r="BU478">
            <v>118.48110179520484</v>
          </cell>
          <cell r="BV478">
            <v>34.199235751814406</v>
          </cell>
          <cell r="BW478">
            <v>36.283611619149454</v>
          </cell>
          <cell r="BX478">
            <v>29.994671177756622</v>
          </cell>
          <cell r="BY478">
            <v>30.072549956726629</v>
          </cell>
          <cell r="BZ478">
            <v>130.55006850544711</v>
          </cell>
          <cell r="CB478">
            <v>8.020720406099735E-2</v>
          </cell>
        </row>
        <row r="479">
          <cell r="B479" t="str">
            <v>y/y change</v>
          </cell>
          <cell r="AR479">
            <v>0.45801526717557262</v>
          </cell>
          <cell r="AS479">
            <v>0.11711711711711703</v>
          </cell>
          <cell r="AT479">
            <v>9.4674556213017791E-2</v>
          </cell>
          <cell r="AU479">
            <v>3.8461538461538325E-2</v>
          </cell>
          <cell r="AV479">
            <v>0.15929203539823011</v>
          </cell>
          <cell r="AW479">
            <v>0.17277486910994777</v>
          </cell>
          <cell r="AX479">
            <v>-7.6612903225806384E-2</v>
          </cell>
          <cell r="AY479">
            <v>2.1621621621621845E-2</v>
          </cell>
          <cell r="AZ479">
            <v>0.143395061728395</v>
          </cell>
          <cell r="BA479">
            <v>5.2455470737913457E-2</v>
          </cell>
          <cell r="BB479">
            <v>6.9285714285714173E-2</v>
          </cell>
          <cell r="BC479">
            <v>0.13912663755458521</v>
          </cell>
          <cell r="BD479">
            <v>2.597883597883599E-2</v>
          </cell>
          <cell r="BE479">
            <v>4.3891378286454508E-2</v>
          </cell>
          <cell r="BF479">
            <v>7.3038937175875951E-2</v>
          </cell>
          <cell r="BG479">
            <v>5.8450233800935392E-2</v>
          </cell>
          <cell r="BH479">
            <v>4.5268252726558655E-2</v>
          </cell>
          <cell r="BI479">
            <v>7.4338729952039495E-2</v>
          </cell>
          <cell r="BJ479">
            <v>9.4116026291632515E-2</v>
          </cell>
          <cell r="BK479">
            <v>6.5816452853039165E-2</v>
          </cell>
          <cell r="BL479">
            <v>0.11716440659329153</v>
          </cell>
          <cell r="BM479">
            <v>0.11362108293188844</v>
          </cell>
          <cell r="BN479">
            <v>0.15354542211784272</v>
          </cell>
          <cell r="BO479">
            <v>0.13730710584578953</v>
          </cell>
          <cell r="BP479">
            <v>0.12865853973191266</v>
          </cell>
          <cell r="BQ479">
            <v>0.10230570649082327</v>
          </cell>
          <cell r="BR479">
            <v>9.5988964220025785E-2</v>
          </cell>
          <cell r="BS479">
            <v>0.12208946421943412</v>
          </cell>
          <cell r="BT479">
            <v>0.12284279820980659</v>
          </cell>
          <cell r="BU479">
            <v>0.10958949076356927</v>
          </cell>
          <cell r="BV479">
            <v>9.5431004258175411E-2</v>
          </cell>
          <cell r="BW479">
            <v>9.026390454961275E-2</v>
          </cell>
          <cell r="BX479">
            <v>0.11234749708508862</v>
          </cell>
          <cell r="BY479">
            <v>0.11312395139022979</v>
          </cell>
          <cell r="BZ479">
            <v>0.10186406547015014</v>
          </cell>
        </row>
        <row r="495">
          <cell r="B495" t="str">
            <v>All Other recurring</v>
          </cell>
          <cell r="AM495">
            <v>12.5</v>
          </cell>
          <cell r="AN495">
            <v>19.7</v>
          </cell>
          <cell r="AO495">
            <v>16.2</v>
          </cell>
          <cell r="AP495">
            <v>14.3</v>
          </cell>
          <cell r="AQ495">
            <v>62.7</v>
          </cell>
          <cell r="AR495">
            <v>17.600000000000001</v>
          </cell>
          <cell r="AS495">
            <v>22.9</v>
          </cell>
          <cell r="AT495">
            <v>16.3</v>
          </cell>
          <cell r="AU495">
            <v>14.5</v>
          </cell>
          <cell r="AV495">
            <v>71.3</v>
          </cell>
          <cell r="AW495">
            <v>21.8</v>
          </cell>
          <cell r="AX495">
            <v>21.7</v>
          </cell>
          <cell r="AY495">
            <v>17.600000000000001</v>
          </cell>
          <cell r="AZ495">
            <v>16.640999999999998</v>
          </cell>
          <cell r="BA495">
            <v>77.741</v>
          </cell>
          <cell r="BB495">
            <v>23.062999999999999</v>
          </cell>
          <cell r="BC495">
            <v>25.140999999999998</v>
          </cell>
          <cell r="BD495">
            <v>18.329000000000001</v>
          </cell>
          <cell r="BE495">
            <v>17.923999999999999</v>
          </cell>
          <cell r="BF495">
            <v>84.456999999999994</v>
          </cell>
          <cell r="BG495">
            <v>24.652000000000001</v>
          </cell>
          <cell r="BH495">
            <v>26.321867640625005</v>
          </cell>
          <cell r="BI495">
            <v>19.7705023125</v>
          </cell>
          <cell r="BJ495">
            <v>19.743827484375007</v>
          </cell>
          <cell r="BK495">
            <v>90.488197437500006</v>
          </cell>
          <cell r="BL495">
            <v>26.910352035953128</v>
          </cell>
          <cell r="BM495">
            <v>28.952958670113283</v>
          </cell>
          <cell r="BN495">
            <v>22.619237673843749</v>
          </cell>
          <cell r="BO495">
            <v>22.648672928027349</v>
          </cell>
          <cell r="BP495">
            <v>101.13122130793751</v>
          </cell>
          <cell r="BQ495">
            <v>29.80789027047312</v>
          </cell>
          <cell r="BR495">
            <v>31.867659601441343</v>
          </cell>
          <cell r="BS495">
            <v>25.553198605973211</v>
          </cell>
          <cell r="BT495">
            <v>25.60435331731717</v>
          </cell>
          <cell r="BU495">
            <v>112.83310179520484</v>
          </cell>
          <cell r="BV495">
            <v>32.787235751814407</v>
          </cell>
          <cell r="BW495">
            <v>34.871611619149455</v>
          </cell>
          <cell r="BX495">
            <v>28.582671177756623</v>
          </cell>
          <cell r="BY495">
            <v>28.66054995672663</v>
          </cell>
          <cell r="BZ495">
            <v>124.9020685054471</v>
          </cell>
          <cell r="CB495">
            <v>8.1401072610023162E-2</v>
          </cell>
        </row>
        <row r="496">
          <cell r="AR496">
            <v>0.40800000000000014</v>
          </cell>
          <cell r="AS496">
            <v>0.1624365482233503</v>
          </cell>
          <cell r="AT496">
            <v>6.1728395061728669E-3</v>
          </cell>
          <cell r="AU496">
            <v>1.3986013986013957E-2</v>
          </cell>
          <cell r="AV496">
            <v>0.13716108452950548</v>
          </cell>
          <cell r="AW496">
            <v>0.23863636363636354</v>
          </cell>
          <cell r="AX496">
            <v>-5.2401746724890841E-2</v>
          </cell>
          <cell r="AY496">
            <v>7.9754601226993849E-2</v>
          </cell>
          <cell r="AZ496">
            <v>0.14765517241379289</v>
          </cell>
          <cell r="BA496">
            <v>9.0336605890603217E-2</v>
          </cell>
          <cell r="BB496">
            <v>5.7935779816513655E-2</v>
          </cell>
          <cell r="BC496">
            <v>0.15857142857142859</v>
          </cell>
          <cell r="BD496">
            <v>4.1420454545454399E-2</v>
          </cell>
          <cell r="BE496">
            <v>7.7098732047353069E-2</v>
          </cell>
          <cell r="BF496">
            <v>8.6389421283492585E-2</v>
          </cell>
          <cell r="BG496">
            <v>6.8898235268612051E-2</v>
          </cell>
          <cell r="BH496">
            <v>4.6969795975697393E-2</v>
          </cell>
          <cell r="BI496">
            <v>7.8645987915325399E-2</v>
          </cell>
          <cell r="BJ496">
            <v>0.10153021001869056</v>
          </cell>
          <cell r="BK496">
            <v>7.1411457161632663E-2</v>
          </cell>
          <cell r="BL496">
            <v>9.1609282652650004E-2</v>
          </cell>
          <cell r="BM496">
            <v>9.9958371701082127E-2</v>
          </cell>
          <cell r="BN496">
            <v>0.144090186294489</v>
          </cell>
          <cell r="BO496">
            <v>0.14712676384308954</v>
          </cell>
          <cell r="BP496">
            <v>0.11761781284005157</v>
          </cell>
          <cell r="BQ496">
            <v>0.10767373948318415</v>
          </cell>
          <cell r="BR496">
            <v>0.10067022733454745</v>
          </cell>
          <cell r="BS496">
            <v>0.1297108671138909</v>
          </cell>
          <cell r="BT496">
            <v>0.13050126153891406</v>
          </cell>
          <cell r="BU496">
            <v>0.11570987016596912</v>
          </cell>
          <cell r="BV496">
            <v>9.9951571691490937E-2</v>
          </cell>
          <cell r="BW496">
            <v>9.4263339551055259E-2</v>
          </cell>
          <cell r="BX496">
            <v>0.11855551308849677</v>
          </cell>
          <cell r="BY496">
            <v>0.11936238347962647</v>
          </cell>
          <cell r="BZ496">
            <v>0.10696299683534161</v>
          </cell>
        </row>
        <row r="498">
          <cell r="B498" t="str">
            <v>All Other non-recurring</v>
          </cell>
          <cell r="AM498">
            <v>0.60000000000000009</v>
          </cell>
          <cell r="AN498">
            <v>2.5</v>
          </cell>
          <cell r="AO498">
            <v>0.7</v>
          </cell>
          <cell r="AP498">
            <v>1.3</v>
          </cell>
          <cell r="AQ498">
            <v>5.0999999999999996</v>
          </cell>
          <cell r="AR498">
            <v>1.5</v>
          </cell>
          <cell r="AS498">
            <v>1.9000000000000001</v>
          </cell>
          <cell r="AT498">
            <v>2.2000000000000002</v>
          </cell>
          <cell r="AU498">
            <v>1.7000000000000002</v>
          </cell>
          <cell r="AV498">
            <v>7.3000000000000007</v>
          </cell>
          <cell r="AW498">
            <v>0.6</v>
          </cell>
          <cell r="AX498">
            <v>1.2000000000000002</v>
          </cell>
          <cell r="AY498">
            <v>1.3</v>
          </cell>
          <cell r="AZ498">
            <v>1.8819999999999999</v>
          </cell>
          <cell r="BA498">
            <v>4.9820000000000002</v>
          </cell>
          <cell r="BB498">
            <v>0.88900000000000001</v>
          </cell>
          <cell r="BC498">
            <v>0.94499999999999995</v>
          </cell>
          <cell r="BD498">
            <v>1.0620000000000001</v>
          </cell>
          <cell r="BE498">
            <v>1.4119999999999999</v>
          </cell>
          <cell r="BF498">
            <v>4.3079999999999998</v>
          </cell>
          <cell r="BG498">
            <v>0.7</v>
          </cell>
          <cell r="BH498">
            <v>0.94499999999999995</v>
          </cell>
          <cell r="BI498">
            <v>1.0620000000000001</v>
          </cell>
          <cell r="BJ498">
            <v>1.4119999999999999</v>
          </cell>
          <cell r="BK498">
            <v>4.1189999999999998</v>
          </cell>
          <cell r="BL498">
            <v>1.4119999999999999</v>
          </cell>
          <cell r="BM498">
            <v>1.4119999999999999</v>
          </cell>
          <cell r="BN498">
            <v>1.4119999999999999</v>
          </cell>
          <cell r="BO498">
            <v>1.4119999999999999</v>
          </cell>
          <cell r="BP498">
            <v>5.6479999999999997</v>
          </cell>
          <cell r="BQ498">
            <v>1.4119999999999999</v>
          </cell>
          <cell r="BR498">
            <v>1.4119999999999999</v>
          </cell>
          <cell r="BS498">
            <v>1.4119999999999999</v>
          </cell>
          <cell r="BT498">
            <v>1.4119999999999999</v>
          </cell>
          <cell r="BU498">
            <v>5.6479999999999997</v>
          </cell>
          <cell r="BV498">
            <v>1.4119999999999999</v>
          </cell>
          <cell r="BW498">
            <v>1.4119999999999999</v>
          </cell>
          <cell r="BX498">
            <v>1.4119999999999999</v>
          </cell>
          <cell r="BY498">
            <v>1.4119999999999999</v>
          </cell>
          <cell r="BZ498">
            <v>5.6479999999999997</v>
          </cell>
          <cell r="CB498">
            <v>5.5659350173518085E-2</v>
          </cell>
        </row>
        <row r="499">
          <cell r="AR499">
            <v>1.4999999999999996</v>
          </cell>
          <cell r="AS499">
            <v>-0.24</v>
          </cell>
          <cell r="AT499">
            <v>2.1428571428571432</v>
          </cell>
          <cell r="AU499">
            <v>0.30769230769230771</v>
          </cell>
          <cell r="AV499">
            <v>0.43137254901960809</v>
          </cell>
          <cell r="AW499">
            <v>-0.60000000000000009</v>
          </cell>
          <cell r="AX499">
            <v>-0.36842105263157887</v>
          </cell>
          <cell r="AY499">
            <v>-0.40909090909090917</v>
          </cell>
          <cell r="AZ499">
            <v>0.10705882352941165</v>
          </cell>
          <cell r="BA499">
            <v>-0.31753424657534246</v>
          </cell>
          <cell r="BB499">
            <v>0.48166666666666669</v>
          </cell>
          <cell r="BC499">
            <v>-0.21250000000000013</v>
          </cell>
          <cell r="BD499">
            <v>-0.18307692307692303</v>
          </cell>
          <cell r="BE499">
            <v>-0.24973432518597238</v>
          </cell>
          <cell r="BF499">
            <v>-0.13528703331995184</v>
          </cell>
          <cell r="BG499">
            <v>-0.21259842519685046</v>
          </cell>
          <cell r="BH499">
            <v>0</v>
          </cell>
          <cell r="BI499">
            <v>0</v>
          </cell>
          <cell r="BJ499">
            <v>0</v>
          </cell>
          <cell r="BK499">
            <v>-4.3871866295264628E-2</v>
          </cell>
          <cell r="BL499">
            <v>1.0171428571428573</v>
          </cell>
          <cell r="BM499">
            <v>0.49417989417989427</v>
          </cell>
          <cell r="BN499">
            <v>0.32956685499058369</v>
          </cell>
          <cell r="BO499">
            <v>0</v>
          </cell>
          <cell r="BP499">
            <v>0.3712066035445496</v>
          </cell>
          <cell r="BQ499">
            <v>0</v>
          </cell>
          <cell r="BR499">
            <v>0</v>
          </cell>
          <cell r="BS499">
            <v>0</v>
          </cell>
          <cell r="BT499">
            <v>0</v>
          </cell>
          <cell r="BU499">
            <v>0</v>
          </cell>
          <cell r="BV499">
            <v>0</v>
          </cell>
          <cell r="BW499">
            <v>0</v>
          </cell>
          <cell r="BX499">
            <v>0</v>
          </cell>
          <cell r="BY499">
            <v>0</v>
          </cell>
          <cell r="BZ499">
            <v>0</v>
          </cell>
        </row>
        <row r="502">
          <cell r="A502" t="str">
            <v>Revenue by Segment</v>
          </cell>
          <cell r="C502">
            <v>2006</v>
          </cell>
          <cell r="D502" t="str">
            <v>1Q07</v>
          </cell>
          <cell r="E502" t="str">
            <v>2Q07</v>
          </cell>
          <cell r="F502" t="str">
            <v>3Q07</v>
          </cell>
          <cell r="G502" t="str">
            <v>4Q07</v>
          </cell>
          <cell r="H502">
            <v>2007</v>
          </cell>
          <cell r="I502" t="str">
            <v>1Q08</v>
          </cell>
          <cell r="J502" t="str">
            <v>2Q08</v>
          </cell>
          <cell r="K502" t="str">
            <v>3Q08</v>
          </cell>
          <cell r="L502" t="str">
            <v>4Q08</v>
          </cell>
          <cell r="M502">
            <v>2008</v>
          </cell>
          <cell r="N502" t="str">
            <v>1Q09</v>
          </cell>
          <cell r="O502" t="str">
            <v>2Q09</v>
          </cell>
          <cell r="P502" t="str">
            <v>3Q09</v>
          </cell>
          <cell r="Q502" t="str">
            <v>4Q09</v>
          </cell>
          <cell r="R502">
            <v>2009</v>
          </cell>
          <cell r="S502" t="str">
            <v>1Q10</v>
          </cell>
          <cell r="T502" t="str">
            <v>2Q10</v>
          </cell>
          <cell r="U502" t="str">
            <v>3Q10</v>
          </cell>
          <cell r="V502" t="str">
            <v>4Q10</v>
          </cell>
          <cell r="W502">
            <v>2010</v>
          </cell>
          <cell r="X502" t="str">
            <v>1Q11</v>
          </cell>
          <cell r="Y502" t="str">
            <v>2Q11</v>
          </cell>
          <cell r="Z502" t="str">
            <v>3Q11</v>
          </cell>
          <cell r="AA502" t="str">
            <v>4Q11</v>
          </cell>
          <cell r="AB502">
            <v>2011</v>
          </cell>
          <cell r="AC502" t="str">
            <v>1Q12</v>
          </cell>
          <cell r="AD502" t="str">
            <v>2Q12</v>
          </cell>
          <cell r="AE502" t="str">
            <v>3Q12</v>
          </cell>
          <cell r="AF502" t="str">
            <v>4Q12</v>
          </cell>
          <cell r="AG502">
            <v>2012</v>
          </cell>
          <cell r="AH502" t="str">
            <v>1Q13</v>
          </cell>
          <cell r="AI502" t="str">
            <v>2Q13</v>
          </cell>
          <cell r="AJ502" t="str">
            <v>3Q13</v>
          </cell>
          <cell r="AK502" t="str">
            <v>4Q13</v>
          </cell>
          <cell r="AL502">
            <v>2013</v>
          </cell>
          <cell r="AM502" t="str">
            <v>1Q13R</v>
          </cell>
          <cell r="AN502" t="str">
            <v>2Q13R</v>
          </cell>
          <cell r="AO502" t="str">
            <v>3Q13R</v>
          </cell>
          <cell r="AP502" t="str">
            <v>4Q13R</v>
          </cell>
          <cell r="AQ502" t="str">
            <v>2013R</v>
          </cell>
          <cell r="AR502" t="str">
            <v>1Q14</v>
          </cell>
          <cell r="AS502" t="str">
            <v>2Q14</v>
          </cell>
          <cell r="AT502" t="str">
            <v>3Q14</v>
          </cell>
          <cell r="AU502" t="str">
            <v>4Q14</v>
          </cell>
          <cell r="AV502">
            <v>2014</v>
          </cell>
          <cell r="AW502" t="str">
            <v>1Q15</v>
          </cell>
          <cell r="AX502" t="str">
            <v>2Q15</v>
          </cell>
          <cell r="AY502" t="str">
            <v>3Q15</v>
          </cell>
          <cell r="AZ502" t="str">
            <v>4Q15</v>
          </cell>
          <cell r="BA502" t="str">
            <v>2015E</v>
          </cell>
          <cell r="BB502" t="str">
            <v>1Q16E</v>
          </cell>
          <cell r="BC502" t="str">
            <v>2Q16</v>
          </cell>
          <cell r="BD502" t="str">
            <v>3Q16</v>
          </cell>
          <cell r="BE502" t="str">
            <v>4Q16</v>
          </cell>
          <cell r="BF502">
            <v>2016</v>
          </cell>
          <cell r="BG502" t="str">
            <v>1Q17</v>
          </cell>
          <cell r="BH502" t="str">
            <v>2Q17E</v>
          </cell>
          <cell r="BI502" t="str">
            <v>3Q17E</v>
          </cell>
          <cell r="BJ502" t="str">
            <v>4Q17E</v>
          </cell>
          <cell r="BK502" t="str">
            <v>2017E</v>
          </cell>
          <cell r="BL502" t="str">
            <v>1Q18E</v>
          </cell>
          <cell r="BM502" t="str">
            <v>2Q18E</v>
          </cell>
          <cell r="BN502" t="str">
            <v>3Q18E</v>
          </cell>
          <cell r="BO502" t="str">
            <v>4Q18E</v>
          </cell>
          <cell r="BP502" t="str">
            <v>2018E</v>
          </cell>
          <cell r="BQ502" t="str">
            <v>1Q19E</v>
          </cell>
          <cell r="BR502" t="str">
            <v>2Q19E</v>
          </cell>
          <cell r="BS502" t="str">
            <v>3Q19E</v>
          </cell>
          <cell r="BT502" t="str">
            <v>4Q19E</v>
          </cell>
          <cell r="BU502" t="str">
            <v>2019E</v>
          </cell>
          <cell r="BV502" t="str">
            <v>1Q20E</v>
          </cell>
          <cell r="BW502" t="str">
            <v>2Q20E</v>
          </cell>
          <cell r="BX502" t="str">
            <v>3Q20E</v>
          </cell>
          <cell r="BY502" t="str">
            <v>4Q20E</v>
          </cell>
          <cell r="BZ502" t="str">
            <v>2020E</v>
          </cell>
        </row>
        <row r="504">
          <cell r="B504" t="str">
            <v>Index</v>
          </cell>
          <cell r="AM504">
            <v>108.41499999999999</v>
          </cell>
          <cell r="AN504">
            <v>109.86999999999999</v>
          </cell>
          <cell r="AO504">
            <v>112.801</v>
          </cell>
          <cell r="AP504">
            <v>117.3</v>
          </cell>
          <cell r="AQ504">
            <v>448.38599999999997</v>
          </cell>
          <cell r="AR504">
            <v>119.1</v>
          </cell>
          <cell r="AS504">
            <v>125.495</v>
          </cell>
          <cell r="AT504">
            <v>129.857</v>
          </cell>
          <cell r="AU504">
            <v>129.453</v>
          </cell>
          <cell r="AV504">
            <v>503.90499999999997</v>
          </cell>
          <cell r="AW504">
            <v>133.57999999999998</v>
          </cell>
          <cell r="AX504">
            <v>140.06</v>
          </cell>
          <cell r="AY504">
            <v>141.536</v>
          </cell>
          <cell r="AZ504">
            <v>143.702</v>
          </cell>
          <cell r="BA504">
            <v>558.87799999999993</v>
          </cell>
          <cell r="BB504">
            <v>144.613</v>
          </cell>
          <cell r="BC504">
            <v>152.11699999999999</v>
          </cell>
          <cell r="BD504">
            <v>157.72900000000001</v>
          </cell>
          <cell r="BE504">
            <v>159.07</v>
          </cell>
          <cell r="BF504">
            <v>613.529</v>
          </cell>
          <cell r="BG504">
            <v>163.435</v>
          </cell>
          <cell r="BH504">
            <v>169.86293479531247</v>
          </cell>
          <cell r="BI504">
            <v>175.53588740893753</v>
          </cell>
          <cell r="BJ504">
            <v>177.03012458159844</v>
          </cell>
          <cell r="BK504">
            <v>685.85594678584835</v>
          </cell>
          <cell r="BL504">
            <v>178.60479809275043</v>
          </cell>
          <cell r="BM504">
            <v>183.47626860232234</v>
          </cell>
          <cell r="BN504">
            <v>190.47154215985469</v>
          </cell>
          <cell r="BO504">
            <v>192.46244990456705</v>
          </cell>
          <cell r="BP504">
            <v>745.01505875949442</v>
          </cell>
          <cell r="BQ504">
            <v>193.72281606163352</v>
          </cell>
          <cell r="BR504">
            <v>199.03056982935081</v>
          </cell>
          <cell r="BS504">
            <v>207.27176992575238</v>
          </cell>
          <cell r="BT504">
            <v>209.67752540178338</v>
          </cell>
          <cell r="BU504">
            <v>809.70268121852018</v>
          </cell>
          <cell r="BV504">
            <v>210.52052645322308</v>
          </cell>
          <cell r="BW504">
            <v>216.21438552131244</v>
          </cell>
          <cell r="BX504">
            <v>225.67678752766346</v>
          </cell>
          <cell r="BY504">
            <v>228.46063404053757</v>
          </cell>
          <cell r="BZ504">
            <v>880.87233354273667</v>
          </cell>
          <cell r="CB504">
            <v>7.5017600880828761E-2</v>
          </cell>
        </row>
        <row r="505">
          <cell r="B505" t="str">
            <v>y/y change</v>
          </cell>
          <cell r="AR505">
            <v>9.8556472812802776E-2</v>
          </cell>
          <cell r="AS505">
            <v>0.14221352507508889</v>
          </cell>
          <cell r="AT505">
            <v>0.15120433329491756</v>
          </cell>
          <cell r="AU505">
            <v>0.10360613810741692</v>
          </cell>
          <cell r="AV505">
            <v>0.12381965538620743</v>
          </cell>
          <cell r="AW505">
            <v>0.12157850545759863</v>
          </cell>
          <cell r="AX505">
            <v>0.11606040081278146</v>
          </cell>
          <cell r="AY505">
            <v>8.9937392670399019E-2</v>
          </cell>
          <cell r="AZ505">
            <v>0.11007083651981797</v>
          </cell>
          <cell r="BA505">
            <v>0.10909397604707238</v>
          </cell>
          <cell r="BB505">
            <v>8.2594699805360161E-2</v>
          </cell>
          <cell r="BC505">
            <v>8.608453519920034E-2</v>
          </cell>
          <cell r="BD505">
            <v>0.11440905494008602</v>
          </cell>
          <cell r="BE505">
            <v>0.10694353592851868</v>
          </cell>
          <cell r="BF505">
            <v>9.7786994657152571E-2</v>
          </cell>
          <cell r="BG505">
            <v>0.13015427382047262</v>
          </cell>
          <cell r="BH505">
            <v>0.11665977369598712</v>
          </cell>
          <cell r="BI505">
            <v>0.11289545618711538</v>
          </cell>
          <cell r="BJ505">
            <v>0.11290705086816155</v>
          </cell>
          <cell r="BK505">
            <v>0.1178867613199186</v>
          </cell>
          <cell r="BL505">
            <v>9.2818540048033915E-2</v>
          </cell>
          <cell r="BM505">
            <v>8.0143050768633817E-2</v>
          </cell>
          <cell r="BN505">
            <v>8.5086046912574043E-2</v>
          </cell>
          <cell r="BO505">
            <v>8.7173442144053759E-2</v>
          </cell>
          <cell r="BP505">
            <v>8.6255885439042279E-2</v>
          </cell>
          <cell r="BQ505">
            <v>8.4645083056683834E-2</v>
          </cell>
          <cell r="BR505">
            <v>8.4775548061432504E-2</v>
          </cell>
          <cell r="BS505">
            <v>8.8203348255551761E-2</v>
          </cell>
          <cell r="BT505">
            <v>8.9446411524702452E-2</v>
          </cell>
          <cell r="BU505">
            <v>8.6827268386675982E-2</v>
          </cell>
          <cell r="BV505">
            <v>8.6710025866262974E-2</v>
          </cell>
          <cell r="BW505">
            <v>8.6337569684370896E-2</v>
          </cell>
          <cell r="BX505">
            <v>8.8796547684732996E-2</v>
          </cell>
          <cell r="BY505">
            <v>8.9580934355086628E-2</v>
          </cell>
          <cell r="BZ505">
            <v>8.7896031438494671E-2</v>
          </cell>
        </row>
        <row r="507">
          <cell r="B507" t="str">
            <v>Analytics</v>
          </cell>
          <cell r="AM507">
            <v>98.066000000000003</v>
          </cell>
          <cell r="AN507">
            <v>96.253</v>
          </cell>
          <cell r="AO507">
            <v>98.992000000000004</v>
          </cell>
          <cell r="AP507">
            <v>103.893</v>
          </cell>
          <cell r="AQ507">
            <v>397.20400000000006</v>
          </cell>
          <cell r="AR507">
            <v>101.5</v>
          </cell>
          <cell r="AS507">
            <v>104</v>
          </cell>
          <cell r="AT507">
            <v>103.2</v>
          </cell>
          <cell r="AU507">
            <v>105.5</v>
          </cell>
          <cell r="AV507">
            <v>414.2</v>
          </cell>
          <cell r="AW507">
            <v>106.80000000000001</v>
          </cell>
          <cell r="AX507">
            <v>107.60000000000001</v>
          </cell>
          <cell r="AY507">
            <v>108.34099999999999</v>
          </cell>
          <cell r="AZ507">
            <v>110.66800000000001</v>
          </cell>
          <cell r="BA507">
            <v>433.40900000000005</v>
          </cell>
          <cell r="BB507">
            <v>110.26299999999999</v>
          </cell>
          <cell r="BC507">
            <v>112.393</v>
          </cell>
          <cell r="BD507">
            <v>111.291</v>
          </cell>
          <cell r="BE507">
            <v>114.40599999999999</v>
          </cell>
          <cell r="BF507">
            <v>448.35300000000001</v>
          </cell>
          <cell r="BG507">
            <v>112.42</v>
          </cell>
          <cell r="BH507">
            <v>115.41228500781251</v>
          </cell>
          <cell r="BI507">
            <v>115.8784918359375</v>
          </cell>
          <cell r="BJ507">
            <v>118.15020142968748</v>
          </cell>
          <cell r="BK507">
            <v>461.86097827343747</v>
          </cell>
          <cell r="BL507">
            <v>117.08965067979493</v>
          </cell>
          <cell r="BM507">
            <v>118.83564499308595</v>
          </cell>
          <cell r="BN507">
            <v>119.62225800664064</v>
          </cell>
          <cell r="BO507">
            <v>122.09778301439454</v>
          </cell>
          <cell r="BP507">
            <v>477.64533669391608</v>
          </cell>
          <cell r="BQ507">
            <v>121.14931598449392</v>
          </cell>
          <cell r="BR507">
            <v>123.0536960830313</v>
          </cell>
          <cell r="BS507">
            <v>124.00117580476446</v>
          </cell>
          <cell r="BT507">
            <v>126.64071281441834</v>
          </cell>
          <cell r="BU507">
            <v>494.844900686708</v>
          </cell>
          <cell r="BV507">
            <v>125.85861144894862</v>
          </cell>
          <cell r="BW507">
            <v>127.93014833953754</v>
          </cell>
          <cell r="BX507">
            <v>129.04533147577769</v>
          </cell>
          <cell r="BY507">
            <v>131.85332301646531</v>
          </cell>
          <cell r="BZ507">
            <v>514.68741428072917</v>
          </cell>
          <cell r="CB507">
            <v>2.7980067290537258E-2</v>
          </cell>
        </row>
        <row r="508">
          <cell r="B508" t="str">
            <v>y/y change</v>
          </cell>
          <cell r="AR508">
            <v>3.5017233291864569E-2</v>
          </cell>
          <cell r="AS508">
            <v>8.0485803039905157E-2</v>
          </cell>
          <cell r="AT508">
            <v>4.2508485534184626E-2</v>
          </cell>
          <cell r="AU508">
            <v>1.5467837101633464E-2</v>
          </cell>
          <cell r="AV508">
            <v>4.278909577949852E-2</v>
          </cell>
          <cell r="AW508">
            <v>5.2216748768473042E-2</v>
          </cell>
          <cell r="AX508">
            <v>3.4615384615384714E-2</v>
          </cell>
          <cell r="AY508">
            <v>4.9815891472868135E-2</v>
          </cell>
          <cell r="AZ508">
            <v>4.8985781990521282E-2</v>
          </cell>
          <cell r="BA508">
            <v>4.6376146788990935E-2</v>
          </cell>
          <cell r="BB508">
            <v>3.2425093632958646E-2</v>
          </cell>
          <cell r="BC508">
            <v>4.4544609665427393E-2</v>
          </cell>
          <cell r="BD508">
            <v>2.7228842266547426E-2</v>
          </cell>
          <cell r="BE508">
            <v>3.3776701485524141E-2</v>
          </cell>
          <cell r="BF508">
            <v>3.4480133084453524E-2</v>
          </cell>
          <cell r="BG508">
            <v>1.9562319182318655E-2</v>
          </cell>
          <cell r="BH508">
            <v>2.6863639264122385E-2</v>
          </cell>
          <cell r="BI508">
            <v>4.1220690225961754E-2</v>
          </cell>
          <cell r="BJ508">
            <v>3.2727317008613976E-2</v>
          </cell>
          <cell r="BK508">
            <v>3.0127997969094489E-2</v>
          </cell>
          <cell r="BL508">
            <v>4.1537543851582592E-2</v>
          </cell>
          <cell r="BM508">
            <v>2.9662006822252174E-2</v>
          </cell>
          <cell r="BN508">
            <v>3.2307688091105069E-2</v>
          </cell>
          <cell r="BO508">
            <v>3.3411551880055956E-2</v>
          </cell>
          <cell r="BP508">
            <v>3.4175561831365053E-2</v>
          </cell>
          <cell r="BQ508">
            <v>3.4671427245102748E-2</v>
          </cell>
          <cell r="BR508">
            <v>3.5494830614086981E-2</v>
          </cell>
          <cell r="BS508">
            <v>3.6606212515071679E-2</v>
          </cell>
          <cell r="BT508">
            <v>3.7207307846762516E-2</v>
          </cell>
          <cell r="BU508">
            <v>3.6009069222450618E-2</v>
          </cell>
          <cell r="BV508">
            <v>3.8871828752689241E-2</v>
          </cell>
          <cell r="BW508">
            <v>3.9628653276824855E-2</v>
          </cell>
          <cell r="BX508">
            <v>4.0678289042638482E-2</v>
          </cell>
          <cell r="BY508">
            <v>4.1160619568571422E-2</v>
          </cell>
          <cell r="BZ508">
            <v>4.0098450173954081E-2</v>
          </cell>
        </row>
        <row r="510">
          <cell r="B510" t="str">
            <v>All Other</v>
          </cell>
          <cell r="AM510">
            <v>13.1</v>
          </cell>
          <cell r="AN510">
            <v>22.2</v>
          </cell>
          <cell r="AO510">
            <v>16.899999999999999</v>
          </cell>
          <cell r="AP510">
            <v>15.600000000000001</v>
          </cell>
          <cell r="AQ510">
            <v>67.8</v>
          </cell>
          <cell r="AR510">
            <v>19.100000000000001</v>
          </cell>
          <cell r="AS510">
            <v>24.799999999999997</v>
          </cell>
          <cell r="AT510">
            <v>18.5</v>
          </cell>
          <cell r="AU510">
            <v>16.2</v>
          </cell>
          <cell r="AV510">
            <v>78.599999999999994</v>
          </cell>
          <cell r="AW510">
            <v>22.400000000000002</v>
          </cell>
          <cell r="AX510">
            <v>22.9</v>
          </cell>
          <cell r="AY510">
            <v>18.900000000000002</v>
          </cell>
          <cell r="AZ510">
            <v>18.523</v>
          </cell>
          <cell r="BA510">
            <v>82.722999999999999</v>
          </cell>
          <cell r="BB510">
            <v>23.951999999999998</v>
          </cell>
          <cell r="BC510">
            <v>26.085999999999999</v>
          </cell>
          <cell r="BD510">
            <v>19.391000000000002</v>
          </cell>
          <cell r="BE510">
            <v>19.335999999999999</v>
          </cell>
          <cell r="BF510">
            <v>88.764999999999986</v>
          </cell>
          <cell r="BG510">
            <v>25.352</v>
          </cell>
          <cell r="BH510">
            <v>27.266867640625005</v>
          </cell>
          <cell r="BI510">
            <v>20.832502312500001</v>
          </cell>
          <cell r="BJ510">
            <v>21.155827484375006</v>
          </cell>
          <cell r="BK510">
            <v>94.607197437500005</v>
          </cell>
          <cell r="BL510">
            <v>28.322352035953127</v>
          </cell>
          <cell r="BM510">
            <v>30.364958670113282</v>
          </cell>
          <cell r="BN510">
            <v>24.031237673843748</v>
          </cell>
          <cell r="BO510">
            <v>24.060672928027348</v>
          </cell>
          <cell r="BP510">
            <v>106.7792213079375</v>
          </cell>
          <cell r="BQ510">
            <v>31.219890270473119</v>
          </cell>
          <cell r="BR510">
            <v>33.279659601441345</v>
          </cell>
          <cell r="BS510">
            <v>26.96519860597321</v>
          </cell>
          <cell r="BT510">
            <v>27.016353317317169</v>
          </cell>
          <cell r="BU510">
            <v>118.48110179520484</v>
          </cell>
          <cell r="BV510">
            <v>34.199235751814406</v>
          </cell>
          <cell r="BW510">
            <v>36.283611619149454</v>
          </cell>
          <cell r="BX510">
            <v>29.994671177756622</v>
          </cell>
          <cell r="BY510">
            <v>30.072549956726629</v>
          </cell>
          <cell r="BZ510">
            <v>130.55006850544711</v>
          </cell>
          <cell r="CB510">
            <v>8.020720406099735E-2</v>
          </cell>
        </row>
        <row r="511">
          <cell r="B511" t="str">
            <v>y/y change</v>
          </cell>
          <cell r="AR511">
            <v>0.45801526717557262</v>
          </cell>
          <cell r="AS511">
            <v>0.11711711711711703</v>
          </cell>
          <cell r="AT511">
            <v>9.4674556213017791E-2</v>
          </cell>
          <cell r="AU511">
            <v>3.8461538461538325E-2</v>
          </cell>
          <cell r="AV511">
            <v>0.15929203539823011</v>
          </cell>
          <cell r="AW511">
            <v>0.17277486910994777</v>
          </cell>
          <cell r="AX511">
            <v>-7.6612903225806384E-2</v>
          </cell>
          <cell r="AY511">
            <v>2.1621621621621845E-2</v>
          </cell>
          <cell r="AZ511">
            <v>0.143395061728395</v>
          </cell>
          <cell r="BA511">
            <v>5.2455470737913457E-2</v>
          </cell>
          <cell r="BB511">
            <v>6.9285714285714173E-2</v>
          </cell>
          <cell r="BC511">
            <v>0.13912663755458521</v>
          </cell>
          <cell r="BD511">
            <v>2.597883597883599E-2</v>
          </cell>
          <cell r="BE511">
            <v>4.3891378286454508E-2</v>
          </cell>
          <cell r="BF511">
            <v>7.3038937175875951E-2</v>
          </cell>
          <cell r="BG511">
            <v>5.8450233800935392E-2</v>
          </cell>
          <cell r="BH511">
            <v>4.5268252726558655E-2</v>
          </cell>
          <cell r="BI511">
            <v>7.4338729952039495E-2</v>
          </cell>
          <cell r="BJ511">
            <v>9.4116026291632515E-2</v>
          </cell>
          <cell r="BK511">
            <v>6.5816452853039165E-2</v>
          </cell>
          <cell r="BL511">
            <v>0.11716440659329153</v>
          </cell>
          <cell r="BM511">
            <v>0.11362108293188844</v>
          </cell>
          <cell r="BN511">
            <v>0.15354542211784272</v>
          </cell>
          <cell r="BO511">
            <v>0.13730710584578953</v>
          </cell>
          <cell r="BP511">
            <v>0.12865853973191266</v>
          </cell>
          <cell r="BQ511">
            <v>0.10230570649082327</v>
          </cell>
          <cell r="BR511">
            <v>9.5988964220025785E-2</v>
          </cell>
          <cell r="BS511">
            <v>0.12208946421943412</v>
          </cell>
          <cell r="BT511">
            <v>0.12284279820980659</v>
          </cell>
          <cell r="BU511">
            <v>0.10958949076356927</v>
          </cell>
          <cell r="BV511">
            <v>9.5431004258175411E-2</v>
          </cell>
          <cell r="BW511">
            <v>9.026390454961275E-2</v>
          </cell>
          <cell r="BX511">
            <v>0.11234749708508862</v>
          </cell>
          <cell r="BY511">
            <v>0.11312395139022979</v>
          </cell>
          <cell r="BZ511">
            <v>0.10186406547015014</v>
          </cell>
        </row>
        <row r="513">
          <cell r="B513" t="str">
            <v>Total</v>
          </cell>
          <cell r="AM513">
            <v>219.58099999999999</v>
          </cell>
          <cell r="AN513">
            <v>228.32299999999998</v>
          </cell>
          <cell r="AO513">
            <v>228.69300000000001</v>
          </cell>
          <cell r="AP513">
            <v>236.79299999999998</v>
          </cell>
          <cell r="AQ513">
            <v>913.39</v>
          </cell>
          <cell r="AR513">
            <v>239.7</v>
          </cell>
          <cell r="AS513">
            <v>254.29500000000002</v>
          </cell>
          <cell r="AT513">
            <v>251.55700000000002</v>
          </cell>
          <cell r="AU513">
            <v>251.15299999999999</v>
          </cell>
          <cell r="AV513">
            <v>996.70500000000004</v>
          </cell>
          <cell r="AW513">
            <v>262.77999999999997</v>
          </cell>
          <cell r="AX513">
            <v>270.56</v>
          </cell>
          <cell r="AY513">
            <v>268.77699999999999</v>
          </cell>
          <cell r="AZ513">
            <v>272.89300000000003</v>
          </cell>
          <cell r="BA513">
            <v>1075.01</v>
          </cell>
          <cell r="BB513">
            <v>278.82799999999997</v>
          </cell>
          <cell r="BC513">
            <v>290.596</v>
          </cell>
          <cell r="BD513">
            <v>288.411</v>
          </cell>
          <cell r="BE513">
            <v>292.81200000000001</v>
          </cell>
          <cell r="BF513">
            <v>1150.6469999999999</v>
          </cell>
          <cell r="BG513">
            <v>301.20699999999999</v>
          </cell>
          <cell r="BH513">
            <v>312.54208744374995</v>
          </cell>
          <cell r="BI513">
            <v>312.24688155737505</v>
          </cell>
          <cell r="BJ513">
            <v>316.33615349566094</v>
          </cell>
          <cell r="BK513">
            <v>1242.3241224967858</v>
          </cell>
          <cell r="BL513">
            <v>324.01680080849849</v>
          </cell>
          <cell r="BM513">
            <v>332.67687226552152</v>
          </cell>
          <cell r="BN513">
            <v>334.12503784033908</v>
          </cell>
          <cell r="BO513">
            <v>338.62090584698893</v>
          </cell>
          <cell r="BP513">
            <v>1329.4396167613479</v>
          </cell>
          <cell r="BQ513">
            <v>346.09202231660055</v>
          </cell>
          <cell r="BR513">
            <v>355.3639255138234</v>
          </cell>
          <cell r="BS513">
            <v>358.23814433649005</v>
          </cell>
          <cell r="BT513">
            <v>363.3345915335189</v>
          </cell>
          <cell r="BU513">
            <v>1423.0286837004328</v>
          </cell>
          <cell r="BV513">
            <v>370.57837365398609</v>
          </cell>
          <cell r="BW513">
            <v>380.42814547999939</v>
          </cell>
          <cell r="BX513">
            <v>384.71679018119778</v>
          </cell>
          <cell r="BY513">
            <v>390.3865070137295</v>
          </cell>
          <cell r="BZ513">
            <v>1526.109816328913</v>
          </cell>
        </row>
        <row r="514">
          <cell r="AR514">
            <v>9.1624503030772297E-2</v>
          </cell>
          <cell r="AS514">
            <v>0.11375113326296526</v>
          </cell>
          <cell r="AT514">
            <v>9.9976824826295552E-2</v>
          </cell>
          <cell r="AU514">
            <v>6.0643684568378431E-2</v>
          </cell>
          <cell r="AV514">
            <v>9.1215143585982039E-2</v>
          </cell>
          <cell r="AW514">
            <v>9.6287025448477115E-2</v>
          </cell>
          <cell r="AX514">
            <v>6.3961147486187198E-2</v>
          </cell>
          <cell r="AY514">
            <v>6.8453670539877498E-2</v>
          </cell>
          <cell r="AZ514">
            <v>8.6560781674915432E-2</v>
          </cell>
          <cell r="BA514">
            <v>7.8563867944878352E-2</v>
          </cell>
          <cell r="BB514">
            <v>6.1070096658802031E-2</v>
          </cell>
          <cell r="BC514">
            <v>7.4053814311058508E-2</v>
          </cell>
          <cell r="BD514">
            <v>7.3049405269052015E-2</v>
          </cell>
          <cell r="BE514">
            <v>7.2991978541039781E-2</v>
          </cell>
          <cell r="BF514">
            <v>7.0359345494460435E-2</v>
          </cell>
          <cell r="BG514">
            <v>8.026094940249906E-2</v>
          </cell>
          <cell r="BH514">
            <v>7.5520955015726088E-2</v>
          </cell>
          <cell r="BI514">
            <v>8.2645535563397488E-2</v>
          </cell>
          <cell r="BJ514">
            <v>8.0338761716257867E-2</v>
          </cell>
          <cell r="BK514">
            <v>7.9674411437031356E-2</v>
          </cell>
          <cell r="BL514">
            <v>7.5727990413564372E-2</v>
          </cell>
          <cell r="BM514">
            <v>6.4422635000783268E-2</v>
          </cell>
          <cell r="BN514">
            <v>7.0066852785986677E-2</v>
          </cell>
          <cell r="BO514">
            <v>7.0446428917691373E-2</v>
          </cell>
          <cell r="BP514">
            <v>7.0122999857299639E-2</v>
          </cell>
          <cell r="BQ514">
            <v>6.8129866886591062E-2</v>
          </cell>
          <cell r="BR514">
            <v>6.8195462743783741E-2</v>
          </cell>
          <cell r="BS514">
            <v>7.2167912503681819E-2</v>
          </cell>
          <cell r="BT514">
            <v>7.2983342905878379E-2</v>
          </cell>
          <cell r="BU514">
            <v>7.0397380790469866E-2</v>
          </cell>
          <cell r="BV514">
            <v>7.0750984589253996E-2</v>
          </cell>
          <cell r="BW514">
            <v>7.0531132078011094E-2</v>
          </cell>
          <cell r="BX514">
            <v>7.3913530045076836E-2</v>
          </cell>
          <cell r="BY514">
            <v>7.4454555416904045E-2</v>
          </cell>
          <cell r="BZ514">
            <v>7.2437845989463012E-2</v>
          </cell>
        </row>
        <row r="516">
          <cell r="A516" t="str">
            <v>Adj. EBITDA</v>
          </cell>
        </row>
        <row r="517">
          <cell r="B517" t="str">
            <v>Index (Long-Term Target 68-72%)</v>
          </cell>
          <cell r="AM517">
            <v>78.084000000000003</v>
          </cell>
          <cell r="AN517">
            <v>80.412999999999997</v>
          </cell>
          <cell r="AO517">
            <v>80.603999999999999</v>
          </cell>
          <cell r="AP517">
            <v>84.456999999999994</v>
          </cell>
          <cell r="AQ517">
            <v>323.55799999999999</v>
          </cell>
          <cell r="AR517">
            <v>82.088999999999999</v>
          </cell>
          <cell r="AS517">
            <v>86.168999999999997</v>
          </cell>
          <cell r="AT517">
            <v>91.031000000000006</v>
          </cell>
          <cell r="AU517">
            <v>90.396000000000001</v>
          </cell>
          <cell r="AV517">
            <v>349.685</v>
          </cell>
          <cell r="AW517">
            <v>93.052999999999997</v>
          </cell>
          <cell r="AX517">
            <v>98.016999999999996</v>
          </cell>
          <cell r="AY517">
            <v>102.92700000000001</v>
          </cell>
          <cell r="AZ517">
            <v>98.99</v>
          </cell>
          <cell r="BA517">
            <v>392.98700000000002</v>
          </cell>
          <cell r="BB517">
            <v>100.04900000000001</v>
          </cell>
          <cell r="BC517">
            <v>106.518</v>
          </cell>
          <cell r="BD517">
            <v>111.75</v>
          </cell>
          <cell r="BE517">
            <v>113.161</v>
          </cell>
          <cell r="BF517">
            <v>431.47800000000001</v>
          </cell>
          <cell r="BG517">
            <v>115.637</v>
          </cell>
          <cell r="BH517">
            <v>120.17802636768357</v>
          </cell>
          <cell r="BI517">
            <v>123.75280062330094</v>
          </cell>
          <cell r="BJ517">
            <v>125.24881314148089</v>
          </cell>
          <cell r="BK517">
            <v>484.81664013246541</v>
          </cell>
          <cell r="BL517">
            <v>126.63816471267363</v>
          </cell>
          <cell r="BM517">
            <v>130.08467443904652</v>
          </cell>
          <cell r="BN517">
            <v>134.56814453593734</v>
          </cell>
          <cell r="BO517">
            <v>136.45587698233803</v>
          </cell>
          <cell r="BP517">
            <v>527.7468606699955</v>
          </cell>
          <cell r="BQ517">
            <v>137.64804690701632</v>
          </cell>
          <cell r="BR517">
            <v>141.41121986375373</v>
          </cell>
          <cell r="BS517">
            <v>146.74841310743267</v>
          </cell>
          <cell r="BT517">
            <v>148.97588179796708</v>
          </cell>
          <cell r="BU517">
            <v>574.78356167616971</v>
          </cell>
          <cell r="BV517">
            <v>149.89929340444411</v>
          </cell>
          <cell r="BW517">
            <v>153.94464249117442</v>
          </cell>
          <cell r="BX517">
            <v>160.11768075087718</v>
          </cell>
          <cell r="BY517">
            <v>162.66397143686271</v>
          </cell>
          <cell r="BZ517">
            <v>626.62558808335848</v>
          </cell>
        </row>
        <row r="518">
          <cell r="B518" t="str">
            <v>Margin %</v>
          </cell>
          <cell r="AM518">
            <v>0.72023244016049448</v>
          </cell>
          <cell r="AN518">
            <v>0.73189223627923916</v>
          </cell>
          <cell r="AO518">
            <v>0.71456813326122992</v>
          </cell>
          <cell r="AP518">
            <v>0.72000852514919012</v>
          </cell>
          <cell r="AQ518">
            <v>0.72160593774114268</v>
          </cell>
          <cell r="AR518">
            <v>0.68924433249370276</v>
          </cell>
          <cell r="AS518">
            <v>0.68663293358301125</v>
          </cell>
          <cell r="AT518">
            <v>0.70100957206773606</v>
          </cell>
          <cell r="AU518">
            <v>0.69829204421682001</v>
          </cell>
          <cell r="AV518">
            <v>0.6939502485587562</v>
          </cell>
          <cell r="AW518">
            <v>0.69660877376852826</v>
          </cell>
          <cell r="AX518">
            <v>0.699821505069256</v>
          </cell>
          <cell r="AY518">
            <v>0.72721427763961122</v>
          </cell>
          <cell r="AZ518">
            <v>0.68885610499505923</v>
          </cell>
          <cell r="BA518">
            <v>0.70317135403433317</v>
          </cell>
          <cell r="BB518">
            <v>0.69183959948275753</v>
          </cell>
          <cell r="BC518">
            <v>0.70023731732810934</v>
          </cell>
          <cell r="BD518">
            <v>0.70849368220175102</v>
          </cell>
          <cell r="BE518">
            <v>0.71139121141635764</v>
          </cell>
          <cell r="BF518">
            <v>0.70327237995269987</v>
          </cell>
          <cell r="BG518">
            <v>0.7075412243399517</v>
          </cell>
          <cell r="BH518">
            <v>0.70750000000000002</v>
          </cell>
          <cell r="BI518">
            <v>0.70499999999999996</v>
          </cell>
          <cell r="BJ518">
            <v>0.70750000000000002</v>
          </cell>
          <cell r="BK518">
            <v>0.70687823354813684</v>
          </cell>
          <cell r="BL518">
            <v>0.70904122433995165</v>
          </cell>
          <cell r="BM518">
            <v>0.70899999999999996</v>
          </cell>
          <cell r="BN518">
            <v>0.70649999999999991</v>
          </cell>
          <cell r="BO518">
            <v>0.70899999999999996</v>
          </cell>
          <cell r="BP518">
            <v>0.70837072951080127</v>
          </cell>
          <cell r="BQ518">
            <v>0.71054122433995159</v>
          </cell>
          <cell r="BR518">
            <v>0.71049999999999991</v>
          </cell>
          <cell r="BS518">
            <v>0.70799999999999985</v>
          </cell>
          <cell r="BT518">
            <v>0.71049999999999991</v>
          </cell>
          <cell r="BU518">
            <v>0.70986990040736797</v>
          </cell>
          <cell r="BV518">
            <v>0.71204122433995154</v>
          </cell>
          <cell r="BW518">
            <v>0.71199999999999986</v>
          </cell>
          <cell r="BX518">
            <v>0.7094999999999998</v>
          </cell>
          <cell r="BY518">
            <v>0.71199999999999986</v>
          </cell>
          <cell r="BZ518">
            <v>0.71136935991980155</v>
          </cell>
        </row>
        <row r="519">
          <cell r="B519" t="str">
            <v>BULL</v>
          </cell>
          <cell r="BE519">
            <v>0.7163561049950592</v>
          </cell>
          <cell r="BG519">
            <v>0.71433959948275749</v>
          </cell>
          <cell r="BH519">
            <v>0.72750000000000004</v>
          </cell>
          <cell r="BI519">
            <v>0.72499999999999998</v>
          </cell>
          <cell r="BJ519">
            <v>0.72750000000000004</v>
          </cell>
          <cell r="BL519">
            <v>0.72904122433995167</v>
          </cell>
          <cell r="BM519">
            <v>0.72899999999999998</v>
          </cell>
          <cell r="BN519">
            <v>0.72649999999999992</v>
          </cell>
          <cell r="BO519">
            <v>0.72899999999999998</v>
          </cell>
          <cell r="BQ519">
            <v>0.73054122433995161</v>
          </cell>
          <cell r="BR519">
            <v>0.73049999999999993</v>
          </cell>
          <cell r="BS519">
            <v>0.72799999999999987</v>
          </cell>
          <cell r="BT519">
            <v>0.73049999999999993</v>
          </cell>
          <cell r="BV519">
            <v>0.73204122433995156</v>
          </cell>
          <cell r="BW519">
            <v>0.73199999999999987</v>
          </cell>
          <cell r="BX519">
            <v>0.72949999999999982</v>
          </cell>
          <cell r="BY519">
            <v>0.73199999999999987</v>
          </cell>
        </row>
        <row r="520">
          <cell r="B520" t="str">
            <v>BASE</v>
          </cell>
          <cell r="BE520">
            <v>0.69635610499505918</v>
          </cell>
          <cell r="BG520">
            <v>0.69433959948275747</v>
          </cell>
          <cell r="BH520">
            <v>0.70750000000000002</v>
          </cell>
          <cell r="BI520">
            <v>0.70499999999999996</v>
          </cell>
          <cell r="BJ520">
            <v>0.70750000000000002</v>
          </cell>
          <cell r="BL520">
            <v>0.70904122433995165</v>
          </cell>
          <cell r="BM520">
            <v>0.70899999999999996</v>
          </cell>
          <cell r="BN520">
            <v>0.70649999999999991</v>
          </cell>
          <cell r="BO520">
            <v>0.70899999999999996</v>
          </cell>
          <cell r="BQ520">
            <v>0.71054122433995159</v>
          </cell>
          <cell r="BR520">
            <v>0.71049999999999991</v>
          </cell>
          <cell r="BS520">
            <v>0.70799999999999985</v>
          </cell>
          <cell r="BT520">
            <v>0.71049999999999991</v>
          </cell>
          <cell r="BV520">
            <v>0.71204122433995154</v>
          </cell>
          <cell r="BW520">
            <v>0.71199999999999986</v>
          </cell>
          <cell r="BX520">
            <v>0.7094999999999998</v>
          </cell>
          <cell r="BY520">
            <v>0.71199999999999986</v>
          </cell>
        </row>
        <row r="521">
          <cell r="B521" t="str">
            <v>BEAR</v>
          </cell>
          <cell r="BE521">
            <v>0.68135610499505916</v>
          </cell>
          <cell r="BG521">
            <v>0.67933959948275746</v>
          </cell>
          <cell r="BH521">
            <v>0.6925</v>
          </cell>
          <cell r="BI521">
            <v>0.69</v>
          </cell>
          <cell r="BJ521">
            <v>0.6925</v>
          </cell>
          <cell r="BL521">
            <v>0.69404122433995163</v>
          </cell>
          <cell r="BM521">
            <v>0.69399999999999995</v>
          </cell>
          <cell r="BN521">
            <v>0.69149999999999989</v>
          </cell>
          <cell r="BO521">
            <v>0.69399999999999995</v>
          </cell>
          <cell r="BQ521">
            <v>0.69554122433995158</v>
          </cell>
          <cell r="BR521">
            <v>0.6954999999999999</v>
          </cell>
          <cell r="BS521">
            <v>0.69299999999999984</v>
          </cell>
          <cell r="BT521">
            <v>0.6954999999999999</v>
          </cell>
          <cell r="BV521">
            <v>0.69704122433995153</v>
          </cell>
          <cell r="BW521">
            <v>0.69699999999999984</v>
          </cell>
          <cell r="BX521">
            <v>0.69449999999999978</v>
          </cell>
          <cell r="BY521">
            <v>0.69699999999999984</v>
          </cell>
        </row>
        <row r="522">
          <cell r="B522" t="str">
            <v>y/y change</v>
          </cell>
          <cell r="AR522">
            <v>5.1290917473490127E-2</v>
          </cell>
          <cell r="AS522">
            <v>7.1580465845074714E-2</v>
          </cell>
          <cell r="AT522">
            <v>0.12936082576547081</v>
          </cell>
          <cell r="AU522">
            <v>7.0319807712800664E-2</v>
          </cell>
          <cell r="AV522">
            <v>8.0749046538796776E-2</v>
          </cell>
          <cell r="AW522">
            <v>0.13356235305582964</v>
          </cell>
          <cell r="AX522">
            <v>0.13749724378836925</v>
          </cell>
          <cell r="AY522">
            <v>0.1306807571047226</v>
          </cell>
          <cell r="AZ522">
            <v>9.5070578344174539E-2</v>
          </cell>
          <cell r="BA522">
            <v>0.12383144830347326</v>
          </cell>
          <cell r="BB522">
            <v>7.5182960248460606E-2</v>
          </cell>
          <cell r="BC522">
            <v>8.6729852984686273E-2</v>
          </cell>
          <cell r="BD522">
            <v>8.5720947856247509E-2</v>
          </cell>
          <cell r="BE522">
            <v>0.14315587433074062</v>
          </cell>
          <cell r="BF522">
            <v>9.7944715728510046E-2</v>
          </cell>
          <cell r="BG522">
            <v>0.15580365620845771</v>
          </cell>
          <cell r="BH522">
            <v>0.12824148376503097</v>
          </cell>
          <cell r="BI522">
            <v>0.10740761184161918</v>
          </cell>
          <cell r="BJ522">
            <v>0.10681960341001662</v>
          </cell>
          <cell r="BK522">
            <v>0.12361844667043376</v>
          </cell>
          <cell r="BL522">
            <v>9.5135334820806827E-2</v>
          </cell>
          <cell r="BM522">
            <v>8.2433106706659043E-2</v>
          </cell>
          <cell r="BN522">
            <v>8.7394740629409329E-2</v>
          </cell>
          <cell r="BO522">
            <v>8.9478403505489856E-2</v>
          </cell>
          <cell r="BP522">
            <v>8.8549395758776628E-2</v>
          </cell>
          <cell r="BQ522">
            <v>8.6939685357275698E-2</v>
          </cell>
          <cell r="BR522">
            <v>8.7070559799221181E-2</v>
          </cell>
          <cell r="BS522">
            <v>9.0513758761402219E-2</v>
          </cell>
          <cell r="BT522">
            <v>9.1751305202117273E-2</v>
          </cell>
          <cell r="BU522">
            <v>8.9127391390749766E-2</v>
          </cell>
          <cell r="BV522">
            <v>8.900414334032436E-2</v>
          </cell>
          <cell r="BW522">
            <v>8.8631033941269477E-2</v>
          </cell>
          <cell r="BX522">
            <v>9.110332003152255E-2</v>
          </cell>
          <cell r="BY522">
            <v>9.1881245968784775E-2</v>
          </cell>
          <cell r="BZ522">
            <v>9.0193996251403341E-2</v>
          </cell>
        </row>
        <row r="523">
          <cell r="B523" t="str">
            <v>Margin change (bps)</v>
          </cell>
          <cell r="AR523">
            <v>-309.88107666791723</v>
          </cell>
          <cell r="AS523">
            <v>-452.59302696227911</v>
          </cell>
          <cell r="AT523">
            <v>-135.58561193493856</v>
          </cell>
          <cell r="AU523">
            <v>-217.16480932370109</v>
          </cell>
          <cell r="AV523">
            <v>-276.55689182386476</v>
          </cell>
          <cell r="AW523">
            <v>73.64441274825495</v>
          </cell>
          <cell r="AX523">
            <v>131.88571486244749</v>
          </cell>
          <cell r="AY523">
            <v>262.04705571875155</v>
          </cell>
          <cell r="AZ523">
            <v>-94.359392217607805</v>
          </cell>
          <cell r="BA523">
            <v>92.211054755769737</v>
          </cell>
          <cell r="BB523">
            <v>-47.691742857707276</v>
          </cell>
          <cell r="BC523">
            <v>4.1581225885334305</v>
          </cell>
          <cell r="BD523">
            <v>-187.205954378602</v>
          </cell>
          <cell r="BE523">
            <v>225.35106421298411</v>
          </cell>
          <cell r="BF523">
            <v>1.0102591836669284</v>
          </cell>
          <cell r="BG523">
            <v>157.01624857194173</v>
          </cell>
          <cell r="BH523">
            <v>72.626826718906742</v>
          </cell>
          <cell r="BI523">
            <v>-34.936822017510579</v>
          </cell>
          <cell r="BJ523">
            <v>-38.912114163576206</v>
          </cell>
          <cell r="BK523">
            <v>36.058535954369695</v>
          </cell>
          <cell r="BL523">
            <v>14.999999999999458</v>
          </cell>
          <cell r="BM523">
            <v>14.999999999999458</v>
          </cell>
          <cell r="BN523">
            <v>14.999999999999458</v>
          </cell>
          <cell r="BO523">
            <v>14.999999999999458</v>
          </cell>
          <cell r="BP523">
            <v>14.924959626644307</v>
          </cell>
          <cell r="BQ523">
            <v>14.999999999999458</v>
          </cell>
          <cell r="BR523">
            <v>14.999999999999458</v>
          </cell>
          <cell r="BS523">
            <v>14.999999999999458</v>
          </cell>
          <cell r="BT523">
            <v>14.999999999999458</v>
          </cell>
          <cell r="BU523">
            <v>14.991708965667039</v>
          </cell>
          <cell r="BV523">
            <v>14.999999999999458</v>
          </cell>
          <cell r="BW523">
            <v>14.999999999999458</v>
          </cell>
          <cell r="BX523">
            <v>14.999999999999458</v>
          </cell>
          <cell r="BY523">
            <v>14.999999999999458</v>
          </cell>
          <cell r="BZ523">
            <v>14.994595124335763</v>
          </cell>
        </row>
        <row r="525">
          <cell r="B525" t="str">
            <v>Analytics (Long-Term Target 30-35%)</v>
          </cell>
          <cell r="AM525">
            <v>26.78</v>
          </cell>
          <cell r="AN525">
            <v>23.279</v>
          </cell>
          <cell r="AO525">
            <v>23.132000000000001</v>
          </cell>
          <cell r="AP525">
            <v>24.614999999999998</v>
          </cell>
          <cell r="AQ525">
            <v>97.805999999999997</v>
          </cell>
          <cell r="AR525">
            <v>17.849</v>
          </cell>
          <cell r="AS525">
            <v>17.707999999999998</v>
          </cell>
          <cell r="AT525">
            <v>16.788</v>
          </cell>
          <cell r="AU525">
            <v>19.829000000000001</v>
          </cell>
          <cell r="AV525">
            <v>72.174000000000007</v>
          </cell>
          <cell r="AW525">
            <v>14.08</v>
          </cell>
          <cell r="AX525">
            <v>21.263999999999999</v>
          </cell>
          <cell r="AY525">
            <v>29.216000000000001</v>
          </cell>
          <cell r="AZ525">
            <v>30.908000000000001</v>
          </cell>
          <cell r="BA525">
            <v>95.468000000000004</v>
          </cell>
          <cell r="BB525">
            <v>30.36</v>
          </cell>
          <cell r="BC525">
            <v>33.302</v>
          </cell>
          <cell r="BD525">
            <v>31.501000000000001</v>
          </cell>
          <cell r="BE525">
            <v>33.344000000000001</v>
          </cell>
          <cell r="BF525">
            <v>128.50700000000001</v>
          </cell>
          <cell r="BG525">
            <v>29.536000000000001</v>
          </cell>
          <cell r="BH525">
            <v>34.335154789824223</v>
          </cell>
          <cell r="BI525">
            <v>34.763547550781247</v>
          </cell>
          <cell r="BJ525">
            <v>35.445060428906245</v>
          </cell>
          <cell r="BK525">
            <v>134.07976276951172</v>
          </cell>
          <cell r="BL525">
            <v>31.055577021899836</v>
          </cell>
          <cell r="BM525">
            <v>35.650693497925786</v>
          </cell>
          <cell r="BN525">
            <v>36.185733047008789</v>
          </cell>
          <cell r="BO525">
            <v>36.934579361854347</v>
          </cell>
          <cell r="BP525">
            <v>139.82658292868877</v>
          </cell>
          <cell r="BQ525">
            <v>32.435191491130553</v>
          </cell>
          <cell r="BR525">
            <v>37.223743065116963</v>
          </cell>
          <cell r="BS525">
            <v>37.820358620453156</v>
          </cell>
          <cell r="BT525">
            <v>38.625417408397588</v>
          </cell>
          <cell r="BU525">
            <v>146.10471058509827</v>
          </cell>
          <cell r="BV525">
            <v>34.010653228956834</v>
          </cell>
          <cell r="BW525">
            <v>39.018695243558952</v>
          </cell>
          <cell r="BX525">
            <v>39.681439428801639</v>
          </cell>
          <cell r="BY525">
            <v>40.544896827563079</v>
          </cell>
          <cell r="BZ525">
            <v>153.25568472888051</v>
          </cell>
        </row>
        <row r="526">
          <cell r="B526" t="str">
            <v>Margin %</v>
          </cell>
          <cell r="AM526">
            <v>0.27308139416311467</v>
          </cell>
          <cell r="AN526">
            <v>0.24185220200928803</v>
          </cell>
          <cell r="AO526">
            <v>0.23367544852109262</v>
          </cell>
          <cell r="AP526">
            <v>0.23692645317778868</v>
          </cell>
          <cell r="AQ526">
            <v>0.24623619097491461</v>
          </cell>
          <cell r="AR526">
            <v>0.17585221674876847</v>
          </cell>
          <cell r="AS526">
            <v>0.17026923076923076</v>
          </cell>
          <cell r="AT526">
            <v>0.16267441860465115</v>
          </cell>
          <cell r="AU526">
            <v>0.1879526066350711</v>
          </cell>
          <cell r="AV526">
            <v>0.17424915499758573</v>
          </cell>
          <cell r="AW526">
            <v>0.13183520599250936</v>
          </cell>
          <cell r="AX526">
            <v>0.19762081784386615</v>
          </cell>
          <cell r="AY526">
            <v>0.26966706971506632</v>
          </cell>
          <cell r="AZ526">
            <v>0.27928579173744894</v>
          </cell>
          <cell r="BA526">
            <v>0.220272306297285</v>
          </cell>
          <cell r="BB526">
            <v>0.27534168306684925</v>
          </cell>
          <cell r="BC526">
            <v>0.29629959161157721</v>
          </cell>
          <cell r="BD526">
            <v>0.28305074085056298</v>
          </cell>
          <cell r="BE526">
            <v>0.2914532454591543</v>
          </cell>
          <cell r="BF526">
            <v>0.28662014082653625</v>
          </cell>
          <cell r="BG526">
            <v>0.26272905177014766</v>
          </cell>
          <cell r="BH526">
            <v>0.29749999999999999</v>
          </cell>
          <cell r="BI526">
            <v>0.3</v>
          </cell>
          <cell r="BJ526">
            <v>0.3</v>
          </cell>
          <cell r="BK526">
            <v>0.29030329271535021</v>
          </cell>
          <cell r="BL526">
            <v>0.26522905177014766</v>
          </cell>
          <cell r="BM526">
            <v>0.3</v>
          </cell>
          <cell r="BN526">
            <v>0.30249999999999999</v>
          </cell>
          <cell r="BO526">
            <v>0.30249999999999999</v>
          </cell>
          <cell r="BP526">
            <v>0.29274143844157785</v>
          </cell>
          <cell r="BQ526">
            <v>0.26772905177014766</v>
          </cell>
          <cell r="BR526">
            <v>0.30249999999999999</v>
          </cell>
          <cell r="BS526">
            <v>0.30499999999999999</v>
          </cell>
          <cell r="BT526">
            <v>0.30499999999999999</v>
          </cell>
          <cell r="BU526">
            <v>0.29525354385251884</v>
          </cell>
          <cell r="BV526">
            <v>0.27022905177014767</v>
          </cell>
          <cell r="BW526">
            <v>0.30499999999999999</v>
          </cell>
          <cell r="BX526">
            <v>0.3075</v>
          </cell>
          <cell r="BY526">
            <v>0.3075</v>
          </cell>
          <cell r="BZ526">
            <v>0.29776458579826337</v>
          </cell>
        </row>
        <row r="527">
          <cell r="B527" t="str">
            <v>BULL</v>
          </cell>
          <cell r="BE527">
            <v>0.30000000000000004</v>
          </cell>
          <cell r="BG527">
            <v>0.30499999999999999</v>
          </cell>
          <cell r="BH527">
            <v>0.3175</v>
          </cell>
          <cell r="BI527">
            <v>0.32</v>
          </cell>
          <cell r="BJ527">
            <v>0.32</v>
          </cell>
          <cell r="BL527">
            <v>0.28522905177014768</v>
          </cell>
          <cell r="BM527">
            <v>0.32</v>
          </cell>
          <cell r="BN527">
            <v>0.32250000000000001</v>
          </cell>
          <cell r="BO527">
            <v>0.32250000000000001</v>
          </cell>
          <cell r="BQ527">
            <v>0.28772905177014768</v>
          </cell>
          <cell r="BR527">
            <v>0.32250000000000001</v>
          </cell>
          <cell r="BS527">
            <v>0.32500000000000001</v>
          </cell>
          <cell r="BT527">
            <v>0.32500000000000001</v>
          </cell>
          <cell r="BV527">
            <v>0.29022905177014768</v>
          </cell>
          <cell r="BW527">
            <v>0.32500000000000001</v>
          </cell>
          <cell r="BX527">
            <v>0.32750000000000001</v>
          </cell>
          <cell r="BY527">
            <v>0.32750000000000001</v>
          </cell>
        </row>
        <row r="528">
          <cell r="B528" t="str">
            <v>BASE</v>
          </cell>
          <cell r="BE528">
            <v>0.28000000000000003</v>
          </cell>
          <cell r="BG528">
            <v>0.28499999999999998</v>
          </cell>
          <cell r="BH528">
            <v>0.29749999999999999</v>
          </cell>
          <cell r="BI528">
            <v>0.3</v>
          </cell>
          <cell r="BJ528">
            <v>0.3</v>
          </cell>
          <cell r="BL528">
            <v>0.26522905177014766</v>
          </cell>
          <cell r="BM528">
            <v>0.3</v>
          </cell>
          <cell r="BN528">
            <v>0.30249999999999999</v>
          </cell>
          <cell r="BO528">
            <v>0.30249999999999999</v>
          </cell>
          <cell r="BQ528">
            <v>0.26772905177014766</v>
          </cell>
          <cell r="BR528">
            <v>0.30249999999999999</v>
          </cell>
          <cell r="BS528">
            <v>0.30499999999999999</v>
          </cell>
          <cell r="BT528">
            <v>0.30499999999999999</v>
          </cell>
          <cell r="BV528">
            <v>0.27022905177014767</v>
          </cell>
          <cell r="BW528">
            <v>0.30499999999999999</v>
          </cell>
          <cell r="BX528">
            <v>0.3075</v>
          </cell>
          <cell r="BY528">
            <v>0.3075</v>
          </cell>
        </row>
        <row r="529">
          <cell r="B529" t="str">
            <v>BEAR</v>
          </cell>
          <cell r="BE529">
            <v>0.26500000000000001</v>
          </cell>
          <cell r="BG529">
            <v>0.26999999999999996</v>
          </cell>
          <cell r="BH529">
            <v>0.28249999999999997</v>
          </cell>
          <cell r="BI529">
            <v>0.28499999999999998</v>
          </cell>
          <cell r="BJ529">
            <v>0.28499999999999998</v>
          </cell>
          <cell r="BL529">
            <v>0.25022905177014765</v>
          </cell>
          <cell r="BM529">
            <v>0.28499999999999998</v>
          </cell>
          <cell r="BN529">
            <v>0.28749999999999998</v>
          </cell>
          <cell r="BO529">
            <v>0.28749999999999998</v>
          </cell>
          <cell r="BQ529">
            <v>0.25272905177014765</v>
          </cell>
          <cell r="BR529">
            <v>0.28749999999999998</v>
          </cell>
          <cell r="BS529">
            <v>0.28999999999999998</v>
          </cell>
          <cell r="BT529">
            <v>0.28999999999999998</v>
          </cell>
          <cell r="BV529">
            <v>0.25522905177014765</v>
          </cell>
          <cell r="BW529">
            <v>0.28999999999999998</v>
          </cell>
          <cell r="BX529">
            <v>0.29249999999999998</v>
          </cell>
          <cell r="BY529">
            <v>0.29249999999999998</v>
          </cell>
        </row>
        <row r="530">
          <cell r="B530" t="str">
            <v>y/y change</v>
          </cell>
          <cell r="AR530">
            <v>-0.33349514563106797</v>
          </cell>
          <cell r="AS530">
            <v>-0.23931440353967104</v>
          </cell>
          <cell r="AT530">
            <v>-0.27425211827771057</v>
          </cell>
          <cell r="AU530">
            <v>-0.19443428803575047</v>
          </cell>
          <cell r="AV530">
            <v>-0.2620698116679957</v>
          </cell>
          <cell r="AW530">
            <v>-0.21116028909182583</v>
          </cell>
          <cell r="AX530">
            <v>0.20081319177772761</v>
          </cell>
          <cell r="AY530">
            <v>0.74029068382177754</v>
          </cell>
          <cell r="AZ530">
            <v>0.55872711684905951</v>
          </cell>
          <cell r="BA530">
            <v>0.32274780391830848</v>
          </cell>
          <cell r="BB530">
            <v>1.15625</v>
          </cell>
          <cell r="BC530">
            <v>0.56612114371708055</v>
          </cell>
          <cell r="BD530">
            <v>7.8210569550930975E-2</v>
          </cell>
          <cell r="BE530">
            <v>7.8814546395755247E-2</v>
          </cell>
          <cell r="BF530">
            <v>0.34607407717769312</v>
          </cell>
          <cell r="BG530">
            <v>-2.7140974967061915E-2</v>
          </cell>
          <cell r="BH530">
            <v>3.1023806072434823E-2</v>
          </cell>
          <cell r="BI530">
            <v>0.1035696501946366</v>
          </cell>
          <cell r="BJ530">
            <v>6.3011649139462778E-2</v>
          </cell>
          <cell r="BK530">
            <v>4.3365441334026311E-2</v>
          </cell>
          <cell r="BL530">
            <v>5.1448301120660789E-2</v>
          </cell>
          <cell r="BM530">
            <v>3.8314628728321365E-2</v>
          </cell>
          <cell r="BN530">
            <v>4.0910252158530946E-2</v>
          </cell>
          <cell r="BO530">
            <v>4.2023314812389634E-2</v>
          </cell>
          <cell r="BP530">
            <v>4.2861204707350664E-2</v>
          </cell>
          <cell r="BQ530">
            <v>4.4424048803145322E-2</v>
          </cell>
          <cell r="BR530">
            <v>4.4123954202537341E-2</v>
          </cell>
          <cell r="BS530">
            <v>4.5173206006931865E-2</v>
          </cell>
          <cell r="BT530">
            <v>4.5779269068636497E-2</v>
          </cell>
          <cell r="BU530">
            <v>4.489938554538897E-2</v>
          </cell>
          <cell r="BV530">
            <v>4.8572604797387786E-2</v>
          </cell>
          <cell r="BW530">
            <v>4.8220625617956037E-2</v>
          </cell>
          <cell r="BX530">
            <v>4.9208438952824007E-2</v>
          </cell>
          <cell r="BY530">
            <v>4.9694723007658093E-2</v>
          </cell>
          <cell r="BZ530">
            <v>4.8944172403101005E-2</v>
          </cell>
        </row>
        <row r="531">
          <cell r="B531" t="str">
            <v>Margin change (bps)</v>
          </cell>
          <cell r="AR531">
            <v>-972.29177414346191</v>
          </cell>
          <cell r="AS531">
            <v>-715.8297124005727</v>
          </cell>
          <cell r="AT531">
            <v>-710.01029916441473</v>
          </cell>
          <cell r="AU531">
            <v>-489.73846542717581</v>
          </cell>
          <cell r="AV531">
            <v>-719.8703597732889</v>
          </cell>
          <cell r="AW531">
            <v>-440.17010756259106</v>
          </cell>
          <cell r="AX531">
            <v>273.51587074635393</v>
          </cell>
          <cell r="AY531">
            <v>1069.9265111041518</v>
          </cell>
          <cell r="AZ531">
            <v>913.33185102377843</v>
          </cell>
          <cell r="BA531">
            <v>460.23151299699276</v>
          </cell>
          <cell r="BB531">
            <v>1435.0647707433989</v>
          </cell>
          <cell r="BC531">
            <v>986.78773767711061</v>
          </cell>
          <cell r="BD531">
            <v>133.83671135496655</v>
          </cell>
          <cell r="BE531">
            <v>121.67453721705357</v>
          </cell>
          <cell r="BF531">
            <v>663.47834529251247</v>
          </cell>
          <cell r="BG531">
            <v>-126.12631296701593</v>
          </cell>
          <cell r="BH531">
            <v>12.0040838842278</v>
          </cell>
          <cell r="BI531">
            <v>169.49259149437012</v>
          </cell>
          <cell r="BJ531">
            <v>85.467545408456914</v>
          </cell>
          <cell r="BK531">
            <v>36.831518888139627</v>
          </cell>
          <cell r="BL531">
            <v>25.000000000000021</v>
          </cell>
          <cell r="BM531">
            <v>25.000000000000021</v>
          </cell>
          <cell r="BN531">
            <v>25.000000000000021</v>
          </cell>
          <cell r="BO531">
            <v>25.000000000000021</v>
          </cell>
          <cell r="BP531">
            <v>24.381457262276363</v>
          </cell>
          <cell r="BQ531">
            <v>25.000000000000021</v>
          </cell>
          <cell r="BR531">
            <v>25.000000000000021</v>
          </cell>
          <cell r="BS531">
            <v>25.000000000000021</v>
          </cell>
          <cell r="BT531">
            <v>25.000000000000021</v>
          </cell>
          <cell r="BU531">
            <v>25.121054109409901</v>
          </cell>
          <cell r="BV531">
            <v>25.000000000000021</v>
          </cell>
          <cell r="BW531">
            <v>25.000000000000021</v>
          </cell>
          <cell r="BX531">
            <v>25.000000000000021</v>
          </cell>
          <cell r="BY531">
            <v>25.000000000000021</v>
          </cell>
          <cell r="BZ531">
            <v>25.1104194574453</v>
          </cell>
        </row>
        <row r="533">
          <cell r="B533" t="str">
            <v>All Other (Long-Term Target 15-20%)</v>
          </cell>
          <cell r="AM533">
            <v>-6.21</v>
          </cell>
          <cell r="AN533">
            <v>1.8280000000000001</v>
          </cell>
          <cell r="AO533">
            <v>-3.1960000000000002</v>
          </cell>
          <cell r="AP533">
            <v>-8.6379999999999999</v>
          </cell>
          <cell r="AQ533">
            <v>-16.216000000000001</v>
          </cell>
          <cell r="AR533">
            <v>-3.335</v>
          </cell>
          <cell r="AS533">
            <v>2.0169999999999999</v>
          </cell>
          <cell r="AT533">
            <v>-5.867</v>
          </cell>
          <cell r="AU533">
            <v>-5.92</v>
          </cell>
          <cell r="AV533">
            <v>-13.105</v>
          </cell>
          <cell r="AW533">
            <v>0.51800000000000002</v>
          </cell>
          <cell r="AX533">
            <v>-1.01</v>
          </cell>
          <cell r="AY533">
            <v>-3.282</v>
          </cell>
          <cell r="AZ533">
            <v>-2.984</v>
          </cell>
          <cell r="BA533">
            <v>-6.758</v>
          </cell>
          <cell r="BB533">
            <v>2.74</v>
          </cell>
          <cell r="BC533">
            <v>6.2069999999999999</v>
          </cell>
          <cell r="BD533">
            <v>7.2999999999999995E-2</v>
          </cell>
          <cell r="BE533">
            <v>0.45200000000000001</v>
          </cell>
          <cell r="BF533">
            <v>9.4719999999999995</v>
          </cell>
          <cell r="BG533">
            <v>5.5179999999999998</v>
          </cell>
          <cell r="BH533">
            <v>4.0900301460937509</v>
          </cell>
          <cell r="BI533">
            <v>1.5624376734375001</v>
          </cell>
          <cell r="BJ533">
            <v>1.5866870613281254</v>
          </cell>
          <cell r="BK533">
            <v>12.757154880859376</v>
          </cell>
          <cell r="BL533">
            <v>6.7309602363008443</v>
          </cell>
          <cell r="BM533">
            <v>5.1620429739192577</v>
          </cell>
          <cell r="BN533">
            <v>2.282967579015156</v>
          </cell>
          <cell r="BO533">
            <v>2.2857639281625981</v>
          </cell>
          <cell r="BP533">
            <v>16.461734717397857</v>
          </cell>
          <cell r="BQ533">
            <v>8.0439736840467031</v>
          </cell>
          <cell r="BR533">
            <v>6.3231353242738546</v>
          </cell>
          <cell r="BS533">
            <v>3.1009978396869191</v>
          </cell>
          <cell r="BT533">
            <v>3.1068806314914745</v>
          </cell>
          <cell r="BU533">
            <v>20.574987479498951</v>
          </cell>
          <cell r="BV533">
            <v>9.4956028859779043</v>
          </cell>
          <cell r="BW533">
            <v>7.6195584400213843</v>
          </cell>
          <cell r="BX533">
            <v>4.0492806089971438</v>
          </cell>
          <cell r="BY533">
            <v>3.9094314943744619</v>
          </cell>
          <cell r="BZ533">
            <v>25.073873429370895</v>
          </cell>
        </row>
        <row r="534">
          <cell r="B534" t="str">
            <v>Margin %</v>
          </cell>
          <cell r="AM534">
            <v>-0.47404580152671755</v>
          </cell>
          <cell r="AN534">
            <v>8.2342342342342348E-2</v>
          </cell>
          <cell r="AO534">
            <v>-0.18911242603550299</v>
          </cell>
          <cell r="AP534">
            <v>-0.55371794871794866</v>
          </cell>
          <cell r="AQ534">
            <v>-0.23917404129793512</v>
          </cell>
          <cell r="AR534">
            <v>-0.17460732984293192</v>
          </cell>
          <cell r="AS534">
            <v>8.1330645161290321E-2</v>
          </cell>
          <cell r="AT534">
            <v>-0.31713513513513514</v>
          </cell>
          <cell r="AU534">
            <v>-0.36543209876543209</v>
          </cell>
          <cell r="AV534">
            <v>-0.16673027989821884</v>
          </cell>
          <cell r="AW534">
            <v>2.3125E-2</v>
          </cell>
          <cell r="AX534">
            <v>-4.4104803493449786E-2</v>
          </cell>
          <cell r="AY534">
            <v>-0.17365079365079364</v>
          </cell>
          <cell r="AZ534">
            <v>-0.16109701452248557</v>
          </cell>
          <cell r="BA534">
            <v>-8.1694329267555585E-2</v>
          </cell>
          <cell r="BB534">
            <v>0.11439545758183034</v>
          </cell>
          <cell r="BC534">
            <v>0.23794372460323546</v>
          </cell>
          <cell r="BD534">
            <v>3.7646330772007626E-3</v>
          </cell>
          <cell r="BE534">
            <v>2.3376086057095576E-2</v>
          </cell>
          <cell r="BF534">
            <v>0.1067087252858672</v>
          </cell>
          <cell r="BG534">
            <v>0.21765541180183021</v>
          </cell>
          <cell r="BH534">
            <v>0.15</v>
          </cell>
          <cell r="BI534">
            <v>7.4999999999999997E-2</v>
          </cell>
          <cell r="BJ534">
            <v>7.4999999999999997E-2</v>
          </cell>
          <cell r="BK534">
            <v>0.13484338640606164</v>
          </cell>
          <cell r="BL534">
            <v>0.2376554118018302</v>
          </cell>
          <cell r="BM534">
            <v>0.16999999999999998</v>
          </cell>
          <cell r="BN534">
            <v>9.5000000000000001E-2</v>
          </cell>
          <cell r="BO534">
            <v>9.5000000000000001E-2</v>
          </cell>
          <cell r="BP534">
            <v>0.15416608695735229</v>
          </cell>
          <cell r="BQ534">
            <v>0.25765541180183021</v>
          </cell>
          <cell r="BR534">
            <v>0.18999999999999997</v>
          </cell>
          <cell r="BS534">
            <v>0.115</v>
          </cell>
          <cell r="BT534">
            <v>0.115</v>
          </cell>
          <cell r="BU534">
            <v>0.17365628077178855</v>
          </cell>
          <cell r="BV534">
            <v>0.27765541180183023</v>
          </cell>
          <cell r="BW534">
            <v>0.20999999999999996</v>
          </cell>
          <cell r="BX534">
            <v>0.13500000000000001</v>
          </cell>
          <cell r="BY534">
            <v>0.13</v>
          </cell>
          <cell r="BZ534">
            <v>0.19206327286090014</v>
          </cell>
        </row>
        <row r="535">
          <cell r="B535" t="str">
            <v>BULL</v>
          </cell>
          <cell r="BE535">
            <v>-5.000000000000001E-3</v>
          </cell>
          <cell r="BG535">
            <v>7.0000000000000007E-2</v>
          </cell>
          <cell r="BH535">
            <v>0.16999999999999998</v>
          </cell>
          <cell r="BI535">
            <v>9.5000000000000001E-2</v>
          </cell>
          <cell r="BJ535">
            <v>9.5000000000000001E-2</v>
          </cell>
          <cell r="BL535">
            <v>0.25765541180183021</v>
          </cell>
          <cell r="BM535">
            <v>0.18999999999999997</v>
          </cell>
          <cell r="BN535">
            <v>0.115</v>
          </cell>
          <cell r="BO535">
            <v>0.115</v>
          </cell>
          <cell r="BQ535">
            <v>0.27765541180183023</v>
          </cell>
          <cell r="BR535">
            <v>0.20999999999999996</v>
          </cell>
          <cell r="BS535">
            <v>0.13500000000000001</v>
          </cell>
          <cell r="BT535">
            <v>0.13500000000000001</v>
          </cell>
          <cell r="BV535">
            <v>0.29765541180183025</v>
          </cell>
          <cell r="BW535">
            <v>0.22999999999999995</v>
          </cell>
          <cell r="BX535">
            <v>0.155</v>
          </cell>
          <cell r="BY535">
            <v>0.15</v>
          </cell>
        </row>
        <row r="536">
          <cell r="B536" t="str">
            <v>BASE</v>
          </cell>
          <cell r="BE536">
            <v>-2.5000000000000001E-2</v>
          </cell>
          <cell r="BG536">
            <v>0.05</v>
          </cell>
          <cell r="BH536">
            <v>0.15</v>
          </cell>
          <cell r="BI536">
            <v>7.4999999999999997E-2</v>
          </cell>
          <cell r="BJ536">
            <v>7.4999999999999997E-2</v>
          </cell>
          <cell r="BL536">
            <v>0.2376554118018302</v>
          </cell>
          <cell r="BM536">
            <v>0.16999999999999998</v>
          </cell>
          <cell r="BN536">
            <v>9.5000000000000001E-2</v>
          </cell>
          <cell r="BO536">
            <v>9.5000000000000001E-2</v>
          </cell>
          <cell r="BQ536">
            <v>0.25765541180183021</v>
          </cell>
          <cell r="BR536">
            <v>0.18999999999999997</v>
          </cell>
          <cell r="BS536">
            <v>0.115</v>
          </cell>
          <cell r="BT536">
            <v>0.115</v>
          </cell>
          <cell r="BV536">
            <v>0.27765541180183023</v>
          </cell>
          <cell r="BW536">
            <v>0.20999999999999996</v>
          </cell>
          <cell r="BX536">
            <v>0.13500000000000001</v>
          </cell>
          <cell r="BY536">
            <v>0.13</v>
          </cell>
        </row>
        <row r="537">
          <cell r="B537" t="str">
            <v>BEAR</v>
          </cell>
          <cell r="BE537">
            <v>-0.04</v>
          </cell>
          <cell r="BG537">
            <v>3.5000000000000003E-2</v>
          </cell>
          <cell r="BH537">
            <v>0.13500000000000001</v>
          </cell>
          <cell r="BI537">
            <v>0.06</v>
          </cell>
          <cell r="BJ537">
            <v>0.06</v>
          </cell>
          <cell r="BL537">
            <v>0.22265541180183018</v>
          </cell>
          <cell r="BM537">
            <v>0.15499999999999997</v>
          </cell>
          <cell r="BN537">
            <v>0.08</v>
          </cell>
          <cell r="BO537">
            <v>0.08</v>
          </cell>
          <cell r="BQ537">
            <v>0.2426554118018302</v>
          </cell>
          <cell r="BR537">
            <v>0.17499999999999999</v>
          </cell>
          <cell r="BS537">
            <v>0.1</v>
          </cell>
          <cell r="BT537">
            <v>0.1</v>
          </cell>
          <cell r="BV537">
            <v>0.26265541180183022</v>
          </cell>
          <cell r="BW537">
            <v>0.19499999999999995</v>
          </cell>
          <cell r="BX537">
            <v>0.12000000000000001</v>
          </cell>
          <cell r="BY537">
            <v>0.115</v>
          </cell>
        </row>
        <row r="538">
          <cell r="B538" t="str">
            <v>y/y change</v>
          </cell>
          <cell r="AR538">
            <v>-0.46296296296296302</v>
          </cell>
          <cell r="AS538">
            <v>0.10339168490153172</v>
          </cell>
          <cell r="AT538">
            <v>0.83573216520650795</v>
          </cell>
          <cell r="AU538">
            <v>-0.31465617040981708</v>
          </cell>
          <cell r="AV538">
            <v>-0.19184755796743957</v>
          </cell>
          <cell r="AW538">
            <v>-1.1553223388305847</v>
          </cell>
          <cell r="AX538">
            <v>-1.5007436787307884</v>
          </cell>
          <cell r="AY538">
            <v>-0.44059996591102779</v>
          </cell>
          <cell r="AZ538">
            <v>-0.49594594594594599</v>
          </cell>
          <cell r="BA538">
            <v>-0.48431896222815718</v>
          </cell>
          <cell r="BB538">
            <v>4.2895752895752901</v>
          </cell>
          <cell r="BC538">
            <v>-7.1455445544554452</v>
          </cell>
          <cell r="BD538">
            <v>-1.02224253503961</v>
          </cell>
          <cell r="BE538">
            <v>-1.1514745308310992</v>
          </cell>
          <cell r="BF538">
            <v>-2.4015981059485054</v>
          </cell>
          <cell r="BG538">
            <v>1.013868613138686</v>
          </cell>
          <cell r="BH538">
            <v>-0.3410616809902125</v>
          </cell>
          <cell r="BI538">
            <v>20.403255800513701</v>
          </cell>
          <cell r="BJ538">
            <v>2.510369604708242</v>
          </cell>
          <cell r="BK538">
            <v>0.34682800684748494</v>
          </cell>
          <cell r="BL538">
            <v>0.21981881774208856</v>
          </cell>
          <cell r="BM538">
            <v>0.26210389398947331</v>
          </cell>
          <cell r="BN538">
            <v>0.46115753468260068</v>
          </cell>
          <cell r="BO538">
            <v>0.440589000738</v>
          </cell>
          <cell r="BP538">
            <v>0.29039232267194381</v>
          </cell>
          <cell r="BQ538">
            <v>0.19507074795430013</v>
          </cell>
          <cell r="BR538">
            <v>0.22492884236355803</v>
          </cell>
          <cell r="BS538">
            <v>0.35831882510773605</v>
          </cell>
          <cell r="BT538">
            <v>0.35923075572766061</v>
          </cell>
          <cell r="BU538">
            <v>0.24986751595224854</v>
          </cell>
          <cell r="BV538">
            <v>0.18046170449440435</v>
          </cell>
          <cell r="BW538">
            <v>0.20502852608115107</v>
          </cell>
          <cell r="BX538">
            <v>0.30579923570858236</v>
          </cell>
          <cell r="BY538">
            <v>0.25831403200634662</v>
          </cell>
          <cell r="BZ538">
            <v>0.21865801640728399</v>
          </cell>
        </row>
        <row r="539">
          <cell r="B539" t="str">
            <v>Margin change (bps)</v>
          </cell>
          <cell r="AR539">
            <v>2994.3847168378561</v>
          </cell>
          <cell r="AS539">
            <v>-10.116971810520264</v>
          </cell>
          <cell r="AT539">
            <v>-1280.2270909963215</v>
          </cell>
          <cell r="AU539">
            <v>1882.8584995251656</v>
          </cell>
          <cell r="AV539">
            <v>724.43761399716288</v>
          </cell>
          <cell r="AW539">
            <v>1977.3232984293193</v>
          </cell>
          <cell r="AX539">
            <v>-1254.3544865474009</v>
          </cell>
          <cell r="AY539">
            <v>1434.8434148434151</v>
          </cell>
          <cell r="AZ539">
            <v>2043.3508424294653</v>
          </cell>
          <cell r="BA539">
            <v>850.35950630663251</v>
          </cell>
          <cell r="BB539">
            <v>912.70457581830328</v>
          </cell>
          <cell r="BC539">
            <v>2820.4852809668523</v>
          </cell>
          <cell r="BD539">
            <v>1774.154267279944</v>
          </cell>
          <cell r="BE539">
            <v>1844.7310057958114</v>
          </cell>
          <cell r="BF539">
            <v>1884.0305455342277</v>
          </cell>
          <cell r="BG539">
            <v>1032.5995421999987</v>
          </cell>
          <cell r="BH539">
            <v>-879.43724603235466</v>
          </cell>
          <cell r="BI539">
            <v>712.35366922799233</v>
          </cell>
          <cell r="BJ539">
            <v>516.23913942904426</v>
          </cell>
          <cell r="BK539">
            <v>281.34661120194443</v>
          </cell>
          <cell r="BL539">
            <v>199.99999999999989</v>
          </cell>
          <cell r="BM539">
            <v>199.99999999999989</v>
          </cell>
          <cell r="BN539">
            <v>200.00000000000003</v>
          </cell>
          <cell r="BO539">
            <v>200.00000000000003</v>
          </cell>
          <cell r="BP539">
            <v>193.22700551290652</v>
          </cell>
          <cell r="BQ539">
            <v>200.00000000000017</v>
          </cell>
          <cell r="BR539">
            <v>199.99999999999989</v>
          </cell>
          <cell r="BS539">
            <v>200.00000000000003</v>
          </cell>
          <cell r="BT539">
            <v>200.00000000000003</v>
          </cell>
          <cell r="BU539">
            <v>194.90193814436256</v>
          </cell>
          <cell r="BV539">
            <v>200.00000000000017</v>
          </cell>
          <cell r="BW539">
            <v>199.99999999999989</v>
          </cell>
          <cell r="BX539">
            <v>200.00000000000003</v>
          </cell>
          <cell r="BY539">
            <v>150</v>
          </cell>
          <cell r="BZ539">
            <v>184.06992089111591</v>
          </cell>
        </row>
        <row r="541">
          <cell r="A541" t="str">
            <v>Total Adj. EBITDA</v>
          </cell>
          <cell r="AM541">
            <v>98.654000000000011</v>
          </cell>
          <cell r="AN541">
            <v>105.52</v>
          </cell>
          <cell r="AO541">
            <v>100.54</v>
          </cell>
          <cell r="AP541">
            <v>100.43399999999998</v>
          </cell>
          <cell r="AQ541">
            <v>405.14799999999997</v>
          </cell>
          <cell r="AR541">
            <v>96.603000000000009</v>
          </cell>
          <cell r="AS541">
            <v>105.89399999999999</v>
          </cell>
          <cell r="AT541">
            <v>101.952</v>
          </cell>
          <cell r="AU541">
            <v>104.30499999999999</v>
          </cell>
          <cell r="AV541">
            <v>408.75400000000002</v>
          </cell>
          <cell r="AW541">
            <v>107.651</v>
          </cell>
          <cell r="AX541">
            <v>118.27099999999999</v>
          </cell>
          <cell r="AY541">
            <v>128.86099999999999</v>
          </cell>
          <cell r="AZ541">
            <v>126.914</v>
          </cell>
          <cell r="BA541">
            <v>481.69700000000006</v>
          </cell>
          <cell r="BB541">
            <v>133.149</v>
          </cell>
          <cell r="BC541">
            <v>146.02699999999999</v>
          </cell>
          <cell r="BD541">
            <v>143.32400000000001</v>
          </cell>
          <cell r="BE541">
            <v>146.95699999999999</v>
          </cell>
          <cell r="BF541">
            <v>569.45699999999999</v>
          </cell>
          <cell r="BG541">
            <v>150.691</v>
          </cell>
          <cell r="BH541">
            <v>158.60321130360154</v>
          </cell>
          <cell r="BI541">
            <v>160.0787858475197</v>
          </cell>
          <cell r="BJ541">
            <v>162.28056063171528</v>
          </cell>
          <cell r="BK541">
            <v>631.65355778283651</v>
          </cell>
          <cell r="BL541">
            <v>164.42470197087428</v>
          </cell>
          <cell r="BM541">
            <v>170.89741091089155</v>
          </cell>
          <cell r="BN541">
            <v>173.03684516196128</v>
          </cell>
          <cell r="BO541">
            <v>175.67622027235498</v>
          </cell>
          <cell r="BP541">
            <v>684.03517831608201</v>
          </cell>
          <cell r="BQ541">
            <v>178.12721208219358</v>
          </cell>
          <cell r="BR541">
            <v>184.95809825314456</v>
          </cell>
          <cell r="BS541">
            <v>187.66976956757276</v>
          </cell>
          <cell r="BT541">
            <v>190.70817983785614</v>
          </cell>
          <cell r="BU541">
            <v>741.46325974076694</v>
          </cell>
          <cell r="BV541">
            <v>193.40554951937887</v>
          </cell>
          <cell r="BW541">
            <v>200.58289617475478</v>
          </cell>
          <cell r="BX541">
            <v>203.84840078867597</v>
          </cell>
          <cell r="BY541">
            <v>207.11829975880028</v>
          </cell>
          <cell r="BZ541">
            <v>804.9551462416099</v>
          </cell>
        </row>
        <row r="542">
          <cell r="B542" t="str">
            <v>Margin %</v>
          </cell>
          <cell r="AM542">
            <v>0.44928295253232292</v>
          </cell>
          <cell r="AN542">
            <v>0.46215230178300043</v>
          </cell>
          <cell r="AO542">
            <v>0.43962867249981424</v>
          </cell>
          <cell r="AP542">
            <v>0.42414260556688743</v>
          </cell>
          <cell r="AQ542">
            <v>0.44356518026253844</v>
          </cell>
          <cell r="AR542">
            <v>0.40301627033792242</v>
          </cell>
          <cell r="AS542">
            <v>0.4164218722350026</v>
          </cell>
          <cell r="AT542">
            <v>0.40528389192111525</v>
          </cell>
          <cell r="AU542">
            <v>0.4153046151150892</v>
          </cell>
          <cell r="AV542">
            <v>0.41010529695346165</v>
          </cell>
          <cell r="AW542">
            <v>0.40966207473932559</v>
          </cell>
          <cell r="AX542">
            <v>0.43713409225310462</v>
          </cell>
          <cell r="AY542">
            <v>0.47943462424240169</v>
          </cell>
          <cell r="AZ542">
            <v>0.46506872657048737</v>
          </cell>
          <cell r="BA542">
            <v>0.44808606431568082</v>
          </cell>
          <cell r="BB542">
            <v>0.47753095098053283</v>
          </cell>
          <cell r="BC542">
            <v>0.50250863742102436</v>
          </cell>
          <cell r="BD542">
            <v>0.49690569386998024</v>
          </cell>
          <cell r="BE542">
            <v>0.5018817534800486</v>
          </cell>
          <cell r="BF542">
            <v>0.49490156407655866</v>
          </cell>
          <cell r="BG542">
            <v>0.50065284777849028</v>
          </cell>
          <cell r="BH542">
            <v>0.50913002389384565</v>
          </cell>
          <cell r="BI542">
            <v>0.51403869682034942</v>
          </cell>
          <cell r="BJ542">
            <v>0.51676415559770872</v>
          </cell>
          <cell r="BK542">
            <v>0.51024358536093051</v>
          </cell>
          <cell r="BL542">
            <v>0.50779898369085852</v>
          </cell>
          <cell r="BM542">
            <v>0.51529000711946482</v>
          </cell>
          <cell r="BN542">
            <v>0.51917485423055076</v>
          </cell>
          <cell r="BO542">
            <v>0.52235322464663969</v>
          </cell>
          <cell r="BP542">
            <v>0.51622934804897391</v>
          </cell>
          <cell r="BQ542">
            <v>0.51500604436589459</v>
          </cell>
          <cell r="BR542">
            <v>0.52197927734205896</v>
          </cell>
          <cell r="BS542">
            <v>0.52508972671888932</v>
          </cell>
          <cell r="BT542">
            <v>0.52823274345755911</v>
          </cell>
          <cell r="BU542">
            <v>0.52265423117476051</v>
          </cell>
          <cell r="BV542">
            <v>0.52220907871766664</v>
          </cell>
          <cell r="BW542">
            <v>0.52867871520220033</v>
          </cell>
          <cell r="BX542">
            <v>0.53101591159256067</v>
          </cell>
          <cell r="BY542">
            <v>0.53369656198256021</v>
          </cell>
          <cell r="BZ542">
            <v>0.52897341474855419</v>
          </cell>
        </row>
        <row r="543">
          <cell r="B543" t="str">
            <v>Margin change (bps)</v>
          </cell>
          <cell r="AR543">
            <v>-462.66682194400499</v>
          </cell>
          <cell r="AS543">
            <v>-457.30429547997829</v>
          </cell>
          <cell r="AT543">
            <v>-343.44780578698999</v>
          </cell>
          <cell r="AU543">
            <v>-88.379904517982283</v>
          </cell>
          <cell r="AV543">
            <v>-334.59883309076787</v>
          </cell>
          <cell r="AW543">
            <v>66.458044014031657</v>
          </cell>
          <cell r="AX543">
            <v>207.12220018102022</v>
          </cell>
          <cell r="AY543">
            <v>741.50732321286443</v>
          </cell>
          <cell r="AZ543">
            <v>497.64111455398165</v>
          </cell>
          <cell r="BA543">
            <v>379.80767362219171</v>
          </cell>
          <cell r="BB543">
            <v>678.68876241207238</v>
          </cell>
          <cell r="BC543">
            <v>653.74545167919734</v>
          </cell>
          <cell r="BD543">
            <v>174.71069627578549</v>
          </cell>
          <cell r="BE543">
            <v>368.13026909561233</v>
          </cell>
          <cell r="BF543">
            <v>468.15499760877844</v>
          </cell>
          <cell r="BG543">
            <v>231.21896797957453</v>
          </cell>
          <cell r="BH543">
            <v>66.213864728212883</v>
          </cell>
          <cell r="BI543">
            <v>171.3300295036918</v>
          </cell>
          <cell r="BJ543">
            <v>148.82402117660121</v>
          </cell>
          <cell r="BK543">
            <v>153.42021284371842</v>
          </cell>
          <cell r="BL543">
            <v>71.461359123682342</v>
          </cell>
          <cell r="BM543">
            <v>61.599832256191704</v>
          </cell>
          <cell r="BN543">
            <v>51.361574102013478</v>
          </cell>
          <cell r="BO543">
            <v>55.890690489309726</v>
          </cell>
          <cell r="BP543">
            <v>59.857626880434054</v>
          </cell>
          <cell r="BQ543">
            <v>72.070606750360696</v>
          </cell>
          <cell r="BR543">
            <v>66.892702225941349</v>
          </cell>
          <cell r="BS543">
            <v>59.148724883385519</v>
          </cell>
          <cell r="BT543">
            <v>58.79518810919415</v>
          </cell>
          <cell r="BU543">
            <v>64.248831257865959</v>
          </cell>
          <cell r="BV543">
            <v>72.030343517720524</v>
          </cell>
          <cell r="BW543">
            <v>66.994378601413771</v>
          </cell>
          <cell r="BX543">
            <v>59.261848736713588</v>
          </cell>
          <cell r="BY543">
            <v>54.638185250011077</v>
          </cell>
          <cell r="BZ543">
            <v>63.191835737936856</v>
          </cell>
        </row>
        <row r="544">
          <cell r="A544" t="str">
            <v>Adj. EBITDA (from inc statement)</v>
          </cell>
          <cell r="BB544">
            <v>133.14899999999997</v>
          </cell>
          <cell r="BC544">
            <v>146.02700000000002</v>
          </cell>
          <cell r="BD544">
            <v>143.32400000000004</v>
          </cell>
          <cell r="BE544">
            <v>146.95699999999999</v>
          </cell>
          <cell r="BF544">
            <v>569.45699999999999</v>
          </cell>
          <cell r="BG544">
            <v>150.69099999999997</v>
          </cell>
          <cell r="BH544">
            <v>158.61780893530022</v>
          </cell>
          <cell r="BI544">
            <v>159.84095656236559</v>
          </cell>
          <cell r="BJ544">
            <v>162.08487301724054</v>
          </cell>
          <cell r="BK544">
            <v>631.22663851490643</v>
          </cell>
          <cell r="BL544">
            <v>684.02545943090399</v>
          </cell>
          <cell r="BM544">
            <v>741.42874661289022</v>
          </cell>
          <cell r="BN544">
            <v>805.05596177833309</v>
          </cell>
          <cell r="BO544">
            <v>0.10818168112015636</v>
          </cell>
          <cell r="BP544">
            <v>684.02545943090399</v>
          </cell>
          <cell r="BU544">
            <v>741.42874661289022</v>
          </cell>
          <cell r="BZ544">
            <v>805.05596177833309</v>
          </cell>
        </row>
        <row r="545">
          <cell r="B545" t="str">
            <v>var</v>
          </cell>
          <cell r="BB545">
            <v>0</v>
          </cell>
          <cell r="BC545">
            <v>0</v>
          </cell>
          <cell r="BD545">
            <v>0</v>
          </cell>
          <cell r="BE545">
            <v>0</v>
          </cell>
          <cell r="BF545">
            <v>0</v>
          </cell>
          <cell r="BG545">
            <v>0</v>
          </cell>
          <cell r="BH545">
            <v>-1.459763169867756E-2</v>
          </cell>
          <cell r="BI545">
            <v>0.23782928515410617</v>
          </cell>
          <cell r="BJ545">
            <v>0.19568761447473548</v>
          </cell>
          <cell r="BK545">
            <v>0.42691926793008861</v>
          </cell>
          <cell r="BP545">
            <v>9.7188851780174446E-3</v>
          </cell>
          <cell r="BU545">
            <v>3.4513127876721228E-2</v>
          </cell>
          <cell r="BZ545">
            <v>-0.10081553672318933</v>
          </cell>
        </row>
      </sheetData>
      <sheetData sheetId="6"/>
      <sheetData sheetId="7"/>
      <sheetData sheetId="8"/>
      <sheetData sheetId="9"/>
      <sheetData sheetId="10"/>
      <sheetData sheetId="11"/>
      <sheetData sheetId="12"/>
      <sheetData sheetId="13"/>
      <sheetData sheetId="14"/>
      <sheetData sheetId="15"/>
      <sheetData sheetId="16"/>
      <sheetData sheetId="17" refreshError="1">
        <row r="1">
          <cell r="A1" t="str">
            <v>Performance Statistics</v>
          </cell>
        </row>
        <row r="3">
          <cell r="A3" t="str">
            <v>Run Rate</v>
          </cell>
          <cell r="B3" t="str">
            <v>Q410</v>
          </cell>
          <cell r="C3" t="str">
            <v>Q409</v>
          </cell>
          <cell r="D3" t="str">
            <v>% chg</v>
          </cell>
          <cell r="F3" t="str">
            <v>Q310</v>
          </cell>
          <cell r="G3" t="str">
            <v>% chg</v>
          </cell>
        </row>
        <row r="4">
          <cell r="A4" t="str">
            <v>Index and ESG products</v>
          </cell>
          <cell r="B4">
            <v>235.37</v>
          </cell>
          <cell r="C4">
            <v>202.785</v>
          </cell>
          <cell r="D4">
            <v>0.16068742757107279</v>
          </cell>
          <cell r="F4">
            <v>224.49600000000001</v>
          </cell>
          <cell r="G4">
            <v>4.8437388639441137E-2</v>
          </cell>
        </row>
        <row r="5">
          <cell r="A5" t="str">
            <v>Risk management analytics</v>
          </cell>
          <cell r="B5">
            <v>235.422</v>
          </cell>
          <cell r="C5">
            <v>197.99700000000001</v>
          </cell>
          <cell r="D5">
            <v>0.18901801542447605</v>
          </cell>
          <cell r="F5">
            <v>224.58099999999999</v>
          </cell>
          <cell r="G5">
            <v>4.8272115628659629E-2</v>
          </cell>
        </row>
        <row r="6">
          <cell r="A6" t="str">
            <v>Portfolio management analytics</v>
          </cell>
          <cell r="B6">
            <v>117.256</v>
          </cell>
          <cell r="C6">
            <v>122.19199999999999</v>
          </cell>
          <cell r="D6">
            <v>-4.0395443236873052E-2</v>
          </cell>
          <cell r="F6">
            <v>121.795</v>
          </cell>
          <cell r="G6">
            <v>-3.7267539718379261E-2</v>
          </cell>
        </row>
        <row r="7">
          <cell r="A7" t="str">
            <v>Energy and commodity analytics</v>
          </cell>
          <cell r="B7">
            <v>15.33</v>
          </cell>
          <cell r="C7">
            <v>15.365</v>
          </cell>
          <cell r="D7">
            <v>-2.277904328018221E-3</v>
          </cell>
          <cell r="F7">
            <v>15.254</v>
          </cell>
          <cell r="G7">
            <v>4.9822997246624645E-3</v>
          </cell>
        </row>
        <row r="8">
          <cell r="A8" t="str">
            <v>Governance</v>
          </cell>
          <cell r="B8">
            <v>105.53400000000001</v>
          </cell>
          <cell r="C8">
            <v>111.84099999999999</v>
          </cell>
          <cell r="D8">
            <v>-5.6392557291154333E-2</v>
          </cell>
          <cell r="F8">
            <v>105.735</v>
          </cell>
          <cell r="G8">
            <v>-1.9009788622499357E-3</v>
          </cell>
        </row>
        <row r="9">
          <cell r="A9" t="str">
            <v>Total Subscription runrate</v>
          </cell>
          <cell r="B9">
            <v>708.91200000000003</v>
          </cell>
          <cell r="C9">
            <v>522.97400000000005</v>
          </cell>
          <cell r="D9">
            <v>0.35553966353967881</v>
          </cell>
          <cell r="F9">
            <v>691.86099999999999</v>
          </cell>
          <cell r="G9">
            <v>2.4645123803769931E-2</v>
          </cell>
        </row>
        <row r="12">
          <cell r="I12" t="str">
            <v>Retention Rates:</v>
          </cell>
          <cell r="J12" t="str">
            <v>Q109</v>
          </cell>
          <cell r="K12" t="str">
            <v>Q209</v>
          </cell>
          <cell r="L12" t="str">
            <v>Q309</v>
          </cell>
          <cell r="M12" t="str">
            <v>Q409</v>
          </cell>
          <cell r="O12" t="str">
            <v>Q110</v>
          </cell>
          <cell r="P12" t="str">
            <v>Q210</v>
          </cell>
          <cell r="Q12" t="str">
            <v>Q310</v>
          </cell>
          <cell r="R12" t="str">
            <v>Q410</v>
          </cell>
        </row>
        <row r="13">
          <cell r="I13" t="str">
            <v>Aggregate Retention Rate</v>
          </cell>
        </row>
        <row r="14">
          <cell r="I14" t="str">
            <v>Index and ESG products</v>
          </cell>
          <cell r="J14">
            <v>0.93799999999999994</v>
          </cell>
          <cell r="K14">
            <v>0.92800000000000005</v>
          </cell>
          <cell r="L14">
            <v>0.90500000000000003</v>
          </cell>
          <cell r="M14">
            <v>0.88500000000000001</v>
          </cell>
          <cell r="O14">
            <v>0.93799999999999994</v>
          </cell>
          <cell r="P14">
            <v>0.92400000000000004</v>
          </cell>
          <cell r="Q14">
            <v>0.90900000000000003</v>
          </cell>
          <cell r="R14">
            <v>0.92100000000000004</v>
          </cell>
        </row>
        <row r="15">
          <cell r="I15" t="str">
            <v>Risk management analytics</v>
          </cell>
          <cell r="J15">
            <v>0.85499999999999998</v>
          </cell>
          <cell r="K15">
            <v>0.79500000000000004</v>
          </cell>
          <cell r="L15">
            <v>0.80400000000000005</v>
          </cell>
          <cell r="M15">
            <v>0.80200000000000005</v>
          </cell>
          <cell r="O15">
            <v>0.81499999999999995</v>
          </cell>
          <cell r="P15">
            <v>0.91300000000000003</v>
          </cell>
          <cell r="Q15">
            <v>0.89700000000000002</v>
          </cell>
          <cell r="R15">
            <v>0.85399999999999998</v>
          </cell>
        </row>
        <row r="16">
          <cell r="I16" t="str">
            <v>Portfolio management analytics</v>
          </cell>
          <cell r="J16">
            <v>0.86499999999999999</v>
          </cell>
          <cell r="K16">
            <v>0.82199999999999995</v>
          </cell>
          <cell r="L16">
            <v>0.69099999999999995</v>
          </cell>
          <cell r="M16">
            <v>0.77700000000000002</v>
          </cell>
          <cell r="O16">
            <v>0.92300000000000004</v>
          </cell>
          <cell r="P16">
            <v>0.84599999999999997</v>
          </cell>
          <cell r="Q16">
            <v>0.83699999999999997</v>
          </cell>
          <cell r="R16">
            <v>0.69099999999999995</v>
          </cell>
        </row>
        <row r="17">
          <cell r="I17" t="str">
            <v>Energy and commodity analytics</v>
          </cell>
          <cell r="J17">
            <v>0.90500000000000003</v>
          </cell>
          <cell r="K17">
            <v>0.91300000000000003</v>
          </cell>
          <cell r="L17">
            <v>0.84499999999999997</v>
          </cell>
          <cell r="M17">
            <v>0.88500000000000001</v>
          </cell>
          <cell r="O17">
            <v>0.85499999999999998</v>
          </cell>
          <cell r="P17">
            <v>0.80500000000000005</v>
          </cell>
          <cell r="Q17">
            <v>0.90500000000000003</v>
          </cell>
          <cell r="R17">
            <v>0.83399999999999996</v>
          </cell>
        </row>
        <row r="18">
          <cell r="I18" t="str">
            <v>Governance</v>
          </cell>
          <cell r="J18">
            <v>0.73</v>
          </cell>
          <cell r="K18">
            <v>0.84599999999999997</v>
          </cell>
          <cell r="L18">
            <v>0.85399999999999998</v>
          </cell>
          <cell r="M18">
            <v>0.78700000000000003</v>
          </cell>
          <cell r="O18">
            <v>0.74199999999999999</v>
          </cell>
          <cell r="P18">
            <v>0.86</v>
          </cell>
          <cell r="Q18">
            <v>0.86399999999999999</v>
          </cell>
          <cell r="R18">
            <v>0.86299999999999999</v>
          </cell>
        </row>
        <row r="19">
          <cell r="I19" t="str">
            <v xml:space="preserve">  Total aggregate retention</v>
          </cell>
          <cell r="J19">
            <v>0.85599999999999998</v>
          </cell>
          <cell r="K19">
            <v>0.85099999999999998</v>
          </cell>
          <cell r="L19">
            <v>0.81899999999999995</v>
          </cell>
          <cell r="M19">
            <v>0.82</v>
          </cell>
          <cell r="O19">
            <v>0.86199999999999999</v>
          </cell>
          <cell r="P19">
            <v>0.89200000000000002</v>
          </cell>
          <cell r="Q19">
            <v>0.88400000000000001</v>
          </cell>
          <cell r="R19">
            <v>0.84599999999999997</v>
          </cell>
        </row>
        <row r="21">
          <cell r="I21" t="str">
            <v>Core Retention Rate</v>
          </cell>
        </row>
        <row r="22">
          <cell r="I22" t="str">
            <v>Index and ESG products</v>
          </cell>
          <cell r="J22">
            <v>0.94</v>
          </cell>
          <cell r="K22">
            <v>0.93100000000000005</v>
          </cell>
          <cell r="L22">
            <v>0.91200000000000003</v>
          </cell>
          <cell r="M22">
            <v>0.89100000000000001</v>
          </cell>
          <cell r="O22">
            <v>0.94499999999999995</v>
          </cell>
          <cell r="P22">
            <v>0.92900000000000005</v>
          </cell>
          <cell r="Q22">
            <v>0.91200000000000003</v>
          </cell>
          <cell r="R22">
            <v>0.92400000000000004</v>
          </cell>
        </row>
        <row r="23">
          <cell r="I23" t="str">
            <v>Risk management analytics</v>
          </cell>
          <cell r="J23">
            <v>0.85499999999999998</v>
          </cell>
          <cell r="K23">
            <v>0.81399999999999995</v>
          </cell>
          <cell r="L23">
            <v>0.81</v>
          </cell>
          <cell r="M23">
            <v>0.81200000000000006</v>
          </cell>
          <cell r="O23">
            <v>0.82899999999999996</v>
          </cell>
          <cell r="P23">
            <v>0.92300000000000004</v>
          </cell>
          <cell r="Q23">
            <v>0.92</v>
          </cell>
          <cell r="R23">
            <v>0.85399999999999998</v>
          </cell>
        </row>
        <row r="24">
          <cell r="I24" t="str">
            <v>Portfolio management analytics</v>
          </cell>
          <cell r="J24">
            <v>0.878</v>
          </cell>
          <cell r="K24">
            <v>0.83699999999999997</v>
          </cell>
          <cell r="L24">
            <v>0.70499999999999996</v>
          </cell>
          <cell r="M24">
            <v>0.78400000000000003</v>
          </cell>
          <cell r="O24">
            <v>0.94299999999999995</v>
          </cell>
          <cell r="P24">
            <v>0.86299999999999999</v>
          </cell>
          <cell r="Q24">
            <v>0.86799999999999999</v>
          </cell>
          <cell r="R24">
            <v>0.71199999999999997</v>
          </cell>
        </row>
        <row r="25">
          <cell r="I25" t="str">
            <v>Energy and commodity analytics</v>
          </cell>
          <cell r="J25">
            <v>0.90600000000000003</v>
          </cell>
          <cell r="K25">
            <v>0.91300000000000003</v>
          </cell>
          <cell r="L25">
            <v>0.84499999999999997</v>
          </cell>
          <cell r="M25">
            <v>0.89900000000000002</v>
          </cell>
          <cell r="O25">
            <v>0.85499999999999998</v>
          </cell>
          <cell r="P25">
            <v>0.80500000000000005</v>
          </cell>
          <cell r="Q25">
            <v>0.90500000000000003</v>
          </cell>
          <cell r="R25">
            <v>0.83399999999999996</v>
          </cell>
        </row>
        <row r="26">
          <cell r="I26" t="str">
            <v>Governance</v>
          </cell>
          <cell r="J26">
            <v>0.73</v>
          </cell>
          <cell r="K26">
            <v>0.84599999999999997</v>
          </cell>
          <cell r="L26">
            <v>0.85399999999999998</v>
          </cell>
          <cell r="M26">
            <v>0.78700000000000003</v>
          </cell>
          <cell r="O26">
            <v>0.74199999999999999</v>
          </cell>
          <cell r="P26">
            <v>0.86</v>
          </cell>
          <cell r="Q26">
            <v>0.86399999999999999</v>
          </cell>
          <cell r="R26">
            <v>0.86299999999999999</v>
          </cell>
        </row>
        <row r="27">
          <cell r="I27" t="str">
            <v xml:space="preserve">  Total core retention</v>
          </cell>
          <cell r="J27">
            <v>0.85899999999999999</v>
          </cell>
          <cell r="K27">
            <v>0.86099999999999999</v>
          </cell>
          <cell r="L27">
            <v>0.82599999999999996</v>
          </cell>
          <cell r="M27">
            <v>0.82599999999999996</v>
          </cell>
          <cell r="O27">
            <v>0.872</v>
          </cell>
          <cell r="P27">
            <v>0.9</v>
          </cell>
          <cell r="Q27">
            <v>0.89800000000000002</v>
          </cell>
          <cell r="R27">
            <v>0.85</v>
          </cell>
        </row>
        <row r="29">
          <cell r="I29" t="str">
            <v>New recurring subscription sales</v>
          </cell>
          <cell r="J29">
            <v>24.710999999999999</v>
          </cell>
          <cell r="K29">
            <v>21.254000000000001</v>
          </cell>
          <cell r="L29">
            <v>23.469000000000001</v>
          </cell>
          <cell r="M29">
            <v>27.757000000000001</v>
          </cell>
          <cell r="O29">
            <v>30.273</v>
          </cell>
          <cell r="P29">
            <v>34.28</v>
          </cell>
          <cell r="Q29">
            <v>34.555999999999997</v>
          </cell>
          <cell r="R29">
            <v>37.283999999999999</v>
          </cell>
        </row>
        <row r="30">
          <cell r="I30" t="str">
            <v>Subscription cancellations</v>
          </cell>
          <cell r="J30">
            <v>-22.692</v>
          </cell>
          <cell r="K30">
            <v>-23.712</v>
          </cell>
          <cell r="L30">
            <v>-28.69</v>
          </cell>
          <cell r="M30">
            <v>-28.64</v>
          </cell>
          <cell r="O30">
            <v>-22.434000000000001</v>
          </cell>
          <cell r="P30">
            <v>-17.495000000000001</v>
          </cell>
          <cell r="Q30">
            <v>-19.113</v>
          </cell>
          <cell r="R30">
            <v>-25.524999999999999</v>
          </cell>
        </row>
        <row r="31">
          <cell r="I31" t="str">
            <v>Net new recurring subscription sales</v>
          </cell>
          <cell r="J31">
            <v>2.0189999999999984</v>
          </cell>
          <cell r="K31">
            <v>-2.4579999999999984</v>
          </cell>
          <cell r="L31">
            <v>-5.2210000000000001</v>
          </cell>
          <cell r="M31">
            <v>-0.88299999999999912</v>
          </cell>
          <cell r="O31">
            <v>7.8389999999999986</v>
          </cell>
          <cell r="P31">
            <v>16.785</v>
          </cell>
          <cell r="Q31">
            <v>15.442999999999998</v>
          </cell>
          <cell r="R31">
            <v>11.759</v>
          </cell>
        </row>
        <row r="34">
          <cell r="T34" t="str">
            <v>Run Rate</v>
          </cell>
          <cell r="U34" t="str">
            <v>Q109</v>
          </cell>
          <cell r="V34" t="str">
            <v>Q209</v>
          </cell>
          <cell r="W34" t="str">
            <v>Q309</v>
          </cell>
          <cell r="X34" t="str">
            <v>Q409</v>
          </cell>
          <cell r="Y34" t="str">
            <v>Q110</v>
          </cell>
          <cell r="Z34" t="str">
            <v>Q210</v>
          </cell>
          <cell r="AA34" t="str">
            <v>Q310</v>
          </cell>
          <cell r="AB34" t="str">
            <v>Q410</v>
          </cell>
        </row>
        <row r="35">
          <cell r="T35" t="str">
            <v>Index and ESG products</v>
          </cell>
          <cell r="W35">
            <v>193.26400000000001</v>
          </cell>
          <cell r="X35">
            <v>202.785</v>
          </cell>
          <cell r="Y35">
            <v>209</v>
          </cell>
          <cell r="Z35">
            <v>218.78</v>
          </cell>
          <cell r="AA35">
            <v>224.49600000000001</v>
          </cell>
          <cell r="AB35">
            <v>235.37</v>
          </cell>
        </row>
        <row r="36">
          <cell r="T36" t="str">
            <v>Risk management analytics</v>
          </cell>
          <cell r="W36">
            <v>191.715</v>
          </cell>
          <cell r="X36">
            <v>197.99700000000001</v>
          </cell>
          <cell r="Y36">
            <v>122</v>
          </cell>
          <cell r="Z36">
            <v>196.71700000000001</v>
          </cell>
          <cell r="AA36">
            <v>224.58099999999999</v>
          </cell>
          <cell r="AB36">
            <v>235.422</v>
          </cell>
        </row>
        <row r="37">
          <cell r="T37" t="str">
            <v>Portfolio management analytics</v>
          </cell>
          <cell r="W37">
            <v>125.01900000000001</v>
          </cell>
          <cell r="X37">
            <v>122.19199999999999</v>
          </cell>
          <cell r="Y37">
            <v>194</v>
          </cell>
          <cell r="Z37">
            <v>121.38800000000001</v>
          </cell>
          <cell r="AA37">
            <v>121.795</v>
          </cell>
          <cell r="AB37">
            <v>117.256</v>
          </cell>
        </row>
        <row r="38">
          <cell r="T38" t="str">
            <v>Energy and commodity analytics</v>
          </cell>
          <cell r="W38">
            <v>14.706</v>
          </cell>
          <cell r="X38">
            <v>15.365</v>
          </cell>
          <cell r="Y38">
            <v>15.452999999999999</v>
          </cell>
          <cell r="Z38">
            <v>15.34</v>
          </cell>
          <cell r="AA38">
            <v>15.254</v>
          </cell>
          <cell r="AB38">
            <v>15.33</v>
          </cell>
        </row>
        <row r="39">
          <cell r="T39" t="str">
            <v>Governance</v>
          </cell>
          <cell r="W39">
            <v>113.907</v>
          </cell>
          <cell r="X39">
            <v>111.84099999999999</v>
          </cell>
          <cell r="Y39">
            <v>107</v>
          </cell>
          <cell r="Z39">
            <v>105.48099999999999</v>
          </cell>
          <cell r="AA39">
            <v>105.735</v>
          </cell>
          <cell r="AB39">
            <v>105.53400000000001</v>
          </cell>
        </row>
        <row r="40">
          <cell r="T40" t="str">
            <v>Total Subscription runrate</v>
          </cell>
          <cell r="W40">
            <v>638.6110000000001</v>
          </cell>
          <cell r="X40">
            <v>522.97400000000005</v>
          </cell>
          <cell r="Y40">
            <v>530.625</v>
          </cell>
          <cell r="Z40">
            <v>657.70600000000002</v>
          </cell>
          <cell r="AA40">
            <v>691.86099999999999</v>
          </cell>
          <cell r="AB40">
            <v>708.91200000000003</v>
          </cell>
        </row>
        <row r="42">
          <cell r="AD42" t="str">
            <v>From Q3:</v>
          </cell>
        </row>
        <row r="44">
          <cell r="AD44" t="str">
            <v>Run Rate</v>
          </cell>
          <cell r="AE44" t="str">
            <v>Q310</v>
          </cell>
          <cell r="AF44" t="str">
            <v>Q309</v>
          </cell>
          <cell r="AG44" t="str">
            <v>% chg</v>
          </cell>
          <cell r="AI44" t="str">
            <v>Q210</v>
          </cell>
          <cell r="AJ44" t="str">
            <v>% chg</v>
          </cell>
        </row>
        <row r="45">
          <cell r="AD45" t="str">
            <v>Index and ESG products</v>
          </cell>
          <cell r="AE45">
            <v>224.49600000000001</v>
          </cell>
          <cell r="AF45">
            <v>193.26400000000001</v>
          </cell>
          <cell r="AG45">
            <v>0.16160278168722586</v>
          </cell>
          <cell r="AI45">
            <v>218.78</v>
          </cell>
          <cell r="AJ45">
            <v>2.6126702623640252E-2</v>
          </cell>
        </row>
        <row r="46">
          <cell r="AD46" t="str">
            <v>Risk management analytics</v>
          </cell>
          <cell r="AE46">
            <v>224.58099999999999</v>
          </cell>
          <cell r="AF46">
            <v>191.715</v>
          </cell>
          <cell r="AG46">
            <v>0.17143155204339777</v>
          </cell>
          <cell r="AI46">
            <v>196.71700000000001</v>
          </cell>
          <cell r="AJ46">
            <v>0.14164510438853761</v>
          </cell>
        </row>
        <row r="47">
          <cell r="AD47" t="str">
            <v>Portfolio management analytics</v>
          </cell>
          <cell r="AE47">
            <v>121.795</v>
          </cell>
          <cell r="AF47">
            <v>125.01900000000001</v>
          </cell>
          <cell r="AG47">
            <v>-2.5788080211807785E-2</v>
          </cell>
          <cell r="AI47">
            <v>121.38800000000001</v>
          </cell>
          <cell r="AJ47">
            <v>3.3528849639172797E-3</v>
          </cell>
        </row>
        <row r="48">
          <cell r="AD48" t="str">
            <v>Energy and commodity analytics</v>
          </cell>
          <cell r="AE48">
            <v>15.254</v>
          </cell>
          <cell r="AF48">
            <v>14.706</v>
          </cell>
          <cell r="AG48">
            <v>3.726370189038497E-2</v>
          </cell>
          <cell r="AI48">
            <v>15.34</v>
          </cell>
          <cell r="AJ48">
            <v>-5.606258148631027E-3</v>
          </cell>
        </row>
        <row r="49">
          <cell r="AD49" t="str">
            <v>Governance</v>
          </cell>
          <cell r="AE49">
            <v>105.735</v>
          </cell>
          <cell r="AF49">
            <v>113.907</v>
          </cell>
          <cell r="AG49">
            <v>-7.1742737496378606E-2</v>
          </cell>
          <cell r="AI49">
            <v>105.48099999999999</v>
          </cell>
          <cell r="AJ49">
            <v>2.4080166096265287E-3</v>
          </cell>
        </row>
        <row r="50">
          <cell r="AD50" t="str">
            <v>Total Subscription runrate</v>
          </cell>
          <cell r="AE50">
            <v>691.86099999999999</v>
          </cell>
          <cell r="AF50">
            <v>638.6110000000001</v>
          </cell>
          <cell r="AG50">
            <v>8.3384094542686915E-2</v>
          </cell>
          <cell r="AI50">
            <v>657.70600000000002</v>
          </cell>
          <cell r="AJ50">
            <v>5.1930497821214949E-2</v>
          </cell>
        </row>
      </sheetData>
      <sheetData sheetId="18"/>
      <sheetData sheetId="19" refreshError="1">
        <row r="1">
          <cell r="B1" t="str">
            <v>Multiple Valuation</v>
          </cell>
        </row>
        <row r="3">
          <cell r="B3" t="str">
            <v>Key Metrics</v>
          </cell>
          <cell r="C3" t="str">
            <v>2011E</v>
          </cell>
          <cell r="D3" t="str">
            <v>2012E</v>
          </cell>
        </row>
        <row r="4">
          <cell r="B4" t="str">
            <v>Adj. EBITDA</v>
          </cell>
          <cell r="C4">
            <v>418.74200000000008</v>
          </cell>
          <cell r="D4">
            <v>434.46</v>
          </cell>
          <cell r="G4" t="str">
            <v>Diluted Shares</v>
          </cell>
          <cell r="I4">
            <v>91.623999999999995</v>
          </cell>
        </row>
        <row r="5">
          <cell r="B5" t="str">
            <v>GAAP Net Income</v>
          </cell>
          <cell r="C5">
            <v>173.45400000000012</v>
          </cell>
          <cell r="D5">
            <v>184.238</v>
          </cell>
          <cell r="G5" t="str">
            <v>Net Debt</v>
          </cell>
          <cell r="I5">
            <v>1378.9899999999998</v>
          </cell>
        </row>
        <row r="6">
          <cell r="B6" t="str">
            <v>Cash Net Income</v>
          </cell>
          <cell r="C6">
            <v>227.26404919999999</v>
          </cell>
          <cell r="D6">
            <v>241.23527232227909</v>
          </cell>
        </row>
        <row r="7">
          <cell r="B7" t="str">
            <v>Free Cash Flow</v>
          </cell>
          <cell r="C7">
            <v>264.86145285919849</v>
          </cell>
          <cell r="D7">
            <v>182.32119741265819</v>
          </cell>
        </row>
        <row r="10">
          <cell r="B10" t="str">
            <v>Share</v>
          </cell>
          <cell r="C10" t="str">
            <v>EV</v>
          </cell>
          <cell r="D10" t="str">
            <v>EV / Adj. EBITDA</v>
          </cell>
          <cell r="F10" t="str">
            <v>P/E - GAAP</v>
          </cell>
          <cell r="H10" t="str">
            <v>Adj. P/E</v>
          </cell>
          <cell r="J10" t="str">
            <v>EV / FCF</v>
          </cell>
        </row>
        <row r="11">
          <cell r="B11" t="str">
            <v>Price</v>
          </cell>
          <cell r="D11" t="str">
            <v>2011E</v>
          </cell>
          <cell r="E11" t="str">
            <v>2012E</v>
          </cell>
          <cell r="F11" t="str">
            <v>2011E</v>
          </cell>
          <cell r="G11" t="str">
            <v>2012E</v>
          </cell>
          <cell r="H11" t="str">
            <v>2011E</v>
          </cell>
          <cell r="I11" t="str">
            <v>2012E</v>
          </cell>
          <cell r="J11" t="str">
            <v>2011E</v>
          </cell>
          <cell r="K11" t="str">
            <v>2012E</v>
          </cell>
          <cell r="M11" t="str">
            <v>Equity Value</v>
          </cell>
        </row>
        <row r="13">
          <cell r="B13">
            <v>57</v>
          </cell>
          <cell r="C13">
            <v>6601.5579999999991</v>
          </cell>
          <cell r="D13">
            <v>15.765215813078216</v>
          </cell>
          <cell r="E13">
            <v>15.194857984624591</v>
          </cell>
          <cell r="F13">
            <v>0.12604226491570741</v>
          </cell>
          <cell r="G13">
            <v>0.11874248412899811</v>
          </cell>
          <cell r="H13">
            <v>22.980176664035252</v>
          </cell>
          <cell r="I13">
            <v>21.649271890152498</v>
          </cell>
          <cell r="J13">
            <v>19.718112785465763</v>
          </cell>
          <cell r="K13">
            <v>28.644875495082761</v>
          </cell>
          <cell r="M13">
            <v>5222.5679999999993</v>
          </cell>
        </row>
        <row r="14">
          <cell r="B14">
            <v>56</v>
          </cell>
          <cell r="C14">
            <v>6509.9339999999993</v>
          </cell>
          <cell r="D14">
            <v>15.546408050780666</v>
          </cell>
          <cell r="E14">
            <v>14.983966302996823</v>
          </cell>
          <cell r="F14">
            <v>0.12383099711016869</v>
          </cell>
          <cell r="G14">
            <v>0.11665928265305078</v>
          </cell>
          <cell r="H14">
            <v>22.577015669929374</v>
          </cell>
          <cell r="I14">
            <v>21.269460102605962</v>
          </cell>
          <cell r="J14">
            <v>19.372180982211979</v>
          </cell>
          <cell r="K14">
            <v>28.142333819730435</v>
          </cell>
          <cell r="M14">
            <v>5130.9439999999995</v>
          </cell>
        </row>
        <row r="15">
          <cell r="B15">
            <v>55</v>
          </cell>
          <cell r="C15">
            <v>6418.3099999999995</v>
          </cell>
          <cell r="D15">
            <v>15.327600288483119</v>
          </cell>
          <cell r="E15">
            <v>14.773074621369055</v>
          </cell>
          <cell r="F15">
            <v>0.12161972930462997</v>
          </cell>
          <cell r="G15">
            <v>0.11457608117710345</v>
          </cell>
          <cell r="H15">
            <v>22.173854675823492</v>
          </cell>
          <cell r="I15">
            <v>20.889648315059429</v>
          </cell>
          <cell r="J15">
            <v>19.026249178958192</v>
          </cell>
          <cell r="K15">
            <v>27.639792144378106</v>
          </cell>
          <cell r="M15">
            <v>5039.32</v>
          </cell>
        </row>
        <row r="16">
          <cell r="B16">
            <v>54</v>
          </cell>
          <cell r="C16">
            <v>6326.6859999999997</v>
          </cell>
          <cell r="D16">
            <v>15.108792526185571</v>
          </cell>
          <cell r="E16">
            <v>14.562182939741287</v>
          </cell>
          <cell r="F16">
            <v>0.11940846149909125</v>
          </cell>
          <cell r="G16">
            <v>0.11249287970115611</v>
          </cell>
          <cell r="H16">
            <v>21.77069368171761</v>
          </cell>
          <cell r="I16">
            <v>20.509836527512896</v>
          </cell>
          <cell r="J16">
            <v>18.680317375704409</v>
          </cell>
          <cell r="K16">
            <v>27.137250469025776</v>
          </cell>
          <cell r="M16">
            <v>4947.6959999999999</v>
          </cell>
        </row>
        <row r="17">
          <cell r="B17">
            <v>53</v>
          </cell>
          <cell r="C17">
            <v>6235.0619999999999</v>
          </cell>
          <cell r="D17">
            <v>14.889984763888023</v>
          </cell>
          <cell r="E17">
            <v>14.351291258113521</v>
          </cell>
          <cell r="F17">
            <v>0.11719719369355253</v>
          </cell>
          <cell r="G17">
            <v>0.11040967822520879</v>
          </cell>
          <cell r="H17">
            <v>21.367532687611728</v>
          </cell>
          <cell r="I17">
            <v>20.130024739966359</v>
          </cell>
          <cell r="J17">
            <v>18.334385572450625</v>
          </cell>
          <cell r="K17">
            <v>26.63470879367345</v>
          </cell>
          <cell r="M17">
            <v>4856.0720000000001</v>
          </cell>
        </row>
        <row r="18">
          <cell r="B18">
            <v>52</v>
          </cell>
          <cell r="C18">
            <v>6143.4379999999992</v>
          </cell>
          <cell r="D18">
            <v>14.671177001590474</v>
          </cell>
          <cell r="E18">
            <v>14.140399576485752</v>
          </cell>
          <cell r="F18">
            <v>0.11498592588801379</v>
          </cell>
          <cell r="G18">
            <v>0.10832647674926144</v>
          </cell>
          <cell r="H18">
            <v>20.964371693505846</v>
          </cell>
          <cell r="I18">
            <v>19.750212952419822</v>
          </cell>
          <cell r="J18">
            <v>17.988453769196838</v>
          </cell>
          <cell r="K18">
            <v>26.132167118321117</v>
          </cell>
          <cell r="M18">
            <v>4764.4479999999994</v>
          </cell>
        </row>
        <row r="19">
          <cell r="B19">
            <v>51</v>
          </cell>
          <cell r="C19">
            <v>6051.8139999999994</v>
          </cell>
          <cell r="D19">
            <v>14.452369239292926</v>
          </cell>
          <cell r="E19">
            <v>13.929507894857984</v>
          </cell>
          <cell r="F19">
            <v>26.939845722785272</v>
          </cell>
          <cell r="G19">
            <v>25.362976150414138</v>
          </cell>
          <cell r="H19">
            <v>20.561210699399965</v>
          </cell>
          <cell r="I19">
            <v>19.370401164873289</v>
          </cell>
          <cell r="J19">
            <v>22.848979852183966</v>
          </cell>
          <cell r="K19">
            <v>33.193145316518383</v>
          </cell>
          <cell r="M19">
            <v>4672.8239999999996</v>
          </cell>
        </row>
        <row r="20">
          <cell r="B20">
            <v>48</v>
          </cell>
          <cell r="C20">
            <v>5776.9419999999991</v>
          </cell>
          <cell r="D20">
            <v>13.795945952400279</v>
          </cell>
          <cell r="E20">
            <v>13.296832849974679</v>
          </cell>
          <cell r="F20">
            <v>25.355148915562605</v>
          </cell>
          <cell r="G20">
            <v>23.871036376860364</v>
          </cell>
          <cell r="H20">
            <v>19.351727717082319</v>
          </cell>
          <cell r="I20">
            <v>18.23096580223368</v>
          </cell>
          <cell r="J20">
            <v>21.811184442422608</v>
          </cell>
          <cell r="K20">
            <v>31.685520290461398</v>
          </cell>
          <cell r="M20">
            <v>4397.9519999999993</v>
          </cell>
        </row>
        <row r="21">
          <cell r="B21">
            <v>46</v>
          </cell>
          <cell r="C21">
            <v>5593.6939999999995</v>
          </cell>
          <cell r="D21">
            <v>13.358330427805184</v>
          </cell>
          <cell r="E21">
            <v>12.875049486719146</v>
          </cell>
          <cell r="F21">
            <v>24.298684377414165</v>
          </cell>
          <cell r="G21">
            <v>22.87640986115785</v>
          </cell>
          <cell r="H21">
            <v>18.545405728870556</v>
          </cell>
          <cell r="I21">
            <v>17.471342227140614</v>
          </cell>
          <cell r="J21">
            <v>21.119320835915037</v>
          </cell>
          <cell r="K21">
            <v>30.680436939756742</v>
          </cell>
          <cell r="M21">
            <v>4214.7039999999997</v>
          </cell>
        </row>
        <row r="22">
          <cell r="B22">
            <v>44</v>
          </cell>
          <cell r="C22">
            <v>5410.4459999999999</v>
          </cell>
          <cell r="D22">
            <v>12.920714903210088</v>
          </cell>
          <cell r="E22">
            <v>12.45326612346361</v>
          </cell>
          <cell r="F22">
            <v>23.242219839265722</v>
          </cell>
          <cell r="G22">
            <v>21.881783345455332</v>
          </cell>
          <cell r="H22">
            <v>17.739083740658792</v>
          </cell>
          <cell r="I22">
            <v>16.711718652047541</v>
          </cell>
          <cell r="J22">
            <v>20.427457229407469</v>
          </cell>
          <cell r="K22">
            <v>29.675353589052083</v>
          </cell>
          <cell r="M22">
            <v>4031.4559999999997</v>
          </cell>
        </row>
        <row r="23">
          <cell r="B23">
            <v>42</v>
          </cell>
          <cell r="C23">
            <v>5227.1979999999994</v>
          </cell>
          <cell r="D23">
            <v>12.483099378614991</v>
          </cell>
          <cell r="E23">
            <v>12.031482760208073</v>
          </cell>
          <cell r="F23">
            <v>22.185755301117283</v>
          </cell>
          <cell r="G23">
            <v>20.887156829752819</v>
          </cell>
          <cell r="H23">
            <v>16.932761752447028</v>
          </cell>
          <cell r="I23">
            <v>15.952095076954471</v>
          </cell>
          <cell r="J23">
            <v>19.735593622899898</v>
          </cell>
          <cell r="K23">
            <v>28.670270238347424</v>
          </cell>
          <cell r="M23">
            <v>3848.2079999999996</v>
          </cell>
        </row>
        <row r="24">
          <cell r="B24">
            <v>40</v>
          </cell>
          <cell r="C24">
            <v>5043.95</v>
          </cell>
          <cell r="D24">
            <v>12.045483854019896</v>
          </cell>
          <cell r="E24">
            <v>11.609699396952539</v>
          </cell>
          <cell r="F24">
            <v>21.129290762968843</v>
          </cell>
          <cell r="G24">
            <v>19.892530314050305</v>
          </cell>
          <cell r="H24">
            <v>16.126439764235268</v>
          </cell>
          <cell r="I24">
            <v>15.192471501861403</v>
          </cell>
          <cell r="J24">
            <v>19.043730016392328</v>
          </cell>
          <cell r="K24">
            <v>27.665186887642768</v>
          </cell>
          <cell r="M24">
            <v>3664.96</v>
          </cell>
        </row>
        <row r="25">
          <cell r="B25">
            <v>38</v>
          </cell>
          <cell r="C25">
            <v>4860.7019999999993</v>
          </cell>
          <cell r="D25">
            <v>11.607868329424797</v>
          </cell>
          <cell r="E25">
            <v>11.187916033697002</v>
          </cell>
          <cell r="F25">
            <v>20.0728262248204</v>
          </cell>
          <cell r="G25">
            <v>18.897903798347791</v>
          </cell>
          <cell r="H25">
            <v>15.320117776023505</v>
          </cell>
          <cell r="I25">
            <v>14.432847926768334</v>
          </cell>
          <cell r="J25">
            <v>18.351866409884757</v>
          </cell>
          <cell r="K25">
            <v>26.660103536938106</v>
          </cell>
          <cell r="M25">
            <v>3481.712</v>
          </cell>
        </row>
        <row r="26">
          <cell r="B26">
            <v>36</v>
          </cell>
          <cell r="C26">
            <v>4677.4539999999997</v>
          </cell>
          <cell r="D26">
            <v>11.170252804829701</v>
          </cell>
          <cell r="E26">
            <v>10.766132670441467</v>
          </cell>
          <cell r="F26">
            <v>19.016361686671956</v>
          </cell>
          <cell r="G26">
            <v>17.903277282645274</v>
          </cell>
          <cell r="H26">
            <v>14.513795787811741</v>
          </cell>
          <cell r="I26">
            <v>13.673224351675263</v>
          </cell>
          <cell r="J26">
            <v>17.660002803377186</v>
          </cell>
          <cell r="K26">
            <v>25.65502018623345</v>
          </cell>
          <cell r="M26">
            <v>3298.4639999999999</v>
          </cell>
        </row>
        <row r="27">
          <cell r="B27">
            <v>34</v>
          </cell>
          <cell r="C27">
            <v>4494.2060000000001</v>
          </cell>
          <cell r="D27">
            <v>10.732637280234606</v>
          </cell>
          <cell r="E27">
            <v>10.344349307185933</v>
          </cell>
          <cell r="F27">
            <v>17.959897148523513</v>
          </cell>
          <cell r="G27">
            <v>16.90865076694276</v>
          </cell>
          <cell r="H27">
            <v>13.707473799599978</v>
          </cell>
          <cell r="I27">
            <v>12.913600776582193</v>
          </cell>
          <cell r="J27">
            <v>16.968139196869618</v>
          </cell>
          <cell r="K27">
            <v>24.649936835528795</v>
          </cell>
          <cell r="M27">
            <v>3115.2159999999999</v>
          </cell>
        </row>
        <row r="28">
          <cell r="B28">
            <v>32</v>
          </cell>
          <cell r="C28">
            <v>4310.9579999999996</v>
          </cell>
          <cell r="D28">
            <v>10.295021755639508</v>
          </cell>
          <cell r="E28">
            <v>9.9225659439303957</v>
          </cell>
          <cell r="F28">
            <v>16.903432610375074</v>
          </cell>
          <cell r="G28">
            <v>15.914024251240242</v>
          </cell>
          <cell r="H28">
            <v>12.901151811388214</v>
          </cell>
          <cell r="I28">
            <v>12.153977201489122</v>
          </cell>
          <cell r="J28">
            <v>16.276275590362044</v>
          </cell>
          <cell r="K28">
            <v>23.644853484824132</v>
          </cell>
          <cell r="M28">
            <v>2931.9679999999998</v>
          </cell>
        </row>
        <row r="29">
          <cell r="B29">
            <v>30</v>
          </cell>
          <cell r="C29">
            <v>4127.7099999999991</v>
          </cell>
          <cell r="D29">
            <v>9.8574062310444095</v>
          </cell>
          <cell r="E29">
            <v>9.5007825806748585</v>
          </cell>
          <cell r="F29">
            <v>15.84696807222663</v>
          </cell>
          <cell r="G29">
            <v>14.919397735537727</v>
          </cell>
          <cell r="H29">
            <v>12.09482982317645</v>
          </cell>
          <cell r="I29">
            <v>11.394353626396052</v>
          </cell>
          <cell r="J29">
            <v>15.584411983854471</v>
          </cell>
          <cell r="K29">
            <v>22.63977013411947</v>
          </cell>
          <cell r="M29">
            <v>2748.72</v>
          </cell>
        </row>
        <row r="30">
          <cell r="B30">
            <v>25</v>
          </cell>
          <cell r="C30">
            <v>3669.5899999999997</v>
          </cell>
          <cell r="D30">
            <v>8.7633674195566691</v>
          </cell>
          <cell r="E30">
            <v>8.4463241725360216</v>
          </cell>
          <cell r="F30">
            <v>13.205806726855526</v>
          </cell>
          <cell r="G30">
            <v>12.43283144628144</v>
          </cell>
          <cell r="H30">
            <v>10.079024852647041</v>
          </cell>
          <cell r="I30">
            <v>9.4952946886633764</v>
          </cell>
          <cell r="J30">
            <v>13.854752967585547</v>
          </cell>
          <cell r="K30">
            <v>20.127061757357829</v>
          </cell>
          <cell r="M30">
            <v>2290.6</v>
          </cell>
        </row>
        <row r="31">
          <cell r="B31">
            <v>24</v>
          </cell>
          <cell r="C31">
            <v>3577.9659999999994</v>
          </cell>
          <cell r="D31">
            <v>8.5445596572591214</v>
          </cell>
          <cell r="E31">
            <v>8.2354324909082521</v>
          </cell>
          <cell r="F31">
            <v>9.6758638585411596</v>
          </cell>
          <cell r="G31">
            <v>9.1154829011168399</v>
          </cell>
          <cell r="H31">
            <v>8.3023632780908478</v>
          </cell>
          <cell r="I31">
            <v>12.0610002084559</v>
          </cell>
          <cell r="K31">
            <v>2198.9759999999997</v>
          </cell>
        </row>
        <row r="32">
          <cell r="B32">
            <v>23</v>
          </cell>
          <cell r="C32">
            <v>3486.3419999999996</v>
          </cell>
          <cell r="D32">
            <v>8.3257518949615736</v>
          </cell>
          <cell r="E32">
            <v>8.0245408092804862</v>
          </cell>
          <cell r="F32">
            <v>9.2727028644352778</v>
          </cell>
          <cell r="G32">
            <v>8.7356711135703069</v>
          </cell>
          <cell r="H32">
            <v>7.9564314748370633</v>
          </cell>
          <cell r="I32">
            <v>11.558458533103572</v>
          </cell>
          <cell r="K32">
            <v>2107.3519999999999</v>
          </cell>
        </row>
        <row r="33">
          <cell r="B33">
            <v>22</v>
          </cell>
          <cell r="C33">
            <v>3394.7179999999998</v>
          </cell>
          <cell r="D33">
            <v>8.1069441326640259</v>
          </cell>
          <cell r="E33">
            <v>7.8136491276527185</v>
          </cell>
          <cell r="F33">
            <v>8.869541870329396</v>
          </cell>
          <cell r="G33">
            <v>8.3558593260237704</v>
          </cell>
          <cell r="H33">
            <v>7.6104996715832778</v>
          </cell>
          <cell r="I33">
            <v>11.055916857751242</v>
          </cell>
          <cell r="K33">
            <v>2015.7279999999998</v>
          </cell>
        </row>
        <row r="34">
          <cell r="B34">
            <v>21</v>
          </cell>
          <cell r="C34">
            <v>3303.0939999999996</v>
          </cell>
          <cell r="D34">
            <v>7.8881363703664764</v>
          </cell>
          <cell r="E34">
            <v>7.6027574460249499</v>
          </cell>
          <cell r="F34">
            <v>8.4663808762235142</v>
          </cell>
          <cell r="G34">
            <v>7.9760475384772356</v>
          </cell>
          <cell r="H34">
            <v>7.2645678683294923</v>
          </cell>
          <cell r="I34">
            <v>10.553375182398913</v>
          </cell>
          <cell r="K34">
            <v>1924.1039999999998</v>
          </cell>
        </row>
        <row r="35">
          <cell r="B35">
            <v>20</v>
          </cell>
          <cell r="C35">
            <v>3211.47</v>
          </cell>
          <cell r="D35">
            <v>7.6693286080689287</v>
          </cell>
          <cell r="E35">
            <v>7.391865764397183</v>
          </cell>
          <cell r="F35">
            <v>8.0632198821176342</v>
          </cell>
          <cell r="G35">
            <v>7.5962357509307017</v>
          </cell>
          <cell r="H35">
            <v>6.9186360650757077</v>
          </cell>
          <cell r="I35">
            <v>10.050833507046585</v>
          </cell>
          <cell r="K35">
            <v>1832.48</v>
          </cell>
        </row>
        <row r="38">
          <cell r="D38" t="str">
            <v>Implied Multiple</v>
          </cell>
          <cell r="H38" t="str">
            <v>Implied Share Price</v>
          </cell>
        </row>
        <row r="39">
          <cell r="B39" t="str">
            <v>Input share price</v>
          </cell>
          <cell r="D39">
            <v>2010</v>
          </cell>
          <cell r="E39">
            <v>2011</v>
          </cell>
          <cell r="F39" t="str">
            <v>Input Multiple</v>
          </cell>
          <cell r="H39">
            <v>2010</v>
          </cell>
          <cell r="I39">
            <v>2011</v>
          </cell>
        </row>
        <row r="40">
          <cell r="B40">
            <v>32.25</v>
          </cell>
          <cell r="D40">
            <v>10.349723696213895</v>
          </cell>
          <cell r="E40">
            <v>9.9752888643373385</v>
          </cell>
          <cell r="F40">
            <v>15</v>
          </cell>
          <cell r="H40">
            <v>68.553326639308494</v>
          </cell>
          <cell r="I40">
            <v>71.126560726447224</v>
          </cell>
        </row>
      </sheetData>
      <sheetData sheetId="20"/>
      <sheetData sheetId="21" refreshError="1">
        <row r="2">
          <cell r="B2" t="str">
            <v>Metric Definition &amp; Tagging Guidance</v>
          </cell>
        </row>
        <row r="3">
          <cell r="B3" t="str">
            <v>Free cash flow from operations (FCFO) for DCF : "Free cash flow from operations (FCFO) for DCF" measures the cash flows generated from (or used by) the company's operating business, disregarding any cash flows related to financing and nonoperating activit</v>
          </cell>
        </row>
        <row r="5">
          <cell r="B5" t="str">
            <v xml:space="preserve"> </v>
          </cell>
        </row>
        <row r="8">
          <cell r="B8" t="str">
            <v>Year 2015 EBITDA Multiple:</v>
          </cell>
          <cell r="E8">
            <v>9</v>
          </cell>
          <cell r="F8" t="str">
            <v>Disc. Rate:</v>
          </cell>
          <cell r="G8">
            <v>9.1903626255810555E-2</v>
          </cell>
          <cell r="H8" t="str">
            <v>FCF Growth:</v>
          </cell>
          <cell r="I8">
            <v>2.4184406974347906E-2</v>
          </cell>
        </row>
        <row r="10">
          <cell r="C10" t="str">
            <v>2009</v>
          </cell>
          <cell r="D10" t="str">
            <v>2010</v>
          </cell>
          <cell r="E10" t="str">
            <v>2011E</v>
          </cell>
          <cell r="F10" t="str">
            <v>2012E</v>
          </cell>
          <cell r="G10" t="str">
            <v>2013E</v>
          </cell>
          <cell r="H10" t="str">
            <v>2014E</v>
          </cell>
          <cell r="I10" t="str">
            <v>2015E</v>
          </cell>
        </row>
        <row r="12">
          <cell r="B12" t="str">
            <v>Operating revenue</v>
          </cell>
          <cell r="C12">
            <v>442.94799999999998</v>
          </cell>
          <cell r="D12">
            <v>662.90100000000007</v>
          </cell>
          <cell r="E12">
            <v>900.94100000000003</v>
          </cell>
          <cell r="F12">
            <v>950.14100000000008</v>
          </cell>
          <cell r="G12">
            <v>1035.6669999999999</v>
          </cell>
          <cell r="H12">
            <v>996.70500000000004</v>
          </cell>
          <cell r="I12">
            <v>1075.01</v>
          </cell>
        </row>
        <row r="13">
          <cell r="B13" t="str">
            <v>-  Operating expense</v>
          </cell>
          <cell r="C13">
            <v>254.44499999999999</v>
          </cell>
          <cell r="D13">
            <v>418.97200000000004</v>
          </cell>
          <cell r="E13">
            <v>493.71299999999997</v>
          </cell>
          <cell r="F13">
            <v>525.00300000000004</v>
          </cell>
          <cell r="G13">
            <v>585.11200000000008</v>
          </cell>
          <cell r="H13">
            <v>587.92599999999993</v>
          </cell>
          <cell r="I13">
            <v>593.31600000000003</v>
          </cell>
        </row>
        <row r="14">
          <cell r="B14" t="str">
            <v>-  Depreciation</v>
          </cell>
          <cell r="C14">
            <v>37.511000000000003</v>
          </cell>
          <cell r="D14">
            <v>59.012</v>
          </cell>
          <cell r="E14">
            <v>85.22999999999999</v>
          </cell>
          <cell r="F14">
            <v>81.99799999999999</v>
          </cell>
          <cell r="G14">
            <v>80.504999999999995</v>
          </cell>
          <cell r="H14">
            <v>71.588000000000008</v>
          </cell>
          <cell r="I14">
            <v>77.798999999999992</v>
          </cell>
        </row>
        <row r="15">
          <cell r="B15" t="str">
            <v>Pretax operating profit</v>
          </cell>
          <cell r="C15">
            <v>150.99199999999999</v>
          </cell>
          <cell r="D15">
            <v>184.91700000000003</v>
          </cell>
          <cell r="E15">
            <v>321.99800000000005</v>
          </cell>
          <cell r="F15">
            <v>343.14000000000004</v>
          </cell>
          <cell r="G15">
            <v>370.04999999999984</v>
          </cell>
          <cell r="H15">
            <v>337.19100000000009</v>
          </cell>
          <cell r="I15">
            <v>403.89499999999998</v>
          </cell>
        </row>
        <row r="16">
          <cell r="B16" t="str">
            <v xml:space="preserve">   - Tax expense from operations</v>
          </cell>
          <cell r="C16">
            <v>57.225967999999995</v>
          </cell>
          <cell r="D16">
            <v>71.119078200000004</v>
          </cell>
          <cell r="E16">
            <v>109.96654714080168</v>
          </cell>
          <cell r="F16">
            <v>124.69680258734181</v>
          </cell>
          <cell r="G16">
            <v>131.76234430199554</v>
          </cell>
          <cell r="H16">
            <v>119.62312805362512</v>
          </cell>
          <cell r="I16">
            <v>138.09691524269707</v>
          </cell>
        </row>
        <row r="17">
          <cell r="B17" t="str">
            <v>Net operating profit after tax (NOPAT)</v>
          </cell>
          <cell r="C17">
            <v>93.766031999999996</v>
          </cell>
          <cell r="D17">
            <v>113.79792180000003</v>
          </cell>
          <cell r="E17">
            <v>212.03145285919837</v>
          </cell>
          <cell r="F17">
            <v>218.44319741265824</v>
          </cell>
          <cell r="G17">
            <v>238.2876556980043</v>
          </cell>
          <cell r="H17">
            <v>217.56787194637496</v>
          </cell>
          <cell r="I17">
            <v>265.79808475730295</v>
          </cell>
        </row>
        <row r="19">
          <cell r="B19" t="str">
            <v>Change in net operating assets</v>
          </cell>
          <cell r="L19" t="str">
            <v>Acquired Amount</v>
          </cell>
        </row>
        <row r="20">
          <cell r="B20" t="str">
            <v>+  Decr (Incr) in accounts receivables</v>
          </cell>
          <cell r="C20">
            <v>8.5429999999999922</v>
          </cell>
          <cell r="D20">
            <v>-36.138999999999996</v>
          </cell>
          <cell r="E20">
            <v>-32.903999999999996</v>
          </cell>
          <cell r="F20">
            <v>27.009000000000015</v>
          </cell>
          <cell r="G20">
            <v>-15.933000000000021</v>
          </cell>
          <cell r="H20">
            <v>-9.2270000000000039</v>
          </cell>
          <cell r="I20">
            <v>-29.521999999999991</v>
          </cell>
          <cell r="L20">
            <v>34.343000000000004</v>
          </cell>
        </row>
        <row r="21">
          <cell r="B21" t="str">
            <v>+  Decr (Incr) due from related parties</v>
          </cell>
          <cell r="C21">
            <v>1.7649999999999999</v>
          </cell>
          <cell r="D21">
            <v>0</v>
          </cell>
          <cell r="E21">
            <v>0</v>
          </cell>
          <cell r="F21">
            <v>0</v>
          </cell>
          <cell r="G21">
            <v>0</v>
          </cell>
          <cell r="H21">
            <v>0</v>
          </cell>
          <cell r="I21">
            <v>0</v>
          </cell>
        </row>
        <row r="22">
          <cell r="B22" t="str">
            <v>+  Decr (Incr) in prepaid expenses</v>
          </cell>
          <cell r="C22">
            <v>-11.298999999999999</v>
          </cell>
          <cell r="D22">
            <v>22.413000000000004</v>
          </cell>
          <cell r="E22">
            <v>-23.380000000000003</v>
          </cell>
          <cell r="F22">
            <v>6.2050000000000054</v>
          </cell>
          <cell r="G22">
            <v>1.2959999999999994</v>
          </cell>
          <cell r="H22">
            <v>-4.6839999999999975</v>
          </cell>
          <cell r="I22">
            <v>-16.418999999999997</v>
          </cell>
          <cell r="L22">
            <v>33.358000000000004</v>
          </cell>
        </row>
        <row r="23">
          <cell r="B23" t="str">
            <v>+  Decr (Incr) in other assets</v>
          </cell>
          <cell r="C23">
            <v>0.2240000000000002</v>
          </cell>
          <cell r="D23">
            <v>-17.233000000000004</v>
          </cell>
          <cell r="E23">
            <v>5.6300000000000026</v>
          </cell>
          <cell r="F23">
            <v>11.062999999999999</v>
          </cell>
          <cell r="G23">
            <v>-4.4849999999999994</v>
          </cell>
          <cell r="H23">
            <v>-13.551000000000002</v>
          </cell>
          <cell r="I23">
            <v>3.2580000000000027</v>
          </cell>
          <cell r="L23">
            <v>5.7690000000000001</v>
          </cell>
        </row>
        <row r="24">
          <cell r="B24" t="str">
            <v>+  Incr (decr) in payables</v>
          </cell>
          <cell r="C24">
            <v>-34.013999999999996</v>
          </cell>
          <cell r="D24">
            <v>-3.5720000000000001</v>
          </cell>
          <cell r="E24">
            <v>-1.923</v>
          </cell>
          <cell r="F24">
            <v>2.746</v>
          </cell>
          <cell r="G24">
            <v>-1.7869999999999999</v>
          </cell>
          <cell r="H24">
            <v>1.637</v>
          </cell>
          <cell r="I24">
            <v>-0.32299999999999995</v>
          </cell>
          <cell r="L24">
            <v>-3.8559999999999999</v>
          </cell>
        </row>
        <row r="25">
          <cell r="B25" t="str">
            <v>+  Incr (decr) in accrued expenses</v>
          </cell>
          <cell r="C25">
            <v>7.1849999999999916</v>
          </cell>
          <cell r="D25">
            <v>19.559000000000005</v>
          </cell>
          <cell r="E25">
            <v>14.463999999999984</v>
          </cell>
          <cell r="F25">
            <v>2.8350000000000009</v>
          </cell>
          <cell r="G25">
            <v>6.491000000000021</v>
          </cell>
          <cell r="H25">
            <v>-3.034000000000006</v>
          </cell>
          <cell r="I25">
            <v>18.749999999999993</v>
          </cell>
          <cell r="L25">
            <v>-23.396999999999998</v>
          </cell>
        </row>
        <row r="26">
          <cell r="B26" t="str">
            <v>+  Incr (decr) in deferred revenue</v>
          </cell>
          <cell r="C26">
            <v>8.2329999999999757</v>
          </cell>
          <cell r="D26">
            <v>3.8920000000000243</v>
          </cell>
          <cell r="E26">
            <v>17.916999999999973</v>
          </cell>
          <cell r="F26">
            <v>18.805000000000007</v>
          </cell>
          <cell r="G26">
            <v>11.713000000000022</v>
          </cell>
          <cell r="H26">
            <v>-8.9600000000000364</v>
          </cell>
          <cell r="I26">
            <v>6.7770000000000437</v>
          </cell>
          <cell r="L26">
            <v>-114.464</v>
          </cell>
        </row>
        <row r="27">
          <cell r="B27" t="str">
            <v>+  Incr (decr) in other liabilities</v>
          </cell>
          <cell r="C27">
            <v>14.511999999999999</v>
          </cell>
          <cell r="D27">
            <v>-13.815999999999999</v>
          </cell>
          <cell r="E27">
            <v>0.45499999999999829</v>
          </cell>
          <cell r="F27">
            <v>10.84</v>
          </cell>
          <cell r="G27">
            <v>7.472999999999999</v>
          </cell>
          <cell r="H27">
            <v>4.5240000000000009</v>
          </cell>
          <cell r="I27">
            <v>6.4510000000000005</v>
          </cell>
          <cell r="L27">
            <v>-18.105</v>
          </cell>
        </row>
        <row r="28">
          <cell r="B28" t="str">
            <v>+ Change in tax accruals</v>
          </cell>
          <cell r="C28">
            <v>-15.271000000000001</v>
          </cell>
          <cell r="D28">
            <v>-69.260999999999996</v>
          </cell>
          <cell r="E28">
            <v>6.3710000000000093</v>
          </cell>
          <cell r="F28">
            <v>-14.810999999999979</v>
          </cell>
          <cell r="G28">
            <v>-16.526999999999987</v>
          </cell>
          <cell r="H28">
            <v>-52.537000000000006</v>
          </cell>
          <cell r="I28">
            <v>-4.6920000000000073</v>
          </cell>
          <cell r="L28">
            <v>-246.89099999999999</v>
          </cell>
        </row>
        <row r="29">
          <cell r="B29" t="str">
            <v>+ Add back noncash portion of one-time items</v>
          </cell>
          <cell r="C29">
            <v>0.67100000000000004</v>
          </cell>
          <cell r="D29">
            <v>0</v>
          </cell>
          <cell r="E29">
            <v>0</v>
          </cell>
          <cell r="F29">
            <v>0</v>
          </cell>
          <cell r="G29">
            <v>0</v>
          </cell>
          <cell r="H29">
            <v>-84.62</v>
          </cell>
          <cell r="I29">
            <v>0</v>
          </cell>
        </row>
        <row r="30">
          <cell r="B30" t="str">
            <v>+ Founders Grant and one-time items</v>
          </cell>
          <cell r="C30">
            <v>0</v>
          </cell>
          <cell r="D30">
            <v>0</v>
          </cell>
          <cell r="E30">
            <v>0</v>
          </cell>
          <cell r="F30">
            <v>0</v>
          </cell>
          <cell r="G30">
            <v>0</v>
          </cell>
          <cell r="H30">
            <v>0</v>
          </cell>
          <cell r="I30">
            <v>0</v>
          </cell>
        </row>
        <row r="31">
          <cell r="B31" t="str">
            <v>Decr (incr) in cash required for operations</v>
          </cell>
          <cell r="C31">
            <v>-19.451000000000043</v>
          </cell>
          <cell r="D31">
            <v>-94.156999999999968</v>
          </cell>
          <cell r="E31">
            <v>-13.370000000000033</v>
          </cell>
          <cell r="F31">
            <v>64.69200000000005</v>
          </cell>
          <cell r="G31">
            <v>-11.758999999999965</v>
          </cell>
          <cell r="H31">
            <v>-170.45200000000006</v>
          </cell>
          <cell r="I31">
            <v>-15.719999999999956</v>
          </cell>
          <cell r="L31">
            <v>-333.24299999999999</v>
          </cell>
        </row>
        <row r="32">
          <cell r="B32" t="str">
            <v>+ Add back noncash portion of one-time items</v>
          </cell>
          <cell r="C32">
            <v>0.67100000000000004</v>
          </cell>
          <cell r="D32">
            <v>0</v>
          </cell>
          <cell r="E32">
            <v>0</v>
          </cell>
          <cell r="F32">
            <v>0</v>
          </cell>
          <cell r="G32">
            <v>0</v>
          </cell>
          <cell r="H32">
            <v>-84.62</v>
          </cell>
          <cell r="I32">
            <v>0</v>
          </cell>
        </row>
        <row r="33">
          <cell r="B33" t="str">
            <v>Change in PPE, goodwill and intangibles</v>
          </cell>
          <cell r="C33">
            <v>24.783999999999992</v>
          </cell>
          <cell r="D33">
            <v>29.494000000000142</v>
          </cell>
          <cell r="E33">
            <v>66.200000000000159</v>
          </cell>
          <cell r="F33">
            <v>-100.81400000000008</v>
          </cell>
          <cell r="G33">
            <v>11.787000000000035</v>
          </cell>
          <cell r="H33">
            <v>387.50999999999982</v>
          </cell>
          <cell r="I33">
            <v>36.568999999999789</v>
          </cell>
          <cell r="L33">
            <v>1895.5900000000001</v>
          </cell>
        </row>
        <row r="34">
          <cell r="B34" t="str">
            <v>Change in net operating assets</v>
          </cell>
          <cell r="C34">
            <v>4.6619999999999484</v>
          </cell>
          <cell r="D34">
            <v>-64.662999999999826</v>
          </cell>
          <cell r="E34">
            <v>52.830000000000126</v>
          </cell>
          <cell r="F34">
            <v>-36.122000000000028</v>
          </cell>
          <cell r="G34">
            <v>2.8000000000069747E-2</v>
          </cell>
          <cell r="H34">
            <v>301.67799999999977</v>
          </cell>
          <cell r="I34">
            <v>20.848999999999833</v>
          </cell>
          <cell r="L34">
            <v>1562.3470000000002</v>
          </cell>
        </row>
        <row r="36">
          <cell r="B36" t="str">
            <v>Free cash flow from operations</v>
          </cell>
          <cell r="C36">
            <v>98.428031999999945</v>
          </cell>
          <cell r="D36">
            <v>49.1349218000002</v>
          </cell>
          <cell r="E36">
            <v>264.86145285919849</v>
          </cell>
          <cell r="F36">
            <v>182.32119741265819</v>
          </cell>
          <cell r="G36">
            <v>238.31565569800438</v>
          </cell>
          <cell r="H36">
            <v>519.24587194637479</v>
          </cell>
          <cell r="I36">
            <v>286.64708475730276</v>
          </cell>
        </row>
        <row r="37">
          <cell r="B37" t="str">
            <v xml:space="preserve">  Year-over-Year Growth</v>
          </cell>
          <cell r="E37" t="str">
            <v>NM</v>
          </cell>
          <cell r="F37">
            <v>-0.31163559119498996</v>
          </cell>
          <cell r="G37">
            <v>0.30711984717065377</v>
          </cell>
          <cell r="H37">
            <v>1.1788156150528675</v>
          </cell>
          <cell r="I37">
            <v>-0.44795500504834773</v>
          </cell>
        </row>
        <row r="39">
          <cell r="B39" t="str">
            <v>Value of Modeled Cash Flows</v>
          </cell>
          <cell r="C39">
            <v>1078.5370424898986</v>
          </cell>
          <cell r="D39">
            <v>1128.5235859459376</v>
          </cell>
          <cell r="E39">
            <v>967.37754295038178</v>
          </cell>
          <cell r="F39">
            <v>873.96184969329988</v>
          </cell>
          <cell r="G39">
            <v>715.9664571913454</v>
          </cell>
          <cell r="H39">
            <v>262.52049893838085</v>
          </cell>
          <cell r="I39">
            <v>0</v>
          </cell>
        </row>
        <row r="40">
          <cell r="B40" t="str">
            <v>Terminal Value</v>
          </cell>
          <cell r="C40">
            <v>2558.0433287153278</v>
          </cell>
          <cell r="D40">
            <v>2793.1367867437511</v>
          </cell>
          <cell r="E40">
            <v>3049.8361860740047</v>
          </cell>
          <cell r="F40">
            <v>3330.1271910603969</v>
          </cell>
          <cell r="G40">
            <v>3636.1779558119238</v>
          </cell>
          <cell r="H40">
            <v>3970.3558956624802</v>
          </cell>
          <cell r="I40">
            <v>4335.2459999999992</v>
          </cell>
        </row>
        <row r="42">
          <cell r="C42" t="str">
            <v xml:space="preserve">_______ </v>
          </cell>
          <cell r="D42" t="str">
            <v xml:space="preserve">_______ </v>
          </cell>
          <cell r="E42" t="str">
            <v xml:space="preserve">_______ </v>
          </cell>
          <cell r="F42" t="str">
            <v xml:space="preserve">_______ </v>
          </cell>
          <cell r="G42" t="str">
            <v xml:space="preserve">_______ </v>
          </cell>
          <cell r="H42" t="str">
            <v xml:space="preserve">_______ </v>
          </cell>
          <cell r="I42" t="str">
            <v xml:space="preserve">_______ </v>
          </cell>
        </row>
        <row r="43">
          <cell r="B43" t="str">
            <v>Enterprise Value</v>
          </cell>
          <cell r="C43">
            <v>3636.5803712052266</v>
          </cell>
          <cell r="D43">
            <v>3921.6603726896888</v>
          </cell>
          <cell r="E43">
            <v>4017.2137290243863</v>
          </cell>
          <cell r="F43">
            <v>4204.0890407536972</v>
          </cell>
          <cell r="G43">
            <v>4352.1444130032687</v>
          </cell>
          <cell r="H43">
            <v>4232.8763946008612</v>
          </cell>
          <cell r="I43">
            <v>4335.2459999999992</v>
          </cell>
        </row>
        <row r="45">
          <cell r="B45" t="str">
            <v>Projected Year-end Cash</v>
          </cell>
          <cell r="C45">
            <v>471.32800000000009</v>
          </cell>
          <cell r="D45">
            <v>300.46600000000024</v>
          </cell>
          <cell r="E45">
            <v>392.70100000000048</v>
          </cell>
          <cell r="F45">
            <v>254.20700000000053</v>
          </cell>
          <cell r="G45">
            <v>358.43400000000042</v>
          </cell>
          <cell r="H45">
            <v>508.83100000000047</v>
          </cell>
          <cell r="I45">
            <v>777.73500000000024</v>
          </cell>
        </row>
        <row r="46">
          <cell r="B46" t="str">
            <v>Projected Year-end Debt &amp; Pref.</v>
          </cell>
          <cell r="C46">
            <v>-379.71000000000004</v>
          </cell>
          <cell r="D46">
            <v>-1262.797</v>
          </cell>
          <cell r="E46">
            <v>-1076.8869999999999</v>
          </cell>
          <cell r="F46">
            <v>-854.71600000000001</v>
          </cell>
          <cell r="G46">
            <v>-807.78200000000004</v>
          </cell>
          <cell r="H46">
            <v>-800</v>
          </cell>
          <cell r="I46">
            <v>-1579.404</v>
          </cell>
        </row>
        <row r="47">
          <cell r="B47" t="str">
            <v>Options Proceeds</v>
          </cell>
          <cell r="D47">
            <v>22.503819999999997</v>
          </cell>
          <cell r="E47">
            <v>22.503819999999997</v>
          </cell>
          <cell r="F47">
            <v>22.503819999999997</v>
          </cell>
          <cell r="G47">
            <v>22.503819999999997</v>
          </cell>
          <cell r="H47">
            <v>22.503819999999997</v>
          </cell>
          <cell r="I47">
            <v>22.503819999999997</v>
          </cell>
        </row>
        <row r="48">
          <cell r="C48" t="str">
            <v xml:space="preserve">_______ </v>
          </cell>
          <cell r="D48" t="str">
            <v xml:space="preserve">_______ </v>
          </cell>
          <cell r="E48" t="str">
            <v xml:space="preserve">_______ </v>
          </cell>
          <cell r="F48" t="str">
            <v xml:space="preserve">_______ </v>
          </cell>
          <cell r="G48" t="str">
            <v xml:space="preserve">_______ </v>
          </cell>
          <cell r="H48" t="str">
            <v xml:space="preserve">_______ </v>
          </cell>
          <cell r="I48" t="str">
            <v xml:space="preserve">_______ </v>
          </cell>
        </row>
        <row r="49">
          <cell r="B49" t="str">
            <v>Public Equity Value</v>
          </cell>
          <cell r="C49">
            <v>3728.198371205227</v>
          </cell>
          <cell r="D49">
            <v>2981.8331926896885</v>
          </cell>
          <cell r="E49">
            <v>3355.5315490243875</v>
          </cell>
          <cell r="F49">
            <v>3626.0838607536975</v>
          </cell>
          <cell r="G49">
            <v>3925.3002330032687</v>
          </cell>
          <cell r="H49">
            <v>3964.2112146008612</v>
          </cell>
          <cell r="I49">
            <v>3556.0808199999997</v>
          </cell>
        </row>
        <row r="52">
          <cell r="B52" t="str">
            <v>Fully Diluted Shares</v>
          </cell>
          <cell r="C52">
            <v>101.61675</v>
          </cell>
          <cell r="D52">
            <v>113.357</v>
          </cell>
          <cell r="E52">
            <v>122.27175</v>
          </cell>
          <cell r="F52">
            <v>123.20399999999999</v>
          </cell>
          <cell r="G52">
            <v>121.05650000000001</v>
          </cell>
          <cell r="H52">
            <v>116.706</v>
          </cell>
          <cell r="I52">
            <v>109.87075000000002</v>
          </cell>
        </row>
        <row r="54">
          <cell r="B54" t="str">
            <v>Year-end Value per Share</v>
          </cell>
        </row>
        <row r="55">
          <cell r="B55" t="str">
            <v>Share Price</v>
          </cell>
          <cell r="C55">
            <v>36.688817259017114</v>
          </cell>
          <cell r="D55">
            <v>26.304799815535773</v>
          </cell>
          <cell r="E55">
            <v>27.443228292916292</v>
          </cell>
          <cell r="F55">
            <v>29.431543300166371</v>
          </cell>
          <cell r="G55">
            <v>32.425357027530687</v>
          </cell>
          <cell r="H55">
            <v>33.967501367546326</v>
          </cell>
          <cell r="I55">
            <v>32.366037548665126</v>
          </cell>
        </row>
        <row r="58">
          <cell r="B58" t="str">
            <v>Projected EBITDA</v>
          </cell>
          <cell r="C58">
            <v>227.874</v>
          </cell>
          <cell r="D58">
            <v>307.60300000000007</v>
          </cell>
          <cell r="E58">
            <v>418.74200000000008</v>
          </cell>
          <cell r="F58">
            <v>434.46</v>
          </cell>
          <cell r="G58">
            <v>453.46699999999987</v>
          </cell>
          <cell r="H58">
            <v>408.77900000000011</v>
          </cell>
          <cell r="I58">
            <v>481.69399999999996</v>
          </cell>
          <cell r="J58">
            <v>550.43083434814389</v>
          </cell>
          <cell r="K58">
            <v>613.2671961557628</v>
          </cell>
          <cell r="L58">
            <v>669.2749297603292</v>
          </cell>
        </row>
        <row r="59">
          <cell r="B59" t="str">
            <v xml:space="preserve">  Year-over-year growth</v>
          </cell>
          <cell r="D59">
            <v>0.34988195230697694</v>
          </cell>
          <cell r="E59">
            <v>0.36130661924623619</v>
          </cell>
          <cell r="F59">
            <v>3.7536239498306534E-2</v>
          </cell>
          <cell r="G59">
            <v>4.3748561432582767E-2</v>
          </cell>
          <cell r="H59">
            <v>-9.8547413593491395E-2</v>
          </cell>
          <cell r="I59">
            <v>0.17837266591483369</v>
          </cell>
          <cell r="J59">
            <v>0.14269813273186696</v>
          </cell>
          <cell r="K59">
            <v>0.11415850618549357</v>
          </cell>
          <cell r="L59">
            <v>9.132680494839486E-2</v>
          </cell>
        </row>
        <row r="61">
          <cell r="B61" t="str">
            <v>1-Year Forward EBITDA Multiple</v>
          </cell>
          <cell r="C61">
            <v>11.822317634110284</v>
          </cell>
          <cell r="D61">
            <v>9.3653380188509576</v>
          </cell>
          <cell r="E61">
            <v>9.2464524444698863</v>
          </cell>
          <cell r="F61">
            <v>9.2709922458606648</v>
          </cell>
          <cell r="G61">
            <v>10.646692743519768</v>
          </cell>
          <cell r="H61">
            <v>8.7874800072262929</v>
          </cell>
          <cell r="I61">
            <v>7.8760958316117602</v>
          </cell>
        </row>
        <row r="62">
          <cell r="B62" t="str">
            <v>3-Year Forward EBITDA Growth</v>
          </cell>
          <cell r="C62">
            <v>0.25161887024944507</v>
          </cell>
          <cell r="D62">
            <v>0.12763062903925904</v>
          </cell>
          <cell r="E62">
            <v>-2.9379072195349076E-3</v>
          </cell>
          <cell r="F62">
            <v>2.0800139156871511E-2</v>
          </cell>
          <cell r="G62">
            <v>7.7396067386178435E-2</v>
          </cell>
          <cell r="H62">
            <v>0.14456773502007891</v>
          </cell>
          <cell r="I62">
            <v>0.11569296372905113</v>
          </cell>
        </row>
        <row r="64">
          <cell r="B64" t="str">
            <v>Projected Earnings</v>
          </cell>
          <cell r="C64">
            <v>1.1131778859071442</v>
          </cell>
          <cell r="D64">
            <v>1.35343946778761</v>
          </cell>
          <cell r="E64">
            <v>1.8485794895386709</v>
          </cell>
          <cell r="F64">
            <v>1.9580149371958631</v>
          </cell>
          <cell r="G64">
            <v>2.1624530694345188</v>
          </cell>
          <cell r="H64">
            <v>2.0014052858652156</v>
          </cell>
          <cell r="I64">
            <v>2.3174792095701484</v>
          </cell>
          <cell r="J64">
            <v>2.6102713799702708</v>
          </cell>
          <cell r="K64">
            <v>2.8740983932245827</v>
          </cell>
          <cell r="L64">
            <v>3.1064925575101654</v>
          </cell>
        </row>
        <row r="65">
          <cell r="B65" t="str">
            <v xml:space="preserve">  Year-over-Year Growth</v>
          </cell>
          <cell r="D65">
            <v>0.21583395153836826</v>
          </cell>
          <cell r="E65">
            <v>0.36583832046839748</v>
          </cell>
          <cell r="F65">
            <v>5.9199752175386644E-2</v>
          </cell>
          <cell r="G65">
            <v>0.10441091554257409</v>
          </cell>
          <cell r="H65">
            <v>-7.4474579747257685E-2</v>
          </cell>
          <cell r="I65">
            <v>0.15792599626731407</v>
          </cell>
          <cell r="J65">
            <v>0.12634079701385126</v>
          </cell>
          <cell r="K65">
            <v>0.10107263761108101</v>
          </cell>
          <cell r="L65">
            <v>8.0858110088864815E-2</v>
          </cell>
        </row>
        <row r="67">
          <cell r="B67" t="str">
            <v>1-Year Forward EPS Multiple</v>
          </cell>
          <cell r="C67">
            <v>27.107837573992299</v>
          </cell>
          <cell r="D67">
            <v>14.22973692199753</v>
          </cell>
          <cell r="E67">
            <v>14.015842152981035</v>
          </cell>
          <cell r="F67">
            <v>13.610257589480412</v>
          </cell>
          <cell r="G67">
            <v>16.201294788483121</v>
          </cell>
          <cell r="H67">
            <v>14.657090008521241</v>
          </cell>
          <cell r="I67">
            <v>12.399491408067215</v>
          </cell>
        </row>
        <row r="68">
          <cell r="B68" t="str">
            <v>3-Year Forward Growth</v>
          </cell>
          <cell r="C68">
            <v>0.22212424095222527</v>
          </cell>
          <cell r="D68">
            <v>0.15757767736034989</v>
          </cell>
          <cell r="E68">
            <v>3.433719606135277E-2</v>
          </cell>
          <cell r="F68">
            <v>4.375552883788103E-2</v>
          </cell>
          <cell r="G68">
            <v>7.3716857440750072E-2</v>
          </cell>
          <cell r="H68">
            <v>0.12802041164654399</v>
          </cell>
          <cell r="I68">
            <v>0.10244755405821571</v>
          </cell>
        </row>
        <row r="72">
          <cell r="B72" t="str">
            <v>WACC</v>
          </cell>
        </row>
        <row r="73">
          <cell r="B73" t="str">
            <v>Cost of Debt</v>
          </cell>
          <cell r="E73">
            <v>4.7E-2</v>
          </cell>
          <cell r="I73" t="str">
            <v>Rf</v>
          </cell>
          <cell r="J73">
            <v>0.04</v>
          </cell>
          <cell r="K73" t="str">
            <v>30-YR Treas</v>
          </cell>
        </row>
        <row r="74">
          <cell r="B74" t="str">
            <v>Cost of Equity</v>
          </cell>
          <cell r="E74">
            <v>0.10930000000000001</v>
          </cell>
          <cell r="I74" t="str">
            <v>Mrp</v>
          </cell>
          <cell r="J74">
            <v>5.5E-2</v>
          </cell>
        </row>
        <row r="75">
          <cell r="B75" t="str">
            <v>Debt / Total Capital</v>
          </cell>
          <cell r="E75">
            <v>0.21702063054128562</v>
          </cell>
          <cell r="I75" t="str">
            <v>Equity Beta</v>
          </cell>
          <cell r="J75">
            <v>1.26</v>
          </cell>
        </row>
        <row r="76">
          <cell r="B76" t="str">
            <v>Tax Rate</v>
          </cell>
          <cell r="E76">
            <v>0.38</v>
          </cell>
          <cell r="J76">
            <v>0.10930000000000001</v>
          </cell>
        </row>
        <row r="78">
          <cell r="B78" t="str">
            <v>WACC</v>
          </cell>
          <cell r="E78">
            <v>9.1903626255810555E-2</v>
          </cell>
          <cell r="I78" t="str">
            <v>Debt</v>
          </cell>
          <cell r="J78">
            <v>1117.0309999999999</v>
          </cell>
        </row>
        <row r="79">
          <cell r="I79" t="str">
            <v>Capital</v>
          </cell>
          <cell r="J79">
            <v>5147.11895</v>
          </cell>
          <cell r="L79" t="str">
            <v>Price</v>
          </cell>
          <cell r="M79">
            <v>32.97</v>
          </cell>
        </row>
        <row r="80">
          <cell r="B80" t="str">
            <v>2015 Terminal Multiple</v>
          </cell>
        </row>
        <row r="81">
          <cell r="B81" t="str">
            <v>Bull</v>
          </cell>
          <cell r="E81">
            <v>10</v>
          </cell>
          <cell r="L81" t="str">
            <v>2015 EBITDA</v>
          </cell>
          <cell r="M81">
            <v>481.69399999999996</v>
          </cell>
        </row>
        <row r="82">
          <cell r="B82" t="str">
            <v>Base</v>
          </cell>
          <cell r="E82">
            <v>9</v>
          </cell>
          <cell r="L82" t="str">
            <v>2015 EV/EBITDA</v>
          </cell>
          <cell r="M82">
            <v>8.9999999999999982</v>
          </cell>
        </row>
        <row r="83">
          <cell r="B83" t="str">
            <v>Bear</v>
          </cell>
          <cell r="E83">
            <v>8</v>
          </cell>
        </row>
        <row r="86">
          <cell r="E86" t="str">
            <v>Latest Q</v>
          </cell>
        </row>
        <row r="87">
          <cell r="D87" t="str">
            <v>Date</v>
          </cell>
          <cell r="E87" t="str">
            <v>Shares</v>
          </cell>
          <cell r="G87" t="str">
            <v>Exercise</v>
          </cell>
          <cell r="H87" t="str">
            <v>Proceeds</v>
          </cell>
        </row>
        <row r="88">
          <cell r="B88" t="str">
            <v>Common Stock</v>
          </cell>
          <cell r="D88" t="str">
            <v>24/01/2011</v>
          </cell>
          <cell r="E88">
            <v>119.699741</v>
          </cell>
        </row>
        <row r="89">
          <cell r="B89" t="str">
            <v>Stock options and restricted stock units</v>
          </cell>
          <cell r="D89">
            <v>40512</v>
          </cell>
          <cell r="E89">
            <v>1.2829999999999999</v>
          </cell>
          <cell r="G89">
            <v>17.54</v>
          </cell>
          <cell r="H89">
            <v>22.503819999999997</v>
          </cell>
        </row>
        <row r="90">
          <cell r="E90" t="str">
            <v xml:space="preserve">_______  </v>
          </cell>
          <cell r="H90" t="str">
            <v xml:space="preserve">_______  </v>
          </cell>
        </row>
        <row r="91">
          <cell r="B91" t="str">
            <v>Totals</v>
          </cell>
          <cell r="E91">
            <v>120.982741</v>
          </cell>
          <cell r="H91">
            <v>22.503819999999997</v>
          </cell>
        </row>
        <row r="96">
          <cell r="C96" t="str">
            <v>2008</v>
          </cell>
          <cell r="D96">
            <v>2009</v>
          </cell>
          <cell r="E96" t="str">
            <v>2010E</v>
          </cell>
          <cell r="F96" t="str">
            <v>2011E</v>
          </cell>
          <cell r="G96" t="str">
            <v>2012E</v>
          </cell>
          <cell r="H96" t="str">
            <v>2013E</v>
          </cell>
          <cell r="I96" t="str">
            <v>2014E</v>
          </cell>
          <cell r="J96" t="str">
            <v>2015E</v>
          </cell>
        </row>
        <row r="97">
          <cell r="B97" t="str">
            <v>NOL Usage times Tax Rate</v>
          </cell>
          <cell r="C97">
            <v>0</v>
          </cell>
          <cell r="D97">
            <v>0</v>
          </cell>
          <cell r="E97">
            <v>0</v>
          </cell>
          <cell r="F97">
            <v>0</v>
          </cell>
          <cell r="G97">
            <v>0</v>
          </cell>
          <cell r="H97">
            <v>0</v>
          </cell>
          <cell r="I97">
            <v>0</v>
          </cell>
          <cell r="J97">
            <v>0</v>
          </cell>
        </row>
        <row r="98">
          <cell r="B98" t="str">
            <v>Discounted Value</v>
          </cell>
          <cell r="C98">
            <v>0</v>
          </cell>
          <cell r="D98">
            <v>0</v>
          </cell>
          <cell r="E98">
            <v>0</v>
          </cell>
          <cell r="F98">
            <v>0</v>
          </cell>
          <cell r="G98">
            <v>0</v>
          </cell>
          <cell r="H98">
            <v>0</v>
          </cell>
          <cell r="I98">
            <v>0</v>
          </cell>
          <cell r="J98">
            <v>0</v>
          </cell>
        </row>
        <row r="99">
          <cell r="B99" t="str">
            <v xml:space="preserve">  Discount Rate</v>
          </cell>
          <cell r="C99">
            <v>9.1903626255810555E-2</v>
          </cell>
        </row>
      </sheetData>
      <sheetData sheetId="22"/>
      <sheetData sheetId="23"/>
      <sheetData sheetId="24"/>
      <sheetData sheetId="25"/>
      <sheetData sheetId="26" refreshError="1"/>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nt "/>
      <sheetName val="Scenario"/>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s>

</file>

<file path=xl/worksheets/_rels/sheet2.xml.rels><?xml version="1.0" encoding="UTF-8" standalone="yes"?>
<Relationships xmlns="http://schemas.openxmlformats.org/package/2006/relationships">
<Relationship Id="rId1" Target="../printerSettings/printerSettings2.bin" Type="http://schemas.openxmlformats.org/officeDocument/2006/relationships/printerSettings"/>
<Relationship Id="rId2" Target="../drawings/drawing2.xml" Type="http://schemas.openxmlformats.org/officeDocument/2006/relationships/drawing"/>
<Relationship Id="rId3" Target="../drawings/vmlDrawing1.vml" Type="http://schemas.openxmlformats.org/officeDocument/2006/relationships/vmlDrawing"/>
<Relationship Id="rId4" Target="../ctrlProps/ctrlProp1.xml" Type="http://schemas.openxmlformats.org/officeDocument/2006/relationships/ctrlProp"/>
<Relationship Id="rId5" Target="../ctrlProps/ctrlProp2.xml" Type="http://schemas.openxmlformats.org/officeDocument/2006/relationships/ctrlProp"/>
<Relationship Id="rId6" Target="../ctrlProps/ctrlProp3.xml" Type="http://schemas.openxmlformats.org/officeDocument/2006/relationships/ctrlProp"/>
<Relationship Id="rId7" Target="../ctrlProps/ctrlProp4.xml" Type="http://schemas.openxmlformats.org/officeDocument/2006/relationships/ctrlProp"/>
<Relationship Id="rId8" Target="../comments1.xml" Type="http://schemas.openxmlformats.org/officeDocument/2006/relationships/comments"/>
</Relationships>

</file>

<file path=xl/worksheets/_rels/sheet3.xml.rels><?xml version="1.0" encoding="UTF-8" standalone="yes"?>
<Relationships xmlns="http://schemas.openxmlformats.org/package/2006/relationships">
<Relationship Id="rId1" Target="../printerSettings/printerSettings3.bin" Type="http://schemas.openxmlformats.org/officeDocument/2006/relationships/printerSettings"/>
<Relationship Id="rId2" Target="../drawings/vmlDrawing2.vml" Type="http://schemas.openxmlformats.org/officeDocument/2006/relationships/vmlDrawing"/>
<Relationship Id="rId3" Target="../comments2.xml" Type="http://schemas.openxmlformats.org/officeDocument/2006/relationships/comments"/>
</Relationships>

</file>

<file path=xl/worksheets/_rels/sheet4.xml.rels><?xml version="1.0" encoding="UTF-8" standalone="yes"?>
<Relationships xmlns="http://schemas.openxmlformats.org/package/2006/relationships">
<Relationship Id="rId1" Target="../printerSettings/printerSettings4.bin" Type="http://schemas.openxmlformats.org/officeDocument/2006/relationships/printerSettings"/>
<Relationship Id="rId2" Target="../drawings/vmlDrawing3.vml" Type="http://schemas.openxmlformats.org/officeDocument/2006/relationships/vmlDrawing"/>
<Relationship Id="rId3" Target="../comments3.xml" Type="http://schemas.openxmlformats.org/officeDocument/2006/relationships/comments"/>
</Relationships>

</file>

<file path=xl/worksheets/_rels/sheet5.xml.rels><?xml version="1.0" encoding="UTF-8" standalone="yes"?>
<Relationships xmlns="http://schemas.openxmlformats.org/package/2006/relationships">
<Relationship Id="rId1" Target="../printerSettings/printerSettings5.bin" Type="http://schemas.openxmlformats.org/officeDocument/2006/relationships/printerSettings"/>
<Relationship Id="rId2" Target="../drawings/vmlDrawing4.vml" Type="http://schemas.openxmlformats.org/officeDocument/2006/relationships/vmlDrawing"/>
<Relationship Id="rId3" Target="../comments4.xml" Type="http://schemas.openxmlformats.org/officeDocument/2006/relationships/comments"/>
</Relationships>

</file>

<file path=xl/worksheets/_rels/sheet6.xml.rels><?xml version="1.0" encoding="UTF-8" standalone="yes"?>
<Relationships xmlns="http://schemas.openxmlformats.org/package/2006/relationships">
<Relationship Id="rId1" Target="../printerSettings/printerSettings6.bin" Type="http://schemas.openxmlformats.org/officeDocument/2006/relationships/printerSettings"/>
<Relationship Id="rId2" Target="../drawings/vmlDrawing5.vml" Type="http://schemas.openxmlformats.org/officeDocument/2006/relationships/vmlDrawing"/>
<Relationship Id="rId3" Target="../comments5.xml" Type="http://schemas.openxmlformats.org/officeDocument/2006/relationships/comments"/>
</Relationships>

</file>

<file path=xl/worksheets/_rels/sheet7.xml.rels><?xml version="1.0" encoding="UTF-8" standalone="yes"?>
<Relationships xmlns="http://schemas.openxmlformats.org/package/2006/relationships">
<Relationship Id="rId1" Target="../printerSettings/printerSettings7.bin" Type="http://schemas.openxmlformats.org/officeDocument/2006/relationships/printerSettings"/>
</Relationships>

</file>

<file path=xl/worksheets/_rels/sheet9.xml.rels><?xml version="1.0" encoding="UTF-8" standalone="yes"?>
<Relationships xmlns="http://schemas.openxmlformats.org/package/2006/relationships">
<Relationship Id="rId1" Target="../printerSettings/printerSettings8.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391"/>
  <sheetViews>
    <sheetView showGridLines="0" tabSelected="1" workbookViewId="0">
      <selection activeCell="D22" sqref="D22"/>
    </sheetView>
  </sheetViews>
  <sheetFormatPr defaultRowHeight="12.75" x14ac:dyDescent="0.2"/>
  <cols>
    <col min="1" max="1" width="25.7109375" style="2021" customWidth="1"/>
    <col min="2" max="5" width="9.140625" style="2021"/>
    <col min="6" max="6" width="18.7109375" style="2021" customWidth="1"/>
    <col min="7" max="256" width="9.140625" style="2021"/>
    <col min="257" max="257" width="100.7109375" style="2021" customWidth="1"/>
    <col min="258" max="512" width="9.140625" style="2021"/>
    <col min="513" max="513" width="100.7109375" style="2021" customWidth="1"/>
    <col min="514" max="768" width="9.140625" style="2021"/>
    <col min="769" max="769" width="100.7109375" style="2021" customWidth="1"/>
    <col min="770" max="1024" width="9.140625" style="2021"/>
    <col min="1025" max="1025" width="100.7109375" style="2021" customWidth="1"/>
    <col min="1026" max="1280" width="9.140625" style="2021"/>
    <col min="1281" max="1281" width="100.7109375" style="2021" customWidth="1"/>
    <col min="1282" max="1536" width="9.140625" style="2021"/>
    <col min="1537" max="1537" width="100.7109375" style="2021" customWidth="1"/>
    <col min="1538" max="1792" width="9.140625" style="2021"/>
    <col min="1793" max="1793" width="100.7109375" style="2021" customWidth="1"/>
    <col min="1794" max="2048" width="9.140625" style="2021"/>
    <col min="2049" max="2049" width="100.7109375" style="2021" customWidth="1"/>
    <col min="2050" max="2304" width="9.140625" style="2021"/>
    <col min="2305" max="2305" width="100.7109375" style="2021" customWidth="1"/>
    <col min="2306" max="2560" width="9.140625" style="2021"/>
    <col min="2561" max="2561" width="100.7109375" style="2021" customWidth="1"/>
    <col min="2562" max="2816" width="9.140625" style="2021"/>
    <col min="2817" max="2817" width="100.7109375" style="2021" customWidth="1"/>
    <col min="2818" max="3072" width="9.140625" style="2021"/>
    <col min="3073" max="3073" width="100.7109375" style="2021" customWidth="1"/>
    <col min="3074" max="3328" width="9.140625" style="2021"/>
    <col min="3329" max="3329" width="100.7109375" style="2021" customWidth="1"/>
    <col min="3330" max="3584" width="9.140625" style="2021"/>
    <col min="3585" max="3585" width="100.7109375" style="2021" customWidth="1"/>
    <col min="3586" max="3840" width="9.140625" style="2021"/>
    <col min="3841" max="3841" width="100.7109375" style="2021" customWidth="1"/>
    <col min="3842" max="4096" width="9.140625" style="2021"/>
    <col min="4097" max="4097" width="100.7109375" style="2021" customWidth="1"/>
    <col min="4098" max="4352" width="9.140625" style="2021"/>
    <col min="4353" max="4353" width="100.7109375" style="2021" customWidth="1"/>
    <col min="4354" max="4608" width="9.140625" style="2021"/>
    <col min="4609" max="4609" width="100.7109375" style="2021" customWidth="1"/>
    <col min="4610" max="4864" width="9.140625" style="2021"/>
    <col min="4865" max="4865" width="100.7109375" style="2021" customWidth="1"/>
    <col min="4866" max="5120" width="9.140625" style="2021"/>
    <col min="5121" max="5121" width="100.7109375" style="2021" customWidth="1"/>
    <col min="5122" max="5376" width="9.140625" style="2021"/>
    <col min="5377" max="5377" width="100.7109375" style="2021" customWidth="1"/>
    <col min="5378" max="5632" width="9.140625" style="2021"/>
    <col min="5633" max="5633" width="100.7109375" style="2021" customWidth="1"/>
    <col min="5634" max="5888" width="9.140625" style="2021"/>
    <col min="5889" max="5889" width="100.7109375" style="2021" customWidth="1"/>
    <col min="5890" max="6144" width="9.140625" style="2021"/>
    <col min="6145" max="6145" width="100.7109375" style="2021" customWidth="1"/>
    <col min="6146" max="6400" width="9.140625" style="2021"/>
    <col min="6401" max="6401" width="100.7109375" style="2021" customWidth="1"/>
    <col min="6402" max="6656" width="9.140625" style="2021"/>
    <col min="6657" max="6657" width="100.7109375" style="2021" customWidth="1"/>
    <col min="6658" max="6912" width="9.140625" style="2021"/>
    <col min="6913" max="6913" width="100.7109375" style="2021" customWidth="1"/>
    <col min="6914" max="7168" width="9.140625" style="2021"/>
    <col min="7169" max="7169" width="100.7109375" style="2021" customWidth="1"/>
    <col min="7170" max="7424" width="9.140625" style="2021"/>
    <col min="7425" max="7425" width="100.7109375" style="2021" customWidth="1"/>
    <col min="7426" max="7680" width="9.140625" style="2021"/>
    <col min="7681" max="7681" width="100.7109375" style="2021" customWidth="1"/>
    <col min="7682" max="7936" width="9.140625" style="2021"/>
    <col min="7937" max="7937" width="100.7109375" style="2021" customWidth="1"/>
    <col min="7938" max="8192" width="9.140625" style="2021"/>
    <col min="8193" max="8193" width="100.7109375" style="2021" customWidth="1"/>
    <col min="8194" max="8448" width="9.140625" style="2021"/>
    <col min="8449" max="8449" width="100.7109375" style="2021" customWidth="1"/>
    <col min="8450" max="8704" width="9.140625" style="2021"/>
    <col min="8705" max="8705" width="100.7109375" style="2021" customWidth="1"/>
    <col min="8706" max="8960" width="9.140625" style="2021"/>
    <col min="8961" max="8961" width="100.7109375" style="2021" customWidth="1"/>
    <col min="8962" max="9216" width="9.140625" style="2021"/>
    <col min="9217" max="9217" width="100.7109375" style="2021" customWidth="1"/>
    <col min="9218" max="9472" width="9.140625" style="2021"/>
    <col min="9473" max="9473" width="100.7109375" style="2021" customWidth="1"/>
    <col min="9474" max="9728" width="9.140625" style="2021"/>
    <col min="9729" max="9729" width="100.7109375" style="2021" customWidth="1"/>
    <col min="9730" max="9984" width="9.140625" style="2021"/>
    <col min="9985" max="9985" width="100.7109375" style="2021" customWidth="1"/>
    <col min="9986" max="10240" width="9.140625" style="2021"/>
    <col min="10241" max="10241" width="100.7109375" style="2021" customWidth="1"/>
    <col min="10242" max="10496" width="9.140625" style="2021"/>
    <col min="10497" max="10497" width="100.7109375" style="2021" customWidth="1"/>
    <col min="10498" max="10752" width="9.140625" style="2021"/>
    <col min="10753" max="10753" width="100.7109375" style="2021" customWidth="1"/>
    <col min="10754" max="11008" width="9.140625" style="2021"/>
    <col min="11009" max="11009" width="100.7109375" style="2021" customWidth="1"/>
    <col min="11010" max="11264" width="9.140625" style="2021"/>
    <col min="11265" max="11265" width="100.7109375" style="2021" customWidth="1"/>
    <col min="11266" max="11520" width="9.140625" style="2021"/>
    <col min="11521" max="11521" width="100.7109375" style="2021" customWidth="1"/>
    <col min="11522" max="11776" width="9.140625" style="2021"/>
    <col min="11777" max="11777" width="100.7109375" style="2021" customWidth="1"/>
    <col min="11778" max="12032" width="9.140625" style="2021"/>
    <col min="12033" max="12033" width="100.7109375" style="2021" customWidth="1"/>
    <col min="12034" max="12288" width="9.140625" style="2021"/>
    <col min="12289" max="12289" width="100.7109375" style="2021" customWidth="1"/>
    <col min="12290" max="12544" width="9.140625" style="2021"/>
    <col min="12545" max="12545" width="100.7109375" style="2021" customWidth="1"/>
    <col min="12546" max="12800" width="9.140625" style="2021"/>
    <col min="12801" max="12801" width="100.7109375" style="2021" customWidth="1"/>
    <col min="12802" max="13056" width="9.140625" style="2021"/>
    <col min="13057" max="13057" width="100.7109375" style="2021" customWidth="1"/>
    <col min="13058" max="13312" width="9.140625" style="2021"/>
    <col min="13313" max="13313" width="100.7109375" style="2021" customWidth="1"/>
    <col min="13314" max="13568" width="9.140625" style="2021"/>
    <col min="13569" max="13569" width="100.7109375" style="2021" customWidth="1"/>
    <col min="13570" max="13824" width="9.140625" style="2021"/>
    <col min="13825" max="13825" width="100.7109375" style="2021" customWidth="1"/>
    <col min="13826" max="14080" width="9.140625" style="2021"/>
    <col min="14081" max="14081" width="100.7109375" style="2021" customWidth="1"/>
    <col min="14082" max="14336" width="9.140625" style="2021"/>
    <col min="14337" max="14337" width="100.7109375" style="2021" customWidth="1"/>
    <col min="14338" max="14592" width="9.140625" style="2021"/>
    <col min="14593" max="14593" width="100.7109375" style="2021" customWidth="1"/>
    <col min="14594" max="14848" width="9.140625" style="2021"/>
    <col min="14849" max="14849" width="100.7109375" style="2021" customWidth="1"/>
    <col min="14850" max="15104" width="9.140625" style="2021"/>
    <col min="15105" max="15105" width="100.7109375" style="2021" customWidth="1"/>
    <col min="15106" max="15360" width="9.140625" style="2021"/>
    <col min="15361" max="15361" width="100.7109375" style="2021" customWidth="1"/>
    <col min="15362" max="15616" width="9.140625" style="2021"/>
    <col min="15617" max="15617" width="100.7109375" style="2021" customWidth="1"/>
    <col min="15618" max="15872" width="9.140625" style="2021"/>
    <col min="15873" max="15873" width="100.7109375" style="2021" customWidth="1"/>
    <col min="15874" max="16128" width="9.140625" style="2021"/>
    <col min="16129" max="16129" width="100.7109375" style="2021" customWidth="1"/>
    <col min="16130" max="16384" width="9.140625" style="2021"/>
  </cols>
  <sheetData>
    <row r="1" spans="1:8" ht="30" customHeight="1" x14ac:dyDescent="0.2">
      <c r="A1" s="2019"/>
      <c r="B1" s="2020"/>
      <c r="C1" s="2020"/>
      <c r="D1" s="2020"/>
      <c r="E1" s="2020"/>
      <c r="F1" s="2020"/>
      <c r="G1" s="2020"/>
      <c r="H1" s="2020"/>
    </row>
    <row r="2" spans="1:8" ht="14.25" x14ac:dyDescent="0.2">
      <c r="A2" s="2022" t="s">
        <v>642</v>
      </c>
      <c r="B2" s="2020"/>
      <c r="C2" s="2020"/>
      <c r="D2" s="2020"/>
      <c r="E2" s="2020"/>
      <c r="F2" s="2020"/>
      <c r="G2" s="2020"/>
      <c r="H2" s="2020"/>
    </row>
    <row r="3" spans="1:8" ht="14.25" x14ac:dyDescent="0.2">
      <c r="A3" s="2022" t="s">
        <v>643</v>
      </c>
      <c r="B3" s="2020"/>
      <c r="C3" s="2020"/>
      <c r="D3" s="2020"/>
      <c r="E3" s="2020"/>
      <c r="F3" s="2020"/>
      <c r="G3" s="2020"/>
      <c r="H3" s="2020"/>
    </row>
    <row r="4" spans="1:8" ht="14.25" x14ac:dyDescent="0.2">
      <c r="A4" s="2022" t="s">
        <v>644</v>
      </c>
      <c r="B4" s="2020"/>
      <c r="C4" s="2020"/>
      <c r="D4" s="2020"/>
      <c r="E4" s="2020"/>
      <c r="F4" s="2020"/>
      <c r="G4" s="2020"/>
      <c r="H4" s="2020"/>
    </row>
    <row r="5" spans="1:8" ht="14.25" x14ac:dyDescent="0.2">
      <c r="A5" s="2022" t="s">
        <v>645</v>
      </c>
      <c r="B5" s="2020"/>
      <c r="C5" s="2020"/>
      <c r="D5" s="2020"/>
      <c r="E5" s="2020"/>
      <c r="F5" s="2020"/>
      <c r="G5" s="2020"/>
      <c r="H5" s="2020"/>
    </row>
    <row r="6" spans="1:8" ht="14.25" x14ac:dyDescent="0.2">
      <c r="A6" s="2022"/>
      <c r="B6" s="2020"/>
      <c r="C6" s="2020"/>
      <c r="D6" s="2020"/>
      <c r="E6" s="2020"/>
      <c r="F6" s="2020"/>
      <c r="G6" s="2020"/>
      <c r="H6" s="2020"/>
    </row>
    <row r="7" spans="1:8" x14ac:dyDescent="0.2">
      <c r="A7" s="2019" t="s">
        <v>646</v>
      </c>
      <c r="B7" s="2020"/>
      <c r="C7" s="2020"/>
      <c r="D7" s="2020"/>
      <c r="E7" s="2020"/>
      <c r="F7" s="2020"/>
      <c r="G7" s="2020"/>
      <c r="H7" s="2020"/>
    </row>
    <row r="8" spans="1:8" x14ac:dyDescent="0.2">
      <c r="A8" s="2019" t="s">
        <v>647</v>
      </c>
      <c r="B8" s="2020"/>
      <c r="C8" s="2020"/>
      <c r="D8" s="2020"/>
      <c r="E8" s="2020"/>
      <c r="F8" s="2020"/>
      <c r="G8" s="2020"/>
      <c r="H8" s="2020"/>
    </row>
    <row r="9" spans="1:8" x14ac:dyDescent="0.2">
      <c r="A9" s="2019"/>
      <c r="B9" s="2020"/>
      <c r="C9" s="2020"/>
      <c r="D9" s="2020"/>
      <c r="E9" s="2020"/>
      <c r="F9" s="2020"/>
      <c r="G9" s="2020"/>
      <c r="H9" s="2020"/>
    </row>
    <row r="10" spans="1:8" x14ac:dyDescent="0.2">
      <c r="A10" s="2023" t="s">
        <v>648</v>
      </c>
      <c r="B10" s="2020"/>
      <c r="C10" s="2020"/>
      <c r="D10" s="2020"/>
      <c r="E10" s="2020"/>
      <c r="F10" s="2020"/>
      <c r="G10" s="2020"/>
      <c r="H10" s="2020"/>
    </row>
    <row r="11" spans="1:8" x14ac:dyDescent="0.2">
      <c r="A11" s="2023" t="s">
        <v>649</v>
      </c>
      <c r="B11" s="2020"/>
      <c r="C11" s="2020"/>
      <c r="D11" s="2020"/>
      <c r="E11" s="2020"/>
      <c r="F11" s="2020"/>
      <c r="G11" s="2020"/>
      <c r="H11" s="2020"/>
    </row>
    <row r="12" spans="1:8" x14ac:dyDescent="0.2">
      <c r="A12" s="2023" t="s">
        <v>650</v>
      </c>
      <c r="B12" s="2020"/>
      <c r="C12" s="2020"/>
      <c r="D12" s="2020"/>
      <c r="E12" s="2020"/>
      <c r="F12" s="2020"/>
      <c r="G12" s="2020"/>
      <c r="H12" s="2020"/>
    </row>
    <row r="13" spans="1:8" x14ac:dyDescent="0.2">
      <c r="A13" s="2023" t="s">
        <v>651</v>
      </c>
      <c r="B13" s="2020"/>
      <c r="C13" s="2020"/>
      <c r="D13" s="2020"/>
      <c r="E13" s="2020"/>
      <c r="F13" s="2020"/>
      <c r="G13" s="2020"/>
      <c r="H13" s="2020"/>
    </row>
    <row r="14" spans="1:8" x14ac:dyDescent="0.2">
      <c r="A14" s="2023" t="s">
        <v>652</v>
      </c>
      <c r="B14" s="2020"/>
      <c r="C14" s="2020"/>
      <c r="D14" s="2020"/>
      <c r="E14" s="2020"/>
      <c r="F14" s="2020"/>
      <c r="G14" s="2020"/>
      <c r="H14" s="2020"/>
    </row>
    <row r="15" spans="1:8" x14ac:dyDescent="0.2">
      <c r="A15" s="2023" t="s">
        <v>1005</v>
      </c>
      <c r="B15" s="2020"/>
      <c r="C15" s="2020"/>
      <c r="D15" s="2020"/>
      <c r="E15" s="2020"/>
      <c r="F15" s="2020"/>
      <c r="G15" s="2020"/>
      <c r="H15" s="2020"/>
    </row>
    <row r="16" spans="1:8" x14ac:dyDescent="0.2">
      <c r="A16" s="2023"/>
      <c r="B16" s="2020"/>
      <c r="C16" s="2020"/>
      <c r="D16" s="2020"/>
      <c r="E16" s="2020"/>
      <c r="F16" s="2020"/>
      <c r="G16" s="2020"/>
      <c r="H16" s="2020"/>
    </row>
    <row r="17" spans="1:8" x14ac:dyDescent="0.2">
      <c r="A17" s="2023" t="s">
        <v>639</v>
      </c>
      <c r="B17" s="2020"/>
      <c r="C17" s="2020"/>
      <c r="D17" s="2020"/>
      <c r="E17" s="2020"/>
      <c r="F17" s="2020"/>
      <c r="G17" s="2020"/>
      <c r="H17" s="2020"/>
    </row>
    <row r="18" spans="1:8" x14ac:dyDescent="0.2">
      <c r="A18" s="2023"/>
      <c r="B18" s="2020"/>
      <c r="C18" s="2020"/>
      <c r="D18" s="2020"/>
      <c r="E18" s="2020"/>
      <c r="F18" s="2020"/>
      <c r="G18" s="2020"/>
      <c r="H18" s="2020"/>
    </row>
    <row r="19" spans="1:8" x14ac:dyDescent="0.2">
      <c r="A19" s="2023" t="s">
        <v>640</v>
      </c>
      <c r="B19" s="2020"/>
      <c r="C19" s="2020"/>
      <c r="D19" s="2020"/>
      <c r="E19" s="2020"/>
      <c r="F19" s="2020"/>
      <c r="G19" s="2020"/>
      <c r="H19" s="2020"/>
    </row>
    <row r="20" spans="1:8" x14ac:dyDescent="0.2">
      <c r="A20" s="2019"/>
      <c r="B20" s="2020"/>
      <c r="C20" s="2020"/>
      <c r="D20" s="2020"/>
      <c r="E20" s="2020"/>
      <c r="F20" s="2020"/>
      <c r="G20" s="2020"/>
      <c r="H20" s="2020"/>
    </row>
    <row r="21" spans="1:8" x14ac:dyDescent="0.2">
      <c r="A21" s="2024" t="s">
        <v>641</v>
      </c>
      <c r="B21" s="2020"/>
      <c r="C21" s="2020"/>
      <c r="D21" s="2020"/>
      <c r="E21" s="2020"/>
      <c r="F21" s="2020"/>
      <c r="G21" s="2020"/>
      <c r="H21" s="2020"/>
    </row>
    <row r="22" spans="1:8" ht="15" x14ac:dyDescent="0.2">
      <c r="A22" s="2025"/>
      <c r="B22" s="2025"/>
      <c r="C22" s="2025"/>
      <c r="D22" s="2025"/>
      <c r="E22" s="2025"/>
      <c r="F22" s="2025"/>
      <c r="G22" s="2025"/>
      <c r="H22" s="2025"/>
    </row>
    <row r="23" spans="1:8" ht="15" x14ac:dyDescent="0.2">
      <c r="A23" s="2026" t="s">
        <v>931</v>
      </c>
      <c r="B23" s="2025"/>
      <c r="C23" s="2025"/>
      <c r="D23" s="2025"/>
      <c r="E23" s="2025"/>
      <c r="F23" s="2025"/>
      <c r="G23" s="2025"/>
      <c r="H23" s="2025"/>
    </row>
    <row r="24" spans="1:8" ht="15" x14ac:dyDescent="0.2">
      <c r="A24" s="2026" t="s">
        <v>932</v>
      </c>
      <c r="B24" s="2025"/>
      <c r="C24" s="2025"/>
      <c r="D24" s="2025"/>
      <c r="E24" s="2025"/>
      <c r="F24" s="2025"/>
      <c r="G24" s="2025"/>
      <c r="H24" s="2025"/>
    </row>
    <row r="25" spans="1:8" ht="15" x14ac:dyDescent="0.2">
      <c r="A25" s="2026" t="s">
        <v>933</v>
      </c>
      <c r="B25" s="2025"/>
      <c r="C25" s="2025"/>
      <c r="D25" s="2025"/>
      <c r="E25" s="2025"/>
      <c r="F25" s="2025"/>
      <c r="G25" s="2025"/>
      <c r="H25" s="2025"/>
    </row>
    <row r="26" spans="1:8" ht="15" x14ac:dyDescent="0.2">
      <c r="A26" s="2026" t="s">
        <v>934</v>
      </c>
      <c r="B26" s="2025"/>
      <c r="C26" s="2025"/>
      <c r="D26" s="2025"/>
      <c r="E26" s="2025"/>
      <c r="F26" s="2025"/>
      <c r="G26" s="2025"/>
      <c r="H26" s="2025"/>
    </row>
    <row r="27" spans="1:8" ht="15" x14ac:dyDescent="0.2">
      <c r="A27" s="2025"/>
      <c r="B27" s="2025"/>
      <c r="C27" s="2025"/>
      <c r="D27" s="2025"/>
      <c r="E27" s="2025"/>
      <c r="F27" s="2025"/>
      <c r="G27" s="2025"/>
      <c r="H27" s="2025"/>
    </row>
    <row r="28" spans="1:8" ht="15" x14ac:dyDescent="0.2">
      <c r="A28" s="2025"/>
      <c r="B28" s="2025"/>
      <c r="C28" s="2025"/>
      <c r="D28" s="2025"/>
      <c r="E28" s="2025"/>
      <c r="F28" s="2025"/>
      <c r="G28" s="2025"/>
      <c r="H28" s="2025"/>
    </row>
    <row r="29" spans="1:8" ht="15" x14ac:dyDescent="0.2">
      <c r="A29" s="2026" t="s">
        <v>926</v>
      </c>
      <c r="B29" s="2025"/>
      <c r="C29" s="2025"/>
      <c r="D29" s="2025"/>
      <c r="E29" s="2025"/>
      <c r="F29" s="2025"/>
      <c r="G29" s="2025"/>
      <c r="H29" s="2025"/>
    </row>
    <row r="30" spans="1:8" ht="15" x14ac:dyDescent="0.2">
      <c r="A30" s="2026" t="s">
        <v>927</v>
      </c>
      <c r="B30" s="2025"/>
      <c r="C30" s="2025"/>
      <c r="D30" s="2025"/>
      <c r="E30" s="2025"/>
      <c r="F30" s="2025"/>
      <c r="G30" s="2025"/>
      <c r="H30" s="2025"/>
    </row>
    <row r="31" spans="1:8" ht="15" x14ac:dyDescent="0.2">
      <c r="A31" s="2026" t="s">
        <v>928</v>
      </c>
      <c r="B31" s="2025"/>
      <c r="C31" s="2025"/>
      <c r="D31" s="2025"/>
      <c r="E31" s="2025"/>
      <c r="F31" s="2025"/>
      <c r="G31" s="2025"/>
      <c r="H31" s="2025"/>
    </row>
    <row r="32" spans="1:8" ht="15" x14ac:dyDescent="0.2">
      <c r="A32" s="2026" t="s">
        <v>929</v>
      </c>
      <c r="B32" s="2025"/>
      <c r="C32" s="2025"/>
      <c r="D32" s="2025"/>
      <c r="E32" s="2025"/>
      <c r="F32" s="2025"/>
      <c r="G32" s="2025"/>
      <c r="H32" s="2025"/>
    </row>
    <row r="33" spans="1:8" ht="15" x14ac:dyDescent="0.2">
      <c r="A33" s="2026" t="s">
        <v>930</v>
      </c>
      <c r="B33" s="2025"/>
      <c r="C33" s="2025"/>
      <c r="D33" s="2025"/>
      <c r="E33" s="2025"/>
      <c r="F33" s="2025"/>
      <c r="G33" s="2025"/>
      <c r="H33" s="2025"/>
    </row>
    <row r="34" spans="1:8" ht="15" x14ac:dyDescent="0.2">
      <c r="A34" s="2025"/>
      <c r="B34" s="2025"/>
      <c r="C34" s="2025"/>
      <c r="D34" s="2025"/>
      <c r="E34" s="2025"/>
      <c r="F34" s="2025"/>
      <c r="G34" s="2025"/>
      <c r="H34" s="2025"/>
    </row>
    <row r="35" spans="1:8" ht="15" x14ac:dyDescent="0.2">
      <c r="A35" s="2026" t="s">
        <v>922</v>
      </c>
      <c r="B35" s="2025"/>
      <c r="C35" s="2025"/>
      <c r="D35" s="2025"/>
      <c r="E35" s="2025"/>
      <c r="F35" s="2025"/>
      <c r="G35" s="2025"/>
      <c r="H35" s="2025"/>
    </row>
    <row r="36" spans="1:8" ht="15" x14ac:dyDescent="0.2">
      <c r="A36" s="2026" t="s">
        <v>923</v>
      </c>
      <c r="B36" s="2025"/>
      <c r="C36" s="2025"/>
      <c r="D36" s="2025"/>
      <c r="E36" s="2025"/>
      <c r="F36" s="2025"/>
      <c r="G36" s="2025"/>
      <c r="H36" s="2025"/>
    </row>
    <row r="37" spans="1:8" ht="15" x14ac:dyDescent="0.2">
      <c r="A37" s="2026" t="s">
        <v>924</v>
      </c>
      <c r="B37" s="2025"/>
      <c r="C37" s="2025"/>
      <c r="D37" s="2025"/>
      <c r="E37" s="2025"/>
      <c r="F37" s="2025"/>
      <c r="G37" s="2025"/>
      <c r="H37" s="2025"/>
    </row>
    <row r="38" spans="1:8" ht="15" x14ac:dyDescent="0.2">
      <c r="A38" s="2026" t="s">
        <v>925</v>
      </c>
      <c r="B38" s="2025"/>
      <c r="C38" s="2025"/>
      <c r="D38" s="2025"/>
      <c r="E38" s="2025"/>
      <c r="F38" s="2025"/>
      <c r="G38" s="2025"/>
      <c r="H38" s="2025"/>
    </row>
    <row r="39" spans="1:8" ht="15" x14ac:dyDescent="0.2">
      <c r="A39" s="2025"/>
      <c r="B39" s="2025"/>
      <c r="C39" s="2025"/>
      <c r="D39" s="2025"/>
      <c r="E39" s="2025"/>
      <c r="F39" s="2025"/>
      <c r="G39" s="2025"/>
      <c r="H39" s="2025"/>
    </row>
    <row r="40" spans="1:8" ht="15" x14ac:dyDescent="0.2">
      <c r="A40" s="2026" t="s">
        <v>916</v>
      </c>
      <c r="B40" s="2025"/>
      <c r="C40" s="2025"/>
      <c r="D40" s="2025"/>
      <c r="E40" s="2025"/>
      <c r="F40" s="2025"/>
      <c r="G40" s="2025"/>
      <c r="H40" s="2025"/>
    </row>
    <row r="41" spans="1:8" ht="15" x14ac:dyDescent="0.2">
      <c r="A41" s="2026" t="s">
        <v>917</v>
      </c>
      <c r="B41" s="2025"/>
      <c r="C41" s="2025"/>
      <c r="D41" s="2025"/>
      <c r="E41" s="2025"/>
      <c r="F41" s="2025"/>
      <c r="G41" s="2025"/>
      <c r="H41" s="2025"/>
    </row>
    <row r="42" spans="1:8" ht="15" x14ac:dyDescent="0.2">
      <c r="A42" s="2026" t="s">
        <v>918</v>
      </c>
      <c r="B42" s="2025"/>
      <c r="C42" s="2025"/>
      <c r="D42" s="2025"/>
      <c r="E42" s="2025"/>
      <c r="F42" s="2025"/>
      <c r="G42" s="2025"/>
      <c r="H42" s="2025"/>
    </row>
    <row r="43" spans="1:8" ht="15" x14ac:dyDescent="0.2">
      <c r="A43" s="2026" t="s">
        <v>919</v>
      </c>
      <c r="B43" s="2025"/>
      <c r="C43" s="2025"/>
      <c r="D43" s="2025"/>
      <c r="E43" s="2025"/>
      <c r="F43" s="2025"/>
      <c r="G43" s="2025"/>
      <c r="H43" s="2025"/>
    </row>
    <row r="44" spans="1:8" ht="15" x14ac:dyDescent="0.2">
      <c r="A44" s="2026" t="s">
        <v>920</v>
      </c>
      <c r="B44" s="2025"/>
      <c r="C44" s="2025"/>
      <c r="D44" s="2025"/>
      <c r="E44" s="2025"/>
      <c r="F44" s="2025"/>
      <c r="G44" s="2025"/>
      <c r="H44" s="2025"/>
    </row>
    <row r="45" spans="1:8" ht="15" x14ac:dyDescent="0.2">
      <c r="A45" s="2026" t="s">
        <v>921</v>
      </c>
      <c r="B45" s="2025"/>
      <c r="C45" s="2025"/>
      <c r="D45" s="2025"/>
      <c r="E45" s="2025"/>
      <c r="F45" s="2025"/>
      <c r="G45" s="2025"/>
      <c r="H45" s="2025"/>
    </row>
    <row r="46" spans="1:8" ht="15" x14ac:dyDescent="0.2">
      <c r="A46" s="2025"/>
      <c r="B46" s="2025"/>
      <c r="C46" s="2025"/>
      <c r="D46" s="2025"/>
      <c r="E46" s="2025"/>
      <c r="F46" s="2025"/>
      <c r="G46" s="2025"/>
      <c r="H46" s="2025"/>
    </row>
    <row r="47" spans="1:8" ht="15.75" x14ac:dyDescent="0.2">
      <c r="A47" s="2027" t="s">
        <v>653</v>
      </c>
      <c r="B47" s="2025"/>
      <c r="C47" s="2025"/>
      <c r="D47" s="2025"/>
      <c r="E47" s="2025"/>
      <c r="F47" s="2025"/>
      <c r="G47" s="2025"/>
      <c r="H47" s="2025"/>
    </row>
    <row r="48" spans="1:8" ht="15" x14ac:dyDescent="0.2">
      <c r="A48" s="2025"/>
      <c r="B48" s="2025"/>
      <c r="C48" s="2025"/>
      <c r="D48" s="2025"/>
      <c r="E48" s="2025"/>
      <c r="F48" s="2025"/>
      <c r="G48" s="2025"/>
      <c r="H48" s="2025"/>
    </row>
    <row r="49" spans="1:8" ht="15" x14ac:dyDescent="0.2">
      <c r="A49" s="2026" t="s">
        <v>912</v>
      </c>
      <c r="B49" s="2025"/>
      <c r="C49" s="2025"/>
      <c r="D49" s="2025"/>
      <c r="E49" s="2025"/>
      <c r="F49" s="2025"/>
      <c r="G49" s="2025"/>
      <c r="H49" s="2025"/>
    </row>
    <row r="50" spans="1:8" ht="15" x14ac:dyDescent="0.2">
      <c r="A50" s="2026" t="s">
        <v>913</v>
      </c>
      <c r="B50" s="2025"/>
      <c r="C50" s="2025"/>
      <c r="D50" s="2025"/>
      <c r="E50" s="2025"/>
      <c r="F50" s="2025"/>
      <c r="G50" s="2025"/>
      <c r="H50" s="2025"/>
    </row>
    <row r="51" spans="1:8" ht="15" x14ac:dyDescent="0.2">
      <c r="A51" s="2026" t="s">
        <v>914</v>
      </c>
      <c r="B51" s="2025"/>
      <c r="C51" s="2025"/>
      <c r="D51" s="2025"/>
      <c r="E51" s="2025"/>
      <c r="F51" s="2025"/>
      <c r="G51" s="2025"/>
      <c r="H51" s="2025"/>
    </row>
    <row r="52" spans="1:8" ht="15" x14ac:dyDescent="0.2">
      <c r="A52" s="2026" t="s">
        <v>915</v>
      </c>
      <c r="B52" s="2025"/>
      <c r="C52" s="2025"/>
      <c r="D52" s="2025"/>
      <c r="E52" s="2025"/>
      <c r="F52" s="2025"/>
      <c r="G52" s="2025"/>
      <c r="H52" s="2025"/>
    </row>
    <row r="53" spans="1:8" ht="15" x14ac:dyDescent="0.2">
      <c r="A53" s="2025"/>
      <c r="B53" s="2025"/>
      <c r="C53" s="2025"/>
      <c r="D53" s="2025"/>
      <c r="E53" s="2025"/>
      <c r="F53" s="2025"/>
      <c r="G53" s="2025"/>
      <c r="H53" s="2025"/>
    </row>
    <row r="54" spans="1:8" ht="15" x14ac:dyDescent="0.2">
      <c r="A54" s="2026" t="s">
        <v>654</v>
      </c>
      <c r="B54" s="2025"/>
      <c r="C54" s="2025"/>
      <c r="D54" s="2025"/>
      <c r="E54" s="2025"/>
      <c r="F54" s="2025"/>
      <c r="G54" s="2025"/>
      <c r="H54" s="2025"/>
    </row>
    <row r="55" spans="1:8" ht="15" x14ac:dyDescent="0.2">
      <c r="A55" s="2025"/>
      <c r="B55" s="2025"/>
      <c r="C55" s="2025"/>
      <c r="D55" s="2025"/>
      <c r="E55" s="2025"/>
      <c r="F55" s="2025"/>
      <c r="G55" s="2025"/>
      <c r="H55" s="2025"/>
    </row>
    <row r="56" spans="1:8" ht="15.75" x14ac:dyDescent="0.2">
      <c r="A56" s="2027" t="s">
        <v>655</v>
      </c>
      <c r="B56" s="2025"/>
      <c r="C56" s="2025"/>
      <c r="D56" s="2025"/>
      <c r="E56" s="2025"/>
      <c r="F56" s="2025"/>
      <c r="G56" s="2025"/>
      <c r="H56" s="2025"/>
    </row>
    <row r="57" spans="1:8" ht="15" x14ac:dyDescent="0.2">
      <c r="A57" s="2025"/>
      <c r="B57" s="2025"/>
      <c r="C57" s="2025"/>
      <c r="D57" s="2025"/>
      <c r="E57" s="2025"/>
      <c r="F57" s="2025"/>
      <c r="G57" s="2025"/>
      <c r="H57" s="2025"/>
    </row>
    <row r="58" spans="1:8" ht="15" x14ac:dyDescent="0.2">
      <c r="A58" s="2026" t="s">
        <v>910</v>
      </c>
      <c r="B58" s="2025"/>
      <c r="C58" s="2025"/>
      <c r="D58" s="2025"/>
      <c r="E58" s="2025"/>
      <c r="F58" s="2025"/>
      <c r="G58" s="2025"/>
      <c r="H58" s="2025"/>
    </row>
    <row r="59" spans="1:8" ht="15" x14ac:dyDescent="0.2">
      <c r="A59" s="2026" t="s">
        <v>911</v>
      </c>
      <c r="B59" s="2025"/>
      <c r="C59" s="2025"/>
      <c r="D59" s="2025"/>
      <c r="E59" s="2025"/>
      <c r="F59" s="2025"/>
      <c r="G59" s="2025"/>
      <c r="H59" s="2025"/>
    </row>
    <row r="60" spans="1:8" ht="15" x14ac:dyDescent="0.2">
      <c r="A60" s="2025"/>
      <c r="B60" s="2025"/>
      <c r="C60" s="2025"/>
      <c r="D60" s="2025"/>
      <c r="E60" s="2025"/>
      <c r="F60" s="2025"/>
      <c r="G60" s="2025"/>
      <c r="H60" s="2025"/>
    </row>
    <row r="61" spans="1:8" ht="15.75" x14ac:dyDescent="0.2">
      <c r="A61" s="2027" t="s">
        <v>656</v>
      </c>
      <c r="B61" s="2025"/>
      <c r="C61" s="2025"/>
      <c r="D61" s="2025"/>
      <c r="E61" s="2025"/>
      <c r="F61" s="2025"/>
      <c r="G61" s="2025"/>
      <c r="H61" s="2025"/>
    </row>
    <row r="62" spans="1:8" ht="15" x14ac:dyDescent="0.2">
      <c r="A62" s="2025"/>
      <c r="B62" s="2025"/>
      <c r="C62" s="2025"/>
      <c r="D62" s="2025"/>
      <c r="E62" s="2025"/>
      <c r="F62" s="2025"/>
      <c r="G62" s="2025"/>
      <c r="H62" s="2025"/>
    </row>
    <row r="63" spans="1:8" ht="15" x14ac:dyDescent="0.2">
      <c r="A63" s="2026" t="s">
        <v>908</v>
      </c>
      <c r="B63" s="2025"/>
      <c r="C63" s="2025"/>
      <c r="D63" s="2025"/>
      <c r="E63" s="2025"/>
      <c r="F63" s="2025"/>
      <c r="G63" s="2025"/>
      <c r="H63" s="2025"/>
    </row>
    <row r="64" spans="1:8" ht="15" x14ac:dyDescent="0.2">
      <c r="A64" s="2026" t="s">
        <v>909</v>
      </c>
      <c r="B64" s="2025"/>
      <c r="C64" s="2025"/>
      <c r="D64" s="2025"/>
      <c r="E64" s="2025"/>
      <c r="F64" s="2025"/>
      <c r="G64" s="2025"/>
      <c r="H64" s="2025"/>
    </row>
    <row r="65" spans="1:8" ht="15" x14ac:dyDescent="0.2">
      <c r="A65" s="2025"/>
      <c r="B65" s="2025"/>
      <c r="C65" s="2025"/>
      <c r="D65" s="2025"/>
      <c r="E65" s="2025"/>
      <c r="F65" s="2025"/>
      <c r="G65" s="2025"/>
      <c r="H65" s="2025"/>
    </row>
    <row r="66" spans="1:8" ht="15" x14ac:dyDescent="0.2">
      <c r="A66" s="2026" t="s">
        <v>906</v>
      </c>
      <c r="B66" s="2025"/>
      <c r="C66" s="2025"/>
      <c r="D66" s="2025"/>
      <c r="E66" s="2025"/>
      <c r="F66" s="2025"/>
      <c r="G66" s="2025"/>
      <c r="H66" s="2025"/>
    </row>
    <row r="67" spans="1:8" ht="15" x14ac:dyDescent="0.2">
      <c r="A67" s="2026" t="s">
        <v>907</v>
      </c>
      <c r="B67" s="2025"/>
      <c r="C67" s="2025"/>
      <c r="D67" s="2025"/>
      <c r="E67" s="2025"/>
      <c r="F67" s="2025"/>
      <c r="G67" s="2025"/>
      <c r="H67" s="2025"/>
    </row>
    <row r="68" spans="1:8" ht="15" x14ac:dyDescent="0.2">
      <c r="A68" s="2025"/>
      <c r="B68" s="2025"/>
      <c r="C68" s="2025"/>
      <c r="D68" s="2025"/>
      <c r="E68" s="2025"/>
      <c r="F68" s="2025"/>
      <c r="G68" s="2025"/>
      <c r="H68" s="2025"/>
    </row>
    <row r="69" spans="1:8" ht="15" x14ac:dyDescent="0.2">
      <c r="A69" s="2026" t="s">
        <v>904</v>
      </c>
      <c r="B69" s="2025"/>
      <c r="C69" s="2025"/>
      <c r="D69" s="2025"/>
      <c r="E69" s="2025"/>
      <c r="F69" s="2025"/>
      <c r="G69" s="2025"/>
      <c r="H69" s="2025"/>
    </row>
    <row r="70" spans="1:8" ht="15" x14ac:dyDescent="0.2">
      <c r="A70" s="2026" t="s">
        <v>905</v>
      </c>
      <c r="B70" s="2025"/>
      <c r="C70" s="2025"/>
      <c r="D70" s="2025"/>
      <c r="E70" s="2025"/>
      <c r="F70" s="2025"/>
      <c r="G70" s="2025"/>
      <c r="H70" s="2025"/>
    </row>
    <row r="71" spans="1:8" ht="15" x14ac:dyDescent="0.2">
      <c r="A71" s="2025"/>
      <c r="B71" s="2025"/>
      <c r="C71" s="2025"/>
      <c r="D71" s="2025"/>
      <c r="E71" s="2025"/>
      <c r="F71" s="2025"/>
      <c r="G71" s="2025"/>
      <c r="H71" s="2025"/>
    </row>
    <row r="72" spans="1:8" ht="15" x14ac:dyDescent="0.2">
      <c r="A72" s="2026" t="s">
        <v>901</v>
      </c>
      <c r="B72" s="2025"/>
      <c r="C72" s="2025"/>
      <c r="D72" s="2025"/>
      <c r="E72" s="2025"/>
      <c r="F72" s="2025"/>
      <c r="G72" s="2025"/>
      <c r="H72" s="2025"/>
    </row>
    <row r="73" spans="1:8" ht="15" x14ac:dyDescent="0.2">
      <c r="A73" s="2026" t="s">
        <v>902</v>
      </c>
      <c r="B73" s="2025"/>
      <c r="C73" s="2025"/>
      <c r="D73" s="2025"/>
      <c r="E73" s="2025"/>
      <c r="F73" s="2025"/>
      <c r="G73" s="2025"/>
      <c r="H73" s="2025"/>
    </row>
    <row r="74" spans="1:8" ht="15" x14ac:dyDescent="0.2">
      <c r="A74" s="2026" t="s">
        <v>903</v>
      </c>
      <c r="B74" s="2025"/>
      <c r="C74" s="2025"/>
      <c r="D74" s="2025"/>
      <c r="E74" s="2025"/>
      <c r="F74" s="2025"/>
      <c r="G74" s="2025"/>
      <c r="H74" s="2025"/>
    </row>
    <row r="75" spans="1:8" ht="15" x14ac:dyDescent="0.2">
      <c r="A75" s="2025"/>
      <c r="B75" s="2025"/>
      <c r="C75" s="2025"/>
      <c r="D75" s="2025"/>
      <c r="E75" s="2025"/>
      <c r="F75" s="2025"/>
      <c r="G75" s="2025"/>
      <c r="H75" s="2025"/>
    </row>
    <row r="76" spans="1:8" ht="15" x14ac:dyDescent="0.2">
      <c r="A76" s="2026" t="s">
        <v>657</v>
      </c>
      <c r="B76" s="2025"/>
      <c r="C76" s="2025"/>
      <c r="D76" s="2025"/>
      <c r="E76" s="2025"/>
      <c r="F76" s="2025"/>
      <c r="G76" s="2025"/>
      <c r="H76" s="2025"/>
    </row>
    <row r="77" spans="1:8" ht="15" x14ac:dyDescent="0.2">
      <c r="A77" s="2025"/>
      <c r="B77" s="2025"/>
      <c r="C77" s="2025"/>
      <c r="D77" s="2025"/>
      <c r="E77" s="2025"/>
      <c r="F77" s="2025"/>
      <c r="G77" s="2025"/>
      <c r="H77" s="2025"/>
    </row>
    <row r="78" spans="1:8" ht="15" x14ac:dyDescent="0.2">
      <c r="A78" s="2026" t="s">
        <v>896</v>
      </c>
      <c r="B78" s="2025"/>
      <c r="C78" s="2025"/>
      <c r="D78" s="2025"/>
      <c r="E78" s="2025"/>
      <c r="F78" s="2025"/>
      <c r="G78" s="2025"/>
      <c r="H78" s="2025"/>
    </row>
    <row r="79" spans="1:8" ht="15" x14ac:dyDescent="0.2">
      <c r="A79" s="2026" t="s">
        <v>897</v>
      </c>
      <c r="B79" s="2025"/>
      <c r="C79" s="2025"/>
      <c r="D79" s="2025"/>
      <c r="E79" s="2025"/>
      <c r="F79" s="2025"/>
      <c r="G79" s="2025"/>
      <c r="H79" s="2025"/>
    </row>
    <row r="80" spans="1:8" ht="15" x14ac:dyDescent="0.2">
      <c r="A80" s="2026" t="s">
        <v>898</v>
      </c>
      <c r="B80" s="2025"/>
      <c r="C80" s="2025"/>
      <c r="D80" s="2025"/>
      <c r="E80" s="2025"/>
      <c r="F80" s="2025"/>
      <c r="G80" s="2025"/>
      <c r="H80" s="2025"/>
    </row>
    <row r="81" spans="1:8" ht="15" x14ac:dyDescent="0.2">
      <c r="A81" s="2026" t="s">
        <v>899</v>
      </c>
      <c r="B81" s="2025"/>
      <c r="C81" s="2025"/>
      <c r="D81" s="2025"/>
      <c r="E81" s="2025"/>
      <c r="F81" s="2025"/>
      <c r="G81" s="2025"/>
      <c r="H81" s="2025"/>
    </row>
    <row r="82" spans="1:8" ht="15" x14ac:dyDescent="0.2">
      <c r="A82" s="2026" t="s">
        <v>900</v>
      </c>
      <c r="B82" s="2025"/>
      <c r="C82" s="2025"/>
      <c r="D82" s="2025"/>
      <c r="E82" s="2025"/>
      <c r="F82" s="2025"/>
      <c r="G82" s="2025"/>
      <c r="H82" s="2025"/>
    </row>
    <row r="83" spans="1:8" ht="15" x14ac:dyDescent="0.2">
      <c r="A83" s="2026" t="s">
        <v>783</v>
      </c>
      <c r="B83" s="2025"/>
      <c r="C83" s="2025"/>
      <c r="D83" s="2025"/>
      <c r="E83" s="2025"/>
      <c r="F83" s="2025"/>
      <c r="G83" s="2025"/>
      <c r="H83" s="2025"/>
    </row>
    <row r="84" spans="1:8" ht="15" x14ac:dyDescent="0.2">
      <c r="A84" s="2025"/>
      <c r="B84" s="2025"/>
      <c r="C84" s="2025"/>
      <c r="D84" s="2025"/>
      <c r="E84" s="2025"/>
      <c r="F84" s="2025"/>
      <c r="G84" s="2025"/>
      <c r="H84" s="2025"/>
    </row>
    <row r="85" spans="1:8" ht="15" x14ac:dyDescent="0.2">
      <c r="A85" s="2026" t="s">
        <v>889</v>
      </c>
      <c r="B85" s="2025"/>
      <c r="C85" s="2025"/>
      <c r="D85" s="2025"/>
      <c r="E85" s="2025"/>
      <c r="F85" s="2025"/>
      <c r="G85" s="2025"/>
      <c r="H85" s="2025"/>
    </row>
    <row r="86" spans="1:8" ht="15" x14ac:dyDescent="0.2">
      <c r="A86" s="2026" t="s">
        <v>890</v>
      </c>
      <c r="B86" s="2025"/>
      <c r="C86" s="2025"/>
      <c r="D86" s="2025"/>
      <c r="E86" s="2025"/>
      <c r="F86" s="2025"/>
      <c r="G86" s="2025"/>
      <c r="H86" s="2025"/>
    </row>
    <row r="87" spans="1:8" ht="15" x14ac:dyDescent="0.2">
      <c r="A87" s="2026" t="s">
        <v>891</v>
      </c>
      <c r="B87" s="2025"/>
      <c r="C87" s="2025"/>
      <c r="D87" s="2025"/>
      <c r="E87" s="2025"/>
      <c r="F87" s="2025"/>
      <c r="G87" s="2025"/>
      <c r="H87" s="2025"/>
    </row>
    <row r="88" spans="1:8" ht="15" x14ac:dyDescent="0.2">
      <c r="A88" s="2026" t="s">
        <v>892</v>
      </c>
      <c r="B88" s="2025"/>
      <c r="C88" s="2025"/>
      <c r="D88" s="2025"/>
      <c r="E88" s="2025"/>
      <c r="F88" s="2025"/>
      <c r="G88" s="2025"/>
      <c r="H88" s="2025"/>
    </row>
    <row r="89" spans="1:8" ht="15" x14ac:dyDescent="0.2">
      <c r="A89" s="2026" t="s">
        <v>893</v>
      </c>
      <c r="B89" s="2025"/>
      <c r="C89" s="2025"/>
      <c r="D89" s="2025"/>
      <c r="E89" s="2025"/>
      <c r="F89" s="2025"/>
      <c r="G89" s="2025"/>
      <c r="H89" s="2025"/>
    </row>
    <row r="90" spans="1:8" ht="15" x14ac:dyDescent="0.2">
      <c r="A90" s="2026" t="s">
        <v>894</v>
      </c>
      <c r="B90" s="2025"/>
      <c r="C90" s="2025"/>
      <c r="D90" s="2025"/>
      <c r="E90" s="2025"/>
      <c r="F90" s="2025"/>
      <c r="G90" s="2025"/>
      <c r="H90" s="2025"/>
    </row>
    <row r="91" spans="1:8" ht="15" x14ac:dyDescent="0.2">
      <c r="A91" s="2026" t="s">
        <v>895</v>
      </c>
      <c r="B91" s="2025"/>
      <c r="C91" s="2025"/>
      <c r="D91" s="2025"/>
      <c r="E91" s="2025"/>
      <c r="F91" s="2025"/>
      <c r="G91" s="2025"/>
      <c r="H91" s="2025"/>
    </row>
    <row r="92" spans="1:8" ht="15" x14ac:dyDescent="0.2">
      <c r="A92" s="2025"/>
      <c r="B92" s="2025"/>
      <c r="C92" s="2025"/>
      <c r="D92" s="2025"/>
      <c r="E92" s="2025"/>
      <c r="F92" s="2025"/>
      <c r="G92" s="2025"/>
      <c r="H92" s="2025"/>
    </row>
    <row r="93" spans="1:8" ht="15" x14ac:dyDescent="0.2">
      <c r="A93" s="2026" t="s">
        <v>887</v>
      </c>
      <c r="B93" s="2025"/>
      <c r="C93" s="2025"/>
      <c r="D93" s="2025"/>
      <c r="E93" s="2025"/>
      <c r="F93" s="2025"/>
      <c r="G93" s="2025"/>
      <c r="H93" s="2025"/>
    </row>
    <row r="94" spans="1:8" ht="15" x14ac:dyDescent="0.2">
      <c r="A94" s="2026" t="s">
        <v>888</v>
      </c>
      <c r="B94" s="2025"/>
      <c r="C94" s="2025"/>
      <c r="D94" s="2025"/>
      <c r="E94" s="2025"/>
      <c r="F94" s="2025"/>
      <c r="G94" s="2025"/>
      <c r="H94" s="2025"/>
    </row>
    <row r="95" spans="1:8" ht="15" x14ac:dyDescent="0.2">
      <c r="A95" s="2025"/>
      <c r="B95" s="2025"/>
      <c r="C95" s="2025"/>
      <c r="D95" s="2025"/>
      <c r="E95" s="2025"/>
      <c r="F95" s="2025"/>
      <c r="G95" s="2025"/>
      <c r="H95" s="2025"/>
    </row>
    <row r="96" spans="1:8" ht="15.75" x14ac:dyDescent="0.2">
      <c r="A96" s="2027" t="s">
        <v>658</v>
      </c>
      <c r="B96" s="2025"/>
      <c r="C96" s="2025"/>
      <c r="D96" s="2025"/>
      <c r="E96" s="2025"/>
      <c r="F96" s="2025"/>
      <c r="G96" s="2025"/>
      <c r="H96" s="2025"/>
    </row>
    <row r="97" spans="1:8" ht="15" x14ac:dyDescent="0.2">
      <c r="A97" s="2025"/>
      <c r="B97" s="2025"/>
      <c r="C97" s="2025"/>
      <c r="D97" s="2025"/>
      <c r="E97" s="2025"/>
      <c r="F97" s="2025"/>
      <c r="G97" s="2025"/>
      <c r="H97" s="2025"/>
    </row>
    <row r="98" spans="1:8" ht="15" x14ac:dyDescent="0.2">
      <c r="A98" s="2026" t="s">
        <v>878</v>
      </c>
      <c r="B98" s="2025"/>
      <c r="C98" s="2025"/>
      <c r="D98" s="2025"/>
      <c r="E98" s="2025"/>
      <c r="F98" s="2025"/>
      <c r="G98" s="2025"/>
      <c r="H98" s="2025"/>
    </row>
    <row r="99" spans="1:8" ht="15" x14ac:dyDescent="0.2">
      <c r="A99" s="2026" t="s">
        <v>879</v>
      </c>
      <c r="B99" s="2025"/>
      <c r="C99" s="2025"/>
      <c r="D99" s="2025"/>
      <c r="E99" s="2025"/>
      <c r="F99" s="2025"/>
      <c r="G99" s="2025"/>
      <c r="H99" s="2025"/>
    </row>
    <row r="100" spans="1:8" ht="15" x14ac:dyDescent="0.2">
      <c r="A100" s="2026" t="s">
        <v>880</v>
      </c>
      <c r="B100" s="2025"/>
      <c r="C100" s="2025"/>
      <c r="D100" s="2025"/>
      <c r="E100" s="2025"/>
      <c r="F100" s="2025"/>
      <c r="G100" s="2025"/>
      <c r="H100" s="2025"/>
    </row>
    <row r="101" spans="1:8" ht="15" x14ac:dyDescent="0.2">
      <c r="A101" s="2026" t="s">
        <v>881</v>
      </c>
      <c r="B101" s="2025"/>
      <c r="C101" s="2025"/>
      <c r="D101" s="2025"/>
      <c r="E101" s="2025"/>
      <c r="F101" s="2025"/>
      <c r="G101" s="2025"/>
      <c r="H101" s="2025"/>
    </row>
    <row r="102" spans="1:8" ht="15" x14ac:dyDescent="0.2">
      <c r="A102" s="2026" t="s">
        <v>882</v>
      </c>
      <c r="B102" s="2025"/>
      <c r="C102" s="2025"/>
      <c r="D102" s="2025"/>
      <c r="E102" s="2025"/>
      <c r="F102" s="2025"/>
      <c r="G102" s="2025"/>
      <c r="H102" s="2025"/>
    </row>
    <row r="103" spans="1:8" ht="15" x14ac:dyDescent="0.2">
      <c r="A103" s="2026" t="s">
        <v>883</v>
      </c>
      <c r="B103" s="2025"/>
      <c r="C103" s="2025"/>
      <c r="D103" s="2025"/>
      <c r="E103" s="2025"/>
      <c r="F103" s="2025"/>
      <c r="G103" s="2025"/>
      <c r="H103" s="2025"/>
    </row>
    <row r="104" spans="1:8" ht="15" x14ac:dyDescent="0.2">
      <c r="A104" s="2026" t="s">
        <v>884</v>
      </c>
      <c r="B104" s="2025"/>
      <c r="C104" s="2025"/>
      <c r="D104" s="2025"/>
      <c r="E104" s="2025"/>
      <c r="F104" s="2025"/>
      <c r="G104" s="2025"/>
      <c r="H104" s="2025"/>
    </row>
    <row r="105" spans="1:8" ht="15" x14ac:dyDescent="0.2">
      <c r="A105" s="2026" t="s">
        <v>885</v>
      </c>
      <c r="B105" s="2025"/>
      <c r="C105" s="2025"/>
      <c r="D105" s="2025"/>
      <c r="E105" s="2025"/>
      <c r="F105" s="2025"/>
      <c r="G105" s="2025"/>
      <c r="H105" s="2025"/>
    </row>
    <row r="106" spans="1:8" ht="15" x14ac:dyDescent="0.2">
      <c r="A106" s="2026" t="s">
        <v>886</v>
      </c>
      <c r="B106" s="2025"/>
      <c r="C106" s="2025"/>
      <c r="D106" s="2025"/>
      <c r="E106" s="2025"/>
      <c r="F106" s="2025"/>
      <c r="G106" s="2025"/>
      <c r="H106" s="2025"/>
    </row>
    <row r="107" spans="1:8" ht="15" x14ac:dyDescent="0.2">
      <c r="A107" s="2025"/>
      <c r="B107" s="2025"/>
      <c r="C107" s="2025"/>
      <c r="D107" s="2025"/>
      <c r="E107" s="2025"/>
      <c r="F107" s="2025"/>
      <c r="G107" s="2025"/>
      <c r="H107" s="2025"/>
    </row>
    <row r="108" spans="1:8" ht="15.75" x14ac:dyDescent="0.2">
      <c r="A108" s="2042" t="s">
        <v>659</v>
      </c>
      <c r="B108" s="2042"/>
      <c r="C108" s="2042"/>
      <c r="D108" s="2042"/>
      <c r="E108" s="2042"/>
      <c r="F108" s="2042"/>
      <c r="G108" s="2042"/>
      <c r="H108" s="2042"/>
    </row>
    <row r="109" spans="1:8" x14ac:dyDescent="0.2">
      <c r="A109" s="2038" t="s">
        <v>660</v>
      </c>
      <c r="B109" s="2038"/>
      <c r="C109" s="2038"/>
      <c r="D109" s="2038"/>
      <c r="E109" s="2038"/>
      <c r="F109" s="2038"/>
      <c r="G109" s="2038"/>
      <c r="H109" s="2038"/>
    </row>
    <row r="110" spans="1:8" ht="15" x14ac:dyDescent="0.2">
      <c r="A110" s="2043"/>
      <c r="B110" s="2043"/>
      <c r="C110" s="2043"/>
      <c r="D110" s="2043"/>
      <c r="E110" s="2043"/>
      <c r="F110" s="2043"/>
      <c r="G110" s="2043"/>
      <c r="H110" s="2043"/>
    </row>
    <row r="111" spans="1:8" x14ac:dyDescent="0.2">
      <c r="A111" s="2038" t="s">
        <v>876</v>
      </c>
      <c r="B111" s="2038"/>
      <c r="C111" s="2038"/>
      <c r="D111" s="2038"/>
      <c r="E111" s="2038"/>
      <c r="F111" s="2038"/>
      <c r="G111" s="2038"/>
      <c r="H111" s="2038"/>
    </row>
    <row r="112" spans="1:8" x14ac:dyDescent="0.2">
      <c r="A112" s="2026" t="s">
        <v>877</v>
      </c>
      <c r="B112" s="2026"/>
      <c r="C112" s="2026"/>
      <c r="D112" s="2026"/>
      <c r="E112" s="2026"/>
      <c r="F112" s="2026"/>
      <c r="G112" s="2026"/>
      <c r="H112" s="2026"/>
    </row>
    <row r="113" spans="1:8" ht="15" x14ac:dyDescent="0.2">
      <c r="A113" s="2043"/>
      <c r="B113" s="2043"/>
      <c r="C113" s="2043"/>
      <c r="D113" s="2043"/>
      <c r="E113" s="2043"/>
      <c r="F113" s="2043"/>
      <c r="G113" s="2043"/>
      <c r="H113" s="2043"/>
    </row>
    <row r="114" spans="1:8" x14ac:dyDescent="0.2">
      <c r="A114" s="2038" t="s">
        <v>869</v>
      </c>
      <c r="B114" s="2038"/>
      <c r="C114" s="2038"/>
      <c r="D114" s="2038"/>
      <c r="E114" s="2038"/>
      <c r="F114" s="2038"/>
      <c r="G114" s="2038"/>
      <c r="H114" s="2038"/>
    </row>
    <row r="115" spans="1:8" x14ac:dyDescent="0.2">
      <c r="A115" s="2026" t="s">
        <v>870</v>
      </c>
      <c r="B115" s="2026"/>
      <c r="C115" s="2026"/>
      <c r="D115" s="2026"/>
      <c r="E115" s="2026"/>
      <c r="F115" s="2026"/>
      <c r="G115" s="2026"/>
      <c r="H115" s="2026"/>
    </row>
    <row r="116" spans="1:8" x14ac:dyDescent="0.2">
      <c r="A116" s="2026" t="s">
        <v>871</v>
      </c>
      <c r="B116" s="2026"/>
      <c r="C116" s="2026"/>
      <c r="D116" s="2026"/>
      <c r="E116" s="2026"/>
      <c r="F116" s="2026"/>
      <c r="G116" s="2026"/>
      <c r="H116" s="2026"/>
    </row>
    <row r="117" spans="1:8" x14ac:dyDescent="0.2">
      <c r="A117" s="2026" t="s">
        <v>872</v>
      </c>
      <c r="B117" s="2026"/>
      <c r="C117" s="2026"/>
      <c r="D117" s="2026"/>
      <c r="E117" s="2026"/>
      <c r="F117" s="2026"/>
      <c r="G117" s="2026"/>
      <c r="H117" s="2026"/>
    </row>
    <row r="118" spans="1:8" x14ac:dyDescent="0.2">
      <c r="A118" s="2026" t="s">
        <v>873</v>
      </c>
      <c r="B118" s="2026"/>
      <c r="C118" s="2026"/>
      <c r="D118" s="2026"/>
      <c r="E118" s="2026"/>
      <c r="F118" s="2026"/>
      <c r="G118" s="2026"/>
      <c r="H118" s="2026"/>
    </row>
    <row r="119" spans="1:8" x14ac:dyDescent="0.2">
      <c r="A119" s="2026" t="s">
        <v>874</v>
      </c>
      <c r="B119" s="2026"/>
      <c r="C119" s="2026"/>
      <c r="D119" s="2026"/>
      <c r="E119" s="2026"/>
      <c r="F119" s="2026"/>
      <c r="G119" s="2026"/>
      <c r="H119" s="2026"/>
    </row>
    <row r="120" spans="1:8" x14ac:dyDescent="0.2">
      <c r="A120" s="2026" t="s">
        <v>875</v>
      </c>
      <c r="B120" s="2026"/>
      <c r="C120" s="2026"/>
      <c r="D120" s="2026"/>
      <c r="E120" s="2026"/>
      <c r="F120" s="2026"/>
      <c r="G120" s="2026"/>
      <c r="H120" s="2026"/>
    </row>
    <row r="121" spans="1:8" ht="15" x14ac:dyDescent="0.2">
      <c r="A121" s="2044"/>
      <c r="B121" s="2044"/>
      <c r="C121" s="2044"/>
      <c r="D121" s="2044"/>
      <c r="E121" s="2044"/>
      <c r="F121" s="2044"/>
      <c r="G121" s="2044"/>
      <c r="H121" s="2044"/>
    </row>
    <row r="122" spans="1:8" x14ac:dyDescent="0.2">
      <c r="A122" s="2028"/>
      <c r="B122" s="2039" t="s">
        <v>661</v>
      </c>
      <c r="C122" s="2040"/>
      <c r="D122" s="2039" t="s">
        <v>662</v>
      </c>
      <c r="E122" s="2041"/>
      <c r="F122" s="2040"/>
      <c r="G122" s="2039" t="s">
        <v>663</v>
      </c>
      <c r="H122" s="2040"/>
    </row>
    <row r="123" spans="1:8" x14ac:dyDescent="0.2">
      <c r="A123" s="2028" t="s">
        <v>664</v>
      </c>
      <c r="B123" s="2028" t="s">
        <v>599</v>
      </c>
      <c r="C123" s="2028" t="s">
        <v>665</v>
      </c>
      <c r="D123" s="2028" t="s">
        <v>599</v>
      </c>
      <c r="E123" s="2028" t="s">
        <v>666</v>
      </c>
      <c r="F123" s="2028" t="s">
        <v>667</v>
      </c>
      <c r="G123" s="2028" t="s">
        <v>599</v>
      </c>
      <c r="H123" s="2028" t="s">
        <v>668</v>
      </c>
    </row>
    <row r="124" spans="1:8" x14ac:dyDescent="0.2">
      <c r="A124" s="2028" t="s">
        <v>669</v>
      </c>
      <c r="B124" s="2028">
        <v>1173</v>
      </c>
      <c r="C124" s="2029">
        <v>0.37</v>
      </c>
      <c r="D124" s="2028">
        <v>318</v>
      </c>
      <c r="E124" s="2029">
        <v>0.41</v>
      </c>
      <c r="F124" s="2029">
        <v>0.27</v>
      </c>
      <c r="G124" s="2028">
        <v>571</v>
      </c>
      <c r="H124" s="2029">
        <v>0.39</v>
      </c>
    </row>
    <row r="125" spans="1:8" x14ac:dyDescent="0.2">
      <c r="A125" s="2028" t="s">
        <v>670</v>
      </c>
      <c r="B125" s="2028">
        <v>1390</v>
      </c>
      <c r="C125" s="2029">
        <v>0.44</v>
      </c>
      <c r="D125" s="2028">
        <v>359</v>
      </c>
      <c r="E125" s="2029">
        <v>0.47</v>
      </c>
      <c r="F125" s="2029">
        <v>0.26</v>
      </c>
      <c r="G125" s="2028">
        <v>653</v>
      </c>
      <c r="H125" s="2029">
        <v>0.45</v>
      </c>
    </row>
    <row r="126" spans="1:8" x14ac:dyDescent="0.2">
      <c r="A126" s="2028" t="s">
        <v>671</v>
      </c>
      <c r="B126" s="2028">
        <v>53</v>
      </c>
      <c r="C126" s="2029">
        <v>0.02</v>
      </c>
      <c r="D126" s="2028">
        <v>5</v>
      </c>
      <c r="E126" s="2029">
        <v>0.01</v>
      </c>
      <c r="F126" s="2029">
        <v>0.09</v>
      </c>
      <c r="G126" s="2028">
        <v>8</v>
      </c>
      <c r="H126" s="2029">
        <v>0.01</v>
      </c>
    </row>
    <row r="127" spans="1:8" x14ac:dyDescent="0.2">
      <c r="A127" s="2028" t="s">
        <v>672</v>
      </c>
      <c r="B127" s="2028">
        <v>564</v>
      </c>
      <c r="C127" s="2029">
        <v>0.18</v>
      </c>
      <c r="D127" s="2028">
        <v>90</v>
      </c>
      <c r="E127" s="2029">
        <v>0.12</v>
      </c>
      <c r="F127" s="2029">
        <v>0.16</v>
      </c>
      <c r="G127" s="2028">
        <v>219</v>
      </c>
      <c r="H127" s="2029">
        <v>0.15</v>
      </c>
    </row>
    <row r="128" spans="1:8" x14ac:dyDescent="0.2">
      <c r="A128" s="2028" t="s">
        <v>601</v>
      </c>
      <c r="B128" s="2030">
        <v>3180</v>
      </c>
      <c r="C128" s="2028"/>
      <c r="D128" s="2028">
        <v>772</v>
      </c>
      <c r="E128" s="2028"/>
      <c r="F128" s="2028"/>
      <c r="G128" s="2028">
        <v>1451</v>
      </c>
      <c r="H128" s="2028"/>
    </row>
    <row r="129" spans="1:8" ht="15" x14ac:dyDescent="0.2">
      <c r="A129" s="2037"/>
      <c r="B129" s="2037"/>
      <c r="C129" s="2037"/>
      <c r="D129" s="2037"/>
      <c r="E129" s="2037"/>
      <c r="F129" s="2037"/>
      <c r="G129" s="2037"/>
      <c r="H129" s="2037"/>
    </row>
    <row r="130" spans="1:8" x14ac:dyDescent="0.2">
      <c r="A130" s="2038" t="s">
        <v>865</v>
      </c>
      <c r="B130" s="2038"/>
      <c r="C130" s="2038"/>
      <c r="D130" s="2038"/>
      <c r="E130" s="2038"/>
      <c r="F130" s="2038"/>
      <c r="G130" s="2038"/>
      <c r="H130" s="2038"/>
    </row>
    <row r="131" spans="1:8" x14ac:dyDescent="0.2">
      <c r="A131" s="2026" t="s">
        <v>866</v>
      </c>
      <c r="B131" s="2026"/>
      <c r="C131" s="2026"/>
      <c r="D131" s="2026"/>
      <c r="E131" s="2026"/>
      <c r="F131" s="2026"/>
      <c r="G131" s="2026"/>
      <c r="H131" s="2026"/>
    </row>
    <row r="132" spans="1:8" x14ac:dyDescent="0.2">
      <c r="A132" s="2026" t="s">
        <v>867</v>
      </c>
      <c r="B132" s="2026"/>
      <c r="C132" s="2026"/>
      <c r="D132" s="2026"/>
      <c r="E132" s="2026"/>
      <c r="F132" s="2026"/>
      <c r="G132" s="2026"/>
      <c r="H132" s="2026"/>
    </row>
    <row r="133" spans="1:8" x14ac:dyDescent="0.2">
      <c r="A133" s="2026" t="s">
        <v>868</v>
      </c>
      <c r="B133" s="2026"/>
      <c r="C133" s="2026"/>
      <c r="D133" s="2026"/>
      <c r="E133" s="2026"/>
      <c r="F133" s="2026"/>
      <c r="G133" s="2026"/>
      <c r="H133" s="2026"/>
    </row>
    <row r="134" spans="1:8" ht="15" x14ac:dyDescent="0.2">
      <c r="A134" s="2025"/>
      <c r="B134" s="2025"/>
      <c r="C134" s="2025"/>
      <c r="D134" s="2025"/>
      <c r="E134" s="2025"/>
      <c r="F134" s="2025"/>
      <c r="G134" s="2025"/>
      <c r="H134" s="2025"/>
    </row>
    <row r="135" spans="1:8" ht="15.75" x14ac:dyDescent="0.2">
      <c r="A135" s="2027" t="s">
        <v>673</v>
      </c>
      <c r="B135" s="2025"/>
      <c r="C135" s="2025"/>
      <c r="D135" s="2025"/>
      <c r="E135" s="2025"/>
      <c r="F135" s="2025"/>
      <c r="G135" s="2025"/>
      <c r="H135" s="2025"/>
    </row>
    <row r="136" spans="1:8" ht="15" x14ac:dyDescent="0.2">
      <c r="A136" s="2025"/>
      <c r="B136" s="2025"/>
      <c r="C136" s="2025"/>
      <c r="D136" s="2025"/>
      <c r="E136" s="2025"/>
      <c r="F136" s="2025"/>
      <c r="G136" s="2025"/>
      <c r="H136" s="2025"/>
    </row>
    <row r="137" spans="1:8" ht="15" x14ac:dyDescent="0.2">
      <c r="A137" s="2026" t="s">
        <v>863</v>
      </c>
      <c r="B137" s="2025"/>
      <c r="C137" s="2025"/>
      <c r="D137" s="2025"/>
      <c r="E137" s="2025"/>
      <c r="F137" s="2025"/>
      <c r="G137" s="2025"/>
      <c r="H137" s="2025"/>
    </row>
    <row r="138" spans="1:8" ht="15" x14ac:dyDescent="0.2">
      <c r="A138" s="2026" t="s">
        <v>864</v>
      </c>
      <c r="B138" s="2025"/>
      <c r="C138" s="2025"/>
      <c r="D138" s="2025"/>
      <c r="E138" s="2025"/>
      <c r="F138" s="2025"/>
      <c r="G138" s="2025"/>
      <c r="H138" s="2025"/>
    </row>
    <row r="139" spans="1:8" ht="15" x14ac:dyDescent="0.2">
      <c r="A139" s="2025"/>
      <c r="B139" s="2025"/>
      <c r="C139" s="2025"/>
      <c r="D139" s="2025"/>
      <c r="E139" s="2025"/>
      <c r="F139" s="2025"/>
      <c r="G139" s="2025"/>
      <c r="H139" s="2025"/>
    </row>
    <row r="140" spans="1:8" ht="15" x14ac:dyDescent="0.2">
      <c r="A140" s="2026" t="s">
        <v>860</v>
      </c>
      <c r="B140" s="2025"/>
      <c r="C140" s="2025"/>
      <c r="D140" s="2025"/>
      <c r="E140" s="2025"/>
      <c r="F140" s="2025"/>
      <c r="G140" s="2025"/>
      <c r="H140" s="2025"/>
    </row>
    <row r="141" spans="1:8" ht="15" x14ac:dyDescent="0.2">
      <c r="A141" s="2026" t="s">
        <v>861</v>
      </c>
      <c r="B141" s="2025"/>
      <c r="C141" s="2025"/>
      <c r="D141" s="2025"/>
      <c r="E141" s="2025"/>
      <c r="F141" s="2025"/>
      <c r="G141" s="2025"/>
      <c r="H141" s="2025"/>
    </row>
    <row r="142" spans="1:8" ht="15" x14ac:dyDescent="0.2">
      <c r="A142" s="2026" t="s">
        <v>862</v>
      </c>
      <c r="B142" s="2025"/>
      <c r="C142" s="2025"/>
      <c r="D142" s="2025"/>
      <c r="E142" s="2025"/>
      <c r="F142" s="2025"/>
      <c r="G142" s="2025"/>
      <c r="H142" s="2025"/>
    </row>
    <row r="143" spans="1:8" ht="15" x14ac:dyDescent="0.2">
      <c r="A143" s="2025"/>
      <c r="B143" s="2025"/>
      <c r="C143" s="2025"/>
      <c r="D143" s="2025"/>
      <c r="E143" s="2025"/>
      <c r="F143" s="2025"/>
      <c r="G143" s="2025"/>
      <c r="H143" s="2025"/>
    </row>
    <row r="144" spans="1:8" ht="15" x14ac:dyDescent="0.2">
      <c r="A144" s="2026" t="s">
        <v>857</v>
      </c>
      <c r="B144" s="2025"/>
      <c r="C144" s="2025"/>
      <c r="D144" s="2025"/>
      <c r="E144" s="2025"/>
      <c r="F144" s="2025"/>
      <c r="G144" s="2025"/>
      <c r="H144" s="2025"/>
    </row>
    <row r="145" spans="1:8" ht="15" x14ac:dyDescent="0.2">
      <c r="A145" s="2026" t="s">
        <v>858</v>
      </c>
      <c r="B145" s="2025"/>
      <c r="C145" s="2025"/>
      <c r="D145" s="2025"/>
      <c r="E145" s="2025"/>
      <c r="F145" s="2025"/>
      <c r="G145" s="2025"/>
      <c r="H145" s="2025"/>
    </row>
    <row r="146" spans="1:8" ht="15" x14ac:dyDescent="0.2">
      <c r="A146" s="2026" t="s">
        <v>859</v>
      </c>
      <c r="B146" s="2025"/>
      <c r="C146" s="2025"/>
      <c r="D146" s="2025"/>
      <c r="E146" s="2025"/>
      <c r="F146" s="2025"/>
      <c r="G146" s="2025"/>
      <c r="H146" s="2025"/>
    </row>
    <row r="147" spans="1:8" ht="15" x14ac:dyDescent="0.2">
      <c r="A147" s="2025"/>
      <c r="B147" s="2025"/>
      <c r="C147" s="2025"/>
      <c r="D147" s="2025"/>
      <c r="E147" s="2025"/>
      <c r="F147" s="2025"/>
      <c r="G147" s="2025"/>
      <c r="H147" s="2025"/>
    </row>
    <row r="148" spans="1:8" ht="15" x14ac:dyDescent="0.2">
      <c r="A148" s="2026" t="s">
        <v>854</v>
      </c>
      <c r="B148" s="2025"/>
      <c r="C148" s="2025"/>
      <c r="D148" s="2025"/>
      <c r="E148" s="2025"/>
      <c r="F148" s="2025"/>
      <c r="G148" s="2025"/>
      <c r="H148" s="2025"/>
    </row>
    <row r="149" spans="1:8" ht="15" x14ac:dyDescent="0.2">
      <c r="A149" s="2026" t="s">
        <v>855</v>
      </c>
      <c r="B149" s="2025"/>
      <c r="C149" s="2025"/>
      <c r="D149" s="2025"/>
      <c r="E149" s="2025"/>
      <c r="F149" s="2025"/>
      <c r="G149" s="2025"/>
      <c r="H149" s="2025"/>
    </row>
    <row r="150" spans="1:8" ht="15" x14ac:dyDescent="0.2">
      <c r="A150" s="2026" t="s">
        <v>856</v>
      </c>
      <c r="B150" s="2025"/>
      <c r="C150" s="2025"/>
      <c r="D150" s="2025"/>
      <c r="E150" s="2025"/>
      <c r="F150" s="2025"/>
      <c r="G150" s="2025"/>
      <c r="H150" s="2025"/>
    </row>
    <row r="151" spans="1:8" ht="15" x14ac:dyDescent="0.2">
      <c r="A151" s="2025"/>
      <c r="B151" s="2025"/>
      <c r="C151" s="2025"/>
      <c r="D151" s="2025"/>
      <c r="E151" s="2025"/>
      <c r="F151" s="2025"/>
      <c r="G151" s="2025"/>
      <c r="H151" s="2025"/>
    </row>
    <row r="152" spans="1:8" ht="15" x14ac:dyDescent="0.2">
      <c r="A152" s="2026" t="s">
        <v>852</v>
      </c>
      <c r="B152" s="2025"/>
      <c r="C152" s="2025"/>
      <c r="D152" s="2025"/>
      <c r="E152" s="2025"/>
      <c r="F152" s="2025"/>
      <c r="G152" s="2025"/>
      <c r="H152" s="2025"/>
    </row>
    <row r="153" spans="1:8" ht="15" x14ac:dyDescent="0.2">
      <c r="A153" s="2026" t="s">
        <v>853</v>
      </c>
      <c r="B153" s="2025"/>
      <c r="C153" s="2025"/>
      <c r="D153" s="2025"/>
      <c r="E153" s="2025"/>
      <c r="F153" s="2025"/>
      <c r="G153" s="2025"/>
      <c r="H153" s="2025"/>
    </row>
    <row r="154" spans="1:8" ht="15" x14ac:dyDescent="0.2">
      <c r="A154" s="2025"/>
      <c r="B154" s="2025"/>
      <c r="C154" s="2025"/>
      <c r="D154" s="2025"/>
      <c r="E154" s="2025"/>
      <c r="F154" s="2025"/>
      <c r="G154" s="2025"/>
      <c r="H154" s="2025"/>
    </row>
    <row r="155" spans="1:8" ht="15.75" x14ac:dyDescent="0.2">
      <c r="A155" s="2027" t="s">
        <v>674</v>
      </c>
      <c r="B155" s="2025"/>
      <c r="C155" s="2025"/>
      <c r="D155" s="2025"/>
      <c r="E155" s="2025"/>
      <c r="F155" s="2025"/>
      <c r="G155" s="2025"/>
      <c r="H155" s="2025"/>
    </row>
    <row r="156" spans="1:8" ht="15" x14ac:dyDescent="0.2">
      <c r="A156" s="2025"/>
      <c r="B156" s="2025"/>
      <c r="C156" s="2025"/>
      <c r="D156" s="2025"/>
      <c r="E156" s="2025"/>
      <c r="F156" s="2025"/>
      <c r="G156" s="2025"/>
      <c r="H156" s="2025"/>
    </row>
    <row r="157" spans="1:8" ht="15" x14ac:dyDescent="0.2">
      <c r="A157" s="2026" t="s">
        <v>850</v>
      </c>
      <c r="B157" s="2025"/>
      <c r="C157" s="2025"/>
      <c r="D157" s="2025"/>
      <c r="E157" s="2025"/>
      <c r="F157" s="2025"/>
      <c r="G157" s="2025"/>
      <c r="H157" s="2025"/>
    </row>
    <row r="158" spans="1:8" ht="15" x14ac:dyDescent="0.2">
      <c r="A158" s="2026" t="s">
        <v>851</v>
      </c>
      <c r="B158" s="2025"/>
      <c r="C158" s="2025"/>
      <c r="D158" s="2025"/>
      <c r="E158" s="2025"/>
      <c r="F158" s="2025"/>
      <c r="G158" s="2025"/>
      <c r="H158" s="2025"/>
    </row>
    <row r="159" spans="1:8" ht="15" x14ac:dyDescent="0.2">
      <c r="A159" s="2025"/>
      <c r="B159" s="2025"/>
      <c r="C159" s="2025"/>
      <c r="D159" s="2025"/>
      <c r="E159" s="2025"/>
      <c r="F159" s="2025"/>
      <c r="G159" s="2025"/>
      <c r="H159" s="2025"/>
    </row>
    <row r="160" spans="1:8" ht="15" x14ac:dyDescent="0.2">
      <c r="A160" s="2026" t="s">
        <v>848</v>
      </c>
      <c r="B160" s="2025"/>
      <c r="C160" s="2025"/>
      <c r="D160" s="2025"/>
      <c r="E160" s="2025"/>
      <c r="F160" s="2025"/>
      <c r="G160" s="2025"/>
      <c r="H160" s="2025"/>
    </row>
    <row r="161" spans="1:8" ht="15" x14ac:dyDescent="0.2">
      <c r="A161" s="2026" t="s">
        <v>849</v>
      </c>
      <c r="B161" s="2025"/>
      <c r="C161" s="2025"/>
      <c r="D161" s="2025"/>
      <c r="E161" s="2025"/>
      <c r="F161" s="2025"/>
      <c r="G161" s="2025"/>
      <c r="H161" s="2025"/>
    </row>
    <row r="162" spans="1:8" ht="15" x14ac:dyDescent="0.2">
      <c r="A162" s="2025"/>
      <c r="B162" s="2025"/>
      <c r="C162" s="2025"/>
      <c r="D162" s="2025"/>
      <c r="E162" s="2025"/>
      <c r="F162" s="2025"/>
      <c r="G162" s="2025"/>
      <c r="H162" s="2025"/>
    </row>
    <row r="163" spans="1:8" ht="15" x14ac:dyDescent="0.2">
      <c r="A163" s="2026" t="s">
        <v>846</v>
      </c>
      <c r="B163" s="2025"/>
      <c r="C163" s="2025"/>
      <c r="D163" s="2025"/>
      <c r="E163" s="2025"/>
      <c r="F163" s="2025"/>
      <c r="G163" s="2025"/>
      <c r="H163" s="2025"/>
    </row>
    <row r="164" spans="1:8" ht="15" x14ac:dyDescent="0.2">
      <c r="A164" s="2026" t="s">
        <v>847</v>
      </c>
      <c r="B164" s="2025"/>
      <c r="C164" s="2025"/>
      <c r="D164" s="2025"/>
      <c r="E164" s="2025"/>
      <c r="F164" s="2025"/>
      <c r="G164" s="2025"/>
      <c r="H164" s="2025"/>
    </row>
    <row r="165" spans="1:8" ht="15" x14ac:dyDescent="0.2">
      <c r="A165" s="2025"/>
      <c r="B165" s="2025"/>
      <c r="C165" s="2025"/>
      <c r="D165" s="2025"/>
      <c r="E165" s="2025"/>
      <c r="F165" s="2025"/>
      <c r="G165" s="2025"/>
      <c r="H165" s="2025"/>
    </row>
    <row r="166" spans="1:8" ht="15" x14ac:dyDescent="0.2">
      <c r="A166" s="2026" t="s">
        <v>843</v>
      </c>
      <c r="B166" s="2025"/>
      <c r="C166" s="2025"/>
      <c r="D166" s="2025"/>
      <c r="E166" s="2025"/>
      <c r="F166" s="2025"/>
      <c r="G166" s="2025"/>
      <c r="H166" s="2025"/>
    </row>
    <row r="167" spans="1:8" ht="15" x14ac:dyDescent="0.2">
      <c r="A167" s="2026" t="s">
        <v>844</v>
      </c>
      <c r="B167" s="2025"/>
      <c r="C167" s="2025"/>
      <c r="D167" s="2025"/>
      <c r="E167" s="2025"/>
      <c r="F167" s="2025"/>
      <c r="G167" s="2025"/>
      <c r="H167" s="2025"/>
    </row>
    <row r="168" spans="1:8" ht="15" x14ac:dyDescent="0.2">
      <c r="A168" s="2026" t="s">
        <v>845</v>
      </c>
      <c r="B168" s="2025"/>
      <c r="C168" s="2025"/>
      <c r="D168" s="2025"/>
      <c r="E168" s="2025"/>
      <c r="F168" s="2025"/>
      <c r="G168" s="2025"/>
      <c r="H168" s="2025"/>
    </row>
    <row r="169" spans="1:8" ht="15" x14ac:dyDescent="0.2">
      <c r="A169" s="2025"/>
      <c r="B169" s="2025"/>
      <c r="C169" s="2025"/>
      <c r="D169" s="2025"/>
      <c r="E169" s="2025"/>
      <c r="F169" s="2025"/>
      <c r="G169" s="2025"/>
      <c r="H169" s="2025"/>
    </row>
    <row r="170" spans="1:8" ht="15" x14ac:dyDescent="0.2">
      <c r="A170" s="2025"/>
      <c r="B170" s="2025"/>
      <c r="C170" s="2025"/>
      <c r="D170" s="2025"/>
      <c r="E170" s="2025"/>
      <c r="F170" s="2025"/>
      <c r="G170" s="2025"/>
      <c r="H170" s="2025"/>
    </row>
    <row r="171" spans="1:8" ht="15" x14ac:dyDescent="0.2">
      <c r="A171" s="2026" t="s">
        <v>675</v>
      </c>
      <c r="B171" s="2025"/>
      <c r="C171" s="2025"/>
      <c r="D171" s="2025"/>
      <c r="E171" s="2025"/>
      <c r="F171" s="2025"/>
      <c r="G171" s="2025"/>
      <c r="H171" s="2025"/>
    </row>
    <row r="172" spans="1:8" ht="15" x14ac:dyDescent="0.2">
      <c r="A172" s="2025"/>
      <c r="B172" s="2025"/>
      <c r="C172" s="2025"/>
      <c r="D172" s="2025"/>
      <c r="E172" s="2025"/>
      <c r="F172" s="2025"/>
      <c r="G172" s="2025"/>
      <c r="H172" s="2025"/>
    </row>
    <row r="173" spans="1:8" ht="15.75" x14ac:dyDescent="0.2">
      <c r="A173" s="2027" t="s">
        <v>676</v>
      </c>
      <c r="B173" s="2025"/>
      <c r="C173" s="2025"/>
      <c r="D173" s="2025"/>
      <c r="E173" s="2025"/>
      <c r="F173" s="2025"/>
      <c r="G173" s="2025"/>
      <c r="H173" s="2025"/>
    </row>
    <row r="174" spans="1:8" ht="15" x14ac:dyDescent="0.2">
      <c r="A174" s="2025"/>
      <c r="B174" s="2025"/>
      <c r="C174" s="2025"/>
      <c r="D174" s="2025"/>
      <c r="E174" s="2025"/>
      <c r="F174" s="2025"/>
      <c r="G174" s="2025"/>
      <c r="H174" s="2025"/>
    </row>
    <row r="175" spans="1:8" ht="15" x14ac:dyDescent="0.2">
      <c r="A175" s="2025"/>
      <c r="B175" s="2025"/>
      <c r="C175" s="2025"/>
      <c r="D175" s="2025"/>
      <c r="E175" s="2025"/>
      <c r="F175" s="2025"/>
      <c r="G175" s="2025"/>
      <c r="H175" s="2025"/>
    </row>
    <row r="176" spans="1:8" ht="15" x14ac:dyDescent="0.2">
      <c r="A176" s="2025"/>
      <c r="B176" s="2025"/>
      <c r="C176" s="2025"/>
      <c r="D176" s="2025"/>
      <c r="E176" s="2025"/>
      <c r="F176" s="2025"/>
      <c r="G176" s="2025"/>
      <c r="H176" s="2025"/>
    </row>
    <row r="177" spans="1:8" ht="15" x14ac:dyDescent="0.2">
      <c r="A177" s="2025"/>
      <c r="B177" s="2025"/>
      <c r="C177" s="2025"/>
      <c r="D177" s="2025"/>
      <c r="E177" s="2025"/>
      <c r="F177" s="2025"/>
      <c r="G177" s="2025"/>
      <c r="H177" s="2025"/>
    </row>
    <row r="178" spans="1:8" ht="15" x14ac:dyDescent="0.2">
      <c r="A178" s="2025"/>
      <c r="B178" s="2025"/>
      <c r="C178" s="2025"/>
      <c r="D178" s="2025"/>
      <c r="E178" s="2025"/>
      <c r="F178" s="2025"/>
      <c r="G178" s="2025"/>
      <c r="H178" s="2025"/>
    </row>
    <row r="179" spans="1:8" ht="15" x14ac:dyDescent="0.2">
      <c r="A179" s="2025"/>
      <c r="B179" s="2025"/>
      <c r="C179" s="2025"/>
      <c r="D179" s="2025"/>
      <c r="E179" s="2025"/>
      <c r="F179" s="2025"/>
      <c r="G179" s="2025"/>
      <c r="H179" s="2025"/>
    </row>
    <row r="180" spans="1:8" ht="15" x14ac:dyDescent="0.2">
      <c r="A180" s="2025"/>
      <c r="B180" s="2025"/>
      <c r="C180" s="2025"/>
      <c r="D180" s="2025"/>
      <c r="E180" s="2025"/>
      <c r="F180" s="2025"/>
      <c r="G180" s="2025"/>
      <c r="H180" s="2025"/>
    </row>
    <row r="181" spans="1:8" ht="15" x14ac:dyDescent="0.2">
      <c r="A181" s="2025"/>
      <c r="B181" s="2025"/>
      <c r="C181" s="2025"/>
      <c r="D181" s="2025"/>
      <c r="E181" s="2025"/>
      <c r="F181" s="2025"/>
      <c r="G181" s="2025"/>
      <c r="H181" s="2025"/>
    </row>
    <row r="182" spans="1:8" ht="15" x14ac:dyDescent="0.2">
      <c r="A182" s="2025"/>
      <c r="B182" s="2025"/>
      <c r="C182" s="2025"/>
      <c r="D182" s="2025"/>
      <c r="E182" s="2025"/>
      <c r="F182" s="2025"/>
      <c r="G182" s="2025"/>
      <c r="H182" s="2025"/>
    </row>
    <row r="183" spans="1:8" ht="15" x14ac:dyDescent="0.2">
      <c r="A183" s="2025"/>
      <c r="B183" s="2025"/>
      <c r="C183" s="2025"/>
      <c r="D183" s="2025"/>
      <c r="E183" s="2025"/>
      <c r="F183" s="2025"/>
      <c r="G183" s="2025"/>
      <c r="H183" s="2025"/>
    </row>
    <row r="184" spans="1:8" ht="15" x14ac:dyDescent="0.2">
      <c r="A184" s="2025"/>
      <c r="B184" s="2025"/>
      <c r="C184" s="2025"/>
      <c r="D184" s="2025"/>
      <c r="E184" s="2025"/>
      <c r="F184" s="2025"/>
      <c r="G184" s="2025"/>
      <c r="H184" s="2025"/>
    </row>
    <row r="185" spans="1:8" ht="15" x14ac:dyDescent="0.2">
      <c r="A185" s="2025"/>
      <c r="B185" s="2025"/>
      <c r="C185" s="2025"/>
      <c r="D185" s="2025"/>
      <c r="E185" s="2025"/>
      <c r="F185" s="2025"/>
      <c r="G185" s="2025"/>
      <c r="H185" s="2025"/>
    </row>
    <row r="186" spans="1:8" ht="15" x14ac:dyDescent="0.2">
      <c r="A186" s="2025"/>
      <c r="B186" s="2025"/>
      <c r="C186" s="2025"/>
      <c r="D186" s="2025"/>
      <c r="E186" s="2025"/>
      <c r="F186" s="2025"/>
      <c r="G186" s="2025"/>
      <c r="H186" s="2025"/>
    </row>
    <row r="187" spans="1:8" ht="15" x14ac:dyDescent="0.2">
      <c r="A187" s="2025"/>
      <c r="B187" s="2025"/>
      <c r="C187" s="2025"/>
      <c r="D187" s="2025"/>
      <c r="E187" s="2025"/>
      <c r="F187" s="2025"/>
      <c r="G187" s="2025"/>
      <c r="H187" s="2025"/>
    </row>
    <row r="188" spans="1:8" ht="15" x14ac:dyDescent="0.2">
      <c r="A188" s="2025"/>
      <c r="B188" s="2025"/>
      <c r="C188" s="2025"/>
      <c r="D188" s="2025"/>
      <c r="E188" s="2025"/>
      <c r="F188" s="2025"/>
      <c r="G188" s="2025"/>
      <c r="H188" s="2025"/>
    </row>
    <row r="189" spans="1:8" ht="15" x14ac:dyDescent="0.2">
      <c r="A189" s="2025"/>
      <c r="B189" s="2025"/>
      <c r="C189" s="2025"/>
      <c r="D189" s="2025"/>
      <c r="E189" s="2025"/>
      <c r="F189" s="2025"/>
      <c r="G189" s="2025"/>
      <c r="H189" s="2025"/>
    </row>
    <row r="190" spans="1:8" ht="15" x14ac:dyDescent="0.2">
      <c r="A190" s="2025"/>
      <c r="B190" s="2025"/>
      <c r="C190" s="2025"/>
      <c r="D190" s="2025"/>
      <c r="E190" s="2025"/>
      <c r="F190" s="2025"/>
      <c r="G190" s="2025"/>
      <c r="H190" s="2025"/>
    </row>
    <row r="191" spans="1:8" ht="15" x14ac:dyDescent="0.2">
      <c r="A191" s="2025"/>
      <c r="B191" s="2025"/>
      <c r="C191" s="2025"/>
      <c r="D191" s="2025"/>
      <c r="E191" s="2025"/>
      <c r="F191" s="2025"/>
      <c r="G191" s="2025"/>
      <c r="H191" s="2025"/>
    </row>
    <row r="192" spans="1:8" ht="15" x14ac:dyDescent="0.2">
      <c r="A192" s="2025"/>
      <c r="B192" s="2025"/>
      <c r="C192" s="2025"/>
      <c r="D192" s="2025"/>
      <c r="E192" s="2025"/>
      <c r="F192" s="2025"/>
      <c r="G192" s="2025"/>
      <c r="H192" s="2025"/>
    </row>
    <row r="193" spans="1:8" ht="15" x14ac:dyDescent="0.2">
      <c r="A193" s="2025"/>
      <c r="B193" s="2025"/>
      <c r="C193" s="2025"/>
      <c r="D193" s="2025"/>
      <c r="E193" s="2025"/>
      <c r="F193" s="2025"/>
      <c r="G193" s="2025"/>
      <c r="H193" s="2025"/>
    </row>
    <row r="194" spans="1:8" ht="15" x14ac:dyDescent="0.2">
      <c r="A194" s="2025"/>
      <c r="B194" s="2025"/>
      <c r="C194" s="2025"/>
      <c r="D194" s="2025"/>
      <c r="E194" s="2025"/>
      <c r="F194" s="2025"/>
      <c r="G194" s="2025"/>
      <c r="H194" s="2025"/>
    </row>
    <row r="195" spans="1:8" ht="15" x14ac:dyDescent="0.2">
      <c r="A195" s="2025"/>
      <c r="B195" s="2025"/>
      <c r="C195" s="2025"/>
      <c r="D195" s="2025"/>
      <c r="E195" s="2025"/>
      <c r="F195" s="2025"/>
      <c r="G195" s="2025"/>
      <c r="H195" s="2025"/>
    </row>
    <row r="196" spans="1:8" ht="15" x14ac:dyDescent="0.2">
      <c r="A196" s="2025"/>
      <c r="B196" s="2025"/>
      <c r="C196" s="2025"/>
      <c r="D196" s="2025"/>
      <c r="E196" s="2025"/>
      <c r="F196" s="2025"/>
      <c r="G196" s="2025"/>
      <c r="H196" s="2025"/>
    </row>
    <row r="197" spans="1:8" ht="15" x14ac:dyDescent="0.2">
      <c r="A197" s="2025"/>
      <c r="B197" s="2025"/>
      <c r="C197" s="2025"/>
      <c r="D197" s="2025"/>
      <c r="E197" s="2025"/>
      <c r="F197" s="2025"/>
      <c r="G197" s="2025"/>
      <c r="H197" s="2025"/>
    </row>
    <row r="198" spans="1:8" ht="15" x14ac:dyDescent="0.2">
      <c r="A198" s="2025"/>
      <c r="B198" s="2025"/>
      <c r="C198" s="2025"/>
      <c r="D198" s="2025"/>
      <c r="E198" s="2025"/>
      <c r="F198" s="2025"/>
      <c r="G198" s="2025"/>
      <c r="H198" s="2025"/>
    </row>
    <row r="199" spans="1:8" ht="15" x14ac:dyDescent="0.2">
      <c r="A199" s="2025"/>
      <c r="B199" s="2025"/>
      <c r="C199" s="2025"/>
      <c r="D199" s="2025"/>
      <c r="E199" s="2025"/>
      <c r="F199" s="2025"/>
      <c r="G199" s="2025"/>
      <c r="H199" s="2025"/>
    </row>
    <row r="200" spans="1:8" ht="15.75" x14ac:dyDescent="0.2">
      <c r="A200" s="2027" t="s">
        <v>677</v>
      </c>
      <c r="B200" s="2025"/>
      <c r="C200" s="2025"/>
      <c r="D200" s="2025"/>
      <c r="E200" s="2025"/>
      <c r="F200" s="2025"/>
      <c r="G200" s="2025"/>
      <c r="H200" s="2025"/>
    </row>
    <row r="201" spans="1:8" ht="15" x14ac:dyDescent="0.2">
      <c r="A201" s="2025"/>
      <c r="B201" s="2025"/>
      <c r="C201" s="2025"/>
      <c r="D201" s="2025"/>
      <c r="E201" s="2025"/>
      <c r="F201" s="2025"/>
      <c r="G201" s="2025"/>
      <c r="H201" s="2025"/>
    </row>
    <row r="202" spans="1:8" ht="15" x14ac:dyDescent="0.2">
      <c r="A202" s="2026" t="s">
        <v>838</v>
      </c>
      <c r="B202" s="2025"/>
      <c r="C202" s="2025"/>
      <c r="D202" s="2025"/>
      <c r="E202" s="2025"/>
      <c r="F202" s="2025"/>
      <c r="G202" s="2025"/>
      <c r="H202" s="2025"/>
    </row>
    <row r="203" spans="1:8" ht="15" x14ac:dyDescent="0.2">
      <c r="A203" s="2026" t="s">
        <v>839</v>
      </c>
      <c r="B203" s="2025"/>
      <c r="C203" s="2025"/>
      <c r="D203" s="2025"/>
      <c r="E203" s="2025"/>
      <c r="F203" s="2025"/>
      <c r="G203" s="2025"/>
      <c r="H203" s="2025"/>
    </row>
    <row r="204" spans="1:8" ht="15" x14ac:dyDescent="0.2">
      <c r="A204" s="2026" t="s">
        <v>840</v>
      </c>
      <c r="B204" s="2025"/>
      <c r="C204" s="2025"/>
      <c r="D204" s="2025"/>
      <c r="E204" s="2025"/>
      <c r="F204" s="2025"/>
      <c r="G204" s="2025"/>
      <c r="H204" s="2025"/>
    </row>
    <row r="205" spans="1:8" ht="15" x14ac:dyDescent="0.2">
      <c r="A205" s="2026" t="s">
        <v>841</v>
      </c>
      <c r="B205" s="2025"/>
      <c r="C205" s="2025"/>
      <c r="D205" s="2025"/>
      <c r="E205" s="2025"/>
      <c r="F205" s="2025"/>
      <c r="G205" s="2025"/>
      <c r="H205" s="2025"/>
    </row>
    <row r="206" spans="1:8" ht="15" x14ac:dyDescent="0.2">
      <c r="A206" s="2026" t="s">
        <v>842</v>
      </c>
      <c r="B206" s="2025"/>
      <c r="C206" s="2025"/>
      <c r="D206" s="2025"/>
      <c r="E206" s="2025"/>
      <c r="F206" s="2025"/>
      <c r="G206" s="2025"/>
      <c r="H206" s="2025"/>
    </row>
    <row r="207" spans="1:8" ht="15" x14ac:dyDescent="0.2">
      <c r="A207" s="2025"/>
      <c r="B207" s="2025"/>
      <c r="C207" s="2025"/>
      <c r="D207" s="2025"/>
      <c r="E207" s="2025"/>
      <c r="F207" s="2025"/>
      <c r="G207" s="2025"/>
      <c r="H207" s="2025"/>
    </row>
    <row r="208" spans="1:8" ht="15" x14ac:dyDescent="0.2">
      <c r="A208" s="2026" t="s">
        <v>835</v>
      </c>
      <c r="B208" s="2025"/>
      <c r="C208" s="2025"/>
      <c r="D208" s="2025"/>
      <c r="E208" s="2025"/>
      <c r="F208" s="2025"/>
      <c r="G208" s="2025"/>
      <c r="H208" s="2025"/>
    </row>
    <row r="209" spans="1:8" ht="15" x14ac:dyDescent="0.2">
      <c r="A209" s="2026" t="s">
        <v>836</v>
      </c>
      <c r="B209" s="2025"/>
      <c r="C209" s="2025"/>
      <c r="D209" s="2025"/>
      <c r="E209" s="2025"/>
      <c r="F209" s="2025"/>
      <c r="G209" s="2025"/>
      <c r="H209" s="2025"/>
    </row>
    <row r="210" spans="1:8" ht="15" x14ac:dyDescent="0.2">
      <c r="A210" s="2026" t="s">
        <v>837</v>
      </c>
      <c r="B210" s="2025"/>
      <c r="C210" s="2025"/>
      <c r="D210" s="2025"/>
      <c r="E210" s="2025"/>
      <c r="F210" s="2025"/>
      <c r="G210" s="2025"/>
      <c r="H210" s="2025"/>
    </row>
    <row r="211" spans="1:8" ht="15.75" x14ac:dyDescent="0.2">
      <c r="A211" s="2027" t="s">
        <v>678</v>
      </c>
      <c r="B211" s="2025"/>
      <c r="C211" s="2025"/>
      <c r="D211" s="2025"/>
      <c r="E211" s="2025"/>
      <c r="F211" s="2025"/>
      <c r="G211" s="2025"/>
      <c r="H211" s="2025"/>
    </row>
    <row r="212" spans="1:8" ht="15" x14ac:dyDescent="0.2">
      <c r="A212" s="2025"/>
      <c r="B212" s="2025"/>
      <c r="C212" s="2025"/>
      <c r="D212" s="2025"/>
      <c r="E212" s="2025"/>
      <c r="F212" s="2025"/>
      <c r="G212" s="2025"/>
      <c r="H212" s="2025"/>
    </row>
    <row r="213" spans="1:8" ht="15" x14ac:dyDescent="0.2">
      <c r="A213" s="2026" t="s">
        <v>833</v>
      </c>
      <c r="B213" s="2025"/>
      <c r="C213" s="2025"/>
      <c r="D213" s="2025"/>
      <c r="E213" s="2025"/>
      <c r="F213" s="2025"/>
      <c r="G213" s="2025"/>
      <c r="H213" s="2025"/>
    </row>
    <row r="214" spans="1:8" ht="15" x14ac:dyDescent="0.2">
      <c r="A214" s="2026" t="s">
        <v>834</v>
      </c>
      <c r="B214" s="2025"/>
      <c r="C214" s="2025"/>
      <c r="D214" s="2025"/>
      <c r="E214" s="2025"/>
      <c r="F214" s="2025"/>
      <c r="G214" s="2025"/>
      <c r="H214" s="2025"/>
    </row>
    <row r="215" spans="1:8" ht="15" x14ac:dyDescent="0.2">
      <c r="A215" s="2025"/>
      <c r="B215" s="2025"/>
      <c r="C215" s="2025"/>
      <c r="D215" s="2025"/>
      <c r="E215" s="2025"/>
      <c r="F215" s="2025"/>
      <c r="G215" s="2025"/>
      <c r="H215" s="2025"/>
    </row>
    <row r="216" spans="1:8" ht="15" x14ac:dyDescent="0.2">
      <c r="A216" s="2026" t="s">
        <v>826</v>
      </c>
      <c r="B216" s="2025"/>
      <c r="C216" s="2025"/>
      <c r="D216" s="2025"/>
      <c r="E216" s="2025"/>
      <c r="F216" s="2025"/>
      <c r="G216" s="2025"/>
      <c r="H216" s="2025"/>
    </row>
    <row r="217" spans="1:8" ht="15" x14ac:dyDescent="0.2">
      <c r="A217" s="2026" t="s">
        <v>827</v>
      </c>
      <c r="B217" s="2025"/>
      <c r="C217" s="2025"/>
      <c r="D217" s="2025"/>
      <c r="E217" s="2025"/>
      <c r="F217" s="2025"/>
      <c r="G217" s="2025"/>
      <c r="H217" s="2025"/>
    </row>
    <row r="218" spans="1:8" ht="15" x14ac:dyDescent="0.2">
      <c r="A218" s="2026" t="s">
        <v>828</v>
      </c>
      <c r="B218" s="2025"/>
      <c r="C218" s="2025"/>
      <c r="D218" s="2025"/>
      <c r="E218" s="2025"/>
      <c r="F218" s="2025"/>
      <c r="G218" s="2025"/>
      <c r="H218" s="2025"/>
    </row>
    <row r="219" spans="1:8" ht="15" x14ac:dyDescent="0.2">
      <c r="A219" s="2026" t="s">
        <v>829</v>
      </c>
      <c r="B219" s="2025"/>
      <c r="C219" s="2025"/>
      <c r="D219" s="2025"/>
      <c r="E219" s="2025"/>
      <c r="F219" s="2025"/>
      <c r="G219" s="2025"/>
      <c r="H219" s="2025"/>
    </row>
    <row r="220" spans="1:8" ht="15" x14ac:dyDescent="0.2">
      <c r="A220" s="2026" t="s">
        <v>830</v>
      </c>
      <c r="B220" s="2025"/>
      <c r="C220" s="2025"/>
      <c r="D220" s="2025"/>
      <c r="E220" s="2025"/>
      <c r="F220" s="2025"/>
      <c r="G220" s="2025"/>
      <c r="H220" s="2025"/>
    </row>
    <row r="221" spans="1:8" ht="15" x14ac:dyDescent="0.2">
      <c r="A221" s="2026" t="s">
        <v>831</v>
      </c>
      <c r="B221" s="2025"/>
      <c r="C221" s="2025"/>
      <c r="D221" s="2025"/>
      <c r="E221" s="2025"/>
      <c r="F221" s="2025"/>
      <c r="G221" s="2025"/>
      <c r="H221" s="2025"/>
    </row>
    <row r="222" spans="1:8" ht="15" x14ac:dyDescent="0.2">
      <c r="A222" s="2026" t="s">
        <v>832</v>
      </c>
      <c r="B222" s="2025"/>
      <c r="C222" s="2025"/>
      <c r="D222" s="2025"/>
      <c r="E222" s="2025"/>
      <c r="F222" s="2025"/>
      <c r="G222" s="2025"/>
      <c r="H222" s="2025"/>
    </row>
    <row r="223" spans="1:8" ht="15" x14ac:dyDescent="0.2">
      <c r="A223" s="2025"/>
      <c r="B223" s="2025"/>
      <c r="C223" s="2025"/>
      <c r="D223" s="2025"/>
      <c r="E223" s="2025"/>
      <c r="F223" s="2025"/>
      <c r="G223" s="2025"/>
      <c r="H223" s="2025"/>
    </row>
    <row r="224" spans="1:8" ht="15" x14ac:dyDescent="0.2">
      <c r="A224" s="2026" t="s">
        <v>823</v>
      </c>
      <c r="B224" s="2025"/>
      <c r="C224" s="2025"/>
      <c r="D224" s="2025"/>
      <c r="E224" s="2025"/>
      <c r="F224" s="2025"/>
      <c r="G224" s="2025"/>
      <c r="H224" s="2025"/>
    </row>
    <row r="225" spans="1:8" ht="15" x14ac:dyDescent="0.2">
      <c r="A225" s="2026" t="s">
        <v>824</v>
      </c>
      <c r="B225" s="2025"/>
      <c r="C225" s="2025"/>
      <c r="D225" s="2025"/>
      <c r="E225" s="2025"/>
      <c r="F225" s="2025"/>
      <c r="G225" s="2025"/>
      <c r="H225" s="2025"/>
    </row>
    <row r="226" spans="1:8" ht="15" x14ac:dyDescent="0.2">
      <c r="A226" s="2026" t="s">
        <v>825</v>
      </c>
      <c r="B226" s="2025"/>
      <c r="C226" s="2025"/>
      <c r="D226" s="2025"/>
      <c r="E226" s="2025"/>
      <c r="F226" s="2025"/>
      <c r="G226" s="2025"/>
      <c r="H226" s="2025"/>
    </row>
    <row r="227" spans="1:8" ht="15" x14ac:dyDescent="0.2">
      <c r="A227" s="2025"/>
      <c r="B227" s="2025"/>
      <c r="C227" s="2025"/>
      <c r="D227" s="2025"/>
      <c r="E227" s="2025"/>
      <c r="F227" s="2025"/>
      <c r="G227" s="2025"/>
      <c r="H227" s="2025"/>
    </row>
    <row r="228" spans="1:8" ht="15" x14ac:dyDescent="0.2">
      <c r="A228" s="2026" t="s">
        <v>818</v>
      </c>
      <c r="B228" s="2025"/>
      <c r="C228" s="2025"/>
      <c r="D228" s="2025"/>
      <c r="E228" s="2025"/>
      <c r="F228" s="2025"/>
      <c r="G228" s="2025"/>
      <c r="H228" s="2025"/>
    </row>
    <row r="229" spans="1:8" ht="15" x14ac:dyDescent="0.2">
      <c r="A229" s="2026" t="s">
        <v>819</v>
      </c>
      <c r="B229" s="2025"/>
      <c r="C229" s="2025"/>
      <c r="D229" s="2025"/>
      <c r="E229" s="2025"/>
      <c r="F229" s="2025"/>
      <c r="G229" s="2025"/>
      <c r="H229" s="2025"/>
    </row>
    <row r="230" spans="1:8" ht="15" x14ac:dyDescent="0.2">
      <c r="A230" s="2026" t="s">
        <v>820</v>
      </c>
      <c r="B230" s="2025"/>
      <c r="C230" s="2025"/>
      <c r="D230" s="2025"/>
      <c r="E230" s="2025"/>
      <c r="F230" s="2025"/>
      <c r="G230" s="2025"/>
      <c r="H230" s="2025"/>
    </row>
    <row r="231" spans="1:8" ht="15" x14ac:dyDescent="0.2">
      <c r="A231" s="2026" t="s">
        <v>821</v>
      </c>
      <c r="B231" s="2025"/>
      <c r="C231" s="2025"/>
      <c r="D231" s="2025"/>
      <c r="E231" s="2025"/>
      <c r="F231" s="2025"/>
      <c r="G231" s="2025"/>
      <c r="H231" s="2025"/>
    </row>
    <row r="232" spans="1:8" ht="15" x14ac:dyDescent="0.2">
      <c r="A232" s="2026" t="s">
        <v>822</v>
      </c>
      <c r="B232" s="2025"/>
      <c r="C232" s="2025"/>
      <c r="D232" s="2025"/>
      <c r="E232" s="2025"/>
      <c r="F232" s="2025"/>
      <c r="G232" s="2025"/>
      <c r="H232" s="2025"/>
    </row>
    <row r="233" spans="1:8" ht="15" x14ac:dyDescent="0.2">
      <c r="A233" s="2025"/>
      <c r="B233" s="2025"/>
      <c r="C233" s="2025"/>
      <c r="D233" s="2025"/>
      <c r="E233" s="2025"/>
      <c r="F233" s="2025"/>
      <c r="G233" s="2025"/>
      <c r="H233" s="2025"/>
    </row>
    <row r="234" spans="1:8" ht="15" x14ac:dyDescent="0.2">
      <c r="A234" s="2026" t="s">
        <v>812</v>
      </c>
      <c r="B234" s="2025"/>
      <c r="C234" s="2025"/>
      <c r="D234" s="2025"/>
      <c r="E234" s="2025"/>
      <c r="F234" s="2025"/>
      <c r="G234" s="2025"/>
      <c r="H234" s="2025"/>
    </row>
    <row r="235" spans="1:8" ht="15" x14ac:dyDescent="0.2">
      <c r="A235" s="2026" t="s">
        <v>813</v>
      </c>
      <c r="B235" s="2025"/>
      <c r="C235" s="2025"/>
      <c r="D235" s="2025"/>
      <c r="E235" s="2025"/>
      <c r="F235" s="2025"/>
      <c r="G235" s="2025"/>
      <c r="H235" s="2025"/>
    </row>
    <row r="236" spans="1:8" ht="15" x14ac:dyDescent="0.2">
      <c r="A236" s="2026" t="s">
        <v>814</v>
      </c>
      <c r="B236" s="2025"/>
      <c r="C236" s="2025"/>
      <c r="D236" s="2025"/>
      <c r="E236" s="2025"/>
      <c r="F236" s="2025"/>
      <c r="G236" s="2025"/>
      <c r="H236" s="2025"/>
    </row>
    <row r="237" spans="1:8" ht="15" x14ac:dyDescent="0.2">
      <c r="A237" s="2026" t="s">
        <v>815</v>
      </c>
      <c r="B237" s="2025"/>
      <c r="C237" s="2025"/>
      <c r="D237" s="2025"/>
      <c r="E237" s="2025"/>
      <c r="F237" s="2025"/>
      <c r="G237" s="2025"/>
      <c r="H237" s="2025"/>
    </row>
    <row r="238" spans="1:8" ht="15" x14ac:dyDescent="0.2">
      <c r="A238" s="2026" t="s">
        <v>816</v>
      </c>
      <c r="B238" s="2025"/>
      <c r="C238" s="2025"/>
      <c r="D238" s="2025"/>
      <c r="E238" s="2025"/>
      <c r="F238" s="2025"/>
      <c r="G238" s="2025"/>
      <c r="H238" s="2025"/>
    </row>
    <row r="239" spans="1:8" ht="15" x14ac:dyDescent="0.2">
      <c r="A239" s="2026" t="s">
        <v>817</v>
      </c>
      <c r="B239" s="2025"/>
      <c r="C239" s="2025"/>
      <c r="D239" s="2025"/>
      <c r="E239" s="2025"/>
      <c r="F239" s="2025"/>
      <c r="G239" s="2025"/>
      <c r="H239" s="2025"/>
    </row>
    <row r="240" spans="1:8" ht="15" x14ac:dyDescent="0.2">
      <c r="A240" s="2025"/>
      <c r="B240" s="2025"/>
      <c r="C240" s="2025"/>
      <c r="D240" s="2025"/>
      <c r="E240" s="2025"/>
      <c r="F240" s="2025"/>
      <c r="G240" s="2025"/>
      <c r="H240" s="2025"/>
    </row>
    <row r="241" spans="1:8" ht="15" x14ac:dyDescent="0.2">
      <c r="A241" s="2026" t="s">
        <v>802</v>
      </c>
      <c r="B241" s="2025"/>
      <c r="C241" s="2025"/>
      <c r="D241" s="2025"/>
      <c r="E241" s="2025"/>
      <c r="F241" s="2025"/>
      <c r="G241" s="2025"/>
      <c r="H241" s="2025"/>
    </row>
    <row r="242" spans="1:8" ht="15" x14ac:dyDescent="0.2">
      <c r="A242" s="2026" t="s">
        <v>803</v>
      </c>
      <c r="B242" s="2025"/>
      <c r="C242" s="2025"/>
      <c r="D242" s="2025"/>
      <c r="E242" s="2025"/>
      <c r="F242" s="2025"/>
      <c r="G242" s="2025"/>
      <c r="H242" s="2025"/>
    </row>
    <row r="243" spans="1:8" ht="15" x14ac:dyDescent="0.2">
      <c r="A243" s="2026" t="s">
        <v>804</v>
      </c>
      <c r="B243" s="2025"/>
      <c r="C243" s="2025"/>
      <c r="D243" s="2025"/>
      <c r="E243" s="2025"/>
      <c r="F243" s="2025"/>
      <c r="G243" s="2025"/>
      <c r="H243" s="2025"/>
    </row>
    <row r="244" spans="1:8" ht="15" x14ac:dyDescent="0.2">
      <c r="A244" s="2026" t="s">
        <v>805</v>
      </c>
      <c r="B244" s="2025"/>
      <c r="C244" s="2025"/>
      <c r="D244" s="2025"/>
      <c r="E244" s="2025"/>
      <c r="F244" s="2025"/>
      <c r="G244" s="2025"/>
      <c r="H244" s="2025"/>
    </row>
    <row r="245" spans="1:8" ht="15" x14ac:dyDescent="0.2">
      <c r="A245" s="2026" t="s">
        <v>806</v>
      </c>
      <c r="B245" s="2025"/>
      <c r="C245" s="2025"/>
      <c r="D245" s="2025"/>
      <c r="E245" s="2025"/>
      <c r="F245" s="2025"/>
      <c r="G245" s="2025"/>
      <c r="H245" s="2025"/>
    </row>
    <row r="246" spans="1:8" ht="15" x14ac:dyDescent="0.2">
      <c r="A246" s="2026" t="s">
        <v>807</v>
      </c>
      <c r="B246" s="2025"/>
      <c r="C246" s="2025"/>
      <c r="D246" s="2025"/>
      <c r="E246" s="2025"/>
      <c r="F246" s="2025"/>
      <c r="G246" s="2025"/>
      <c r="H246" s="2025"/>
    </row>
    <row r="247" spans="1:8" ht="15" x14ac:dyDescent="0.2">
      <c r="A247" s="2026" t="s">
        <v>808</v>
      </c>
      <c r="B247" s="2025"/>
      <c r="C247" s="2025"/>
      <c r="D247" s="2025"/>
      <c r="E247" s="2025"/>
      <c r="F247" s="2025"/>
      <c r="G247" s="2025"/>
      <c r="H247" s="2025"/>
    </row>
    <row r="248" spans="1:8" ht="15" x14ac:dyDescent="0.2">
      <c r="A248" s="2026" t="s">
        <v>809</v>
      </c>
      <c r="B248" s="2025"/>
      <c r="C248" s="2025"/>
      <c r="D248" s="2025"/>
      <c r="E248" s="2025"/>
      <c r="F248" s="2025"/>
      <c r="G248" s="2025"/>
      <c r="H248" s="2025"/>
    </row>
    <row r="249" spans="1:8" ht="15" x14ac:dyDescent="0.2">
      <c r="A249" s="2026" t="s">
        <v>810</v>
      </c>
      <c r="B249" s="2025"/>
      <c r="C249" s="2025"/>
      <c r="D249" s="2025"/>
      <c r="E249" s="2025"/>
      <c r="F249" s="2025"/>
      <c r="G249" s="2025"/>
      <c r="H249" s="2025"/>
    </row>
    <row r="250" spans="1:8" ht="15" x14ac:dyDescent="0.2">
      <c r="A250" s="2026" t="s">
        <v>811</v>
      </c>
      <c r="B250" s="2025"/>
      <c r="C250" s="2025"/>
      <c r="D250" s="2025"/>
      <c r="E250" s="2025"/>
      <c r="F250" s="2025"/>
      <c r="G250" s="2025"/>
      <c r="H250" s="2025"/>
    </row>
    <row r="251" spans="1:8" ht="15" x14ac:dyDescent="0.2">
      <c r="A251" s="2025"/>
      <c r="B251" s="2025"/>
      <c r="C251" s="2025"/>
      <c r="D251" s="2025"/>
      <c r="E251" s="2025"/>
      <c r="F251" s="2025"/>
      <c r="G251" s="2025"/>
      <c r="H251" s="2025"/>
    </row>
    <row r="252" spans="1:8" ht="15" x14ac:dyDescent="0.2">
      <c r="A252" s="2026" t="s">
        <v>800</v>
      </c>
      <c r="B252" s="2025"/>
      <c r="C252" s="2025"/>
      <c r="D252" s="2025"/>
      <c r="E252" s="2025"/>
      <c r="F252" s="2025"/>
      <c r="G252" s="2025"/>
      <c r="H252" s="2025"/>
    </row>
    <row r="253" spans="1:8" ht="15" x14ac:dyDescent="0.2">
      <c r="A253" s="2026" t="s">
        <v>801</v>
      </c>
      <c r="B253" s="2025"/>
      <c r="C253" s="2025"/>
      <c r="D253" s="2025"/>
      <c r="E253" s="2025"/>
      <c r="F253" s="2025"/>
      <c r="G253" s="2025"/>
      <c r="H253" s="2025"/>
    </row>
    <row r="254" spans="1:8" ht="15" x14ac:dyDescent="0.2">
      <c r="A254" s="2025"/>
      <c r="B254" s="2025"/>
      <c r="C254" s="2025"/>
      <c r="D254" s="2025"/>
      <c r="E254" s="2025"/>
      <c r="F254" s="2025"/>
      <c r="G254" s="2025"/>
      <c r="H254" s="2025"/>
    </row>
    <row r="255" spans="1:8" ht="15" x14ac:dyDescent="0.2">
      <c r="A255" s="2026" t="s">
        <v>784</v>
      </c>
      <c r="B255" s="2025"/>
      <c r="C255" s="2025"/>
      <c r="D255" s="2025"/>
      <c r="E255" s="2025"/>
      <c r="F255" s="2025"/>
      <c r="G255" s="2025"/>
      <c r="H255" s="2025"/>
    </row>
    <row r="256" spans="1:8" ht="15" x14ac:dyDescent="0.2">
      <c r="A256" s="2026" t="s">
        <v>785</v>
      </c>
      <c r="B256" s="2025"/>
      <c r="C256" s="2025"/>
      <c r="D256" s="2025"/>
      <c r="E256" s="2025"/>
      <c r="F256" s="2025"/>
      <c r="G256" s="2025"/>
      <c r="H256" s="2025"/>
    </row>
    <row r="257" spans="1:8" ht="15" x14ac:dyDescent="0.2">
      <c r="A257" s="2026" t="s">
        <v>786</v>
      </c>
      <c r="B257" s="2025"/>
      <c r="C257" s="2025"/>
      <c r="D257" s="2025"/>
      <c r="E257" s="2025"/>
      <c r="F257" s="2025"/>
      <c r="G257" s="2025"/>
      <c r="H257" s="2025"/>
    </row>
    <row r="258" spans="1:8" ht="15" x14ac:dyDescent="0.2">
      <c r="A258" s="2026" t="s">
        <v>787</v>
      </c>
      <c r="B258" s="2025"/>
      <c r="C258" s="2025"/>
      <c r="D258" s="2025"/>
      <c r="E258" s="2025"/>
      <c r="F258" s="2025"/>
      <c r="G258" s="2025"/>
      <c r="H258" s="2025"/>
    </row>
    <row r="259" spans="1:8" ht="15" x14ac:dyDescent="0.2">
      <c r="A259" s="2026" t="s">
        <v>788</v>
      </c>
      <c r="B259" s="2025"/>
      <c r="C259" s="2025"/>
      <c r="D259" s="2025"/>
      <c r="E259" s="2025"/>
      <c r="F259" s="2025"/>
      <c r="G259" s="2025"/>
      <c r="H259" s="2025"/>
    </row>
    <row r="260" spans="1:8" ht="15" x14ac:dyDescent="0.2">
      <c r="A260" s="2026" t="s">
        <v>789</v>
      </c>
      <c r="B260" s="2025"/>
      <c r="C260" s="2025"/>
      <c r="D260" s="2025"/>
      <c r="E260" s="2025"/>
      <c r="F260" s="2025"/>
      <c r="G260" s="2025"/>
      <c r="H260" s="2025"/>
    </row>
    <row r="261" spans="1:8" ht="15" x14ac:dyDescent="0.2">
      <c r="A261" s="2026" t="s">
        <v>790</v>
      </c>
      <c r="B261" s="2025"/>
      <c r="C261" s="2025"/>
      <c r="D261" s="2025"/>
      <c r="E261" s="2025"/>
      <c r="F261" s="2025"/>
      <c r="G261" s="2025"/>
      <c r="H261" s="2025"/>
    </row>
    <row r="262" spans="1:8" ht="15" x14ac:dyDescent="0.2">
      <c r="A262" s="2026" t="s">
        <v>791</v>
      </c>
      <c r="B262" s="2025"/>
      <c r="C262" s="2025"/>
      <c r="D262" s="2025"/>
      <c r="E262" s="2025"/>
      <c r="F262" s="2025"/>
      <c r="G262" s="2025"/>
      <c r="H262" s="2025"/>
    </row>
    <row r="263" spans="1:8" ht="15" x14ac:dyDescent="0.2">
      <c r="A263" s="2026" t="s">
        <v>792</v>
      </c>
      <c r="B263" s="2025"/>
      <c r="C263" s="2025"/>
      <c r="D263" s="2025"/>
      <c r="E263" s="2025"/>
      <c r="F263" s="2025"/>
      <c r="G263" s="2025"/>
      <c r="H263" s="2025"/>
    </row>
    <row r="264" spans="1:8" ht="15" x14ac:dyDescent="0.2">
      <c r="A264" s="2026" t="s">
        <v>793</v>
      </c>
      <c r="B264" s="2025"/>
      <c r="C264" s="2025"/>
      <c r="D264" s="2025"/>
      <c r="E264" s="2025"/>
      <c r="F264" s="2025"/>
      <c r="G264" s="2025"/>
      <c r="H264" s="2025"/>
    </row>
    <row r="265" spans="1:8" ht="15" x14ac:dyDescent="0.2">
      <c r="A265" s="2026" t="s">
        <v>794</v>
      </c>
      <c r="B265" s="2025"/>
      <c r="C265" s="2025"/>
      <c r="D265" s="2025"/>
      <c r="E265" s="2025"/>
      <c r="F265" s="2025"/>
      <c r="G265" s="2025"/>
      <c r="H265" s="2025"/>
    </row>
    <row r="266" spans="1:8" ht="15" x14ac:dyDescent="0.2">
      <c r="A266" s="2026" t="s">
        <v>795</v>
      </c>
      <c r="B266" s="2025"/>
      <c r="C266" s="2025"/>
      <c r="D266" s="2025"/>
      <c r="E266" s="2025"/>
      <c r="F266" s="2025"/>
      <c r="G266" s="2025"/>
      <c r="H266" s="2025"/>
    </row>
    <row r="267" spans="1:8" ht="15" x14ac:dyDescent="0.2">
      <c r="A267" s="2026" t="s">
        <v>796</v>
      </c>
      <c r="B267" s="2025"/>
      <c r="C267" s="2025"/>
      <c r="D267" s="2025"/>
      <c r="E267" s="2025"/>
      <c r="F267" s="2025"/>
      <c r="G267" s="2025"/>
      <c r="H267" s="2025"/>
    </row>
    <row r="268" spans="1:8" ht="15" x14ac:dyDescent="0.2">
      <c r="A268" s="2026" t="s">
        <v>797</v>
      </c>
      <c r="B268" s="2025"/>
      <c r="C268" s="2025"/>
      <c r="D268" s="2025"/>
      <c r="E268" s="2025"/>
      <c r="F268" s="2025"/>
      <c r="G268" s="2025"/>
      <c r="H268" s="2025"/>
    </row>
    <row r="269" spans="1:8" ht="15" x14ac:dyDescent="0.2">
      <c r="A269" s="2026" t="s">
        <v>798</v>
      </c>
      <c r="B269" s="2025"/>
      <c r="C269" s="2025"/>
      <c r="D269" s="2025"/>
      <c r="E269" s="2025"/>
      <c r="F269" s="2025"/>
      <c r="G269" s="2025"/>
      <c r="H269" s="2025"/>
    </row>
    <row r="270" spans="1:8" ht="15" x14ac:dyDescent="0.2">
      <c r="A270" s="2026" t="s">
        <v>799</v>
      </c>
      <c r="B270" s="2025"/>
      <c r="C270" s="2025"/>
      <c r="D270" s="2025"/>
      <c r="E270" s="2025"/>
      <c r="F270" s="2025"/>
      <c r="G270" s="2025"/>
      <c r="H270" s="2025"/>
    </row>
    <row r="271" spans="1:8" ht="15" x14ac:dyDescent="0.2">
      <c r="A271" s="2025"/>
      <c r="B271" s="2025"/>
      <c r="C271" s="2025"/>
      <c r="D271" s="2025"/>
      <c r="E271" s="2025"/>
      <c r="F271" s="2025"/>
      <c r="G271" s="2025"/>
      <c r="H271" s="2025"/>
    </row>
    <row r="272" spans="1:8" ht="15" x14ac:dyDescent="0.2">
      <c r="A272" s="2026" t="s">
        <v>777</v>
      </c>
      <c r="B272" s="2025"/>
      <c r="C272" s="2025"/>
      <c r="D272" s="2025"/>
      <c r="E272" s="2025"/>
      <c r="F272" s="2025"/>
      <c r="G272" s="2025"/>
      <c r="H272" s="2025"/>
    </row>
    <row r="273" spans="1:8" ht="15" x14ac:dyDescent="0.2">
      <c r="A273" s="2026" t="s">
        <v>778</v>
      </c>
      <c r="B273" s="2025"/>
      <c r="C273" s="2025"/>
      <c r="D273" s="2025"/>
      <c r="E273" s="2025"/>
      <c r="F273" s="2025"/>
      <c r="G273" s="2025"/>
      <c r="H273" s="2025"/>
    </row>
    <row r="274" spans="1:8" ht="15" x14ac:dyDescent="0.2">
      <c r="A274" s="2026" t="s">
        <v>779</v>
      </c>
      <c r="B274" s="2025"/>
      <c r="C274" s="2025"/>
      <c r="D274" s="2025"/>
      <c r="E274" s="2025"/>
      <c r="F274" s="2025"/>
      <c r="G274" s="2025"/>
      <c r="H274" s="2025"/>
    </row>
    <row r="275" spans="1:8" ht="15" x14ac:dyDescent="0.2">
      <c r="A275" s="2026" t="s">
        <v>780</v>
      </c>
      <c r="B275" s="2025"/>
      <c r="C275" s="2025"/>
      <c r="D275" s="2025"/>
      <c r="E275" s="2025"/>
      <c r="F275" s="2025"/>
      <c r="G275" s="2025"/>
      <c r="H275" s="2025"/>
    </row>
    <row r="276" spans="1:8" ht="15" x14ac:dyDescent="0.2">
      <c r="A276" s="2026" t="s">
        <v>781</v>
      </c>
      <c r="B276" s="2025"/>
      <c r="C276" s="2025"/>
      <c r="D276" s="2025"/>
      <c r="E276" s="2025"/>
      <c r="F276" s="2025"/>
      <c r="G276" s="2025"/>
      <c r="H276" s="2025"/>
    </row>
    <row r="277" spans="1:8" ht="15" x14ac:dyDescent="0.2">
      <c r="A277" s="2026" t="s">
        <v>782</v>
      </c>
      <c r="B277" s="2025"/>
      <c r="C277" s="2025"/>
      <c r="D277" s="2025"/>
      <c r="E277" s="2025"/>
      <c r="F277" s="2025"/>
      <c r="G277" s="2025"/>
      <c r="H277" s="2025"/>
    </row>
    <row r="278" spans="1:8" ht="15" x14ac:dyDescent="0.2">
      <c r="A278" s="2026" t="s">
        <v>783</v>
      </c>
      <c r="B278" s="2025"/>
      <c r="C278" s="2025"/>
      <c r="D278" s="2025"/>
      <c r="E278" s="2025"/>
      <c r="F278" s="2025"/>
      <c r="G278" s="2025"/>
      <c r="H278" s="2025"/>
    </row>
    <row r="279" spans="1:8" ht="15" x14ac:dyDescent="0.2">
      <c r="A279" s="2025"/>
      <c r="B279" s="2025"/>
      <c r="C279" s="2025"/>
      <c r="D279" s="2025"/>
      <c r="E279" s="2025"/>
      <c r="F279" s="2025"/>
      <c r="G279" s="2025"/>
      <c r="H279" s="2025"/>
    </row>
    <row r="280" spans="1:8" ht="15" x14ac:dyDescent="0.2">
      <c r="A280" s="2026" t="s">
        <v>768</v>
      </c>
      <c r="B280" s="2025"/>
      <c r="C280" s="2025"/>
      <c r="D280" s="2025"/>
      <c r="E280" s="2025"/>
      <c r="F280" s="2025"/>
      <c r="G280" s="2025"/>
      <c r="H280" s="2025"/>
    </row>
    <row r="281" spans="1:8" ht="15" x14ac:dyDescent="0.2">
      <c r="A281" s="2026" t="s">
        <v>769</v>
      </c>
      <c r="B281" s="2025"/>
      <c r="C281" s="2025"/>
      <c r="D281" s="2025"/>
      <c r="E281" s="2025"/>
      <c r="F281" s="2025"/>
      <c r="G281" s="2025"/>
      <c r="H281" s="2025"/>
    </row>
    <row r="282" spans="1:8" ht="15" x14ac:dyDescent="0.2">
      <c r="A282" s="2026" t="s">
        <v>770</v>
      </c>
      <c r="B282" s="2025"/>
      <c r="C282" s="2025"/>
      <c r="D282" s="2025"/>
      <c r="E282" s="2025"/>
      <c r="F282" s="2025"/>
      <c r="G282" s="2025"/>
      <c r="H282" s="2025"/>
    </row>
    <row r="283" spans="1:8" ht="15" x14ac:dyDescent="0.2">
      <c r="A283" s="2026" t="s">
        <v>771</v>
      </c>
      <c r="B283" s="2025"/>
      <c r="C283" s="2025"/>
      <c r="D283" s="2025"/>
      <c r="E283" s="2025"/>
      <c r="F283" s="2025"/>
      <c r="G283" s="2025"/>
      <c r="H283" s="2025"/>
    </row>
    <row r="284" spans="1:8" ht="15" x14ac:dyDescent="0.2">
      <c r="A284" s="2026" t="s">
        <v>772</v>
      </c>
      <c r="B284" s="2025"/>
      <c r="C284" s="2025"/>
      <c r="D284" s="2025"/>
      <c r="E284" s="2025"/>
      <c r="F284" s="2025"/>
      <c r="G284" s="2025"/>
      <c r="H284" s="2025"/>
    </row>
    <row r="285" spans="1:8" ht="15" x14ac:dyDescent="0.2">
      <c r="A285" s="2026" t="s">
        <v>773</v>
      </c>
      <c r="B285" s="2025"/>
      <c r="C285" s="2025"/>
      <c r="D285" s="2025"/>
      <c r="E285" s="2025"/>
      <c r="F285" s="2025"/>
      <c r="G285" s="2025"/>
      <c r="H285" s="2025"/>
    </row>
    <row r="286" spans="1:8" ht="15" x14ac:dyDescent="0.2">
      <c r="A286" s="2026" t="s">
        <v>774</v>
      </c>
      <c r="B286" s="2025"/>
      <c r="C286" s="2025"/>
      <c r="D286" s="2025"/>
      <c r="E286" s="2025"/>
      <c r="F286" s="2025"/>
      <c r="G286" s="2025"/>
      <c r="H286" s="2025"/>
    </row>
    <row r="287" spans="1:8" ht="15" x14ac:dyDescent="0.2">
      <c r="A287" s="2026" t="s">
        <v>775</v>
      </c>
      <c r="B287" s="2025"/>
      <c r="C287" s="2025"/>
      <c r="D287" s="2025"/>
      <c r="E287" s="2025"/>
      <c r="F287" s="2025"/>
      <c r="G287" s="2025"/>
      <c r="H287" s="2025"/>
    </row>
    <row r="288" spans="1:8" ht="15" x14ac:dyDescent="0.2">
      <c r="A288" s="2026" t="s">
        <v>776</v>
      </c>
      <c r="B288" s="2025"/>
      <c r="C288" s="2025"/>
      <c r="D288" s="2025"/>
      <c r="E288" s="2025"/>
      <c r="F288" s="2025"/>
      <c r="G288" s="2025"/>
      <c r="H288" s="2025"/>
    </row>
    <row r="289" spans="1:8" ht="15" x14ac:dyDescent="0.2">
      <c r="A289" s="2025"/>
      <c r="B289" s="2025"/>
      <c r="C289" s="2025"/>
      <c r="D289" s="2025"/>
      <c r="E289" s="2025"/>
      <c r="F289" s="2025"/>
      <c r="G289" s="2025"/>
      <c r="H289" s="2025"/>
    </row>
    <row r="290" spans="1:8" ht="15" x14ac:dyDescent="0.2">
      <c r="A290" s="2026" t="s">
        <v>761</v>
      </c>
      <c r="B290" s="2025"/>
      <c r="C290" s="2025"/>
      <c r="D290" s="2025"/>
      <c r="E290" s="2025"/>
      <c r="F290" s="2025"/>
      <c r="G290" s="2025"/>
      <c r="H290" s="2025"/>
    </row>
    <row r="291" spans="1:8" ht="15" x14ac:dyDescent="0.2">
      <c r="A291" s="2026" t="s">
        <v>762</v>
      </c>
      <c r="B291" s="2025"/>
      <c r="C291" s="2025"/>
      <c r="D291" s="2025"/>
      <c r="E291" s="2025"/>
      <c r="F291" s="2025"/>
      <c r="G291" s="2025"/>
      <c r="H291" s="2025"/>
    </row>
    <row r="292" spans="1:8" ht="15" x14ac:dyDescent="0.2">
      <c r="A292" s="2026" t="s">
        <v>763</v>
      </c>
      <c r="B292" s="2025"/>
      <c r="C292" s="2025"/>
      <c r="D292" s="2025"/>
      <c r="E292" s="2025"/>
      <c r="F292" s="2025"/>
      <c r="G292" s="2025"/>
      <c r="H292" s="2025"/>
    </row>
    <row r="293" spans="1:8" ht="15" x14ac:dyDescent="0.2">
      <c r="A293" s="2026" t="s">
        <v>764</v>
      </c>
      <c r="B293" s="2025"/>
      <c r="C293" s="2025"/>
      <c r="D293" s="2025"/>
      <c r="E293" s="2025"/>
      <c r="F293" s="2025"/>
      <c r="G293" s="2025"/>
      <c r="H293" s="2025"/>
    </row>
    <row r="294" spans="1:8" ht="15" x14ac:dyDescent="0.2">
      <c r="A294" s="2026" t="s">
        <v>765</v>
      </c>
      <c r="B294" s="2025"/>
      <c r="C294" s="2025"/>
      <c r="D294" s="2025"/>
      <c r="E294" s="2025"/>
      <c r="F294" s="2025"/>
      <c r="G294" s="2025"/>
      <c r="H294" s="2025"/>
    </row>
    <row r="295" spans="1:8" ht="15" x14ac:dyDescent="0.2">
      <c r="A295" s="2026" t="s">
        <v>766</v>
      </c>
      <c r="B295" s="2025"/>
      <c r="C295" s="2025"/>
      <c r="D295" s="2025"/>
      <c r="E295" s="2025"/>
      <c r="F295" s="2025"/>
      <c r="G295" s="2025"/>
      <c r="H295" s="2025"/>
    </row>
    <row r="296" spans="1:8" ht="15" x14ac:dyDescent="0.2">
      <c r="A296" s="2026" t="s">
        <v>767</v>
      </c>
      <c r="B296" s="2025"/>
      <c r="C296" s="2025"/>
      <c r="D296" s="2025"/>
      <c r="E296" s="2025"/>
      <c r="F296" s="2025"/>
      <c r="G296" s="2025"/>
      <c r="H296" s="2025"/>
    </row>
    <row r="297" spans="1:8" ht="15" x14ac:dyDescent="0.2">
      <c r="A297" s="2025"/>
      <c r="B297" s="2025"/>
      <c r="C297" s="2025"/>
      <c r="D297" s="2025"/>
      <c r="E297" s="2025"/>
      <c r="F297" s="2025"/>
      <c r="G297" s="2025"/>
      <c r="H297" s="2025"/>
    </row>
    <row r="298" spans="1:8" ht="15" x14ac:dyDescent="0.2">
      <c r="A298" s="2026" t="s">
        <v>758</v>
      </c>
      <c r="B298" s="2025"/>
      <c r="C298" s="2025"/>
      <c r="D298" s="2025"/>
      <c r="E298" s="2025"/>
      <c r="F298" s="2025"/>
      <c r="G298" s="2025"/>
      <c r="H298" s="2025"/>
    </row>
    <row r="299" spans="1:8" ht="15" x14ac:dyDescent="0.2">
      <c r="A299" s="2026" t="s">
        <v>759</v>
      </c>
      <c r="B299" s="2025"/>
      <c r="C299" s="2025"/>
      <c r="D299" s="2025"/>
      <c r="E299" s="2025"/>
      <c r="F299" s="2025"/>
      <c r="G299" s="2025"/>
      <c r="H299" s="2025"/>
    </row>
    <row r="300" spans="1:8" ht="15" x14ac:dyDescent="0.2">
      <c r="A300" s="2026" t="s">
        <v>760</v>
      </c>
      <c r="B300" s="2025"/>
      <c r="C300" s="2025"/>
      <c r="D300" s="2025"/>
      <c r="E300" s="2025"/>
      <c r="F300" s="2025"/>
      <c r="G300" s="2025"/>
      <c r="H300" s="2025"/>
    </row>
    <row r="301" spans="1:8" ht="15" x14ac:dyDescent="0.2">
      <c r="A301" s="2025"/>
      <c r="B301" s="2025"/>
      <c r="C301" s="2025"/>
      <c r="D301" s="2025"/>
      <c r="E301" s="2025"/>
      <c r="F301" s="2025"/>
      <c r="G301" s="2025"/>
      <c r="H301" s="2025"/>
    </row>
    <row r="302" spans="1:8" ht="15" x14ac:dyDescent="0.2">
      <c r="A302" s="2026" t="s">
        <v>756</v>
      </c>
      <c r="B302" s="2025"/>
      <c r="C302" s="2025"/>
      <c r="D302" s="2025"/>
      <c r="E302" s="2025"/>
      <c r="F302" s="2025"/>
      <c r="G302" s="2025"/>
      <c r="H302" s="2025"/>
    </row>
    <row r="303" spans="1:8" ht="15" x14ac:dyDescent="0.2">
      <c r="A303" s="2026" t="s">
        <v>757</v>
      </c>
      <c r="B303" s="2025"/>
      <c r="C303" s="2025"/>
      <c r="D303" s="2025"/>
      <c r="E303" s="2025"/>
      <c r="F303" s="2025"/>
      <c r="G303" s="2025"/>
      <c r="H303" s="2025"/>
    </row>
    <row r="304" spans="1:8" ht="15" x14ac:dyDescent="0.2">
      <c r="A304" s="2025"/>
      <c r="B304" s="2025"/>
      <c r="C304" s="2025"/>
      <c r="D304" s="2025"/>
      <c r="E304" s="2025"/>
      <c r="F304" s="2025"/>
      <c r="G304" s="2025"/>
      <c r="H304" s="2025"/>
    </row>
    <row r="305" spans="1:8" ht="15" x14ac:dyDescent="0.2">
      <c r="A305" s="2026" t="s">
        <v>743</v>
      </c>
      <c r="B305" s="2025"/>
      <c r="C305" s="2025"/>
      <c r="D305" s="2025"/>
      <c r="E305" s="2025"/>
      <c r="F305" s="2025"/>
      <c r="G305" s="2025"/>
      <c r="H305" s="2025"/>
    </row>
    <row r="306" spans="1:8" ht="15" x14ac:dyDescent="0.2">
      <c r="A306" s="2026" t="s">
        <v>744</v>
      </c>
      <c r="B306" s="2025"/>
      <c r="C306" s="2025"/>
      <c r="D306" s="2025"/>
      <c r="E306" s="2025"/>
      <c r="F306" s="2025"/>
      <c r="G306" s="2025"/>
      <c r="H306" s="2025"/>
    </row>
    <row r="307" spans="1:8" ht="15" x14ac:dyDescent="0.2">
      <c r="A307" s="2026" t="s">
        <v>745</v>
      </c>
      <c r="B307" s="2025"/>
      <c r="C307" s="2025"/>
      <c r="D307" s="2025"/>
      <c r="E307" s="2025"/>
      <c r="F307" s="2025"/>
      <c r="G307" s="2025"/>
      <c r="H307" s="2025"/>
    </row>
    <row r="308" spans="1:8" ht="15" x14ac:dyDescent="0.2">
      <c r="A308" s="2026" t="s">
        <v>746</v>
      </c>
      <c r="B308" s="2025"/>
      <c r="C308" s="2025"/>
      <c r="D308" s="2025"/>
      <c r="E308" s="2025"/>
      <c r="F308" s="2025"/>
      <c r="G308" s="2025"/>
      <c r="H308" s="2025"/>
    </row>
    <row r="309" spans="1:8" ht="15" x14ac:dyDescent="0.2">
      <c r="A309" s="2026" t="s">
        <v>747</v>
      </c>
      <c r="B309" s="2025"/>
      <c r="C309" s="2025"/>
      <c r="D309" s="2025"/>
      <c r="E309" s="2025"/>
      <c r="F309" s="2025"/>
      <c r="G309" s="2025"/>
      <c r="H309" s="2025"/>
    </row>
    <row r="310" spans="1:8" ht="15" x14ac:dyDescent="0.2">
      <c r="A310" s="2026" t="s">
        <v>748</v>
      </c>
      <c r="B310" s="2025"/>
      <c r="C310" s="2025"/>
      <c r="D310" s="2025"/>
      <c r="E310" s="2025"/>
      <c r="F310" s="2025"/>
      <c r="G310" s="2025"/>
      <c r="H310" s="2025"/>
    </row>
    <row r="311" spans="1:8" ht="15" x14ac:dyDescent="0.2">
      <c r="A311" s="2026" t="s">
        <v>749</v>
      </c>
      <c r="B311" s="2025"/>
      <c r="C311" s="2025"/>
      <c r="D311" s="2025"/>
      <c r="E311" s="2025"/>
      <c r="F311" s="2025"/>
      <c r="G311" s="2025"/>
      <c r="H311" s="2025"/>
    </row>
    <row r="312" spans="1:8" ht="15" x14ac:dyDescent="0.2">
      <c r="A312" s="2026" t="s">
        <v>750</v>
      </c>
      <c r="B312" s="2025"/>
      <c r="C312" s="2025"/>
      <c r="D312" s="2025"/>
      <c r="E312" s="2025"/>
      <c r="F312" s="2025"/>
      <c r="G312" s="2025"/>
      <c r="H312" s="2025"/>
    </row>
    <row r="313" spans="1:8" ht="15" x14ac:dyDescent="0.2">
      <c r="A313" s="2026" t="s">
        <v>751</v>
      </c>
      <c r="B313" s="2025"/>
      <c r="C313" s="2025"/>
      <c r="D313" s="2025"/>
      <c r="E313" s="2025"/>
      <c r="F313" s="2025"/>
      <c r="G313" s="2025"/>
      <c r="H313" s="2025"/>
    </row>
    <row r="314" spans="1:8" ht="15" x14ac:dyDescent="0.2">
      <c r="A314" s="2026" t="s">
        <v>752</v>
      </c>
      <c r="B314" s="2025"/>
      <c r="C314" s="2025"/>
      <c r="D314" s="2025"/>
      <c r="E314" s="2025"/>
      <c r="F314" s="2025"/>
      <c r="G314" s="2025"/>
      <c r="H314" s="2025"/>
    </row>
    <row r="315" spans="1:8" ht="15" x14ac:dyDescent="0.2">
      <c r="A315" s="2026" t="s">
        <v>753</v>
      </c>
      <c r="B315" s="2025"/>
      <c r="C315" s="2025"/>
      <c r="D315" s="2025"/>
      <c r="E315" s="2025"/>
      <c r="F315" s="2025"/>
      <c r="G315" s="2025"/>
      <c r="H315" s="2025"/>
    </row>
    <row r="316" spans="1:8" ht="15" x14ac:dyDescent="0.2">
      <c r="A316" s="2026" t="s">
        <v>754</v>
      </c>
      <c r="B316" s="2025"/>
      <c r="C316" s="2025"/>
      <c r="D316" s="2025"/>
      <c r="E316" s="2025"/>
      <c r="F316" s="2025"/>
      <c r="G316" s="2025"/>
      <c r="H316" s="2025"/>
    </row>
    <row r="317" spans="1:8" ht="15" x14ac:dyDescent="0.2">
      <c r="A317" s="2026" t="s">
        <v>755</v>
      </c>
      <c r="B317" s="2025"/>
      <c r="C317" s="2025"/>
      <c r="D317" s="2025"/>
      <c r="E317" s="2025"/>
      <c r="F317" s="2025"/>
      <c r="G317" s="2025"/>
      <c r="H317" s="2025"/>
    </row>
    <row r="318" spans="1:8" ht="15" x14ac:dyDescent="0.2">
      <c r="A318" s="2025"/>
      <c r="B318" s="2025"/>
      <c r="C318" s="2025"/>
      <c r="D318" s="2025"/>
      <c r="E318" s="2025"/>
      <c r="F318" s="2025"/>
      <c r="G318" s="2025"/>
      <c r="H318" s="2025"/>
    </row>
    <row r="319" spans="1:8" ht="15" x14ac:dyDescent="0.2">
      <c r="A319" s="2026" t="s">
        <v>735</v>
      </c>
      <c r="B319" s="2025"/>
      <c r="C319" s="2025"/>
      <c r="D319" s="2025"/>
      <c r="E319" s="2025"/>
      <c r="F319" s="2025"/>
      <c r="G319" s="2025"/>
      <c r="H319" s="2025"/>
    </row>
    <row r="320" spans="1:8" ht="15" x14ac:dyDescent="0.2">
      <c r="A320" s="2026" t="s">
        <v>736</v>
      </c>
      <c r="B320" s="2025"/>
      <c r="C320" s="2025"/>
      <c r="D320" s="2025"/>
      <c r="E320" s="2025"/>
      <c r="F320" s="2025"/>
      <c r="G320" s="2025"/>
      <c r="H320" s="2025"/>
    </row>
    <row r="321" spans="1:8" ht="15" x14ac:dyDescent="0.2">
      <c r="A321" s="2026" t="s">
        <v>737</v>
      </c>
      <c r="B321" s="2025"/>
      <c r="C321" s="2025"/>
      <c r="D321" s="2025"/>
      <c r="E321" s="2025"/>
      <c r="F321" s="2025"/>
      <c r="G321" s="2025"/>
      <c r="H321" s="2025"/>
    </row>
    <row r="322" spans="1:8" ht="15" x14ac:dyDescent="0.2">
      <c r="A322" s="2026" t="s">
        <v>738</v>
      </c>
      <c r="B322" s="2025"/>
      <c r="C322" s="2025"/>
      <c r="D322" s="2025"/>
      <c r="E322" s="2025"/>
      <c r="F322" s="2025"/>
      <c r="G322" s="2025"/>
      <c r="H322" s="2025"/>
    </row>
    <row r="323" spans="1:8" ht="15" x14ac:dyDescent="0.2">
      <c r="A323" s="2026" t="s">
        <v>739</v>
      </c>
      <c r="B323" s="2025"/>
      <c r="C323" s="2025"/>
      <c r="D323" s="2025"/>
      <c r="E323" s="2025"/>
      <c r="F323" s="2025"/>
      <c r="G323" s="2025"/>
      <c r="H323" s="2025"/>
    </row>
    <row r="324" spans="1:8" ht="15" x14ac:dyDescent="0.2">
      <c r="A324" s="2026" t="s">
        <v>740</v>
      </c>
      <c r="B324" s="2025"/>
      <c r="C324" s="2025"/>
      <c r="D324" s="2025"/>
      <c r="E324" s="2025"/>
      <c r="F324" s="2025"/>
      <c r="G324" s="2025"/>
      <c r="H324" s="2025"/>
    </row>
    <row r="325" spans="1:8" ht="15" x14ac:dyDescent="0.2">
      <c r="A325" s="2026" t="s">
        <v>741</v>
      </c>
      <c r="B325" s="2025"/>
      <c r="C325" s="2025"/>
      <c r="D325" s="2025"/>
      <c r="E325" s="2025"/>
      <c r="F325" s="2025"/>
      <c r="G325" s="2025"/>
      <c r="H325" s="2025"/>
    </row>
    <row r="326" spans="1:8" ht="15" x14ac:dyDescent="0.2">
      <c r="A326" s="2026" t="s">
        <v>742</v>
      </c>
      <c r="B326" s="2025"/>
      <c r="C326" s="2025"/>
      <c r="D326" s="2025"/>
      <c r="E326" s="2025"/>
      <c r="F326" s="2025"/>
      <c r="G326" s="2025"/>
      <c r="H326" s="2025"/>
    </row>
    <row r="327" spans="1:8" ht="15" x14ac:dyDescent="0.2">
      <c r="A327" s="2025"/>
      <c r="B327" s="2025"/>
      <c r="C327" s="2025"/>
      <c r="D327" s="2025"/>
      <c r="E327" s="2025"/>
      <c r="F327" s="2025"/>
      <c r="G327" s="2025"/>
      <c r="H327" s="2025"/>
    </row>
    <row r="328" spans="1:8" ht="15" x14ac:dyDescent="0.2">
      <c r="A328" s="2026" t="s">
        <v>700</v>
      </c>
      <c r="B328" s="2025"/>
      <c r="C328" s="2025"/>
      <c r="D328" s="2025"/>
      <c r="E328" s="2025"/>
      <c r="F328" s="2025"/>
      <c r="G328" s="2025"/>
      <c r="H328" s="2025"/>
    </row>
    <row r="329" spans="1:8" ht="15" x14ac:dyDescent="0.2">
      <c r="A329" s="2026" t="s">
        <v>701</v>
      </c>
      <c r="B329" s="2025"/>
      <c r="C329" s="2025"/>
      <c r="D329" s="2025"/>
      <c r="E329" s="2025"/>
      <c r="F329" s="2025"/>
      <c r="G329" s="2025"/>
      <c r="H329" s="2025"/>
    </row>
    <row r="330" spans="1:8" ht="15" x14ac:dyDescent="0.2">
      <c r="A330" s="2026" t="s">
        <v>702</v>
      </c>
      <c r="B330" s="2025"/>
      <c r="C330" s="2025"/>
      <c r="D330" s="2025"/>
      <c r="E330" s="2025"/>
      <c r="F330" s="2025"/>
      <c r="G330" s="2025"/>
      <c r="H330" s="2025"/>
    </row>
    <row r="331" spans="1:8" ht="15" x14ac:dyDescent="0.2">
      <c r="A331" s="2026" t="s">
        <v>703</v>
      </c>
      <c r="B331" s="2025"/>
      <c r="C331" s="2025"/>
      <c r="D331" s="2025"/>
      <c r="E331" s="2025"/>
      <c r="F331" s="2025"/>
      <c r="G331" s="2025"/>
      <c r="H331" s="2025"/>
    </row>
    <row r="332" spans="1:8" ht="15" x14ac:dyDescent="0.2">
      <c r="A332" s="2026" t="s">
        <v>704</v>
      </c>
      <c r="B332" s="2025"/>
      <c r="C332" s="2025"/>
      <c r="D332" s="2025"/>
      <c r="E332" s="2025"/>
      <c r="F332" s="2025"/>
      <c r="G332" s="2025"/>
      <c r="H332" s="2025"/>
    </row>
    <row r="333" spans="1:8" ht="15" x14ac:dyDescent="0.2">
      <c r="A333" s="2026" t="s">
        <v>705</v>
      </c>
      <c r="B333" s="2025"/>
      <c r="C333" s="2025"/>
      <c r="D333" s="2025"/>
      <c r="E333" s="2025"/>
      <c r="F333" s="2025"/>
      <c r="G333" s="2025"/>
      <c r="H333" s="2025"/>
    </row>
    <row r="334" spans="1:8" ht="15" x14ac:dyDescent="0.2">
      <c r="A334" s="2026" t="s">
        <v>706</v>
      </c>
      <c r="B334" s="2025"/>
      <c r="C334" s="2025"/>
      <c r="D334" s="2025"/>
      <c r="E334" s="2025"/>
      <c r="F334" s="2025"/>
      <c r="G334" s="2025"/>
      <c r="H334" s="2025"/>
    </row>
    <row r="335" spans="1:8" ht="15" x14ac:dyDescent="0.2">
      <c r="A335" s="2026" t="s">
        <v>707</v>
      </c>
      <c r="B335" s="2025"/>
      <c r="C335" s="2025"/>
      <c r="D335" s="2025"/>
      <c r="E335" s="2025"/>
      <c r="F335" s="2025"/>
      <c r="G335" s="2025"/>
      <c r="H335" s="2025"/>
    </row>
    <row r="336" spans="1:8" ht="15" x14ac:dyDescent="0.2">
      <c r="A336" s="2026" t="s">
        <v>708</v>
      </c>
      <c r="B336" s="2025"/>
      <c r="C336" s="2025"/>
      <c r="D336" s="2025"/>
      <c r="E336" s="2025"/>
      <c r="F336" s="2025"/>
      <c r="G336" s="2025"/>
      <c r="H336" s="2025"/>
    </row>
    <row r="337" spans="1:8" ht="15" x14ac:dyDescent="0.2">
      <c r="A337" s="2026" t="s">
        <v>709</v>
      </c>
      <c r="B337" s="2025"/>
      <c r="C337" s="2025"/>
      <c r="D337" s="2025"/>
      <c r="E337" s="2025"/>
      <c r="F337" s="2025"/>
      <c r="G337" s="2025"/>
      <c r="H337" s="2025"/>
    </row>
    <row r="338" spans="1:8" ht="15" x14ac:dyDescent="0.2">
      <c r="A338" s="2026" t="s">
        <v>710</v>
      </c>
      <c r="B338" s="2025"/>
      <c r="C338" s="2025"/>
      <c r="D338" s="2025"/>
      <c r="E338" s="2025"/>
      <c r="F338" s="2025"/>
      <c r="G338" s="2025"/>
      <c r="H338" s="2025"/>
    </row>
    <row r="339" spans="1:8" ht="15" x14ac:dyDescent="0.2">
      <c r="A339" s="2026" t="s">
        <v>711</v>
      </c>
      <c r="B339" s="2025"/>
      <c r="C339" s="2025"/>
      <c r="D339" s="2025"/>
      <c r="E339" s="2025"/>
      <c r="F339" s="2025"/>
      <c r="G339" s="2025"/>
      <c r="H339" s="2025"/>
    </row>
    <row r="340" spans="1:8" ht="15" x14ac:dyDescent="0.2">
      <c r="A340" s="2026" t="s">
        <v>712</v>
      </c>
      <c r="B340" s="2025"/>
      <c r="C340" s="2025"/>
      <c r="D340" s="2025"/>
      <c r="E340" s="2025"/>
      <c r="F340" s="2025"/>
      <c r="G340" s="2025"/>
      <c r="H340" s="2025"/>
    </row>
    <row r="341" spans="1:8" ht="15" x14ac:dyDescent="0.2">
      <c r="A341" s="2026" t="s">
        <v>713</v>
      </c>
      <c r="B341" s="2025"/>
      <c r="C341" s="2025"/>
      <c r="D341" s="2025"/>
      <c r="E341" s="2025"/>
      <c r="F341" s="2025"/>
      <c r="G341" s="2025"/>
      <c r="H341" s="2025"/>
    </row>
    <row r="342" spans="1:8" ht="15" x14ac:dyDescent="0.2">
      <c r="A342" s="2026" t="s">
        <v>714</v>
      </c>
      <c r="B342" s="2025"/>
      <c r="C342" s="2025"/>
      <c r="D342" s="2025"/>
      <c r="E342" s="2025"/>
      <c r="F342" s="2025"/>
      <c r="G342" s="2025"/>
      <c r="H342" s="2025"/>
    </row>
    <row r="343" spans="1:8" ht="15" x14ac:dyDescent="0.2">
      <c r="A343" s="2026" t="s">
        <v>715</v>
      </c>
      <c r="B343" s="2025"/>
      <c r="C343" s="2025"/>
      <c r="D343" s="2025"/>
      <c r="E343" s="2025"/>
      <c r="F343" s="2025"/>
      <c r="G343" s="2025"/>
      <c r="H343" s="2025"/>
    </row>
    <row r="344" spans="1:8" ht="15" x14ac:dyDescent="0.2">
      <c r="A344" s="2026" t="s">
        <v>716</v>
      </c>
      <c r="B344" s="2025"/>
      <c r="C344" s="2025"/>
      <c r="D344" s="2025"/>
      <c r="E344" s="2025"/>
      <c r="F344" s="2025"/>
      <c r="G344" s="2025"/>
      <c r="H344" s="2025"/>
    </row>
    <row r="345" spans="1:8" ht="15" x14ac:dyDescent="0.2">
      <c r="A345" s="2026" t="s">
        <v>717</v>
      </c>
      <c r="B345" s="2025"/>
      <c r="C345" s="2025"/>
      <c r="D345" s="2025"/>
      <c r="E345" s="2025"/>
      <c r="F345" s="2025"/>
      <c r="G345" s="2025"/>
      <c r="H345" s="2025"/>
    </row>
    <row r="346" spans="1:8" ht="15" x14ac:dyDescent="0.2">
      <c r="A346" s="2026" t="s">
        <v>718</v>
      </c>
      <c r="B346" s="2025"/>
      <c r="C346" s="2025"/>
      <c r="D346" s="2025"/>
      <c r="E346" s="2025"/>
      <c r="F346" s="2025"/>
      <c r="G346" s="2025"/>
      <c r="H346" s="2025"/>
    </row>
    <row r="347" spans="1:8" ht="15" x14ac:dyDescent="0.2">
      <c r="A347" s="2026" t="s">
        <v>719</v>
      </c>
      <c r="B347" s="2025"/>
      <c r="C347" s="2025"/>
      <c r="D347" s="2025"/>
      <c r="E347" s="2025"/>
      <c r="F347" s="2025"/>
      <c r="G347" s="2025"/>
      <c r="H347" s="2025"/>
    </row>
    <row r="348" spans="1:8" ht="15" x14ac:dyDescent="0.2">
      <c r="A348" s="2026" t="s">
        <v>720</v>
      </c>
      <c r="B348" s="2025"/>
      <c r="C348" s="2025"/>
      <c r="D348" s="2025"/>
      <c r="E348" s="2025"/>
      <c r="F348" s="2025"/>
      <c r="G348" s="2025"/>
      <c r="H348" s="2025"/>
    </row>
    <row r="349" spans="1:8" ht="15" x14ac:dyDescent="0.2">
      <c r="A349" s="2026" t="s">
        <v>721</v>
      </c>
      <c r="B349" s="2025"/>
      <c r="C349" s="2025"/>
      <c r="D349" s="2025"/>
      <c r="E349" s="2025"/>
      <c r="F349" s="2025"/>
      <c r="G349" s="2025"/>
      <c r="H349" s="2025"/>
    </row>
    <row r="350" spans="1:8" ht="15" x14ac:dyDescent="0.2">
      <c r="A350" s="2026" t="s">
        <v>722</v>
      </c>
      <c r="B350" s="2025"/>
      <c r="C350" s="2025"/>
      <c r="D350" s="2025"/>
      <c r="E350" s="2025"/>
      <c r="F350" s="2025"/>
      <c r="G350" s="2025"/>
      <c r="H350" s="2025"/>
    </row>
    <row r="351" spans="1:8" ht="15" x14ac:dyDescent="0.2">
      <c r="A351" s="2026" t="s">
        <v>723</v>
      </c>
      <c r="B351" s="2025"/>
      <c r="C351" s="2025"/>
      <c r="D351" s="2025"/>
      <c r="E351" s="2025"/>
      <c r="F351" s="2025"/>
      <c r="G351" s="2025"/>
      <c r="H351" s="2025"/>
    </row>
    <row r="352" spans="1:8" ht="15" x14ac:dyDescent="0.2">
      <c r="A352" s="2026" t="s">
        <v>724</v>
      </c>
      <c r="B352" s="2025"/>
      <c r="C352" s="2025"/>
      <c r="D352" s="2025"/>
      <c r="E352" s="2025"/>
      <c r="F352" s="2025"/>
      <c r="G352" s="2025"/>
      <c r="H352" s="2025"/>
    </row>
    <row r="353" spans="1:8" ht="15" x14ac:dyDescent="0.2">
      <c r="A353" s="2026" t="s">
        <v>725</v>
      </c>
      <c r="B353" s="2025"/>
      <c r="C353" s="2025"/>
      <c r="D353" s="2025"/>
      <c r="E353" s="2025"/>
      <c r="F353" s="2025"/>
      <c r="G353" s="2025"/>
      <c r="H353" s="2025"/>
    </row>
    <row r="354" spans="1:8" ht="15" x14ac:dyDescent="0.2">
      <c r="A354" s="2026" t="s">
        <v>726</v>
      </c>
      <c r="B354" s="2025"/>
      <c r="C354" s="2025"/>
      <c r="D354" s="2025"/>
      <c r="E354" s="2025"/>
      <c r="F354" s="2025"/>
      <c r="G354" s="2025"/>
      <c r="H354" s="2025"/>
    </row>
    <row r="355" spans="1:8" ht="15" x14ac:dyDescent="0.2">
      <c r="A355" s="2026" t="s">
        <v>727</v>
      </c>
      <c r="B355" s="2025"/>
      <c r="C355" s="2025"/>
      <c r="D355" s="2025"/>
      <c r="E355" s="2025"/>
      <c r="F355" s="2025"/>
      <c r="G355" s="2025"/>
      <c r="H355" s="2025"/>
    </row>
    <row r="356" spans="1:8" ht="15" x14ac:dyDescent="0.2">
      <c r="A356" s="2026" t="s">
        <v>728</v>
      </c>
      <c r="B356" s="2025"/>
      <c r="C356" s="2025"/>
      <c r="D356" s="2025"/>
      <c r="E356" s="2025"/>
      <c r="F356" s="2025"/>
      <c r="G356" s="2025"/>
      <c r="H356" s="2025"/>
    </row>
    <row r="357" spans="1:8" ht="15" x14ac:dyDescent="0.2">
      <c r="A357" s="2026" t="s">
        <v>729</v>
      </c>
      <c r="B357" s="2025"/>
      <c r="C357" s="2025"/>
      <c r="D357" s="2025"/>
      <c r="E357" s="2025"/>
      <c r="F357" s="2025"/>
      <c r="G357" s="2025"/>
      <c r="H357" s="2025"/>
    </row>
    <row r="358" spans="1:8" ht="15" x14ac:dyDescent="0.2">
      <c r="A358" s="2026" t="s">
        <v>730</v>
      </c>
      <c r="B358" s="2025"/>
      <c r="C358" s="2025"/>
      <c r="D358" s="2025"/>
      <c r="E358" s="2025"/>
      <c r="F358" s="2025"/>
      <c r="G358" s="2025"/>
      <c r="H358" s="2025"/>
    </row>
    <row r="359" spans="1:8" ht="15" x14ac:dyDescent="0.2">
      <c r="A359" s="2026" t="s">
        <v>731</v>
      </c>
      <c r="B359" s="2025"/>
      <c r="C359" s="2025"/>
      <c r="D359" s="2025"/>
      <c r="E359" s="2025"/>
      <c r="F359" s="2025"/>
      <c r="G359" s="2025"/>
      <c r="H359" s="2025"/>
    </row>
    <row r="360" spans="1:8" ht="15" x14ac:dyDescent="0.2">
      <c r="A360" s="2026" t="s">
        <v>732</v>
      </c>
      <c r="B360" s="2025"/>
      <c r="C360" s="2025"/>
      <c r="D360" s="2025"/>
      <c r="E360" s="2025"/>
      <c r="F360" s="2025"/>
      <c r="G360" s="2025"/>
      <c r="H360" s="2025"/>
    </row>
    <row r="361" spans="1:8" ht="15" x14ac:dyDescent="0.2">
      <c r="A361" s="2026" t="s">
        <v>733</v>
      </c>
      <c r="B361" s="2025"/>
      <c r="C361" s="2025"/>
      <c r="D361" s="2025"/>
      <c r="E361" s="2025"/>
      <c r="F361" s="2025"/>
      <c r="G361" s="2025"/>
      <c r="H361" s="2025"/>
    </row>
    <row r="362" spans="1:8" ht="15" x14ac:dyDescent="0.2">
      <c r="A362" s="2026" t="s">
        <v>734</v>
      </c>
      <c r="B362" s="2025"/>
      <c r="C362" s="2025"/>
      <c r="D362" s="2025"/>
      <c r="E362" s="2025"/>
      <c r="F362" s="2025"/>
      <c r="G362" s="2025"/>
      <c r="H362" s="2025"/>
    </row>
    <row r="363" spans="1:8" ht="15" x14ac:dyDescent="0.2">
      <c r="A363" s="2025"/>
      <c r="B363" s="2025"/>
      <c r="C363" s="2025"/>
      <c r="D363" s="2025"/>
      <c r="E363" s="2025"/>
      <c r="F363" s="2025"/>
      <c r="G363" s="2025"/>
      <c r="H363" s="2025"/>
    </row>
    <row r="364" spans="1:8" ht="15" x14ac:dyDescent="0.2">
      <c r="A364" s="2026" t="s">
        <v>692</v>
      </c>
      <c r="B364" s="2025"/>
      <c r="C364" s="2025"/>
      <c r="D364" s="2025"/>
      <c r="E364" s="2025"/>
      <c r="F364" s="2025"/>
      <c r="G364" s="2025"/>
      <c r="H364" s="2025"/>
    </row>
    <row r="365" spans="1:8" ht="15" x14ac:dyDescent="0.2">
      <c r="A365" s="2026" t="s">
        <v>696</v>
      </c>
      <c r="B365" s="2025"/>
      <c r="C365" s="2025"/>
      <c r="D365" s="2025"/>
      <c r="E365" s="2025"/>
      <c r="F365" s="2025"/>
      <c r="G365" s="2025"/>
      <c r="H365" s="2025"/>
    </row>
    <row r="366" spans="1:8" ht="15" x14ac:dyDescent="0.2">
      <c r="A366" s="2026" t="s">
        <v>697</v>
      </c>
      <c r="B366" s="2025"/>
      <c r="C366" s="2025"/>
      <c r="D366" s="2025"/>
      <c r="E366" s="2025"/>
      <c r="F366" s="2025"/>
      <c r="G366" s="2025"/>
      <c r="H366" s="2025"/>
    </row>
    <row r="367" spans="1:8" ht="15" x14ac:dyDescent="0.2">
      <c r="A367" s="2026" t="s">
        <v>698</v>
      </c>
      <c r="B367" s="2025"/>
      <c r="C367" s="2025"/>
      <c r="D367" s="2025"/>
      <c r="E367" s="2025"/>
      <c r="F367" s="2025"/>
      <c r="G367" s="2025"/>
      <c r="H367" s="2025"/>
    </row>
    <row r="368" spans="1:8" ht="15" x14ac:dyDescent="0.2">
      <c r="A368" s="2026" t="s">
        <v>699</v>
      </c>
      <c r="B368" s="2025"/>
      <c r="C368" s="2025"/>
      <c r="D368" s="2025"/>
      <c r="E368" s="2025"/>
      <c r="F368" s="2025"/>
      <c r="G368" s="2025"/>
      <c r="H368" s="2025"/>
    </row>
    <row r="369" spans="1:8" ht="15" x14ac:dyDescent="0.2">
      <c r="A369" s="2025"/>
      <c r="B369" s="2025"/>
      <c r="C369" s="2025"/>
      <c r="D369" s="2025"/>
      <c r="E369" s="2025"/>
      <c r="F369" s="2025"/>
      <c r="G369" s="2025"/>
      <c r="H369" s="2025"/>
    </row>
    <row r="370" spans="1:8" ht="15" x14ac:dyDescent="0.2">
      <c r="A370" s="2026" t="s">
        <v>692</v>
      </c>
      <c r="B370" s="2025"/>
      <c r="C370" s="2025"/>
      <c r="D370" s="2025"/>
      <c r="E370" s="2025"/>
      <c r="F370" s="2025"/>
      <c r="G370" s="2025"/>
      <c r="H370" s="2025"/>
    </row>
    <row r="371" spans="1:8" ht="15" x14ac:dyDescent="0.2">
      <c r="A371" s="2026" t="s">
        <v>693</v>
      </c>
      <c r="B371" s="2025"/>
      <c r="C371" s="2025"/>
      <c r="D371" s="2025"/>
      <c r="E371" s="2025"/>
      <c r="F371" s="2025"/>
      <c r="G371" s="2025"/>
      <c r="H371" s="2025"/>
    </row>
    <row r="372" spans="1:8" ht="15" x14ac:dyDescent="0.2">
      <c r="A372" s="2026" t="s">
        <v>694</v>
      </c>
      <c r="B372" s="2025"/>
      <c r="C372" s="2025"/>
      <c r="D372" s="2025"/>
      <c r="E372" s="2025"/>
      <c r="F372" s="2025"/>
      <c r="G372" s="2025"/>
      <c r="H372" s="2025"/>
    </row>
    <row r="373" spans="1:8" ht="15" x14ac:dyDescent="0.2">
      <c r="A373" s="2026" t="s">
        <v>695</v>
      </c>
      <c r="B373" s="2025"/>
      <c r="C373" s="2025"/>
      <c r="D373" s="2025"/>
      <c r="E373" s="2025"/>
      <c r="F373" s="2025"/>
      <c r="G373" s="2025"/>
      <c r="H373" s="2025"/>
    </row>
    <row r="374" spans="1:8" ht="15" x14ac:dyDescent="0.2">
      <c r="A374" s="2025"/>
      <c r="B374" s="2025"/>
      <c r="C374" s="2025"/>
      <c r="D374" s="2025"/>
      <c r="E374" s="2025"/>
      <c r="F374" s="2025"/>
      <c r="G374" s="2025"/>
      <c r="H374" s="2025"/>
    </row>
    <row r="375" spans="1:8" ht="15" x14ac:dyDescent="0.2">
      <c r="A375" s="2026" t="s">
        <v>686</v>
      </c>
      <c r="B375" s="2025"/>
      <c r="C375" s="2025"/>
      <c r="D375" s="2025"/>
      <c r="E375" s="2025"/>
      <c r="F375" s="2025"/>
      <c r="G375" s="2025"/>
      <c r="H375" s="2025"/>
    </row>
    <row r="376" spans="1:8" ht="15" x14ac:dyDescent="0.2">
      <c r="A376" s="2026" t="s">
        <v>687</v>
      </c>
      <c r="B376" s="2025"/>
      <c r="C376" s="2025"/>
      <c r="D376" s="2025"/>
      <c r="E376" s="2025"/>
      <c r="F376" s="2025"/>
      <c r="G376" s="2025"/>
      <c r="H376" s="2025"/>
    </row>
    <row r="377" spans="1:8" ht="15" x14ac:dyDescent="0.2">
      <c r="A377" s="2026" t="s">
        <v>688</v>
      </c>
      <c r="B377" s="2025"/>
      <c r="C377" s="2025"/>
      <c r="D377" s="2025"/>
      <c r="E377" s="2025"/>
      <c r="F377" s="2025"/>
      <c r="G377" s="2025"/>
      <c r="H377" s="2025"/>
    </row>
    <row r="378" spans="1:8" ht="15" x14ac:dyDescent="0.2">
      <c r="A378" s="2026" t="s">
        <v>689</v>
      </c>
      <c r="B378" s="2025"/>
      <c r="C378" s="2025"/>
      <c r="D378" s="2025"/>
      <c r="E378" s="2025"/>
      <c r="F378" s="2025"/>
      <c r="G378" s="2025"/>
      <c r="H378" s="2025"/>
    </row>
    <row r="379" spans="1:8" ht="15" x14ac:dyDescent="0.2">
      <c r="A379" s="2026" t="s">
        <v>690</v>
      </c>
      <c r="B379" s="2025"/>
      <c r="C379" s="2025"/>
      <c r="D379" s="2025"/>
      <c r="E379" s="2025"/>
      <c r="F379" s="2025"/>
      <c r="G379" s="2025"/>
      <c r="H379" s="2025"/>
    </row>
    <row r="380" spans="1:8" ht="15" x14ac:dyDescent="0.2">
      <c r="A380" s="2026" t="s">
        <v>691</v>
      </c>
      <c r="B380" s="2025"/>
      <c r="C380" s="2025"/>
      <c r="D380" s="2025"/>
      <c r="E380" s="2025"/>
      <c r="F380" s="2025"/>
      <c r="G380" s="2025"/>
      <c r="H380" s="2025"/>
    </row>
    <row r="381" spans="1:8" ht="15" x14ac:dyDescent="0.2">
      <c r="A381" s="2025"/>
      <c r="B381" s="2025"/>
      <c r="C381" s="2025"/>
      <c r="D381" s="2025"/>
      <c r="E381" s="2025"/>
      <c r="F381" s="2025"/>
      <c r="G381" s="2025"/>
      <c r="H381" s="2025"/>
    </row>
    <row r="382" spans="1:8" ht="15" x14ac:dyDescent="0.2">
      <c r="A382" s="2026" t="s">
        <v>681</v>
      </c>
      <c r="B382" s="2025"/>
      <c r="C382" s="2025"/>
      <c r="D382" s="2025"/>
      <c r="E382" s="2025"/>
      <c r="F382" s="2025"/>
      <c r="G382" s="2025"/>
      <c r="H382" s="2025"/>
    </row>
    <row r="383" spans="1:8" ht="15" x14ac:dyDescent="0.2">
      <c r="A383" s="2026" t="s">
        <v>682</v>
      </c>
      <c r="B383" s="2025"/>
      <c r="C383" s="2025"/>
      <c r="D383" s="2025"/>
      <c r="E383" s="2025"/>
      <c r="F383" s="2025"/>
      <c r="G383" s="2025"/>
      <c r="H383" s="2025"/>
    </row>
    <row r="384" spans="1:8" ht="15" x14ac:dyDescent="0.2">
      <c r="A384" s="2026" t="s">
        <v>683</v>
      </c>
      <c r="B384" s="2025"/>
      <c r="C384" s="2025"/>
      <c r="D384" s="2025"/>
      <c r="E384" s="2025"/>
      <c r="F384" s="2025"/>
      <c r="G384" s="2025"/>
      <c r="H384" s="2025"/>
    </row>
    <row r="385" spans="1:8" ht="15" x14ac:dyDescent="0.2">
      <c r="A385" s="2026" t="s">
        <v>684</v>
      </c>
      <c r="B385" s="2025"/>
      <c r="C385" s="2025"/>
      <c r="D385" s="2025"/>
      <c r="E385" s="2025"/>
      <c r="F385" s="2025"/>
      <c r="G385" s="2025"/>
      <c r="H385" s="2025"/>
    </row>
    <row r="386" spans="1:8" ht="15" x14ac:dyDescent="0.2">
      <c r="A386" s="2026" t="s">
        <v>685</v>
      </c>
      <c r="B386" s="2025"/>
      <c r="C386" s="2025"/>
      <c r="D386" s="2025"/>
      <c r="E386" s="2025"/>
      <c r="F386" s="2025"/>
      <c r="G386" s="2025"/>
      <c r="H386" s="2025"/>
    </row>
    <row r="387" spans="1:8" ht="15" x14ac:dyDescent="0.2">
      <c r="A387" s="2025"/>
      <c r="B387" s="2025"/>
      <c r="C387" s="2025"/>
      <c r="D387" s="2025"/>
      <c r="E387" s="2025"/>
      <c r="F387" s="2025"/>
      <c r="G387" s="2025"/>
      <c r="H387" s="2025"/>
    </row>
    <row r="388" spans="1:8" ht="15" x14ac:dyDescent="0.2">
      <c r="A388" s="2026" t="s">
        <v>679</v>
      </c>
      <c r="B388" s="2025"/>
      <c r="C388" s="2025"/>
      <c r="D388" s="2025"/>
      <c r="E388" s="2025"/>
      <c r="F388" s="2025"/>
      <c r="G388" s="2025"/>
      <c r="H388" s="2025"/>
    </row>
    <row r="389" spans="1:8" ht="15" x14ac:dyDescent="0.2">
      <c r="A389" s="2026" t="s">
        <v>680</v>
      </c>
      <c r="B389" s="2025"/>
      <c r="C389" s="2025"/>
      <c r="D389" s="2025"/>
      <c r="E389" s="2025"/>
      <c r="F389" s="2025"/>
      <c r="G389" s="2025"/>
      <c r="H389" s="2025"/>
    </row>
    <row r="391" spans="1:8" x14ac:dyDescent="0.2">
      <c r="A391" s="2021" t="s">
        <v>935</v>
      </c>
    </row>
  </sheetData>
  <mergeCells count="12">
    <mergeCell ref="A114:H114"/>
    <mergeCell ref="A121:H121"/>
    <mergeCell ref="A108:H108"/>
    <mergeCell ref="A109:H109"/>
    <mergeCell ref="A110:H110"/>
    <mergeCell ref="A111:H111"/>
    <mergeCell ref="A113:H113"/>
    <mergeCell ref="A129:H129"/>
    <mergeCell ref="A130:H130"/>
    <mergeCell ref="B122:C122"/>
    <mergeCell ref="D122:F122"/>
    <mergeCell ref="G122:H122"/>
  </mergeCells>
  <pageMargins left="0.5" right="0.5" top="0.5" bottom="0.5" header="0.5" footer="0.5"/>
  <pageSetup orientation="portrait" horizontalDpi="300" verticalDpi="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DI671"/>
  <sheetViews>
    <sheetView showGridLines="0" zoomScale="115" zoomScaleNormal="115" zoomScaleSheetLayoutView="100" workbookViewId="0">
      <pane xSplit="1" ySplit="11" topLeftCell="BB12" activePane="bottomRight" state="frozen"/>
      <selection activeCell="M35" sqref="M35"/>
      <selection pane="topRight" activeCell="M35" sqref="M35"/>
      <selection pane="bottomLeft" activeCell="M35" sqref="M35"/>
      <selection pane="bottomRight"/>
    </sheetView>
  </sheetViews>
  <sheetFormatPr defaultRowHeight="15" outlineLevelRow="3" outlineLevelCol="2" x14ac:dyDescent="0.25"/>
  <cols>
    <col min="1" max="1" width="39.28515625" customWidth="1"/>
    <col min="2" max="2" width="9.140625" hidden="1" customWidth="1" outlineLevel="1"/>
    <col min="3" max="4" width="8.7109375" hidden="1" customWidth="1" outlineLevel="1"/>
    <col min="5" max="8" width="8.7109375" hidden="1" customWidth="1" outlineLevel="2"/>
    <col min="9" max="9" width="8.7109375" hidden="1" customWidth="1" outlineLevel="1"/>
    <col min="10" max="13" width="8.7109375" hidden="1" customWidth="1" outlineLevel="2"/>
    <col min="14" max="14" width="8.7109375" hidden="1" customWidth="1" outlineLevel="1"/>
    <col min="15" max="15" width="8.7109375" hidden="1" customWidth="1" outlineLevel="2" collapsed="1"/>
    <col min="16" max="18" width="8.7109375" hidden="1" customWidth="1" outlineLevel="2"/>
    <col min="19" max="19" width="8.7109375" hidden="1" customWidth="1" outlineLevel="1"/>
    <col min="20" max="23" width="8.7109375" hidden="1" customWidth="1" outlineLevel="2"/>
    <col min="24" max="28" width="8.7109375" hidden="1" customWidth="1" outlineLevel="1"/>
    <col min="29" max="29" width="8.7109375" hidden="1" customWidth="1"/>
    <col min="30" max="33" width="8.7109375" hidden="1" customWidth="1" outlineLevel="1"/>
    <col min="34" max="34" width="8.7109375" hidden="1" customWidth="1"/>
    <col min="35" max="38" width="8.7109375" hidden="1" customWidth="1" outlineLevel="1"/>
    <col min="39" max="39" width="8.7109375" hidden="1" customWidth="1"/>
    <col min="40" max="43" width="8.7109375" hidden="1" customWidth="1" outlineLevel="1"/>
    <col min="44" max="44" width="8.7109375" hidden="1" customWidth="1"/>
    <col min="45" max="48" width="8.7109375" hidden="1" customWidth="1" outlineLevel="1"/>
    <col min="49" max="49" width="8.7109375" hidden="1" customWidth="1"/>
    <col min="50" max="53" width="8.7109375" hidden="1" customWidth="1" outlineLevel="1"/>
    <col min="54" max="54" width="8.7109375" customWidth="1" collapsed="1"/>
    <col min="55" max="58" width="8.7109375" customWidth="1" outlineLevel="1"/>
    <col min="59" max="59" width="8.7109375" customWidth="1"/>
    <col min="60" max="63" width="8.7109375" customWidth="1" outlineLevel="1"/>
    <col min="64" max="64" width="8.7109375" customWidth="1"/>
    <col min="65" max="68" width="8.7109375" hidden="1" customWidth="1" outlineLevel="1"/>
    <col min="69" max="69" width="8.7109375" customWidth="1" collapsed="1"/>
    <col min="70" max="73" width="8.7109375" hidden="1" customWidth="1" outlineLevel="1"/>
    <col min="74" max="74" width="8.7109375" customWidth="1" collapsed="1"/>
    <col min="75" max="78" width="8.7109375" hidden="1" customWidth="1" outlineLevel="1"/>
    <col min="79" max="79" width="8.7109375" customWidth="1" collapsed="1"/>
    <col min="80" max="80" width="9.42578125" bestFit="1" customWidth="1"/>
    <col min="81" max="81" width="11.140625" customWidth="1"/>
    <col min="82" max="82" width="39.85546875" customWidth="1"/>
    <col min="83" max="89" width="9.28515625" hidden="1" customWidth="1"/>
    <col min="90" max="93" width="9.28515625" customWidth="1"/>
    <col min="94" max="99" width="9.140625" customWidth="1"/>
    <col min="100" max="100" width="38.5703125" hidden="1" customWidth="1" outlineLevel="1"/>
    <col min="101" max="101" width="9.28515625" hidden="1" customWidth="1" outlineLevel="1"/>
    <col min="102" max="106" width="9.140625" hidden="1" customWidth="1" outlineLevel="1"/>
    <col min="107" max="107" width="9.140625" hidden="1" customWidth="1" outlineLevel="1" collapsed="1"/>
    <col min="108" max="108" width="9.140625" collapsed="1"/>
    <col min="113" max="113" width="8.42578125" customWidth="1" outlineLevel="1"/>
  </cols>
  <sheetData>
    <row r="1" spans="1:113" s="6" customFormat="1" x14ac:dyDescent="0.25">
      <c r="A1" s="1"/>
      <c r="B1" s="2"/>
      <c r="C1" s="2">
        <v>2005</v>
      </c>
      <c r="D1" s="2">
        <v>2006</v>
      </c>
      <c r="E1" s="3" t="s">
        <v>0</v>
      </c>
      <c r="F1" s="3" t="s">
        <v>1</v>
      </c>
      <c r="G1" s="3" t="s">
        <v>2</v>
      </c>
      <c r="H1" s="3" t="s">
        <v>3</v>
      </c>
      <c r="I1" s="2">
        <v>2007</v>
      </c>
      <c r="J1" s="3" t="s">
        <v>4</v>
      </c>
      <c r="K1" s="3" t="s">
        <v>5</v>
      </c>
      <c r="L1" s="3" t="s">
        <v>6</v>
      </c>
      <c r="M1" s="3" t="s">
        <v>7</v>
      </c>
      <c r="N1" s="2">
        <v>2008</v>
      </c>
      <c r="O1" s="3" t="s">
        <v>8</v>
      </c>
      <c r="P1" s="3" t="s">
        <v>9</v>
      </c>
      <c r="Q1" s="3" t="s">
        <v>10</v>
      </c>
      <c r="R1" s="4" t="s">
        <v>11</v>
      </c>
      <c r="S1" s="2">
        <v>2009</v>
      </c>
      <c r="T1" s="2" t="s">
        <v>12</v>
      </c>
      <c r="U1" s="2" t="s">
        <v>13</v>
      </c>
      <c r="V1" s="2" t="s">
        <v>14</v>
      </c>
      <c r="W1" s="5" t="s">
        <v>15</v>
      </c>
      <c r="X1" s="2">
        <v>2010</v>
      </c>
      <c r="Y1" s="3" t="s">
        <v>16</v>
      </c>
      <c r="Z1" s="3" t="s">
        <v>17</v>
      </c>
      <c r="AA1" s="3" t="s">
        <v>18</v>
      </c>
      <c r="AB1" s="3" t="s">
        <v>19</v>
      </c>
      <c r="AC1" s="3">
        <v>2011</v>
      </c>
      <c r="AD1" s="3" t="s">
        <v>20</v>
      </c>
      <c r="AE1" s="3" t="s">
        <v>21</v>
      </c>
      <c r="AF1" s="3" t="s">
        <v>22</v>
      </c>
      <c r="AG1" s="3" t="s">
        <v>23</v>
      </c>
      <c r="AH1" s="3">
        <v>2012</v>
      </c>
      <c r="AI1" s="3" t="s">
        <v>24</v>
      </c>
      <c r="AJ1" s="3" t="s">
        <v>25</v>
      </c>
      <c r="AK1" s="3" t="s">
        <v>26</v>
      </c>
      <c r="AL1" s="3" t="s">
        <v>27</v>
      </c>
      <c r="AM1" s="2">
        <v>2013</v>
      </c>
      <c r="AN1" s="2" t="s">
        <v>28</v>
      </c>
      <c r="AO1" s="2" t="s">
        <v>29</v>
      </c>
      <c r="AP1" s="2" t="s">
        <v>30</v>
      </c>
      <c r="AQ1" s="2" t="s">
        <v>31</v>
      </c>
      <c r="AR1" s="2">
        <v>2014</v>
      </c>
      <c r="AS1" s="2" t="s">
        <v>32</v>
      </c>
      <c r="AT1" s="2" t="s">
        <v>33</v>
      </c>
      <c r="AU1" s="2" t="s">
        <v>34</v>
      </c>
      <c r="AV1" s="2" t="s">
        <v>35</v>
      </c>
      <c r="AW1" s="2">
        <v>2015</v>
      </c>
      <c r="AX1" s="2" t="s">
        <v>36</v>
      </c>
      <c r="AY1" s="2" t="s">
        <v>37</v>
      </c>
      <c r="AZ1" s="2" t="s">
        <v>38</v>
      </c>
      <c r="BA1" s="2" t="s">
        <v>39</v>
      </c>
      <c r="BB1" s="2">
        <v>2016</v>
      </c>
      <c r="BC1" s="2" t="s">
        <v>608</v>
      </c>
      <c r="BD1" s="2" t="s">
        <v>629</v>
      </c>
      <c r="BE1" s="2" t="s">
        <v>630</v>
      </c>
      <c r="BF1" s="2" t="s">
        <v>635</v>
      </c>
      <c r="BG1" s="2">
        <v>2017</v>
      </c>
      <c r="BH1" s="2" t="s">
        <v>610</v>
      </c>
      <c r="BI1" s="2" t="s">
        <v>611</v>
      </c>
      <c r="BJ1" s="2" t="s">
        <v>612</v>
      </c>
      <c r="BK1" s="2" t="s">
        <v>613</v>
      </c>
      <c r="BL1" s="2" t="s">
        <v>42</v>
      </c>
      <c r="BM1" s="2" t="s">
        <v>614</v>
      </c>
      <c r="BN1" s="2" t="s">
        <v>615</v>
      </c>
      <c r="BO1" s="2" t="s">
        <v>616</v>
      </c>
      <c r="BP1" s="2" t="s">
        <v>617</v>
      </c>
      <c r="BQ1" s="2" t="s">
        <v>43</v>
      </c>
      <c r="BR1" s="2" t="s">
        <v>618</v>
      </c>
      <c r="BS1" s="2" t="s">
        <v>619</v>
      </c>
      <c r="BT1" s="2" t="s">
        <v>620</v>
      </c>
      <c r="BU1" s="2" t="s">
        <v>621</v>
      </c>
      <c r="BV1" s="2" t="s">
        <v>44</v>
      </c>
      <c r="BW1" s="2" t="s">
        <v>622</v>
      </c>
      <c r="BX1" s="2" t="s">
        <v>623</v>
      </c>
      <c r="BY1" s="2" t="s">
        <v>624</v>
      </c>
      <c r="BZ1" s="2" t="s">
        <v>625</v>
      </c>
      <c r="CA1" s="2" t="s">
        <v>626</v>
      </c>
      <c r="CB1"/>
      <c r="CE1" s="7"/>
      <c r="CF1" s="7"/>
      <c r="CG1" s="7"/>
      <c r="CH1" s="7"/>
      <c r="CI1" s="7"/>
      <c r="CJ1" s="7">
        <f>AC1</f>
        <v>2011</v>
      </c>
      <c r="CK1" s="7">
        <f>AH1</f>
        <v>2012</v>
      </c>
      <c r="CL1" s="7">
        <f>AM1</f>
        <v>2013</v>
      </c>
      <c r="CM1" s="7">
        <f>AR1</f>
        <v>2014</v>
      </c>
      <c r="CN1" s="7">
        <f>AW1</f>
        <v>2015</v>
      </c>
      <c r="CO1" s="7">
        <f>BB1</f>
        <v>2016</v>
      </c>
      <c r="CP1" s="7">
        <f>BG1</f>
        <v>2017</v>
      </c>
      <c r="CQ1" s="7" t="str">
        <f>BL1</f>
        <v>2018E</v>
      </c>
      <c r="CR1" s="7" t="str">
        <f>BQ1</f>
        <v>2019E</v>
      </c>
      <c r="CS1" s="7" t="str">
        <f>BV1</f>
        <v>2020E</v>
      </c>
      <c r="CT1" s="8" t="str">
        <f>CA1</f>
        <v>2021E</v>
      </c>
      <c r="CV1"/>
      <c r="CW1"/>
      <c r="CX1"/>
      <c r="CY1"/>
      <c r="CZ1"/>
      <c r="DA1"/>
      <c r="DI1" s="2"/>
    </row>
    <row r="2" spans="1:113" hidden="1" x14ac:dyDescent="0.25">
      <c r="A2" s="10"/>
      <c r="B2" s="11"/>
      <c r="C2" s="12"/>
      <c r="D2" s="12"/>
      <c r="E2" s="12"/>
      <c r="F2" s="12"/>
      <c r="G2" s="12"/>
      <c r="H2" s="12"/>
      <c r="I2" s="12"/>
      <c r="J2" s="12"/>
      <c r="K2" s="12"/>
      <c r="L2" s="12"/>
      <c r="M2" s="12"/>
      <c r="N2" s="12"/>
      <c r="O2" s="12"/>
      <c r="P2" s="12"/>
      <c r="Q2" s="12"/>
      <c r="R2" s="12"/>
      <c r="S2" s="12"/>
      <c r="T2" s="12"/>
      <c r="U2" s="12"/>
      <c r="V2" s="12"/>
      <c r="W2" s="12"/>
      <c r="X2" s="13"/>
      <c r="Y2" s="13"/>
      <c r="Z2" s="13"/>
      <c r="AA2" s="13"/>
      <c r="AB2" s="13"/>
      <c r="AC2" s="13"/>
      <c r="AD2" s="13"/>
      <c r="AE2" s="13"/>
      <c r="AF2" s="13"/>
      <c r="AG2" s="13"/>
      <c r="AH2" s="13"/>
      <c r="AI2" s="13"/>
      <c r="AJ2" s="13"/>
      <c r="AK2" s="13"/>
      <c r="AL2" s="13"/>
      <c r="AM2" s="13"/>
      <c r="AN2" s="13"/>
      <c r="AO2" s="13"/>
      <c r="AP2" s="13"/>
      <c r="AQ2" s="13"/>
      <c r="AR2" s="2"/>
      <c r="AS2" s="13"/>
      <c r="AT2" s="13"/>
      <c r="AU2" s="13"/>
      <c r="AV2" s="13"/>
      <c r="AW2" s="2"/>
      <c r="AX2" s="13"/>
      <c r="AY2" s="13"/>
      <c r="AZ2" s="13"/>
      <c r="BA2" s="13"/>
      <c r="BB2" s="2"/>
      <c r="BC2" s="13"/>
      <c r="BD2" s="13"/>
      <c r="BE2" s="13"/>
      <c r="BF2" s="13"/>
      <c r="BG2" s="2"/>
      <c r="BH2" s="13"/>
      <c r="BI2" s="13"/>
      <c r="BJ2" s="13"/>
      <c r="BK2" s="13"/>
      <c r="BL2" s="2"/>
      <c r="BM2" s="13"/>
      <c r="BN2" s="13"/>
      <c r="BO2" s="13"/>
      <c r="BP2" s="13"/>
      <c r="BQ2" s="2"/>
      <c r="BR2" s="13"/>
      <c r="BS2" s="13"/>
      <c r="BT2" s="13"/>
      <c r="BU2" s="13"/>
      <c r="BV2" s="2"/>
      <c r="BW2" s="13"/>
      <c r="BX2" s="13"/>
      <c r="BY2" s="13"/>
      <c r="BZ2" s="13"/>
      <c r="CA2" s="2"/>
      <c r="CC2" s="14"/>
      <c r="CD2" s="14"/>
      <c r="CE2" s="13"/>
      <c r="CF2" s="13"/>
      <c r="CG2" s="13"/>
      <c r="CH2" s="13"/>
      <c r="CI2" s="13"/>
      <c r="CJ2" s="13"/>
      <c r="CK2" s="13"/>
      <c r="CL2" s="13"/>
      <c r="CM2" s="13"/>
      <c r="CN2" s="13"/>
      <c r="CO2" s="13"/>
      <c r="CP2" s="14"/>
      <c r="CQ2" s="14"/>
      <c r="CR2" s="14"/>
      <c r="CS2" s="14"/>
      <c r="CT2" s="14"/>
      <c r="CU2" s="1961"/>
      <c r="DB2" s="1961"/>
      <c r="DC2" s="1961"/>
      <c r="DD2" s="1961"/>
      <c r="DE2" s="1961"/>
      <c r="DF2" s="1961"/>
      <c r="DG2" s="1961"/>
      <c r="DH2" s="1961"/>
      <c r="DI2" s="1"/>
    </row>
    <row r="3" spans="1:113" ht="11.25" customHeight="1" x14ac:dyDescent="0.25">
      <c r="A3" s="15">
        <v>2</v>
      </c>
      <c r="B3" s="16"/>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4"/>
      <c r="AE3" s="14"/>
      <c r="AF3" s="14"/>
      <c r="AG3" s="14"/>
      <c r="AH3" s="14"/>
      <c r="AI3" s="14"/>
      <c r="AJ3" s="14"/>
      <c r="AK3" s="14"/>
      <c r="AL3" s="14"/>
      <c r="AM3" s="14"/>
      <c r="AN3" s="14"/>
      <c r="AO3" s="14"/>
      <c r="AP3" s="14"/>
      <c r="AQ3" s="14"/>
      <c r="AR3" s="14"/>
      <c r="AS3" s="14"/>
      <c r="AT3" s="14"/>
      <c r="AU3" s="14"/>
      <c r="AV3" s="14"/>
      <c r="AW3" s="14"/>
      <c r="AX3" s="14"/>
      <c r="AY3" s="14"/>
      <c r="AZ3" s="14"/>
      <c r="BA3" s="14"/>
      <c r="BB3" s="1909"/>
      <c r="BC3" s="14"/>
      <c r="BD3" s="14"/>
      <c r="BE3" s="14"/>
      <c r="BF3" s="1957"/>
      <c r="BG3" s="17"/>
      <c r="BH3" s="14"/>
      <c r="BI3" s="14"/>
      <c r="BJ3" s="14"/>
      <c r="BK3" s="14"/>
      <c r="BL3" s="17"/>
      <c r="BM3" s="14"/>
      <c r="BN3" s="14"/>
      <c r="BO3" s="14"/>
      <c r="BP3" s="14"/>
      <c r="BQ3" s="17"/>
      <c r="BR3" s="14"/>
      <c r="BS3" s="14"/>
      <c r="BT3" s="14"/>
      <c r="BU3" s="14"/>
      <c r="BV3" s="17"/>
      <c r="BW3" s="14"/>
      <c r="BX3" s="14"/>
      <c r="BY3" s="14"/>
      <c r="BZ3" s="14"/>
      <c r="CA3" s="17"/>
      <c r="CC3" s="14"/>
      <c r="CD3" s="14"/>
      <c r="CE3" s="13"/>
      <c r="CF3" s="13"/>
      <c r="CG3" s="13"/>
      <c r="CH3" s="13"/>
      <c r="CI3" s="13"/>
      <c r="CJ3" s="13"/>
      <c r="CK3" s="13"/>
      <c r="CL3" s="13"/>
      <c r="CM3" s="13"/>
      <c r="CN3" s="13"/>
      <c r="CO3" s="13"/>
      <c r="CP3" s="14"/>
      <c r="CQ3" s="14"/>
      <c r="CR3" s="14"/>
      <c r="CS3" s="14"/>
      <c r="CT3" s="14"/>
      <c r="CU3" s="1961"/>
      <c r="DB3" s="1961"/>
      <c r="DC3" s="1961"/>
      <c r="DD3" s="1961"/>
      <c r="DE3" s="1961"/>
      <c r="DF3" s="1961"/>
      <c r="DG3" s="1961"/>
      <c r="DH3" s="1961"/>
      <c r="DI3" s="18"/>
    </row>
    <row r="4" spans="1:113" x14ac:dyDescent="0.25">
      <c r="A4" s="19"/>
      <c r="B4" s="16"/>
      <c r="C4" s="13"/>
      <c r="D4" s="13"/>
      <c r="E4" s="13"/>
      <c r="F4" s="13"/>
      <c r="G4" s="13"/>
      <c r="H4" s="13"/>
      <c r="I4" s="13"/>
      <c r="J4" s="13"/>
      <c r="K4" s="13"/>
      <c r="L4" s="13"/>
      <c r="M4" s="13"/>
      <c r="N4" s="13"/>
      <c r="O4" s="13"/>
      <c r="P4" s="13"/>
      <c r="Q4" s="13"/>
      <c r="R4" s="13"/>
      <c r="S4" s="20"/>
      <c r="T4" s="20"/>
      <c r="U4" s="20"/>
      <c r="V4" s="20"/>
      <c r="W4" s="20"/>
      <c r="X4" s="20"/>
      <c r="Y4" s="20"/>
      <c r="Z4" s="20"/>
      <c r="AA4" s="20"/>
      <c r="AB4" s="20"/>
      <c r="AC4" s="20"/>
      <c r="AD4" s="14"/>
      <c r="AE4" s="14"/>
      <c r="AF4" s="14"/>
      <c r="AG4" s="14"/>
      <c r="AH4" s="14"/>
      <c r="AI4" s="14"/>
      <c r="AJ4" s="14"/>
      <c r="AK4" s="14"/>
      <c r="AL4" s="14"/>
      <c r="AM4" s="14"/>
      <c r="AN4" s="14"/>
      <c r="AO4" s="14"/>
      <c r="AP4" s="14"/>
      <c r="AQ4" s="14"/>
      <c r="AR4" s="14"/>
      <c r="AS4" s="14"/>
      <c r="AT4" s="14"/>
      <c r="AU4" s="14"/>
      <c r="AV4" s="14"/>
      <c r="AW4" s="14"/>
      <c r="AX4" s="14"/>
      <c r="AY4" s="14"/>
      <c r="AZ4" s="14"/>
      <c r="BA4" s="14"/>
      <c r="BB4" s="17"/>
      <c r="BC4" s="22"/>
      <c r="BD4" s="22"/>
      <c r="BE4" s="22"/>
      <c r="BF4" s="22"/>
      <c r="BH4" s="14"/>
      <c r="BI4" s="14"/>
      <c r="BJ4" s="14"/>
      <c r="BK4" s="14"/>
      <c r="BL4" s="17"/>
      <c r="BM4" s="14"/>
      <c r="BN4" s="14"/>
      <c r="BO4" s="14"/>
      <c r="BP4" s="14"/>
      <c r="BQ4" s="17"/>
      <c r="BR4" s="14"/>
      <c r="BS4" s="14"/>
      <c r="BT4" s="14"/>
      <c r="BU4" s="14"/>
      <c r="BV4" s="17"/>
      <c r="BW4" s="14"/>
      <c r="BX4" s="14"/>
      <c r="BY4" s="14"/>
      <c r="BZ4" s="14"/>
      <c r="CA4" s="17"/>
      <c r="CC4" s="14"/>
      <c r="CD4" s="14"/>
      <c r="CE4" s="20"/>
      <c r="CF4" s="20"/>
      <c r="CG4" s="20"/>
      <c r="CH4" s="20"/>
      <c r="CI4" s="20"/>
      <c r="CJ4" s="20"/>
      <c r="CK4" s="20"/>
      <c r="CL4" s="20"/>
      <c r="CM4" s="20"/>
      <c r="CN4" s="20"/>
      <c r="CO4" s="20"/>
      <c r="CP4" s="14"/>
      <c r="CQ4" s="14"/>
      <c r="CR4" s="14"/>
      <c r="CS4" s="14"/>
      <c r="CT4" s="14"/>
      <c r="CU4" s="1961"/>
      <c r="DB4" s="1961"/>
      <c r="DC4" s="1961"/>
      <c r="DD4" s="1961"/>
      <c r="DE4" s="1961"/>
      <c r="DF4" s="1961"/>
      <c r="DG4" s="1961"/>
      <c r="DH4" s="1961"/>
      <c r="DI4" s="18"/>
    </row>
    <row r="5" spans="1:113" x14ac:dyDescent="0.25">
      <c r="A5" s="19"/>
      <c r="B5" s="16"/>
      <c r="C5" s="13"/>
      <c r="D5" s="13"/>
      <c r="E5" s="13"/>
      <c r="F5" s="13"/>
      <c r="G5" s="13"/>
      <c r="H5" s="13"/>
      <c r="I5" s="13"/>
      <c r="J5" s="13"/>
      <c r="K5" s="13"/>
      <c r="L5" s="13"/>
      <c r="M5" s="13"/>
      <c r="N5" s="13"/>
      <c r="O5" s="13"/>
      <c r="P5" s="13"/>
      <c r="Q5" s="13"/>
      <c r="R5" s="21"/>
      <c r="S5" s="20"/>
      <c r="T5" s="20"/>
      <c r="U5" s="20"/>
      <c r="V5" s="20"/>
      <c r="W5" s="20"/>
      <c r="X5" s="20"/>
      <c r="Y5" s="20"/>
      <c r="Z5" s="20"/>
      <c r="AA5" s="20"/>
      <c r="AB5" s="20"/>
      <c r="AC5" s="20"/>
      <c r="AD5" s="14"/>
      <c r="AE5" s="14"/>
      <c r="AF5" s="14"/>
      <c r="AG5" s="14"/>
      <c r="AH5" s="14"/>
      <c r="AI5" s="22"/>
      <c r="AJ5" s="22"/>
      <c r="AK5" s="22"/>
      <c r="AL5" s="22"/>
      <c r="AM5" s="22"/>
      <c r="AN5" s="14"/>
      <c r="AO5" s="14"/>
      <c r="AP5" s="22"/>
      <c r="AQ5" s="22"/>
      <c r="AR5" s="22"/>
      <c r="AS5" s="23"/>
      <c r="AT5" s="23"/>
      <c r="AU5" s="22"/>
      <c r="AV5" s="22"/>
      <c r="AW5" s="14"/>
      <c r="AX5" s="22"/>
      <c r="AY5" s="22"/>
      <c r="AZ5" s="22"/>
      <c r="BA5" s="22"/>
      <c r="BB5" s="17"/>
      <c r="BC5" s="22"/>
      <c r="BD5" s="22"/>
      <c r="BE5" s="22"/>
      <c r="BF5" s="22"/>
      <c r="BG5" s="1952"/>
      <c r="BH5" s="22"/>
      <c r="BI5" s="22"/>
      <c r="BJ5" s="22"/>
      <c r="BK5" s="22"/>
      <c r="BL5" s="17"/>
      <c r="BM5" s="22"/>
      <c r="BN5" s="22"/>
      <c r="BO5" s="22"/>
      <c r="BP5" s="22"/>
      <c r="BQ5" s="17"/>
      <c r="BR5" s="22"/>
      <c r="BS5" s="22"/>
      <c r="BT5" s="22"/>
      <c r="BU5" s="22"/>
      <c r="BV5" s="17"/>
      <c r="BW5" s="22"/>
      <c r="BX5" s="22"/>
      <c r="BY5" s="22"/>
      <c r="BZ5" s="22"/>
      <c r="CA5" s="17"/>
      <c r="CC5" s="14"/>
      <c r="CD5" s="14"/>
      <c r="CE5" s="20"/>
      <c r="CF5" s="20"/>
      <c r="CG5" s="20"/>
      <c r="CH5" s="20"/>
      <c r="CI5" s="20"/>
      <c r="CJ5" s="20"/>
      <c r="CK5" s="20"/>
      <c r="CL5" s="20"/>
      <c r="CM5" s="20"/>
      <c r="CN5" s="20"/>
      <c r="CO5" s="20"/>
      <c r="CP5" s="14"/>
      <c r="CQ5" s="14"/>
      <c r="CR5" s="14"/>
      <c r="CS5" s="14"/>
      <c r="CT5" s="14"/>
      <c r="CU5" s="1961"/>
      <c r="DB5" s="1961"/>
      <c r="DC5" s="1961"/>
      <c r="DD5" s="1961"/>
      <c r="DE5" s="1961"/>
      <c r="DF5" s="1961"/>
      <c r="DG5" s="1961"/>
      <c r="DH5" s="1961"/>
      <c r="DI5" s="18"/>
    </row>
    <row r="6" spans="1:113" x14ac:dyDescent="0.25">
      <c r="A6" s="19"/>
      <c r="B6" s="16"/>
      <c r="C6" s="13"/>
      <c r="D6" s="13"/>
      <c r="E6" s="13"/>
      <c r="F6" s="13"/>
      <c r="G6" s="13"/>
      <c r="H6" s="24"/>
      <c r="I6" s="13"/>
      <c r="J6" s="13"/>
      <c r="K6" s="13"/>
      <c r="L6" s="13"/>
      <c r="M6" s="13"/>
      <c r="N6" s="13"/>
      <c r="O6" s="13"/>
      <c r="P6" s="13"/>
      <c r="Q6" s="13"/>
      <c r="R6" s="13"/>
      <c r="S6" s="20"/>
      <c r="T6" s="20"/>
      <c r="U6" s="20"/>
      <c r="V6" s="20"/>
      <c r="W6" s="20"/>
      <c r="X6" s="20"/>
      <c r="Y6" s="20"/>
      <c r="Z6" s="20"/>
      <c r="AA6" s="20"/>
      <c r="AB6" s="20"/>
      <c r="AC6" s="25"/>
      <c r="AD6" s="14"/>
      <c r="AE6" s="14"/>
      <c r="AF6" s="14"/>
      <c r="AG6" s="14"/>
      <c r="AH6" s="14"/>
      <c r="AI6" s="14"/>
      <c r="AJ6" s="14"/>
      <c r="AK6" s="14"/>
      <c r="AL6" s="14"/>
      <c r="AM6" s="26"/>
      <c r="AN6" s="14"/>
      <c r="AO6" s="14"/>
      <c r="AP6" s="14"/>
      <c r="AQ6" s="14"/>
      <c r="AR6" s="27"/>
      <c r="AS6" s="14"/>
      <c r="AT6" s="14"/>
      <c r="AU6" s="14"/>
      <c r="AV6" s="14"/>
      <c r="AW6" s="27"/>
      <c r="AX6" s="14"/>
      <c r="AY6" s="14"/>
      <c r="AZ6" s="14"/>
      <c r="BA6" s="14"/>
      <c r="BB6" s="28"/>
      <c r="BC6" s="1868"/>
      <c r="BD6" s="1868"/>
      <c r="BE6" s="14"/>
      <c r="BF6" s="14"/>
      <c r="BG6" s="28"/>
      <c r="BH6" s="14"/>
      <c r="BI6" s="14"/>
      <c r="BJ6" s="14"/>
      <c r="BK6" s="14"/>
      <c r="BL6" s="28"/>
      <c r="BM6" s="14"/>
      <c r="BN6" s="14"/>
      <c r="BO6" s="14"/>
      <c r="BP6" s="14"/>
      <c r="BQ6" s="28"/>
      <c r="BR6" s="14"/>
      <c r="BS6" s="14"/>
      <c r="BT6" s="14"/>
      <c r="BU6" s="14"/>
      <c r="BV6" s="28"/>
      <c r="BW6" s="14"/>
      <c r="BX6" s="14"/>
      <c r="BY6" s="14"/>
      <c r="BZ6" s="14"/>
      <c r="CA6" s="28"/>
      <c r="CC6" s="14"/>
      <c r="CD6" s="14"/>
      <c r="CE6" s="20"/>
      <c r="CF6" s="20"/>
      <c r="CG6" s="20"/>
      <c r="CH6" s="20"/>
      <c r="CI6" s="20"/>
      <c r="CJ6" s="20"/>
      <c r="CK6" s="20"/>
      <c r="CL6" s="20"/>
      <c r="CM6" s="20"/>
      <c r="CN6" s="20"/>
      <c r="CO6" s="20"/>
      <c r="CP6" s="14"/>
      <c r="CQ6" s="14"/>
      <c r="CR6" s="14"/>
      <c r="CS6" s="14"/>
      <c r="CT6" s="14"/>
      <c r="CU6" s="1961"/>
      <c r="DB6" s="1961"/>
      <c r="DC6" s="1961"/>
      <c r="DD6" s="1961"/>
      <c r="DE6" s="1961"/>
      <c r="DF6" s="1961"/>
      <c r="DG6" s="1961"/>
      <c r="DH6" s="1961"/>
      <c r="DI6" s="1961"/>
    </row>
    <row r="7" spans="1:113" x14ac:dyDescent="0.25">
      <c r="A7" s="29"/>
      <c r="B7" s="30"/>
      <c r="C7" s="29"/>
      <c r="D7" s="31"/>
      <c r="E7" s="29"/>
      <c r="F7" s="29"/>
      <c r="G7" s="29"/>
      <c r="H7" s="29"/>
      <c r="I7" s="29"/>
      <c r="J7" s="29"/>
      <c r="K7" s="29"/>
      <c r="L7" s="29"/>
      <c r="M7" s="29"/>
      <c r="N7" s="32"/>
      <c r="O7" s="29"/>
      <c r="P7" s="29"/>
      <c r="Q7" s="29"/>
      <c r="R7" s="29"/>
      <c r="S7" s="29"/>
      <c r="T7" s="29"/>
      <c r="U7" s="29"/>
      <c r="V7" s="29"/>
      <c r="W7" s="29"/>
      <c r="X7" s="33"/>
      <c r="Y7" s="33"/>
      <c r="Z7" s="33"/>
      <c r="AA7" s="33"/>
      <c r="AB7" s="33"/>
      <c r="AC7" s="29"/>
      <c r="AD7" s="14"/>
      <c r="AE7" s="14"/>
      <c r="AF7" s="14"/>
      <c r="AG7" s="14"/>
      <c r="AH7" s="14"/>
      <c r="AI7" s="14"/>
      <c r="AJ7" s="14"/>
      <c r="AK7" s="14"/>
      <c r="AL7" s="14"/>
      <c r="AM7" s="34"/>
      <c r="AN7" s="35"/>
      <c r="AO7" s="14"/>
      <c r="AP7" s="14"/>
      <c r="AQ7" s="14"/>
      <c r="AR7" s="34"/>
      <c r="AS7" s="35"/>
      <c r="AT7" s="14"/>
      <c r="AU7" s="14"/>
      <c r="AV7" s="14"/>
      <c r="AW7" s="36"/>
      <c r="AX7" s="14"/>
      <c r="AY7" s="14"/>
      <c r="AZ7" s="14"/>
      <c r="BA7" s="14"/>
      <c r="BB7" s="37"/>
      <c r="BC7" s="14"/>
      <c r="BD7" s="14"/>
      <c r="BE7" s="14"/>
      <c r="BF7" s="14"/>
      <c r="BG7" s="37"/>
      <c r="BH7" s="14"/>
      <c r="BI7" s="14"/>
      <c r="BJ7" s="14"/>
      <c r="BK7" s="14"/>
      <c r="BL7" s="37"/>
      <c r="BM7" s="14"/>
      <c r="BN7" s="14"/>
      <c r="BO7" s="14"/>
      <c r="BP7" s="14"/>
      <c r="BQ7" s="37"/>
      <c r="BR7" s="14"/>
      <c r="BS7" s="14"/>
      <c r="BT7" s="14"/>
      <c r="BU7" s="14"/>
      <c r="BV7" s="37"/>
      <c r="BW7" s="14"/>
      <c r="BX7" s="14"/>
      <c r="BY7" s="14"/>
      <c r="BZ7" s="14"/>
      <c r="CA7" s="37"/>
      <c r="CC7" s="29"/>
      <c r="CD7" s="14"/>
      <c r="CE7" s="33"/>
      <c r="CF7" s="33"/>
      <c r="CG7" s="33"/>
      <c r="CH7" s="33"/>
      <c r="CI7" s="33"/>
      <c r="CJ7" s="33"/>
      <c r="CK7" s="33"/>
      <c r="CL7" s="33"/>
      <c r="CM7" s="33"/>
      <c r="CN7" s="33"/>
      <c r="CO7" s="33"/>
      <c r="CP7" s="14"/>
      <c r="CQ7" s="14"/>
      <c r="CR7" s="14"/>
      <c r="CS7" s="14"/>
      <c r="CT7" s="14"/>
      <c r="CU7" s="1961"/>
      <c r="DB7" s="1961"/>
      <c r="DC7" s="1961"/>
      <c r="DD7" s="1961"/>
      <c r="DE7" s="1961"/>
      <c r="DF7" s="1961"/>
      <c r="DG7" s="1961"/>
      <c r="DH7" s="1961"/>
      <c r="DI7" s="1961"/>
    </row>
    <row r="8" spans="1:113" x14ac:dyDescent="0.25">
      <c r="A8" s="38" t="s">
        <v>45</v>
      </c>
      <c r="B8" s="39"/>
      <c r="C8" s="40"/>
      <c r="D8" s="41"/>
      <c r="E8" s="41"/>
      <c r="F8" s="41"/>
      <c r="G8" s="41"/>
      <c r="H8" s="41"/>
      <c r="I8" s="41"/>
      <c r="J8" s="41"/>
      <c r="K8" s="41"/>
      <c r="L8" s="41"/>
      <c r="M8" s="41"/>
      <c r="N8" s="41"/>
      <c r="O8" s="41"/>
      <c r="P8" s="41"/>
      <c r="Q8" s="41"/>
      <c r="R8" s="41"/>
      <c r="S8" s="41"/>
      <c r="T8" s="41"/>
      <c r="U8" s="41"/>
      <c r="V8" s="41"/>
      <c r="W8" s="41"/>
      <c r="X8" s="41"/>
      <c r="Y8" s="41"/>
      <c r="Z8" s="41"/>
      <c r="AA8" s="41"/>
      <c r="AB8" s="41"/>
      <c r="AC8" s="42"/>
      <c r="AD8" s="41"/>
      <c r="AE8" s="41"/>
      <c r="AF8" s="41"/>
      <c r="AG8" s="41"/>
      <c r="AH8" s="42"/>
      <c r="AI8" s="43"/>
      <c r="AJ8" s="43"/>
      <c r="AK8" s="43"/>
      <c r="AL8" s="43"/>
      <c r="AM8" s="42"/>
      <c r="AN8" s="44"/>
      <c r="AO8" s="45"/>
      <c r="AP8" s="45"/>
      <c r="AQ8" s="45"/>
      <c r="AR8" s="42"/>
      <c r="AS8" s="44"/>
      <c r="AT8" s="45"/>
      <c r="AU8" s="45"/>
      <c r="AV8" s="45"/>
      <c r="AW8" s="42"/>
      <c r="AX8" s="45"/>
      <c r="AY8" s="45"/>
      <c r="AZ8" s="45"/>
      <c r="BA8" s="45"/>
      <c r="BB8" s="42"/>
      <c r="BC8" s="45"/>
      <c r="BD8" s="45"/>
      <c r="BE8" s="45"/>
      <c r="BF8" s="45"/>
      <c r="BG8" s="42"/>
      <c r="BH8" s="45"/>
      <c r="BI8" s="45"/>
      <c r="BJ8" s="45"/>
      <c r="BK8" s="45"/>
      <c r="BL8" s="42"/>
      <c r="BM8" s="45"/>
      <c r="BN8" s="45"/>
      <c r="BO8" s="45"/>
      <c r="BP8" s="45"/>
      <c r="BQ8" s="42"/>
      <c r="BR8" s="45"/>
      <c r="BS8" s="45"/>
      <c r="BT8" s="45"/>
      <c r="BU8" s="45"/>
      <c r="BV8" s="42"/>
      <c r="BW8" s="45"/>
      <c r="BX8" s="45"/>
      <c r="BY8" s="45"/>
      <c r="BZ8" s="45"/>
      <c r="CA8" s="42"/>
      <c r="CC8" s="46"/>
      <c r="CD8" s="38" t="s">
        <v>45</v>
      </c>
      <c r="CE8" s="41"/>
      <c r="CF8" s="41"/>
      <c r="CG8" s="41"/>
      <c r="CH8" s="41"/>
      <c r="CI8" s="41"/>
      <c r="CJ8" s="41"/>
      <c r="CK8" s="41"/>
      <c r="CL8" s="41"/>
      <c r="CM8" s="41"/>
      <c r="CN8" s="47"/>
      <c r="CO8" s="47"/>
      <c r="CP8" s="43"/>
      <c r="CQ8" s="43"/>
      <c r="CR8" s="43"/>
      <c r="CS8" s="43"/>
      <c r="CT8" s="43"/>
      <c r="CU8" s="1961"/>
      <c r="DB8" s="1961"/>
      <c r="DC8" s="1961"/>
      <c r="DD8" s="1961"/>
      <c r="DE8" s="1961"/>
      <c r="DF8" s="1961"/>
      <c r="DG8" s="1961"/>
      <c r="DH8" s="1961"/>
      <c r="DI8" s="45"/>
    </row>
    <row r="9" spans="1:113" x14ac:dyDescent="0.25">
      <c r="A9" s="41" t="s">
        <v>46</v>
      </c>
      <c r="B9" s="4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43"/>
      <c r="AI9" s="43"/>
      <c r="AJ9" s="43"/>
      <c r="AK9" s="43"/>
      <c r="AL9" s="43"/>
      <c r="AM9" s="43"/>
      <c r="AN9" s="43"/>
      <c r="AO9" s="43"/>
      <c r="AP9" s="43"/>
      <c r="AQ9" s="43"/>
      <c r="AR9" s="49"/>
      <c r="AS9" s="43"/>
      <c r="AT9" s="43"/>
      <c r="AU9" s="43"/>
      <c r="AV9" s="43"/>
      <c r="AW9" s="49"/>
      <c r="AX9" s="43"/>
      <c r="AY9" s="43"/>
      <c r="AZ9" s="43"/>
      <c r="BA9" s="43"/>
      <c r="BB9" s="49"/>
      <c r="BC9" s="43"/>
      <c r="BD9" s="43"/>
      <c r="BE9" s="43"/>
      <c r="BF9" s="43"/>
      <c r="BG9" s="49"/>
      <c r="BH9" s="43"/>
      <c r="BI9" s="43"/>
      <c r="BJ9" s="43"/>
      <c r="BK9" s="43"/>
      <c r="BL9" s="49"/>
      <c r="BM9" s="43"/>
      <c r="BN9" s="43"/>
      <c r="BO9" s="43"/>
      <c r="BP9" s="43"/>
      <c r="BQ9" s="49"/>
      <c r="BR9" s="43"/>
      <c r="BS9" s="43"/>
      <c r="BT9" s="43"/>
      <c r="BU9" s="43"/>
      <c r="BV9" s="49"/>
      <c r="BW9" s="43"/>
      <c r="BX9" s="43"/>
      <c r="BY9" s="43"/>
      <c r="BZ9" s="43"/>
      <c r="CA9" s="49"/>
      <c r="CC9" s="50"/>
      <c r="CD9" s="41" t="s">
        <v>47</v>
      </c>
      <c r="CE9" s="38"/>
      <c r="CF9" s="38"/>
      <c r="CG9" s="38"/>
      <c r="CH9" s="38"/>
      <c r="CI9" s="38"/>
      <c r="CJ9" s="38"/>
      <c r="CK9" s="38"/>
      <c r="CL9" s="38"/>
      <c r="CM9" s="38"/>
      <c r="CN9" s="38"/>
      <c r="CO9" s="38"/>
      <c r="CP9" s="43"/>
      <c r="CQ9" s="43"/>
      <c r="CR9" s="43"/>
      <c r="CS9" s="43"/>
      <c r="CT9" s="43"/>
      <c r="CU9" s="1961"/>
      <c r="DB9" s="1961"/>
      <c r="DC9" s="1961"/>
      <c r="DD9" s="1961"/>
      <c r="DE9" s="1961"/>
      <c r="DF9" s="1961"/>
      <c r="DG9" s="1961"/>
      <c r="DH9" s="1961"/>
      <c r="DI9" s="49"/>
    </row>
    <row r="10" spans="1:113" x14ac:dyDescent="0.25">
      <c r="A10" s="51" t="s">
        <v>48</v>
      </c>
      <c r="B10" s="52"/>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3"/>
      <c r="AS10" s="51"/>
      <c r="AT10" s="51"/>
      <c r="AU10" s="51"/>
      <c r="AV10" s="51"/>
      <c r="AW10" s="53"/>
      <c r="AX10" s="51"/>
      <c r="AY10" s="51"/>
      <c r="AZ10" s="51"/>
      <c r="BA10" s="51"/>
      <c r="BB10" s="53"/>
      <c r="BC10" s="51"/>
      <c r="BD10" s="51"/>
      <c r="BE10" s="51"/>
      <c r="BF10" s="51"/>
      <c r="BG10" s="53"/>
      <c r="BH10" s="51"/>
      <c r="BI10" s="51"/>
      <c r="BJ10" s="51"/>
      <c r="BK10" s="51"/>
      <c r="BL10" s="53"/>
      <c r="BM10" s="51"/>
      <c r="BN10" s="51"/>
      <c r="BO10" s="51"/>
      <c r="BP10" s="51"/>
      <c r="BQ10" s="53"/>
      <c r="BR10" s="51"/>
      <c r="BS10" s="51"/>
      <c r="BT10" s="51"/>
      <c r="BU10" s="51"/>
      <c r="BV10" s="53"/>
      <c r="BW10" s="51"/>
      <c r="BX10" s="51"/>
      <c r="BY10" s="51"/>
      <c r="BZ10" s="51"/>
      <c r="CA10" s="53"/>
      <c r="CB10" s="55" t="s">
        <v>637</v>
      </c>
      <c r="CC10" s="56"/>
      <c r="CD10" s="51" t="s">
        <v>48</v>
      </c>
      <c r="CE10" s="51"/>
      <c r="CF10" s="51"/>
      <c r="CG10" s="51"/>
      <c r="CH10" s="51"/>
      <c r="CI10" s="51"/>
      <c r="CJ10" s="51"/>
      <c r="CK10" s="51"/>
      <c r="CL10" s="51"/>
      <c r="CM10" s="51"/>
      <c r="CN10" s="51"/>
      <c r="CO10" s="51"/>
      <c r="CP10" s="43"/>
      <c r="CQ10" s="43"/>
      <c r="CR10" s="43"/>
      <c r="CS10" s="43"/>
      <c r="CT10" s="43"/>
      <c r="CU10" s="1961"/>
      <c r="DB10" s="1961"/>
      <c r="DC10" s="1961"/>
      <c r="DD10" s="1961"/>
      <c r="DE10" s="1961"/>
      <c r="DF10" s="1961"/>
      <c r="DG10" s="1961"/>
      <c r="DH10" s="1961"/>
      <c r="DI10" s="54"/>
    </row>
    <row r="11" spans="1:113" x14ac:dyDescent="0.25">
      <c r="A11" s="57" t="s">
        <v>49</v>
      </c>
      <c r="B11" s="58"/>
      <c r="C11" s="59">
        <f t="shared" ref="C11:AC11" si="0">C1</f>
        <v>2005</v>
      </c>
      <c r="D11" s="59">
        <f t="shared" si="0"/>
        <v>2006</v>
      </c>
      <c r="E11" s="60" t="str">
        <f t="shared" si="0"/>
        <v>1Q07</v>
      </c>
      <c r="F11" s="60" t="str">
        <f t="shared" si="0"/>
        <v>2Q07</v>
      </c>
      <c r="G11" s="60" t="str">
        <f t="shared" si="0"/>
        <v>3Q07</v>
      </c>
      <c r="H11" s="60" t="str">
        <f t="shared" si="0"/>
        <v>4Q07</v>
      </c>
      <c r="I11" s="59">
        <f t="shared" si="0"/>
        <v>2007</v>
      </c>
      <c r="J11" s="60" t="str">
        <f t="shared" si="0"/>
        <v>1Q08</v>
      </c>
      <c r="K11" s="60" t="str">
        <f t="shared" si="0"/>
        <v>2Q08</v>
      </c>
      <c r="L11" s="60" t="str">
        <f t="shared" si="0"/>
        <v>3Q08</v>
      </c>
      <c r="M11" s="60" t="str">
        <f t="shared" si="0"/>
        <v>4Q08</v>
      </c>
      <c r="N11" s="59">
        <f t="shared" si="0"/>
        <v>2008</v>
      </c>
      <c r="O11" s="60" t="str">
        <f t="shared" si="0"/>
        <v>1Q09</v>
      </c>
      <c r="P11" s="60" t="str">
        <f t="shared" si="0"/>
        <v>2Q09</v>
      </c>
      <c r="Q11" s="60" t="str">
        <f t="shared" si="0"/>
        <v>3Q09</v>
      </c>
      <c r="R11" s="60" t="str">
        <f t="shared" si="0"/>
        <v>4Q09</v>
      </c>
      <c r="S11" s="61">
        <f t="shared" si="0"/>
        <v>2009</v>
      </c>
      <c r="T11" s="60" t="str">
        <f t="shared" si="0"/>
        <v>1Q10</v>
      </c>
      <c r="U11" s="60" t="str">
        <f t="shared" si="0"/>
        <v>2Q10</v>
      </c>
      <c r="V11" s="60" t="str">
        <f t="shared" si="0"/>
        <v>3Q10</v>
      </c>
      <c r="W11" s="60" t="str">
        <f t="shared" si="0"/>
        <v>4Q10</v>
      </c>
      <c r="X11" s="61">
        <f t="shared" si="0"/>
        <v>2010</v>
      </c>
      <c r="Y11" s="60" t="str">
        <f t="shared" si="0"/>
        <v>1Q11</v>
      </c>
      <c r="Z11" s="60" t="str">
        <f t="shared" si="0"/>
        <v>2Q11</v>
      </c>
      <c r="AA11" s="60" t="str">
        <f t="shared" si="0"/>
        <v>3Q11</v>
      </c>
      <c r="AB11" s="60" t="str">
        <f t="shared" si="0"/>
        <v>4Q11</v>
      </c>
      <c r="AC11" s="59">
        <f t="shared" si="0"/>
        <v>2011</v>
      </c>
      <c r="AD11" s="60" t="str">
        <f>AD1</f>
        <v>1Q12</v>
      </c>
      <c r="AE11" s="60" t="str">
        <f>AE1</f>
        <v>2Q12</v>
      </c>
      <c r="AF11" s="60" t="str">
        <f>AF1</f>
        <v>3Q12</v>
      </c>
      <c r="AG11" s="60" t="str">
        <f>AG1</f>
        <v>4Q12</v>
      </c>
      <c r="AH11" s="59">
        <f>AH1</f>
        <v>2012</v>
      </c>
      <c r="AI11" s="60" t="str">
        <f>AI1&amp;"R"</f>
        <v>1Q13R</v>
      </c>
      <c r="AJ11" s="60" t="str">
        <f>AJ1&amp;"R"</f>
        <v>2Q13R</v>
      </c>
      <c r="AK11" s="60" t="str">
        <f>AK1&amp;"R"</f>
        <v>3Q13R</v>
      </c>
      <c r="AL11" s="60" t="str">
        <f t="shared" ref="AL11:AW11" si="1">AL1</f>
        <v>4Q13</v>
      </c>
      <c r="AM11" s="59">
        <f t="shared" si="1"/>
        <v>2013</v>
      </c>
      <c r="AN11" s="60" t="str">
        <f t="shared" si="1"/>
        <v>1Q14</v>
      </c>
      <c r="AO11" s="60" t="str">
        <f t="shared" si="1"/>
        <v>2Q14</v>
      </c>
      <c r="AP11" s="60" t="str">
        <f t="shared" si="1"/>
        <v>3Q14</v>
      </c>
      <c r="AQ11" s="62" t="str">
        <f t="shared" si="1"/>
        <v>4Q14</v>
      </c>
      <c r="AR11" s="8">
        <f t="shared" si="1"/>
        <v>2014</v>
      </c>
      <c r="AS11" s="60" t="str">
        <f t="shared" si="1"/>
        <v>1Q15</v>
      </c>
      <c r="AT11" s="60" t="str">
        <f t="shared" si="1"/>
        <v>2Q15</v>
      </c>
      <c r="AU11" s="60" t="str">
        <f t="shared" si="1"/>
        <v>3Q15</v>
      </c>
      <c r="AV11" s="62" t="str">
        <f t="shared" si="1"/>
        <v>4Q15</v>
      </c>
      <c r="AW11" s="63">
        <f t="shared" si="1"/>
        <v>2015</v>
      </c>
      <c r="AX11" s="60" t="str">
        <f t="shared" ref="AX11:CA11" si="2">AX$1</f>
        <v>1Q16</v>
      </c>
      <c r="AY11" s="60" t="str">
        <f t="shared" si="2"/>
        <v>2Q16</v>
      </c>
      <c r="AZ11" s="60" t="str">
        <f t="shared" si="2"/>
        <v>3Q16</v>
      </c>
      <c r="BA11" s="62" t="str">
        <f t="shared" si="2"/>
        <v>4Q16</v>
      </c>
      <c r="BB11" s="63">
        <f t="shared" si="2"/>
        <v>2016</v>
      </c>
      <c r="BC11" s="60" t="str">
        <f t="shared" si="2"/>
        <v>1Q17</v>
      </c>
      <c r="BD11" s="60" t="str">
        <f t="shared" si="2"/>
        <v>2Q17</v>
      </c>
      <c r="BE11" s="60" t="str">
        <f t="shared" si="2"/>
        <v>3Q17</v>
      </c>
      <c r="BF11" s="62" t="str">
        <f t="shared" si="2"/>
        <v>4Q17</v>
      </c>
      <c r="BG11" s="63">
        <f t="shared" si="2"/>
        <v>2017</v>
      </c>
      <c r="BH11" s="60" t="str">
        <f t="shared" si="2"/>
        <v>1Q18E</v>
      </c>
      <c r="BI11" s="60" t="str">
        <f t="shared" si="2"/>
        <v>2Q18E</v>
      </c>
      <c r="BJ11" s="60" t="str">
        <f t="shared" si="2"/>
        <v>3Q18E</v>
      </c>
      <c r="BK11" s="62" t="str">
        <f t="shared" si="2"/>
        <v>4Q18E</v>
      </c>
      <c r="BL11" s="63" t="str">
        <f>BL$1</f>
        <v>2018E</v>
      </c>
      <c r="BM11" s="60" t="str">
        <f t="shared" si="2"/>
        <v>1Q19E</v>
      </c>
      <c r="BN11" s="60" t="str">
        <f t="shared" si="2"/>
        <v>2Q19E</v>
      </c>
      <c r="BO11" s="60" t="str">
        <f t="shared" si="2"/>
        <v>3Q19E</v>
      </c>
      <c r="BP11" s="62" t="str">
        <f t="shared" si="2"/>
        <v>4Q19E</v>
      </c>
      <c r="BQ11" s="63" t="str">
        <f t="shared" si="2"/>
        <v>2019E</v>
      </c>
      <c r="BR11" s="60" t="str">
        <f t="shared" si="2"/>
        <v>1Q20E</v>
      </c>
      <c r="BS11" s="60" t="str">
        <f t="shared" si="2"/>
        <v>2Q20E</v>
      </c>
      <c r="BT11" s="60" t="str">
        <f t="shared" si="2"/>
        <v>3Q20E</v>
      </c>
      <c r="BU11" s="62" t="str">
        <f t="shared" si="2"/>
        <v>4Q20E</v>
      </c>
      <c r="BV11" s="63" t="str">
        <f t="shared" si="2"/>
        <v>2020E</v>
      </c>
      <c r="BW11" s="60" t="str">
        <f t="shared" si="2"/>
        <v>1Q21E</v>
      </c>
      <c r="BX11" s="60" t="str">
        <f t="shared" si="2"/>
        <v>2Q21E</v>
      </c>
      <c r="BY11" s="60" t="str">
        <f t="shared" si="2"/>
        <v>3Q21E</v>
      </c>
      <c r="BZ11" s="62" t="str">
        <f t="shared" si="2"/>
        <v>4Q21E</v>
      </c>
      <c r="CA11" s="63" t="str">
        <f t="shared" si="2"/>
        <v>2021E</v>
      </c>
      <c r="CB11" s="64" t="s">
        <v>627</v>
      </c>
      <c r="CC11" s="65"/>
      <c r="CD11" s="66" t="str">
        <f t="shared" ref="CD11:CD20" si="3">A11</f>
        <v>Fiscal Year Ending Dec. 31</v>
      </c>
      <c r="CE11" s="60">
        <f>D11</f>
        <v>2006</v>
      </c>
      <c r="CF11" s="60">
        <f t="shared" ref="CF11:CF20" si="4">I11</f>
        <v>2007</v>
      </c>
      <c r="CG11" s="60">
        <f t="shared" ref="CG11:CG20" si="5">N11</f>
        <v>2008</v>
      </c>
      <c r="CH11" s="60">
        <f t="shared" ref="CH11:CH20" si="6">S11</f>
        <v>2009</v>
      </c>
      <c r="CI11" s="60">
        <f t="shared" ref="CI11:CI20" si="7">X11</f>
        <v>2010</v>
      </c>
      <c r="CJ11" s="60">
        <f t="shared" ref="CJ11:CJ20" si="8">AC11</f>
        <v>2011</v>
      </c>
      <c r="CK11" s="60">
        <f t="shared" ref="CK11:CK20" si="9">AH11</f>
        <v>2012</v>
      </c>
      <c r="CL11" s="60">
        <f t="shared" ref="CL11:CL20" si="10">AM11</f>
        <v>2013</v>
      </c>
      <c r="CM11" s="60">
        <f t="shared" ref="CM11:CM20" si="11">AR11</f>
        <v>2014</v>
      </c>
      <c r="CN11" s="60">
        <f t="shared" ref="CN11:CN20" si="12">AW11</f>
        <v>2015</v>
      </c>
      <c r="CO11" s="60">
        <f t="shared" ref="CO11:CO20" si="13">BB11</f>
        <v>2016</v>
      </c>
      <c r="CP11" s="60">
        <f t="shared" ref="CP11:CP20" si="14">BG11</f>
        <v>2017</v>
      </c>
      <c r="CQ11" s="60" t="str">
        <f t="shared" ref="CQ11:CQ20" si="15">BL11</f>
        <v>2018E</v>
      </c>
      <c r="CR11" s="60" t="str">
        <f t="shared" ref="CR11:CR20" si="16">BQ11</f>
        <v>2019E</v>
      </c>
      <c r="CS11" s="60" t="str">
        <f t="shared" ref="CS11:CS20" si="17">BV11</f>
        <v>2020E</v>
      </c>
      <c r="CT11" s="62" t="str">
        <f t="shared" ref="CT11:CT20" si="18">CA11</f>
        <v>2021E</v>
      </c>
      <c r="CU11" s="1961"/>
      <c r="DB11" s="1961"/>
      <c r="DC11" s="1961"/>
      <c r="DD11" s="1961"/>
      <c r="DE11" s="1961"/>
      <c r="DF11" s="1961"/>
      <c r="DG11" s="1961"/>
      <c r="DH11" s="1961"/>
      <c r="DI11" s="1961"/>
    </row>
    <row r="12" spans="1:113" x14ac:dyDescent="0.25">
      <c r="A12" s="67" t="s">
        <v>50</v>
      </c>
      <c r="B12" s="68">
        <v>12</v>
      </c>
      <c r="C12" s="69">
        <f t="shared" ref="C12:H12" si="19">C245+C313</f>
        <v>645.66000000000008</v>
      </c>
      <c r="D12" s="69">
        <f t="shared" si="19"/>
        <v>730.13300000000004</v>
      </c>
      <c r="E12" s="70">
        <f t="shared" si="19"/>
        <v>198.834</v>
      </c>
      <c r="F12" s="70">
        <f t="shared" si="19"/>
        <v>201.154</v>
      </c>
      <c r="G12" s="70">
        <f t="shared" si="19"/>
        <v>199.72300000000001</v>
      </c>
      <c r="H12" s="70">
        <f t="shared" si="19"/>
        <v>202.48399999999998</v>
      </c>
      <c r="I12" s="71">
        <f>SUM(E12:H12)</f>
        <v>802.19499999999994</v>
      </c>
      <c r="J12" s="70">
        <f>J245+J313</f>
        <v>215.61799999999999</v>
      </c>
      <c r="K12" s="70">
        <f>K245+K313</f>
        <v>222.072</v>
      </c>
      <c r="L12" s="70">
        <f>L245+L313</f>
        <v>224.39099999999999</v>
      </c>
      <c r="M12" s="70">
        <f>M245+M313</f>
        <v>231.46899999999999</v>
      </c>
      <c r="N12" s="71">
        <f>SUM(J12:M12)</f>
        <v>893.55</v>
      </c>
      <c r="O12" s="72">
        <f>O245+O313</f>
        <v>245.751</v>
      </c>
      <c r="P12" s="70">
        <f>P245+P313</f>
        <v>257.916</v>
      </c>
      <c r="Q12" s="70">
        <f>Q245+Q313</f>
        <v>258.31100000000004</v>
      </c>
      <c r="R12" s="70">
        <f>R245+R313</f>
        <v>265.12599999999998</v>
      </c>
      <c r="S12" s="73">
        <f>SUM(O12:R12)</f>
        <v>1027.104</v>
      </c>
      <c r="T12" s="72">
        <f>T245+T313</f>
        <v>276.154</v>
      </c>
      <c r="U12" s="70">
        <f>U245+U313</f>
        <v>281.67700000000002</v>
      </c>
      <c r="V12" s="70">
        <f>V245+V313</f>
        <v>287.35400000000004</v>
      </c>
      <c r="W12" s="70">
        <f>W245+W313</f>
        <v>293.15800000000002</v>
      </c>
      <c r="X12" s="73">
        <f>SUM(T12:W12)</f>
        <v>1138.3430000000001</v>
      </c>
      <c r="Y12" s="70">
        <f>Y245+Y313</f>
        <v>312.86900000000003</v>
      </c>
      <c r="Z12" s="70">
        <f>Z245+Z313</f>
        <v>327.28000000000003</v>
      </c>
      <c r="AA12" s="70">
        <f>AA245+AA313</f>
        <v>340.09800000000001</v>
      </c>
      <c r="AB12" s="70">
        <f>AB245+AB313</f>
        <v>351.59299999999996</v>
      </c>
      <c r="AC12" s="71">
        <f>SUM(Y12:AB12)</f>
        <v>1331.8400000000001</v>
      </c>
      <c r="AD12" s="70">
        <f>AD245+AD313</f>
        <v>346.50099999999998</v>
      </c>
      <c r="AE12" s="70">
        <f>AE245+AE313</f>
        <v>373.226</v>
      </c>
      <c r="AF12" s="70">
        <f>AF245+AF313</f>
        <v>398.863</v>
      </c>
      <c r="AG12" s="70">
        <f>AG245+AG313</f>
        <v>415.73</v>
      </c>
      <c r="AH12" s="71">
        <f>SUM(AD12:AG12)</f>
        <v>1534.32</v>
      </c>
      <c r="AI12" s="70">
        <f>AI245+AI313</f>
        <v>376.697</v>
      </c>
      <c r="AJ12" s="70">
        <f>AJ245+AJ313</f>
        <v>390.36599999999999</v>
      </c>
      <c r="AK12" s="74">
        <f>AK245+AK313</f>
        <v>411.92699999999996</v>
      </c>
      <c r="AL12" s="70">
        <f>AL245+AL313</f>
        <v>416.72300000000001</v>
      </c>
      <c r="AM12" s="71">
        <f>SUM(AI12:AL12)</f>
        <v>1595.713</v>
      </c>
      <c r="AN12" s="75">
        <f>AN245+AN313</f>
        <v>409.64299999999997</v>
      </c>
      <c r="AO12" s="75">
        <f>AO245+AO313</f>
        <v>423.55399999999997</v>
      </c>
      <c r="AP12" s="75">
        <f>AP245+AP313</f>
        <v>448.66500000000002</v>
      </c>
      <c r="AQ12" s="76">
        <f>AQ245+AQ313</f>
        <v>464.86399999999998</v>
      </c>
      <c r="AR12" s="71">
        <f>SUM(AN12:AQ12)</f>
        <v>1746.7259999999999</v>
      </c>
      <c r="AS12" s="75">
        <f>AS245+AS313</f>
        <v>459.39699999999999</v>
      </c>
      <c r="AT12" s="75">
        <f>AT245+AT313</f>
        <v>497.65</v>
      </c>
      <c r="AU12" s="75">
        <f t="shared" ref="AU12:BG12" si="20">AU245+AU313</f>
        <v>550.40099999999995</v>
      </c>
      <c r="AV12" s="75">
        <f t="shared" si="20"/>
        <v>560.60000000000014</v>
      </c>
      <c r="AW12" s="71">
        <f>SUM(AS12:AV12)</f>
        <v>2068.0479999999998</v>
      </c>
      <c r="AX12" s="75">
        <f>AX245+AX313</f>
        <v>492.70100000000002</v>
      </c>
      <c r="AY12" s="75">
        <f t="shared" si="20"/>
        <v>498.29599999999994</v>
      </c>
      <c r="AZ12" s="75">
        <f t="shared" si="20"/>
        <v>498.08100000000002</v>
      </c>
      <c r="BA12" s="75">
        <f t="shared" si="20"/>
        <v>506.1</v>
      </c>
      <c r="BB12" s="77">
        <f>BB245+BB313</f>
        <v>1995.1779999999999</v>
      </c>
      <c r="BC12" s="75">
        <f t="shared" si="20"/>
        <v>502.59999999999997</v>
      </c>
      <c r="BD12" s="75">
        <f t="shared" si="20"/>
        <v>523.20000000000005</v>
      </c>
      <c r="BE12" s="75">
        <f t="shared" si="20"/>
        <v>549.09999999999991</v>
      </c>
      <c r="BF12" s="75">
        <f t="shared" si="20"/>
        <v>570.29999999999995</v>
      </c>
      <c r="BG12" s="77">
        <f t="shared" si="20"/>
        <v>2145.2000000000003</v>
      </c>
      <c r="BH12" s="75">
        <f t="shared" ref="BH12:CA12" si="21">BH245+BH313</f>
        <v>568.154</v>
      </c>
      <c r="BI12" s="75">
        <f t="shared" si="21"/>
        <v>582.68200000000002</v>
      </c>
      <c r="BJ12" s="75">
        <f t="shared" si="21"/>
        <v>598.22833333333335</v>
      </c>
      <c r="BK12" s="75">
        <f t="shared" si="21"/>
        <v>610.34899999999993</v>
      </c>
      <c r="BL12" s="77">
        <f t="shared" si="21"/>
        <v>2359.4133333333334</v>
      </c>
      <c r="BM12" s="75">
        <f t="shared" si="21"/>
        <v>600.35434499999997</v>
      </c>
      <c r="BN12" s="75">
        <f t="shared" si="21"/>
        <v>616.247165</v>
      </c>
      <c r="BO12" s="75">
        <f t="shared" si="21"/>
        <v>632.85060375</v>
      </c>
      <c r="BP12" s="75">
        <f t="shared" si="21"/>
        <v>646.20537999999999</v>
      </c>
      <c r="BQ12" s="77">
        <f t="shared" si="21"/>
        <v>2495.65749375</v>
      </c>
      <c r="BR12" s="75">
        <f t="shared" si="21"/>
        <v>634.00344245000008</v>
      </c>
      <c r="BS12" s="75">
        <f t="shared" si="21"/>
        <v>650.83684185000004</v>
      </c>
      <c r="BT12" s="75">
        <f t="shared" si="21"/>
        <v>668.4742623625001</v>
      </c>
      <c r="BU12" s="75">
        <f t="shared" si="21"/>
        <v>682.54302919999998</v>
      </c>
      <c r="BV12" s="77">
        <f t="shared" si="21"/>
        <v>2635.8575758625002</v>
      </c>
      <c r="BW12" s="75">
        <f t="shared" si="21"/>
        <v>669.62202968849999</v>
      </c>
      <c r="BX12" s="75">
        <f t="shared" si="21"/>
        <v>687.45484620650006</v>
      </c>
      <c r="BY12" s="75">
        <f t="shared" si="21"/>
        <v>706.19178094087511</v>
      </c>
      <c r="BZ12" s="75">
        <f t="shared" si="21"/>
        <v>721.01489288800008</v>
      </c>
      <c r="CA12" s="77">
        <f t="shared" si="21"/>
        <v>2784.2835497238752</v>
      </c>
      <c r="CB12" s="1910">
        <f>(CA12/BG12)^(1/4)-1</f>
        <v>6.7361216524272516E-2</v>
      </c>
      <c r="CC12" s="78" t="s">
        <v>51</v>
      </c>
      <c r="CD12" s="79" t="str">
        <f t="shared" si="3"/>
        <v>Total Revenue</v>
      </c>
      <c r="CE12" s="70">
        <f>D12</f>
        <v>730.13300000000004</v>
      </c>
      <c r="CF12" s="70">
        <f t="shared" si="4"/>
        <v>802.19499999999994</v>
      </c>
      <c r="CG12" s="70">
        <f t="shared" si="5"/>
        <v>893.55</v>
      </c>
      <c r="CH12" s="70">
        <f t="shared" si="6"/>
        <v>1027.104</v>
      </c>
      <c r="CI12" s="70">
        <f t="shared" si="7"/>
        <v>1138.3430000000001</v>
      </c>
      <c r="CJ12" s="70">
        <f t="shared" si="8"/>
        <v>1331.8400000000001</v>
      </c>
      <c r="CK12" s="70">
        <f t="shared" si="9"/>
        <v>1534.32</v>
      </c>
      <c r="CL12" s="70">
        <f t="shared" si="10"/>
        <v>1595.713</v>
      </c>
      <c r="CM12" s="70">
        <f t="shared" si="11"/>
        <v>1746.7259999999999</v>
      </c>
      <c r="CN12" s="70">
        <f t="shared" si="12"/>
        <v>2068.0479999999998</v>
      </c>
      <c r="CO12" s="70">
        <f t="shared" si="13"/>
        <v>1995.1779999999999</v>
      </c>
      <c r="CP12" s="70">
        <f t="shared" si="14"/>
        <v>2145.2000000000003</v>
      </c>
      <c r="CQ12" s="70">
        <f t="shared" si="15"/>
        <v>2359.4133333333334</v>
      </c>
      <c r="CR12" s="70">
        <f t="shared" si="16"/>
        <v>2495.65749375</v>
      </c>
      <c r="CS12" s="70">
        <f t="shared" si="17"/>
        <v>2635.8575758625002</v>
      </c>
      <c r="CT12" s="80">
        <f t="shared" si="18"/>
        <v>2784.2835497238752</v>
      </c>
      <c r="CU12" s="1961"/>
      <c r="DB12" s="1961"/>
      <c r="DC12" s="1961"/>
      <c r="DD12" s="1961"/>
      <c r="DE12" s="1961"/>
      <c r="DF12" s="1961"/>
      <c r="DG12" s="1961"/>
      <c r="DH12" s="1961"/>
      <c r="DI12" s="74"/>
    </row>
    <row r="13" spans="1:113" x14ac:dyDescent="0.25">
      <c r="A13" s="81" t="s">
        <v>52</v>
      </c>
      <c r="B13" s="82"/>
      <c r="C13" s="83"/>
      <c r="D13" s="83"/>
      <c r="E13" s="84"/>
      <c r="F13" s="84"/>
      <c r="G13" s="84"/>
      <c r="H13" s="84"/>
      <c r="I13" s="83">
        <f t="shared" ref="I13:AW13" si="22">I12/D12-1</f>
        <v>9.8697086695163527E-2</v>
      </c>
      <c r="J13" s="85">
        <f t="shared" si="22"/>
        <v>8.4412122675196377E-2</v>
      </c>
      <c r="K13" s="84">
        <f t="shared" si="22"/>
        <v>0.10398997782793296</v>
      </c>
      <c r="L13" s="84">
        <f t="shared" si="22"/>
        <v>0.12351106282200841</v>
      </c>
      <c r="M13" s="84">
        <f t="shared" si="22"/>
        <v>0.14314711285829995</v>
      </c>
      <c r="N13" s="83">
        <f t="shared" si="22"/>
        <v>0.11388128821545895</v>
      </c>
      <c r="O13" s="85">
        <f t="shared" si="22"/>
        <v>0.13975178324629667</v>
      </c>
      <c r="P13" s="84">
        <f t="shared" si="22"/>
        <v>0.16140711120717599</v>
      </c>
      <c r="Q13" s="84">
        <f t="shared" si="22"/>
        <v>0.15116470803196225</v>
      </c>
      <c r="R13" s="84">
        <f t="shared" si="22"/>
        <v>0.14540608029584945</v>
      </c>
      <c r="S13" s="86">
        <f t="shared" si="22"/>
        <v>0.14946449555145214</v>
      </c>
      <c r="T13" s="84">
        <f t="shared" si="22"/>
        <v>0.12371465426386874</v>
      </c>
      <c r="U13" s="84">
        <f t="shared" si="22"/>
        <v>9.212689402751284E-2</v>
      </c>
      <c r="V13" s="84">
        <f t="shared" si="22"/>
        <v>0.11243423625010163</v>
      </c>
      <c r="W13" s="84">
        <f t="shared" si="22"/>
        <v>0.10573086004390375</v>
      </c>
      <c r="X13" s="86">
        <f>X12/S12-1</f>
        <v>0.10830354082936111</v>
      </c>
      <c r="Y13" s="84">
        <f t="shared" si="22"/>
        <v>0.13295117941438495</v>
      </c>
      <c r="Z13" s="84">
        <f t="shared" si="22"/>
        <v>0.16189820255114906</v>
      </c>
      <c r="AA13" s="84">
        <f t="shared" si="22"/>
        <v>0.18355060308887272</v>
      </c>
      <c r="AB13" s="84">
        <f t="shared" si="22"/>
        <v>0.19932937187455213</v>
      </c>
      <c r="AC13" s="83">
        <f t="shared" si="22"/>
        <v>0.16998127980757993</v>
      </c>
      <c r="AD13" s="84">
        <f t="shared" si="22"/>
        <v>0.10749546934979159</v>
      </c>
      <c r="AE13" s="84">
        <f t="shared" si="22"/>
        <v>0.14038743583475921</v>
      </c>
      <c r="AF13" s="84">
        <f t="shared" si="22"/>
        <v>0.1727884315697239</v>
      </c>
      <c r="AG13" s="84">
        <f t="shared" si="22"/>
        <v>0.18241830753172006</v>
      </c>
      <c r="AH13" s="83">
        <f t="shared" si="22"/>
        <v>0.15203027390677537</v>
      </c>
      <c r="AI13" s="84">
        <f t="shared" si="22"/>
        <v>8.7145491643602746E-2</v>
      </c>
      <c r="AJ13" s="84">
        <f t="shared" si="22"/>
        <v>4.5923917411970105E-2</v>
      </c>
      <c r="AK13" s="84">
        <f t="shared" si="22"/>
        <v>3.2753100688707626E-2</v>
      </c>
      <c r="AL13" s="84">
        <f t="shared" si="22"/>
        <v>2.3885695042455968E-3</v>
      </c>
      <c r="AM13" s="83">
        <f t="shared" si="22"/>
        <v>4.0013165441368237E-2</v>
      </c>
      <c r="AN13" s="84">
        <f t="shared" si="22"/>
        <v>8.7460213381046259E-2</v>
      </c>
      <c r="AO13" s="84">
        <f t="shared" si="22"/>
        <v>8.5017650102723996E-2</v>
      </c>
      <c r="AP13" s="84">
        <f t="shared" si="22"/>
        <v>8.9185705234180013E-2</v>
      </c>
      <c r="AQ13" s="87">
        <f t="shared" si="22"/>
        <v>0.11552278131996552</v>
      </c>
      <c r="AR13" s="83">
        <f t="shared" si="22"/>
        <v>9.463669218712889E-2</v>
      </c>
      <c r="AS13" s="84">
        <f t="shared" si="22"/>
        <v>0.1214569759522317</v>
      </c>
      <c r="AT13" s="84">
        <f t="shared" si="22"/>
        <v>0.17493873272357252</v>
      </c>
      <c r="AU13" s="84">
        <f t="shared" si="22"/>
        <v>0.22675269967570433</v>
      </c>
      <c r="AV13" s="87">
        <f t="shared" si="22"/>
        <v>0.20594410408205444</v>
      </c>
      <c r="AW13" s="88">
        <f t="shared" si="22"/>
        <v>0.18395672818747766</v>
      </c>
      <c r="AX13" s="89">
        <v>0.28207390059849069</v>
      </c>
      <c r="AY13" s="90">
        <v>0.16261315912272489</v>
      </c>
      <c r="AZ13" s="90">
        <v>5.8845663265306269E-2</v>
      </c>
      <c r="BA13" s="90">
        <v>6.0117302052786092E-2</v>
      </c>
      <c r="BB13" s="91">
        <v>0.1331731697620262</v>
      </c>
      <c r="BC13" s="84">
        <f t="shared" ref="BC13:CA13" si="23">BC12/AX12-1</f>
        <v>2.0091292690698648E-2</v>
      </c>
      <c r="BD13" s="84">
        <f t="shared" si="23"/>
        <v>4.9978326135469819E-2</v>
      </c>
      <c r="BE13" s="84">
        <f t="shared" si="23"/>
        <v>0.10243113067954779</v>
      </c>
      <c r="BF13" s="87">
        <f t="shared" si="23"/>
        <v>0.12685240071132164</v>
      </c>
      <c r="BG13" s="88">
        <f t="shared" si="23"/>
        <v>7.5192288607833779E-2</v>
      </c>
      <c r="BH13" s="84">
        <f t="shared" si="23"/>
        <v>0.1304297652208517</v>
      </c>
      <c r="BI13" s="84">
        <f t="shared" si="23"/>
        <v>0.11368883792048923</v>
      </c>
      <c r="BJ13" s="84">
        <f t="shared" si="23"/>
        <v>8.9470648940691122E-2</v>
      </c>
      <c r="BK13" s="87">
        <f t="shared" si="23"/>
        <v>7.0224443275469062E-2</v>
      </c>
      <c r="BL13" s="88">
        <f t="shared" si="23"/>
        <v>9.9857045186152016E-2</v>
      </c>
      <c r="BM13" s="84">
        <f t="shared" si="23"/>
        <v>5.667538202670408E-2</v>
      </c>
      <c r="BN13" s="84">
        <f t="shared" si="23"/>
        <v>5.7604602510460179E-2</v>
      </c>
      <c r="BO13" s="84">
        <f t="shared" si="23"/>
        <v>5.7874675082256744E-2</v>
      </c>
      <c r="BP13" s="87">
        <f t="shared" si="23"/>
        <v>5.8747339636830764E-2</v>
      </c>
      <c r="BQ13" s="88">
        <f t="shared" si="23"/>
        <v>5.774493111988277E-2</v>
      </c>
      <c r="BR13" s="84">
        <f t="shared" si="23"/>
        <v>5.604872810573247E-2</v>
      </c>
      <c r="BS13" s="84">
        <f t="shared" si="23"/>
        <v>5.612955128158692E-2</v>
      </c>
      <c r="BT13" s="84">
        <f t="shared" si="23"/>
        <v>5.6290787116911378E-2</v>
      </c>
      <c r="BU13" s="87">
        <f t="shared" si="23"/>
        <v>5.6232353249674238E-2</v>
      </c>
      <c r="BV13" s="88">
        <f t="shared" si="23"/>
        <v>5.6177613500093759E-2</v>
      </c>
      <c r="BW13" s="84">
        <f t="shared" si="23"/>
        <v>5.6180431924561569E-2</v>
      </c>
      <c r="BX13" s="84">
        <f t="shared" si="23"/>
        <v>5.6262955631727118E-2</v>
      </c>
      <c r="BY13" s="84">
        <f t="shared" si="23"/>
        <v>5.6423292117597779E-2</v>
      </c>
      <c r="BZ13" s="87">
        <f t="shared" si="23"/>
        <v>5.6365477401611574E-2</v>
      </c>
      <c r="CA13" s="88">
        <f t="shared" si="23"/>
        <v>5.631031631623995E-2</v>
      </c>
      <c r="CB13" s="1910"/>
      <c r="CC13" s="93"/>
      <c r="CD13" s="94" t="str">
        <f t="shared" si="3"/>
        <v>Annual Growth (2016 from continuing operations)</v>
      </c>
      <c r="CE13" s="84"/>
      <c r="CF13" s="84">
        <f t="shared" si="4"/>
        <v>9.8697086695163527E-2</v>
      </c>
      <c r="CG13" s="84">
        <f t="shared" si="5"/>
        <v>0.11388128821545895</v>
      </c>
      <c r="CH13" s="84">
        <f t="shared" si="6"/>
        <v>0.14946449555145214</v>
      </c>
      <c r="CI13" s="84">
        <f t="shared" si="7"/>
        <v>0.10830354082936111</v>
      </c>
      <c r="CJ13" s="84">
        <f t="shared" si="8"/>
        <v>0.16998127980757993</v>
      </c>
      <c r="CK13" s="84">
        <f t="shared" si="9"/>
        <v>0.15203027390677537</v>
      </c>
      <c r="CL13" s="84">
        <f t="shared" si="10"/>
        <v>4.0013165441368237E-2</v>
      </c>
      <c r="CM13" s="84">
        <f t="shared" si="11"/>
        <v>9.463669218712889E-2</v>
      </c>
      <c r="CN13" s="84">
        <f t="shared" si="12"/>
        <v>0.18395672818747766</v>
      </c>
      <c r="CO13" s="84">
        <f t="shared" si="13"/>
        <v>0.1331731697620262</v>
      </c>
      <c r="CP13" s="84">
        <f t="shared" si="14"/>
        <v>7.5192288607833779E-2</v>
      </c>
      <c r="CQ13" s="84">
        <f t="shared" si="15"/>
        <v>9.9857045186152016E-2</v>
      </c>
      <c r="CR13" s="84">
        <f t="shared" si="16"/>
        <v>5.774493111988277E-2</v>
      </c>
      <c r="CS13" s="84">
        <f t="shared" si="17"/>
        <v>5.6177613500093759E-2</v>
      </c>
      <c r="CT13" s="87">
        <f t="shared" si="18"/>
        <v>5.631031631623995E-2</v>
      </c>
      <c r="CU13" s="1961"/>
      <c r="DB13" s="1961"/>
      <c r="DC13" s="1961"/>
      <c r="DD13" s="1961"/>
      <c r="DE13" s="1961"/>
      <c r="DF13" s="1961"/>
      <c r="DG13" s="1961"/>
      <c r="DH13" s="1961"/>
      <c r="DI13" s="95"/>
    </row>
    <row r="14" spans="1:113" hidden="1" outlineLevel="1" x14ac:dyDescent="0.25">
      <c r="A14" s="81" t="s">
        <v>53</v>
      </c>
      <c r="B14" s="82"/>
      <c r="C14" s="83"/>
      <c r="D14" s="83"/>
      <c r="E14" s="84"/>
      <c r="F14" s="84"/>
      <c r="G14" s="84"/>
      <c r="H14" s="84"/>
      <c r="I14" s="83"/>
      <c r="J14" s="84"/>
      <c r="K14" s="84"/>
      <c r="L14" s="84"/>
      <c r="M14" s="84"/>
      <c r="N14" s="83"/>
      <c r="O14" s="85"/>
      <c r="P14" s="84"/>
      <c r="Q14" s="84"/>
      <c r="R14" s="84"/>
      <c r="S14" s="86"/>
      <c r="T14" s="84"/>
      <c r="U14" s="84"/>
      <c r="V14" s="84"/>
      <c r="W14" s="84"/>
      <c r="X14" s="71">
        <f>+Revenue_end_mkt!H85</f>
        <v>1000.9779999999998</v>
      </c>
      <c r="Y14" s="70">
        <f>+Revenue_end_mkt!I85</f>
        <v>281.41600000000005</v>
      </c>
      <c r="Z14" s="70">
        <f>+Revenue_end_mkt!J85</f>
        <v>292.79900000000009</v>
      </c>
      <c r="AA14" s="70">
        <f>+Revenue_end_mkt!K85</f>
        <v>306.89250500000003</v>
      </c>
      <c r="AB14" s="70">
        <f>+Revenue_end_mkt!L85</f>
        <v>321.35349499999995</v>
      </c>
      <c r="AC14" s="71">
        <f>+Revenue_end_mkt!M85</f>
        <v>1202.4610000000002</v>
      </c>
      <c r="AD14" s="70">
        <f>+Revenue_end_mkt!N85</f>
        <v>313.46900000000005</v>
      </c>
      <c r="AE14" s="70">
        <f>+Revenue_end_mkt!O85</f>
        <v>339.08900000000006</v>
      </c>
      <c r="AF14" s="70">
        <f>+Revenue_end_mkt!P85</f>
        <v>366.76700000000005</v>
      </c>
      <c r="AG14" s="70">
        <f>+Revenue_end_mkt!Q85</f>
        <v>388.48099999999999</v>
      </c>
      <c r="AH14" s="71">
        <f>+Revenue_end_mkt!R85</f>
        <v>1407.8060000000003</v>
      </c>
      <c r="AI14" s="70">
        <f>+Revenue_end_mkt!S85</f>
        <v>376.697</v>
      </c>
      <c r="AJ14" s="70">
        <f>+Revenue_end_mkt!T85</f>
        <v>390.36599999999999</v>
      </c>
      <c r="AK14" s="74">
        <f>+Revenue_end_mkt!U85</f>
        <v>411.92699999999996</v>
      </c>
      <c r="AL14" s="70">
        <f>+Revenue_end_mkt!V85</f>
        <v>416.72299999999996</v>
      </c>
      <c r="AM14" s="71">
        <f>+Revenue_end_mkt!W85</f>
        <v>1595.7130000000002</v>
      </c>
      <c r="AN14" s="75"/>
      <c r="AO14" s="75"/>
      <c r="AP14" s="75"/>
      <c r="AQ14" s="76"/>
      <c r="AR14" s="71"/>
      <c r="AS14" s="75"/>
      <c r="AT14" s="75"/>
      <c r="AU14" s="75"/>
      <c r="AV14" s="76"/>
      <c r="AW14" s="71"/>
      <c r="AX14" s="75"/>
      <c r="AY14" s="75"/>
      <c r="AZ14" s="75"/>
      <c r="BA14" s="76"/>
      <c r="BB14" s="77"/>
      <c r="BC14" s="75"/>
      <c r="BD14" s="75"/>
      <c r="BE14" s="75"/>
      <c r="BF14" s="76"/>
      <c r="BG14" s="77"/>
      <c r="BH14" s="75"/>
      <c r="BI14" s="75"/>
      <c r="BJ14" s="75"/>
      <c r="BK14" s="76"/>
      <c r="BL14" s="77"/>
      <c r="BM14" s="75"/>
      <c r="BN14" s="75"/>
      <c r="BO14" s="75"/>
      <c r="BP14" s="76"/>
      <c r="BQ14" s="77"/>
      <c r="BR14" s="75"/>
      <c r="BS14" s="75"/>
      <c r="BT14" s="75"/>
      <c r="BU14" s="76"/>
      <c r="BV14" s="77"/>
      <c r="BW14" s="75"/>
      <c r="BX14" s="75"/>
      <c r="BY14" s="75"/>
      <c r="BZ14" s="76"/>
      <c r="CA14" s="77"/>
      <c r="CB14" s="1910" t="e">
        <f>((1+BG14)*(1+#REF!)*(1+#REF!)*(1+BV14))^0.25-1</f>
        <v>#REF!</v>
      </c>
      <c r="CC14" s="78"/>
      <c r="CD14" s="94" t="str">
        <f t="shared" si="3"/>
        <v>Total Revenue (pro forma for Mortgage)</v>
      </c>
      <c r="CE14" s="84"/>
      <c r="CF14" s="84">
        <f t="shared" si="4"/>
        <v>0</v>
      </c>
      <c r="CG14" s="84">
        <f t="shared" si="5"/>
        <v>0</v>
      </c>
      <c r="CH14" s="84">
        <f t="shared" si="6"/>
        <v>0</v>
      </c>
      <c r="CI14" s="84">
        <f t="shared" si="7"/>
        <v>1000.9779999999998</v>
      </c>
      <c r="CJ14" s="84">
        <f t="shared" si="8"/>
        <v>1202.4610000000002</v>
      </c>
      <c r="CK14" s="84">
        <f t="shared" si="9"/>
        <v>1407.8060000000003</v>
      </c>
      <c r="CL14" s="84">
        <f t="shared" si="10"/>
        <v>1595.7130000000002</v>
      </c>
      <c r="CM14" s="84">
        <f t="shared" si="11"/>
        <v>0</v>
      </c>
      <c r="CN14" s="84">
        <f t="shared" si="12"/>
        <v>0</v>
      </c>
      <c r="CO14" s="84">
        <f t="shared" si="13"/>
        <v>0</v>
      </c>
      <c r="CP14" s="84">
        <f t="shared" si="14"/>
        <v>0</v>
      </c>
      <c r="CQ14" s="84">
        <f t="shared" si="15"/>
        <v>0</v>
      </c>
      <c r="CR14" s="84">
        <f t="shared" si="16"/>
        <v>0</v>
      </c>
      <c r="CS14" s="84">
        <f t="shared" si="17"/>
        <v>0</v>
      </c>
      <c r="CT14" s="87">
        <f t="shared" si="18"/>
        <v>0</v>
      </c>
      <c r="CU14" s="1961"/>
      <c r="DB14" s="1961"/>
      <c r="DC14" s="1961"/>
      <c r="DD14" s="1961"/>
      <c r="DE14" s="1961"/>
      <c r="DF14" s="1961"/>
      <c r="DG14" s="1961"/>
      <c r="DH14" s="1961"/>
      <c r="DI14" s="74"/>
    </row>
    <row r="15" spans="1:113" hidden="1" collapsed="1" x14ac:dyDescent="0.25">
      <c r="A15" s="81" t="s">
        <v>54</v>
      </c>
      <c r="B15" s="82"/>
      <c r="C15" s="83"/>
      <c r="D15" s="83"/>
      <c r="E15" s="84"/>
      <c r="F15" s="84"/>
      <c r="G15" s="84"/>
      <c r="H15" s="84"/>
      <c r="I15" s="83"/>
      <c r="J15" s="84"/>
      <c r="K15" s="84"/>
      <c r="L15" s="84"/>
      <c r="M15" s="84"/>
      <c r="N15" s="83"/>
      <c r="O15" s="85"/>
      <c r="P15" s="84"/>
      <c r="Q15" s="84"/>
      <c r="R15" s="84"/>
      <c r="S15" s="86"/>
      <c r="T15" s="84"/>
      <c r="U15" s="84"/>
      <c r="V15" s="84"/>
      <c r="W15" s="84"/>
      <c r="X15" s="86"/>
      <c r="Y15" s="84"/>
      <c r="Z15" s="84"/>
      <c r="AA15" s="84"/>
      <c r="AB15" s="84"/>
      <c r="AC15" s="83">
        <f t="shared" ref="AC15:AM15" si="24">+AC14/X14-1</f>
        <v>0.2012861421529748</v>
      </c>
      <c r="AD15" s="84">
        <f t="shared" si="24"/>
        <v>0.11389899650339697</v>
      </c>
      <c r="AE15" s="84">
        <f t="shared" si="24"/>
        <v>0.1580948022363462</v>
      </c>
      <c r="AF15" s="84">
        <f t="shared" si="24"/>
        <v>0.19509924167095583</v>
      </c>
      <c r="AG15" s="84">
        <f t="shared" si="24"/>
        <v>0.20888991731675444</v>
      </c>
      <c r="AH15" s="83">
        <f t="shared" si="24"/>
        <v>0.17077061127138426</v>
      </c>
      <c r="AI15" s="84">
        <f t="shared" si="24"/>
        <v>0.20170415575383838</v>
      </c>
      <c r="AJ15" s="84">
        <f t="shared" si="24"/>
        <v>0.15121988622456017</v>
      </c>
      <c r="AK15" s="84">
        <f t="shared" si="24"/>
        <v>0.12312994353363282</v>
      </c>
      <c r="AL15" s="84">
        <f t="shared" si="24"/>
        <v>7.2698536093142252E-2</v>
      </c>
      <c r="AM15" s="83">
        <f t="shared" si="24"/>
        <v>0.1334750668771123</v>
      </c>
      <c r="AN15" s="84">
        <f>+AN12/AI14-1</f>
        <v>8.7460213381046259E-2</v>
      </c>
      <c r="AO15" s="84">
        <f>+AO12/AJ14-1</f>
        <v>8.5017650102723996E-2</v>
      </c>
      <c r="AP15" s="84">
        <f>+AP12/AK14-1</f>
        <v>8.9185705234180013E-2</v>
      </c>
      <c r="AQ15" s="84">
        <f>+AQ12/AL14-1</f>
        <v>0.11552278131996552</v>
      </c>
      <c r="AR15" s="83">
        <f>+AR12/AM14-1</f>
        <v>9.4636692187128668E-2</v>
      </c>
      <c r="AS15" s="84">
        <f>+AS12/AN12-1</f>
        <v>0.1214569759522317</v>
      </c>
      <c r="AT15" s="84">
        <f>+AT12/AO12-1</f>
        <v>0.17493873272357252</v>
      </c>
      <c r="AU15" s="84">
        <f>+AU12/AP12-1</f>
        <v>0.22675269967570433</v>
      </c>
      <c r="AV15" s="84">
        <f>+AV12/AQ12-1</f>
        <v>0.20594410408205444</v>
      </c>
      <c r="AW15" s="88">
        <f>AW12/(AR12+Revenue_end_mkt!AB53-Revenue_end_mkt!AB46)-1</f>
        <v>0.20896201211506149</v>
      </c>
      <c r="AX15" s="84">
        <f>+AX12/AS12-1</f>
        <v>7.2495031530462883E-2</v>
      </c>
      <c r="AY15" s="84">
        <f>+AY12/AT12-1</f>
        <v>1.2981010750525712E-3</v>
      </c>
      <c r="AZ15" s="84">
        <f>+AZ12/AU12-1</f>
        <v>-9.5057966827821749E-2</v>
      </c>
      <c r="BA15" s="84">
        <f>+BA12/AV12-1</f>
        <v>-9.7217267213699832E-2</v>
      </c>
      <c r="BB15" s="88">
        <f>BB12/(AW12+Revenue_end_mkt!AG53-Revenue_end_mkt!AG46)-1</f>
        <v>-3.5236126047364369E-2</v>
      </c>
      <c r="BC15" s="84">
        <f>+BC12/AX12-1</f>
        <v>2.0091292690698648E-2</v>
      </c>
      <c r="BD15" s="84">
        <f>+BD12/AY12-1</f>
        <v>4.9978326135469819E-2</v>
      </c>
      <c r="BE15" s="84">
        <f>+BE12/AZ12-1</f>
        <v>0.10243113067954779</v>
      </c>
      <c r="BF15" s="84">
        <f>+BF12/BA12-1</f>
        <v>0.12685240071132164</v>
      </c>
      <c r="BG15" s="88">
        <f>BG12/(BB12+Revenue_end_mkt!AL53-Revenue_end_mkt!AL46)-1</f>
        <v>7.5192288607833779E-2</v>
      </c>
      <c r="BH15" s="84">
        <f>+BH12/BC12-1</f>
        <v>0.1304297652208517</v>
      </c>
      <c r="BI15" s="84">
        <f>+BI12/BD12-1</f>
        <v>0.11368883792048923</v>
      </c>
      <c r="BJ15" s="84">
        <f>+BJ12/BE12-1</f>
        <v>8.9470648940691122E-2</v>
      </c>
      <c r="BK15" s="84">
        <f>+BK12/BF12-1</f>
        <v>7.0224443275469062E-2</v>
      </c>
      <c r="BL15" s="88">
        <f>BL12/(BG12+Revenue_end_mkt!AQ53-Revenue_end_mkt!AQ46)-1</f>
        <v>9.9857045186152016E-2</v>
      </c>
      <c r="BM15" s="84">
        <f>+BM12/BH12-1</f>
        <v>5.667538202670408E-2</v>
      </c>
      <c r="BN15" s="84">
        <f>+BN12/BI12-1</f>
        <v>5.7604602510460179E-2</v>
      </c>
      <c r="BO15" s="84">
        <f>+BO12/BJ12-1</f>
        <v>5.7874675082256744E-2</v>
      </c>
      <c r="BP15" s="84">
        <f>+BP12/BK12-1</f>
        <v>5.8747339636830764E-2</v>
      </c>
      <c r="BQ15" s="88">
        <f>BQ12/(BL12+Revenue_end_mkt!AV53-Revenue_end_mkt!AV46)-1</f>
        <v>5.774493111988277E-2</v>
      </c>
      <c r="BR15" s="84">
        <f>+BR12/BM12-1</f>
        <v>5.604872810573247E-2</v>
      </c>
      <c r="BS15" s="84">
        <f>+BS12/BN12-1</f>
        <v>5.612955128158692E-2</v>
      </c>
      <c r="BT15" s="84">
        <f>+BT12/BO12-1</f>
        <v>5.6290787116911378E-2</v>
      </c>
      <c r="BU15" s="84">
        <f>+BU12/BP12-1</f>
        <v>5.6232353249674238E-2</v>
      </c>
      <c r="BV15" s="88">
        <f>BV12/(BQ12+Revenue_end_mkt!BA53-Revenue_end_mkt!BA46)-1</f>
        <v>5.6177613500093759E-2</v>
      </c>
      <c r="BW15" s="84">
        <f>+BW12/BR12-1</f>
        <v>5.6180431924561569E-2</v>
      </c>
      <c r="BX15" s="84">
        <f>+BX12/BS12-1</f>
        <v>5.6262955631727118E-2</v>
      </c>
      <c r="BY15" s="84">
        <f>+BY12/BT12-1</f>
        <v>5.6423292117597779E-2</v>
      </c>
      <c r="BZ15" s="84">
        <f>+BZ12/BU12-1</f>
        <v>5.6365477401611574E-2</v>
      </c>
      <c r="CA15" s="88">
        <f>CA12/(BV12+Revenue_end_mkt!BF53-Revenue_end_mkt!BF46)-1</f>
        <v>5.631031631623995E-2</v>
      </c>
      <c r="CB15" s="1910" t="e">
        <f>((1+BG15)*(1+#REF!)*(1+#REF!)*(1+BV15))^0.25-1</f>
        <v>#REF!</v>
      </c>
      <c r="CC15" s="93"/>
      <c r="CD15" s="94" t="str">
        <f t="shared" si="3"/>
        <v>Revenue Growth (pro forma for mortgage, hc chg)</v>
      </c>
      <c r="CE15" s="84"/>
      <c r="CF15" s="84">
        <f t="shared" si="4"/>
        <v>0</v>
      </c>
      <c r="CG15" s="84">
        <f t="shared" si="5"/>
        <v>0</v>
      </c>
      <c r="CH15" s="84">
        <f t="shared" si="6"/>
        <v>0</v>
      </c>
      <c r="CI15" s="84">
        <f t="shared" si="7"/>
        <v>0</v>
      </c>
      <c r="CJ15" s="84">
        <f t="shared" si="8"/>
        <v>0.2012861421529748</v>
      </c>
      <c r="CK15" s="84">
        <f t="shared" si="9"/>
        <v>0.17077061127138426</v>
      </c>
      <c r="CL15" s="84">
        <f t="shared" si="10"/>
        <v>0.1334750668771123</v>
      </c>
      <c r="CM15" s="84">
        <f t="shared" si="11"/>
        <v>9.4636692187128668E-2</v>
      </c>
      <c r="CN15" s="84">
        <f t="shared" si="12"/>
        <v>0.20896201211506149</v>
      </c>
      <c r="CO15" s="84">
        <f t="shared" si="13"/>
        <v>-3.5236126047364369E-2</v>
      </c>
      <c r="CP15" s="84">
        <f t="shared" si="14"/>
        <v>7.5192288607833779E-2</v>
      </c>
      <c r="CQ15" s="84">
        <f t="shared" si="15"/>
        <v>9.9857045186152016E-2</v>
      </c>
      <c r="CR15" s="84">
        <f t="shared" si="16"/>
        <v>5.774493111988277E-2</v>
      </c>
      <c r="CS15" s="84">
        <f t="shared" si="17"/>
        <v>5.6177613500093759E-2</v>
      </c>
      <c r="CT15" s="87">
        <f t="shared" si="18"/>
        <v>5.631031631623995E-2</v>
      </c>
      <c r="CU15" s="1961"/>
      <c r="DB15" s="1961"/>
      <c r="DC15" s="1961"/>
      <c r="DD15" s="1961"/>
      <c r="DE15" s="1961"/>
      <c r="DF15" s="1961"/>
      <c r="DG15" s="1961"/>
      <c r="DH15" s="1961"/>
      <c r="DI15" s="95"/>
    </row>
    <row r="16" spans="1:113" x14ac:dyDescent="0.25">
      <c r="A16" s="81" t="s">
        <v>55</v>
      </c>
      <c r="B16" s="96"/>
      <c r="C16" s="97"/>
      <c r="D16" s="97"/>
      <c r="E16" s="98"/>
      <c r="F16" s="98"/>
      <c r="G16" s="98"/>
      <c r="H16" s="98"/>
      <c r="I16" s="97"/>
      <c r="J16" s="98"/>
      <c r="K16" s="98"/>
      <c r="L16" s="98"/>
      <c r="M16" s="98"/>
      <c r="N16" s="97"/>
      <c r="O16" s="99"/>
      <c r="P16" s="98"/>
      <c r="Q16" s="98"/>
      <c r="R16" s="98"/>
      <c r="S16" s="100"/>
      <c r="T16" s="98"/>
      <c r="U16" s="98"/>
      <c r="V16" s="98"/>
      <c r="W16" s="98"/>
      <c r="X16" s="100"/>
      <c r="Y16" s="98"/>
      <c r="Z16" s="98"/>
      <c r="AA16" s="98"/>
      <c r="AB16" s="98"/>
      <c r="AC16" s="97"/>
      <c r="AD16" s="98"/>
      <c r="AE16" s="98"/>
      <c r="AF16" s="98"/>
      <c r="AG16" s="98"/>
      <c r="AH16" s="97"/>
      <c r="AI16" s="101">
        <f>Revenue_end_mkt!S88</f>
        <v>6.8000000000000005E-2</v>
      </c>
      <c r="AJ16" s="102">
        <f>Revenue_end_mkt!T88</f>
        <v>7.8E-2</v>
      </c>
      <c r="AK16" s="102">
        <f>Revenue_end_mkt!U88</f>
        <v>6.0999999999999999E-2</v>
      </c>
      <c r="AL16" s="103">
        <f>Revenue_end_mkt!V88</f>
        <v>7.2999999999999995E-2</v>
      </c>
      <c r="AM16" s="104">
        <f>Revenue_end_mkt!W88</f>
        <v>8.5000000000000006E-2</v>
      </c>
      <c r="AN16" s="101">
        <f>Revenue_end_mkt!X88</f>
        <v>8.7460213381046259E-2</v>
      </c>
      <c r="AO16" s="102">
        <f>Revenue_end_mkt!Y88</f>
        <v>8.5017650102723996E-2</v>
      </c>
      <c r="AP16" s="102">
        <f>Revenue_end_mkt!Z88</f>
        <v>8.9185705234180013E-2</v>
      </c>
      <c r="AQ16" s="103">
        <f>Revenue_end_mkt!AA88</f>
        <v>0.114</v>
      </c>
      <c r="AR16" s="104">
        <f>Revenue_end_mkt!AB88</f>
        <v>9.4E-2</v>
      </c>
      <c r="AS16" s="105">
        <f>Revenue_end_mkt!AC88</f>
        <v>0.115</v>
      </c>
      <c r="AT16" s="106">
        <f>Revenue_end_mkt!AD88</f>
        <v>9.4E-2</v>
      </c>
      <c r="AU16" s="106">
        <f>Revenue_end_mkt!AE88</f>
        <v>5.6000000000000001E-2</v>
      </c>
      <c r="AV16" s="107">
        <f>Revenue_end_mkt!AF88</f>
        <v>3.9E-2</v>
      </c>
      <c r="AW16" s="108">
        <f>Revenue_end_mkt!AG88</f>
        <v>7.3999999999999996E-2</v>
      </c>
      <c r="AX16" s="106">
        <f>Revenue_end_mkt!AH92</f>
        <v>5.636044984686453E-2</v>
      </c>
      <c r="AY16" s="106">
        <f>Revenue_end_mkt!AI92</f>
        <v>6.1691434167643333E-2</v>
      </c>
      <c r="AZ16" s="106">
        <f>Revenue_end_mkt!AJ92</f>
        <v>6.2E-2</v>
      </c>
      <c r="BA16" s="107">
        <f>Revenue_end_mkt!AK92</f>
        <v>6.2E-2</v>
      </c>
      <c r="BB16" s="109">
        <f>Revenue_end_mkt!AL92</f>
        <v>5.8000000000000003E-2</v>
      </c>
      <c r="BC16" s="106">
        <f>Revenue_end_mkt!AM92</f>
        <v>2.5000000000000001E-2</v>
      </c>
      <c r="BD16" s="106">
        <f>Revenue_end_mkt!AN92</f>
        <v>4.1000000000000002E-2</v>
      </c>
      <c r="BE16" s="106">
        <f>Revenue_end_mkt!AO92</f>
        <v>7.0000000000000007E-2</v>
      </c>
      <c r="BF16" s="107">
        <f>Revenue_end_mkt!AP92</f>
        <v>7.3999999999999996E-2</v>
      </c>
      <c r="BG16" s="109">
        <f>Revenue_end_mkt!AQ92</f>
        <v>5.2502881948377489E-2</v>
      </c>
      <c r="BH16" s="106">
        <f>Revenue_end_mkt!AR92</f>
        <v>6.5865499403103822E-2</v>
      </c>
      <c r="BI16" s="106">
        <f>Revenue_end_mkt!AS92</f>
        <v>5.8738532110091723E-2</v>
      </c>
      <c r="BJ16" s="106">
        <f>Revenue_end_mkt!AT92</f>
        <v>5.6082680750318747E-2</v>
      </c>
      <c r="BK16" s="107">
        <f>Revenue_end_mkt!AU92</f>
        <v>5.4443275469051366E-2</v>
      </c>
      <c r="BL16" s="109">
        <f>Revenue_end_mkt!AV92</f>
        <v>5.8586611970911751E-2</v>
      </c>
      <c r="BM16" s="106">
        <f>Revenue_end_mkt!AW92</f>
        <v>5.667538202670408E-2</v>
      </c>
      <c r="BN16" s="106">
        <f>Revenue_end_mkt!AX92</f>
        <v>5.7604602510460179E-2</v>
      </c>
      <c r="BO16" s="106">
        <f>Revenue_end_mkt!AY92</f>
        <v>5.7874675082256744E-2</v>
      </c>
      <c r="BP16" s="107">
        <f>Revenue_end_mkt!AZ92</f>
        <v>5.8747339636830764E-2</v>
      </c>
      <c r="BQ16" s="109">
        <f>Revenue_end_mkt!BA92</f>
        <v>5.7744931119882992E-2</v>
      </c>
      <c r="BR16" s="106">
        <f>Revenue_end_mkt!BB92</f>
        <v>5.604872810573247E-2</v>
      </c>
      <c r="BS16" s="106">
        <f>Revenue_end_mkt!BC92</f>
        <v>5.612955128158692E-2</v>
      </c>
      <c r="BT16" s="106">
        <f>Revenue_end_mkt!BD92</f>
        <v>5.6290787116911378E-2</v>
      </c>
      <c r="BU16" s="107">
        <f>Revenue_end_mkt!BE92</f>
        <v>5.6232353249674238E-2</v>
      </c>
      <c r="BV16" s="109">
        <f>Revenue_end_mkt!BF92</f>
        <v>5.6177613500093759E-2</v>
      </c>
      <c r="BW16" s="106">
        <f>Revenue_end_mkt!BG92</f>
        <v>5.6180431924561569E-2</v>
      </c>
      <c r="BX16" s="106">
        <f>Revenue_end_mkt!BH92</f>
        <v>5.6262955631727118E-2</v>
      </c>
      <c r="BY16" s="106">
        <f>Revenue_end_mkt!BI92</f>
        <v>5.6423292117598001E-2</v>
      </c>
      <c r="BZ16" s="107">
        <f>Revenue_end_mkt!BJ92</f>
        <v>5.6365477401611574E-2</v>
      </c>
      <c r="CA16" s="109">
        <f>Revenue_end_mkt!BK92</f>
        <v>5.631031631623995E-2</v>
      </c>
      <c r="CB16" s="1910"/>
      <c r="CC16" s="93"/>
      <c r="CD16" s="94" t="str">
        <f t="shared" si="3"/>
        <v>Organic C/C Growth</v>
      </c>
      <c r="CE16" s="84"/>
      <c r="CF16" s="84">
        <f t="shared" si="4"/>
        <v>0</v>
      </c>
      <c r="CG16" s="84">
        <f t="shared" si="5"/>
        <v>0</v>
      </c>
      <c r="CH16" s="84">
        <f t="shared" si="6"/>
        <v>0</v>
      </c>
      <c r="CI16" s="84">
        <f t="shared" si="7"/>
        <v>0</v>
      </c>
      <c r="CJ16" s="84">
        <f t="shared" si="8"/>
        <v>0</v>
      </c>
      <c r="CK16" s="84">
        <f t="shared" si="9"/>
        <v>0</v>
      </c>
      <c r="CL16" s="84">
        <f t="shared" si="10"/>
        <v>8.5000000000000006E-2</v>
      </c>
      <c r="CM16" s="84">
        <f t="shared" si="11"/>
        <v>9.4E-2</v>
      </c>
      <c r="CN16" s="84">
        <f t="shared" si="12"/>
        <v>7.3999999999999996E-2</v>
      </c>
      <c r="CO16" s="84">
        <f t="shared" si="13"/>
        <v>5.8000000000000003E-2</v>
      </c>
      <c r="CP16" s="84">
        <f t="shared" si="14"/>
        <v>5.2502881948377489E-2</v>
      </c>
      <c r="CQ16" s="84">
        <f t="shared" si="15"/>
        <v>5.8586611970911751E-2</v>
      </c>
      <c r="CR16" s="84">
        <f t="shared" si="16"/>
        <v>5.7744931119882992E-2</v>
      </c>
      <c r="CS16" s="84">
        <f t="shared" si="17"/>
        <v>5.6177613500093759E-2</v>
      </c>
      <c r="CT16" s="87">
        <f t="shared" si="18"/>
        <v>5.631031631623995E-2</v>
      </c>
      <c r="CU16" s="1961"/>
      <c r="DB16" s="1961"/>
      <c r="DC16" s="1961"/>
      <c r="DD16" s="1961"/>
      <c r="DE16" s="1961"/>
      <c r="DF16" s="1961"/>
      <c r="DG16" s="1961"/>
      <c r="DH16" s="1961"/>
      <c r="DI16" s="102"/>
    </row>
    <row r="17" spans="1:113" x14ac:dyDescent="0.25">
      <c r="A17" s="110" t="s">
        <v>56</v>
      </c>
      <c r="B17" s="68">
        <v>15</v>
      </c>
      <c r="C17" s="111">
        <f t="shared" ref="C17:H17" si="25">C251+C317</f>
        <v>295.11099999999999</v>
      </c>
      <c r="D17" s="111">
        <f t="shared" si="25"/>
        <v>331.80399999999997</v>
      </c>
      <c r="E17" s="70">
        <f t="shared" si="25"/>
        <v>86.986999999999995</v>
      </c>
      <c r="F17" s="70">
        <f t="shared" si="25"/>
        <v>89.514999999999986</v>
      </c>
      <c r="G17" s="70">
        <f t="shared" si="25"/>
        <v>85.343000000000018</v>
      </c>
      <c r="H17" s="70">
        <f t="shared" si="25"/>
        <v>95.345999999999961</v>
      </c>
      <c r="I17" s="71">
        <f>SUM(E17:H17)</f>
        <v>357.19099999999997</v>
      </c>
      <c r="J17" s="70">
        <f>J251+J317</f>
        <v>93.31</v>
      </c>
      <c r="K17" s="70">
        <f>K251+K317</f>
        <v>97.367999999999995</v>
      </c>
      <c r="L17" s="70">
        <f>L251+L317</f>
        <v>98.306999999999988</v>
      </c>
      <c r="M17" s="70">
        <f>M251+M317</f>
        <v>97.912000000000035</v>
      </c>
      <c r="N17" s="71">
        <f>SUM(J17:M17)</f>
        <v>386.89700000000005</v>
      </c>
      <c r="O17" s="112">
        <f>O251+O317</f>
        <v>107.523</v>
      </c>
      <c r="P17" s="70">
        <f>P251+P317</f>
        <v>112.97800000000001</v>
      </c>
      <c r="Q17" s="70">
        <v>117.383</v>
      </c>
      <c r="R17" s="70">
        <f>R251+R317</f>
        <v>153.41</v>
      </c>
      <c r="S17" s="73">
        <f>SUM(O17:R17)</f>
        <v>491.29399999999998</v>
      </c>
      <c r="T17" s="70">
        <f>T251+T317</f>
        <v>114.99299999999999</v>
      </c>
      <c r="U17" s="70">
        <f>U251+U317</f>
        <v>115</v>
      </c>
      <c r="V17" s="70">
        <f>V251+V317</f>
        <v>117.005</v>
      </c>
      <c r="W17" s="70">
        <f>W251+W317</f>
        <v>116.47500000000002</v>
      </c>
      <c r="X17" s="73">
        <f>SUM(T17:W17)</f>
        <v>463.47300000000001</v>
      </c>
      <c r="Y17" s="70">
        <f>Y251+Y317</f>
        <v>124.55600000000001</v>
      </c>
      <c r="Z17" s="70">
        <f>Z251+Z317</f>
        <v>131.185</v>
      </c>
      <c r="AA17" s="70">
        <f>AA251+AA317</f>
        <v>137.619</v>
      </c>
      <c r="AB17" s="70">
        <f>AB251+AB317</f>
        <v>140.37499999999997</v>
      </c>
      <c r="AC17" s="71">
        <f>SUM(Y17:AB17)</f>
        <v>533.73500000000001</v>
      </c>
      <c r="AD17" s="70">
        <f>AD251+AD317</f>
        <v>133.32999999999998</v>
      </c>
      <c r="AE17" s="70">
        <f>AE251+AE317</f>
        <v>147.07400000000001</v>
      </c>
      <c r="AF17" s="70">
        <f>AF251+AF317</f>
        <v>156.749</v>
      </c>
      <c r="AG17" s="70">
        <f>AG251+AG317</f>
        <v>170.02100000000002</v>
      </c>
      <c r="AH17" s="71">
        <f>SUM(AD17:AG17)</f>
        <v>607.17399999999998</v>
      </c>
      <c r="AI17" s="70">
        <f>AI251+AI317</f>
        <v>143.63200000000001</v>
      </c>
      <c r="AJ17" s="70">
        <f>AJ251+AJ317</f>
        <v>152.428</v>
      </c>
      <c r="AK17" s="70">
        <f>AK251+AK317</f>
        <v>156.30600000000001</v>
      </c>
      <c r="AL17" s="75">
        <f>AL251+AL317</f>
        <v>170.15600000000001</v>
      </c>
      <c r="AM17" s="71">
        <f>SUM(AI17:AL17)</f>
        <v>622.52199999999993</v>
      </c>
      <c r="AN17" s="75">
        <f>AN251+AN317</f>
        <v>169.673</v>
      </c>
      <c r="AO17" s="75">
        <f>AO251+AO317</f>
        <v>172.47</v>
      </c>
      <c r="AP17" s="75">
        <f>AP251+AP317</f>
        <v>180.87299999999999</v>
      </c>
      <c r="AQ17" s="76">
        <f>AQ251+AQ317</f>
        <v>193.58199999999999</v>
      </c>
      <c r="AR17" s="71">
        <f>SUM(AN17:AQ17)</f>
        <v>716.59800000000007</v>
      </c>
      <c r="AS17" s="75">
        <f>AS251+AS317</f>
        <v>184.21600000000001</v>
      </c>
      <c r="AT17" s="75">
        <f>AT251+AT317</f>
        <v>195.19600000000003</v>
      </c>
      <c r="AU17" s="75">
        <f>AU251+AU317</f>
        <v>210.167</v>
      </c>
      <c r="AV17" s="75">
        <f t="shared" ref="AV17:BA17" si="26">AV251+AV317</f>
        <v>213.70000000000002</v>
      </c>
      <c r="AW17" s="71">
        <f>SUM(AS17:AV17)</f>
        <v>803.27900000000011</v>
      </c>
      <c r="AX17" s="75">
        <f t="shared" si="26"/>
        <v>173.27699999999999</v>
      </c>
      <c r="AY17" s="75">
        <f t="shared" si="26"/>
        <v>178.46600000000001</v>
      </c>
      <c r="AZ17" s="75">
        <f t="shared" si="26"/>
        <v>169.66500000000002</v>
      </c>
      <c r="BA17" s="75">
        <f t="shared" si="26"/>
        <v>193</v>
      </c>
      <c r="BB17" s="77">
        <f>SUM(AX17:BA17)</f>
        <v>714.40800000000002</v>
      </c>
      <c r="BC17" s="75">
        <f>BC251+BC317</f>
        <v>182.9</v>
      </c>
      <c r="BD17" s="75">
        <f>BD251+BD317</f>
        <v>193.7</v>
      </c>
      <c r="BE17" s="75">
        <f>BE251+BE317</f>
        <v>198.5</v>
      </c>
      <c r="BF17" s="75">
        <f>BF251+BF317</f>
        <v>208.7</v>
      </c>
      <c r="BG17" s="77">
        <f>SUM(BC17:BF17)</f>
        <v>783.8</v>
      </c>
      <c r="BH17" s="75">
        <f>BH251+BH317</f>
        <v>215.81867974521074</v>
      </c>
      <c r="BI17" s="75">
        <f>BI251+BI317</f>
        <v>220.71229294283117</v>
      </c>
      <c r="BJ17" s="75">
        <f>BJ251+BJ317</f>
        <v>216.90206844347668</v>
      </c>
      <c r="BK17" s="75">
        <f>BK251+BK317</f>
        <v>223.75651126472937</v>
      </c>
      <c r="BL17" s="77">
        <f>SUM(BH17:BK17)</f>
        <v>877.18955239624802</v>
      </c>
      <c r="BM17" s="75">
        <f>BM251+BM317</f>
        <v>227.24306966977011</v>
      </c>
      <c r="BN17" s="75">
        <f>BN251+BN317</f>
        <v>232.58902025239561</v>
      </c>
      <c r="BO17" s="75">
        <f>BO251+BO317</f>
        <v>228.56957194893442</v>
      </c>
      <c r="BP17" s="75">
        <f>BP251+BP317</f>
        <v>236.02337289569178</v>
      </c>
      <c r="BQ17" s="77">
        <f>SUM(BM17:BP17)</f>
        <v>924.4250347667919</v>
      </c>
      <c r="BR17" s="75">
        <f>BR251+BR317</f>
        <v>239.10540222383446</v>
      </c>
      <c r="BS17" s="75">
        <f>BS251+BS317</f>
        <v>244.71876146225469</v>
      </c>
      <c r="BT17" s="75">
        <f>BT251+BT317</f>
        <v>240.46132895977178</v>
      </c>
      <c r="BU17" s="75">
        <f>BU251+BU317</f>
        <v>248.30345657679237</v>
      </c>
      <c r="BV17" s="77">
        <f>SUM(BR17:BU17)</f>
        <v>972.58894922265335</v>
      </c>
      <c r="BW17" s="75">
        <f>BW251+BW317</f>
        <v>251.61518737095173</v>
      </c>
      <c r="BX17" s="75">
        <f>BX251+BX317</f>
        <v>257.50968824991992</v>
      </c>
      <c r="BY17" s="75">
        <f>BY251+BY317</f>
        <v>252.99867282020639</v>
      </c>
      <c r="BZ17" s="75">
        <f>BZ251+BZ317</f>
        <v>261.25074690356331</v>
      </c>
      <c r="CA17" s="77">
        <f>SUM(BW17:BZ17)</f>
        <v>1023.3742953446413</v>
      </c>
      <c r="CB17" s="1910"/>
      <c r="CC17" s="78" t="s">
        <v>51</v>
      </c>
      <c r="CD17" s="79" t="str">
        <f t="shared" si="3"/>
        <v>Cost Of Revenues</v>
      </c>
      <c r="CE17" s="70">
        <f>D17</f>
        <v>331.80399999999997</v>
      </c>
      <c r="CF17" s="70">
        <f t="shared" si="4"/>
        <v>357.19099999999997</v>
      </c>
      <c r="CG17" s="70">
        <f t="shared" si="5"/>
        <v>386.89700000000005</v>
      </c>
      <c r="CH17" s="70">
        <f t="shared" si="6"/>
        <v>491.29399999999998</v>
      </c>
      <c r="CI17" s="70">
        <f t="shared" si="7"/>
        <v>463.47300000000001</v>
      </c>
      <c r="CJ17" s="70">
        <f t="shared" si="8"/>
        <v>533.73500000000001</v>
      </c>
      <c r="CK17" s="70">
        <f t="shared" si="9"/>
        <v>607.17399999999998</v>
      </c>
      <c r="CL17" s="70">
        <f t="shared" si="10"/>
        <v>622.52199999999993</v>
      </c>
      <c r="CM17" s="70">
        <f t="shared" si="11"/>
        <v>716.59800000000007</v>
      </c>
      <c r="CN17" s="70">
        <f t="shared" si="12"/>
        <v>803.27900000000011</v>
      </c>
      <c r="CO17" s="70">
        <f t="shared" si="13"/>
        <v>714.40800000000002</v>
      </c>
      <c r="CP17" s="70">
        <f t="shared" si="14"/>
        <v>783.8</v>
      </c>
      <c r="CQ17" s="70">
        <f t="shared" si="15"/>
        <v>877.18955239624802</v>
      </c>
      <c r="CR17" s="70">
        <f t="shared" si="16"/>
        <v>924.4250347667919</v>
      </c>
      <c r="CS17" s="70">
        <f t="shared" si="17"/>
        <v>972.58894922265335</v>
      </c>
      <c r="CT17" s="80">
        <f t="shared" si="18"/>
        <v>1023.3742953446413</v>
      </c>
      <c r="CU17" s="1961"/>
      <c r="DB17" s="1961"/>
      <c r="DC17" s="1961"/>
      <c r="DD17" s="1961"/>
      <c r="DE17" s="1961"/>
      <c r="DF17" s="1961"/>
      <c r="DG17" s="1961"/>
      <c r="DH17" s="1961"/>
      <c r="DI17" s="74"/>
    </row>
    <row r="18" spans="1:113" x14ac:dyDescent="0.25">
      <c r="A18" s="81" t="s">
        <v>57</v>
      </c>
      <c r="B18" s="82">
        <v>16</v>
      </c>
      <c r="C18" s="83">
        <f t="shared" ref="C18:BB18" si="27">1-C17/C12</f>
        <v>0.54293126413282544</v>
      </c>
      <c r="D18" s="83">
        <f t="shared" si="27"/>
        <v>0.54555676842438294</v>
      </c>
      <c r="E18" s="84">
        <f t="shared" si="27"/>
        <v>0.5625144592977056</v>
      </c>
      <c r="F18" s="84">
        <f t="shared" si="27"/>
        <v>0.55499269216620106</v>
      </c>
      <c r="G18" s="84">
        <f t="shared" si="27"/>
        <v>0.57269318005437531</v>
      </c>
      <c r="H18" s="84">
        <f t="shared" si="27"/>
        <v>0.52911835009185926</v>
      </c>
      <c r="I18" s="83">
        <f t="shared" si="27"/>
        <v>0.55473295146441948</v>
      </c>
      <c r="J18" s="85">
        <f t="shared" si="27"/>
        <v>0.56724392212152974</v>
      </c>
      <c r="K18" s="84">
        <f t="shared" si="27"/>
        <v>0.5615476061817789</v>
      </c>
      <c r="L18" s="84">
        <f t="shared" si="27"/>
        <v>0.56189419361739112</v>
      </c>
      <c r="M18" s="84">
        <f t="shared" si="27"/>
        <v>0.57699735169720334</v>
      </c>
      <c r="N18" s="83">
        <f t="shared" si="27"/>
        <v>0.56701135918527212</v>
      </c>
      <c r="O18" s="85">
        <f t="shared" si="27"/>
        <v>0.56247177020642847</v>
      </c>
      <c r="P18" s="84">
        <f t="shared" si="27"/>
        <v>0.56195815691930706</v>
      </c>
      <c r="Q18" s="84">
        <f t="shared" si="27"/>
        <v>0.54557490776621986</v>
      </c>
      <c r="R18" s="84">
        <f t="shared" si="27"/>
        <v>0.42136946206709258</v>
      </c>
      <c r="S18" s="86">
        <f t="shared" si="27"/>
        <v>0.52167063900052968</v>
      </c>
      <c r="T18" s="84">
        <f t="shared" si="27"/>
        <v>0.58359103978215054</v>
      </c>
      <c r="U18" s="84">
        <f t="shared" si="27"/>
        <v>0.59173095424901567</v>
      </c>
      <c r="V18" s="84">
        <f t="shared" si="27"/>
        <v>0.59281930998002474</v>
      </c>
      <c r="W18" s="84">
        <f t="shared" si="27"/>
        <v>0.60268865253549275</v>
      </c>
      <c r="X18" s="86">
        <f t="shared" si="27"/>
        <v>0.59285294502623553</v>
      </c>
      <c r="Y18" s="84">
        <f>1-Y17/Y12</f>
        <v>0.60189088724034656</v>
      </c>
      <c r="Z18" s="84">
        <f>1-Z17/Z12</f>
        <v>0.59916585186995852</v>
      </c>
      <c r="AA18" s="84">
        <f>1-AA17/AA12</f>
        <v>0.59535486830266571</v>
      </c>
      <c r="AB18" s="84">
        <f>1-AB17/AB12</f>
        <v>0.60074574863549612</v>
      </c>
      <c r="AC18" s="83">
        <f t="shared" si="27"/>
        <v>0.599249909899087</v>
      </c>
      <c r="AD18" s="84">
        <f>1-AD17/AD12</f>
        <v>0.61521034571328803</v>
      </c>
      <c r="AE18" s="84">
        <f>1-AE17/AE12</f>
        <v>0.60593849303103209</v>
      </c>
      <c r="AF18" s="84">
        <f>1-AF17/AF12</f>
        <v>0.60701042713914299</v>
      </c>
      <c r="AG18" s="84">
        <f>1-AG17/AG12</f>
        <v>0.59103023597046156</v>
      </c>
      <c r="AH18" s="83">
        <f t="shared" si="27"/>
        <v>0.60427159914489814</v>
      </c>
      <c r="AI18" s="84">
        <f t="shared" si="27"/>
        <v>0.61870681210628176</v>
      </c>
      <c r="AJ18" s="84">
        <f t="shared" si="27"/>
        <v>0.60952541973430063</v>
      </c>
      <c r="AK18" s="84">
        <f t="shared" si="27"/>
        <v>0.62054927207976163</v>
      </c>
      <c r="AL18" s="84">
        <f t="shared" si="27"/>
        <v>0.59168080475519713</v>
      </c>
      <c r="AM18" s="83">
        <f t="shared" si="27"/>
        <v>0.60987846812052049</v>
      </c>
      <c r="AN18" s="84">
        <f>1-AN17/AN12</f>
        <v>0.58580275996416387</v>
      </c>
      <c r="AO18" s="84">
        <f>1-AO17/AO12</f>
        <v>0.59280280672594277</v>
      </c>
      <c r="AP18" s="84">
        <f>1-AP17/AP12</f>
        <v>0.59686402995553478</v>
      </c>
      <c r="AQ18" s="87">
        <f>1-AQ17/AQ12</f>
        <v>0.58357282990293935</v>
      </c>
      <c r="AR18" s="83">
        <f t="shared" si="27"/>
        <v>0.58974790551007994</v>
      </c>
      <c r="AS18" s="84">
        <f>1-AS17/AS12</f>
        <v>0.59900478235600141</v>
      </c>
      <c r="AT18" s="84">
        <f>1-AT17/AT12</f>
        <v>0.6077644931176529</v>
      </c>
      <c r="AU18" s="84">
        <f>1-AU17/AU12</f>
        <v>0.61815658038411991</v>
      </c>
      <c r="AV18" s="87">
        <f>1-AV17/AV12</f>
        <v>0.61880128433820913</v>
      </c>
      <c r="AW18" s="88">
        <f t="shared" si="27"/>
        <v>0.61157623033894759</v>
      </c>
      <c r="AX18" s="84">
        <f t="shared" si="27"/>
        <v>0.64831205944376002</v>
      </c>
      <c r="AY18" s="84">
        <f t="shared" si="27"/>
        <v>0.64184741599370643</v>
      </c>
      <c r="AZ18" s="84">
        <f t="shared" si="27"/>
        <v>0.65936263378848015</v>
      </c>
      <c r="BA18" s="87">
        <f t="shared" si="27"/>
        <v>0.61865244022920374</v>
      </c>
      <c r="BB18" s="88">
        <f t="shared" si="27"/>
        <v>0.64193269973907086</v>
      </c>
      <c r="BC18" s="84">
        <f t="shared" ref="BC18:CA18" si="28">1-BC17/BC12</f>
        <v>0.63609231993633109</v>
      </c>
      <c r="BD18" s="84">
        <f>1-BD17/BD12</f>
        <v>0.62977828746177378</v>
      </c>
      <c r="BE18" s="84">
        <f t="shared" si="28"/>
        <v>0.63849936259333451</v>
      </c>
      <c r="BF18" s="87">
        <f t="shared" si="28"/>
        <v>0.63405225320007008</v>
      </c>
      <c r="BG18" s="88">
        <f t="shared" si="28"/>
        <v>0.63462614208465418</v>
      </c>
      <c r="BH18" s="84">
        <f t="shared" si="28"/>
        <v>0.62014052572856881</v>
      </c>
      <c r="BI18" s="84">
        <f t="shared" si="28"/>
        <v>0.62121312664054984</v>
      </c>
      <c r="BJ18" s="84">
        <f t="shared" si="28"/>
        <v>0.63742595200247953</v>
      </c>
      <c r="BK18" s="87">
        <f t="shared" si="28"/>
        <v>0.63339579279276381</v>
      </c>
      <c r="BL18" s="88">
        <f t="shared" si="28"/>
        <v>0.62821709108637969</v>
      </c>
      <c r="BM18" s="84">
        <f t="shared" si="28"/>
        <v>0.62148509199217983</v>
      </c>
      <c r="BN18" s="84">
        <f t="shared" si="28"/>
        <v>0.62257186164516365</v>
      </c>
      <c r="BO18" s="84">
        <f t="shared" si="28"/>
        <v>0.63882538691670732</v>
      </c>
      <c r="BP18" s="87">
        <f t="shared" si="28"/>
        <v>0.63475486246231538</v>
      </c>
      <c r="BQ18" s="88">
        <f t="shared" si="28"/>
        <v>0.62958657705158827</v>
      </c>
      <c r="BR18" s="84">
        <f t="shared" si="28"/>
        <v>0.62286418934911192</v>
      </c>
      <c r="BS18" s="84">
        <f t="shared" si="28"/>
        <v>0.62399368670242605</v>
      </c>
      <c r="BT18" s="84">
        <f t="shared" si="28"/>
        <v>0.64028333998987308</v>
      </c>
      <c r="BU18" s="87">
        <f t="shared" si="28"/>
        <v>0.63620834738020005</v>
      </c>
      <c r="BV18" s="88">
        <f t="shared" si="28"/>
        <v>0.63101612236981175</v>
      </c>
      <c r="BW18" s="84">
        <f t="shared" si="28"/>
        <v>0.62424296660610157</v>
      </c>
      <c r="BX18" s="84">
        <f t="shared" si="28"/>
        <v>0.62541585142514466</v>
      </c>
      <c r="BY18" s="84">
        <f t="shared" si="28"/>
        <v>0.64174225805470209</v>
      </c>
      <c r="BZ18" s="87">
        <f t="shared" si="28"/>
        <v>0.63766248175938145</v>
      </c>
      <c r="CA18" s="88">
        <f t="shared" si="28"/>
        <v>0.6324460935574856</v>
      </c>
      <c r="CB18" s="1910"/>
      <c r="CC18" s="93"/>
      <c r="CD18" s="94" t="str">
        <f t="shared" si="3"/>
        <v>Gross Margin</v>
      </c>
      <c r="CE18" s="84">
        <f>D18</f>
        <v>0.54555676842438294</v>
      </c>
      <c r="CF18" s="84">
        <f t="shared" si="4"/>
        <v>0.55473295146441948</v>
      </c>
      <c r="CG18" s="84">
        <f t="shared" si="5"/>
        <v>0.56701135918527212</v>
      </c>
      <c r="CH18" s="84">
        <f t="shared" si="6"/>
        <v>0.52167063900052968</v>
      </c>
      <c r="CI18" s="84">
        <f t="shared" si="7"/>
        <v>0.59285294502623553</v>
      </c>
      <c r="CJ18" s="84">
        <f t="shared" si="8"/>
        <v>0.599249909899087</v>
      </c>
      <c r="CK18" s="84">
        <f t="shared" si="9"/>
        <v>0.60427159914489814</v>
      </c>
      <c r="CL18" s="84">
        <f t="shared" si="10"/>
        <v>0.60987846812052049</v>
      </c>
      <c r="CM18" s="84">
        <f t="shared" si="11"/>
        <v>0.58974790551007994</v>
      </c>
      <c r="CN18" s="84">
        <f t="shared" si="12"/>
        <v>0.61157623033894759</v>
      </c>
      <c r="CO18" s="84">
        <f t="shared" si="13"/>
        <v>0.64193269973907086</v>
      </c>
      <c r="CP18" s="84">
        <f t="shared" si="14"/>
        <v>0.63462614208465418</v>
      </c>
      <c r="CQ18" s="84">
        <f t="shared" si="15"/>
        <v>0.62821709108637969</v>
      </c>
      <c r="CR18" s="84">
        <f t="shared" si="16"/>
        <v>0.62958657705158827</v>
      </c>
      <c r="CS18" s="84">
        <f t="shared" si="17"/>
        <v>0.63101612236981175</v>
      </c>
      <c r="CT18" s="87">
        <f t="shared" si="18"/>
        <v>0.6324460935574856</v>
      </c>
      <c r="CU18" s="1961"/>
      <c r="DB18" s="1961"/>
      <c r="DC18" s="1961"/>
      <c r="DD18" s="1961"/>
      <c r="DE18" s="1961"/>
      <c r="DF18" s="1961"/>
      <c r="DG18" s="1961"/>
      <c r="DH18" s="1961"/>
      <c r="DI18" s="95"/>
    </row>
    <row r="19" spans="1:113" ht="12" customHeight="1" x14ac:dyDescent="0.25">
      <c r="A19" s="113" t="s">
        <v>58</v>
      </c>
      <c r="B19" s="68"/>
      <c r="C19" s="114">
        <f t="shared" ref="C19:H19" si="29">C257+C323</f>
        <v>88.722999999999999</v>
      </c>
      <c r="D19" s="114">
        <f t="shared" si="29"/>
        <v>100.124</v>
      </c>
      <c r="E19" s="115">
        <f t="shared" si="29"/>
        <v>27.924999999999997</v>
      </c>
      <c r="F19" s="115">
        <f t="shared" si="29"/>
        <v>27.675000000000004</v>
      </c>
      <c r="G19" s="115">
        <f t="shared" si="29"/>
        <v>26.989000000000001</v>
      </c>
      <c r="H19" s="115">
        <f t="shared" si="29"/>
        <v>24.986999999999991</v>
      </c>
      <c r="I19" s="116">
        <f>SUM(E19:H19)</f>
        <v>107.57599999999999</v>
      </c>
      <c r="J19" s="115">
        <f>J257+J323</f>
        <v>28.673999999999999</v>
      </c>
      <c r="K19" s="115">
        <f>K257+K323</f>
        <v>30.353999999999999</v>
      </c>
      <c r="L19" s="115">
        <f>L257+L323</f>
        <v>32.265000000000001</v>
      </c>
      <c r="M19" s="115">
        <f>M257+M323</f>
        <v>39.946000000000005</v>
      </c>
      <c r="N19" s="116">
        <f>SUM(J19:M19)</f>
        <v>131.239</v>
      </c>
      <c r="O19" s="117">
        <f>O257+O323</f>
        <v>33.32</v>
      </c>
      <c r="P19" s="115">
        <f>P257+P323</f>
        <v>38.905000000000001</v>
      </c>
      <c r="Q19" s="115">
        <f>38.5</f>
        <v>38.5</v>
      </c>
      <c r="R19" s="115">
        <f>R257+R323</f>
        <v>51.878999999999998</v>
      </c>
      <c r="S19" s="73">
        <f>SUM(O19:R19)</f>
        <v>162.60399999999998</v>
      </c>
      <c r="T19" s="115">
        <f>T257+T323</f>
        <v>37.513999999999996</v>
      </c>
      <c r="U19" s="115">
        <f>U257+U323</f>
        <v>42.638000000000005</v>
      </c>
      <c r="V19" s="115">
        <f>V257+V323</f>
        <v>40.981999999999999</v>
      </c>
      <c r="W19" s="115">
        <f>W257+W323</f>
        <v>45.239999999999995</v>
      </c>
      <c r="X19" s="118">
        <f>SUM(T19:W19)</f>
        <v>166.374</v>
      </c>
      <c r="Y19" s="115">
        <f>Y257+Y323</f>
        <v>49.256</v>
      </c>
      <c r="Z19" s="115">
        <f>Z257+Z323</f>
        <v>55.908999999999999</v>
      </c>
      <c r="AA19" s="115">
        <f>AA257+AA323</f>
        <v>51.475000000000001</v>
      </c>
      <c r="AB19" s="115">
        <f>AB257+AB323</f>
        <v>52.829000000000022</v>
      </c>
      <c r="AC19" s="116">
        <f>SUM(Y19:AB19)</f>
        <v>209.46899999999999</v>
      </c>
      <c r="AD19" s="115">
        <f>AD257+AD323</f>
        <v>53.978999999999999</v>
      </c>
      <c r="AE19" s="115">
        <f>AE257+AE323</f>
        <v>62.472999999999999</v>
      </c>
      <c r="AF19" s="115">
        <f>AF257+AF323</f>
        <v>58.706999999999994</v>
      </c>
      <c r="AG19" s="115">
        <f>AG257+AG323</f>
        <v>56.2</v>
      </c>
      <c r="AH19" s="116">
        <f>SUM(AD19:AG19)</f>
        <v>231.35899999999998</v>
      </c>
      <c r="AI19" s="119">
        <f>AI257+AI323</f>
        <v>56.322000000000003</v>
      </c>
      <c r="AJ19" s="115">
        <f>AJ257+AJ323</f>
        <v>58.198</v>
      </c>
      <c r="AK19" s="115">
        <f>AK257+AK323</f>
        <v>56.783000000000001</v>
      </c>
      <c r="AL19" s="120">
        <f>AL257+AL323</f>
        <v>57.679000000000002</v>
      </c>
      <c r="AM19" s="116">
        <f>SUM(AI19:AL19)</f>
        <v>228.982</v>
      </c>
      <c r="AN19" s="120">
        <f>AN257+AN323</f>
        <v>57.134</v>
      </c>
      <c r="AO19" s="120">
        <f>AO257+AO323</f>
        <v>57.073999999999998</v>
      </c>
      <c r="AP19" s="120">
        <f>AP257+AP323</f>
        <v>56.164000000000001</v>
      </c>
      <c r="AQ19" s="121">
        <f>AQ257+AQ323</f>
        <v>56.933999999999997</v>
      </c>
      <c r="AR19" s="116">
        <f>SUM(AN19:AQ19)</f>
        <v>227.30600000000001</v>
      </c>
      <c r="AS19" s="120">
        <f>AS257+AS323</f>
        <v>58.305999999999997</v>
      </c>
      <c r="AT19" s="120">
        <f>AT257+AT323</f>
        <v>91.292000000000002</v>
      </c>
      <c r="AU19" s="120">
        <f>AU257+AU323</f>
        <v>79.31</v>
      </c>
      <c r="AV19" s="120">
        <f>AV257+AV323</f>
        <v>83.800000000000011</v>
      </c>
      <c r="AW19" s="71">
        <f>SUM(AS19:AV19)</f>
        <v>312.70800000000003</v>
      </c>
      <c r="AX19" s="120">
        <f>AX257+AX323</f>
        <v>71.037000000000006</v>
      </c>
      <c r="AY19" s="120">
        <f>AY257+AY323</f>
        <v>75.557000000000002</v>
      </c>
      <c r="AZ19" s="120">
        <f>AZ257+AZ323</f>
        <v>77.813999999999993</v>
      </c>
      <c r="BA19" s="120">
        <f>BA257+BA323</f>
        <v>77.2</v>
      </c>
      <c r="BB19" s="77">
        <f>SUM(AX19:BA19)</f>
        <v>301.608</v>
      </c>
      <c r="BC19" s="120">
        <f>BC257+BC323</f>
        <v>75.900000000000006</v>
      </c>
      <c r="BD19" s="120">
        <f>BD257+BD323</f>
        <v>78.800000000000011</v>
      </c>
      <c r="BE19" s="120">
        <f>BE257+BE323</f>
        <v>80.900000000000006</v>
      </c>
      <c r="BF19" s="120">
        <f>BF257+BF323</f>
        <v>87.199999999999989</v>
      </c>
      <c r="BG19" s="77">
        <f>SUM(BC19:BF19)</f>
        <v>322.8</v>
      </c>
      <c r="BH19" s="120">
        <f>BH257+BH323</f>
        <v>83.643192557471266</v>
      </c>
      <c r="BI19" s="120">
        <f>BI257+BI323</f>
        <v>87.063279914095574</v>
      </c>
      <c r="BJ19" s="120">
        <f>BJ257+BJ323</f>
        <v>88.653914465673893</v>
      </c>
      <c r="BK19" s="120">
        <f>BK257+BK323</f>
        <v>93.607949146894143</v>
      </c>
      <c r="BL19" s="77">
        <f>SUM(BH19:BK19)</f>
        <v>352.96833608413488</v>
      </c>
      <c r="BM19" s="120">
        <f>BM257+BM323</f>
        <v>87.661881632758622</v>
      </c>
      <c r="BN19" s="120">
        <f>BN257+BN323</f>
        <v>91.343995454234715</v>
      </c>
      <c r="BO19" s="120">
        <f>BO257+BO323</f>
        <v>93.040745518011732</v>
      </c>
      <c r="BP19" s="120">
        <f>BP257+BP323</f>
        <v>98.340828230157285</v>
      </c>
      <c r="BQ19" s="77">
        <f>SUM(BM19:BP19)</f>
        <v>370.38745083516233</v>
      </c>
      <c r="BR19" s="120">
        <f>BR257+BR323</f>
        <v>91.806374697853656</v>
      </c>
      <c r="BS19" s="120">
        <f>BS257+BS323</f>
        <v>95.678303850701269</v>
      </c>
      <c r="BT19" s="120">
        <f>BT257+BT323</f>
        <v>97.472846425895966</v>
      </c>
      <c r="BU19" s="120">
        <f>BU257+BU323</f>
        <v>103.03517488645336</v>
      </c>
      <c r="BV19" s="77">
        <f>SUM(BR19:BU19)</f>
        <v>387.99269986090428</v>
      </c>
      <c r="BW19" s="120">
        <f>BW257+BW323</f>
        <v>96.156161799860129</v>
      </c>
      <c r="BX19" s="120">
        <f>BX257+BX323</f>
        <v>100.22817542597241</v>
      </c>
      <c r="BY19" s="120">
        <f>BY257+BY323</f>
        <v>102.12613695100252</v>
      </c>
      <c r="BZ19" s="120">
        <f>BZ257+BZ323</f>
        <v>107.96411541109693</v>
      </c>
      <c r="CA19" s="77">
        <f>SUM(BW19:BZ19)</f>
        <v>406.47458958793203</v>
      </c>
      <c r="CB19" s="1910"/>
      <c r="CC19" s="123"/>
      <c r="CD19" s="124" t="str">
        <f t="shared" si="3"/>
        <v>Selling General and Administrative</v>
      </c>
      <c r="CE19" s="115">
        <f>D19</f>
        <v>100.124</v>
      </c>
      <c r="CF19" s="115">
        <f t="shared" si="4"/>
        <v>107.57599999999999</v>
      </c>
      <c r="CG19" s="115">
        <f t="shared" si="5"/>
        <v>131.239</v>
      </c>
      <c r="CH19" s="115">
        <f t="shared" si="6"/>
        <v>162.60399999999998</v>
      </c>
      <c r="CI19" s="115">
        <f t="shared" si="7"/>
        <v>166.374</v>
      </c>
      <c r="CJ19" s="115">
        <f t="shared" si="8"/>
        <v>209.46899999999999</v>
      </c>
      <c r="CK19" s="115">
        <f t="shared" si="9"/>
        <v>231.35899999999998</v>
      </c>
      <c r="CL19" s="115">
        <f t="shared" si="10"/>
        <v>228.982</v>
      </c>
      <c r="CM19" s="115">
        <f t="shared" si="11"/>
        <v>227.30600000000001</v>
      </c>
      <c r="CN19" s="115">
        <f t="shared" si="12"/>
        <v>312.70800000000003</v>
      </c>
      <c r="CO19" s="115">
        <f t="shared" si="13"/>
        <v>301.608</v>
      </c>
      <c r="CP19" s="115">
        <f t="shared" si="14"/>
        <v>322.8</v>
      </c>
      <c r="CQ19" s="115">
        <f t="shared" si="15"/>
        <v>352.96833608413488</v>
      </c>
      <c r="CR19" s="115">
        <f t="shared" si="16"/>
        <v>370.38745083516233</v>
      </c>
      <c r="CS19" s="115">
        <f t="shared" si="17"/>
        <v>387.99269986090428</v>
      </c>
      <c r="CT19" s="125">
        <f t="shared" si="18"/>
        <v>406.47458958793203</v>
      </c>
      <c r="CU19" s="1961"/>
      <c r="DB19" s="1961"/>
      <c r="DC19" s="1961"/>
      <c r="DD19" s="1961"/>
      <c r="DE19" s="1961"/>
      <c r="DF19" s="1961"/>
      <c r="DG19" s="1961"/>
      <c r="DH19" s="1961"/>
      <c r="DI19" s="126"/>
    </row>
    <row r="20" spans="1:113" ht="12" customHeight="1" x14ac:dyDescent="0.25">
      <c r="A20" s="81" t="s">
        <v>59</v>
      </c>
      <c r="B20" s="127"/>
      <c r="C20" s="83">
        <f t="shared" ref="C20:BB20" si="30">C19/C12</f>
        <v>0.13741442864665612</v>
      </c>
      <c r="D20" s="83">
        <f t="shared" si="30"/>
        <v>0.13713118020963302</v>
      </c>
      <c r="E20" s="84">
        <f t="shared" si="30"/>
        <v>0.14044378727984147</v>
      </c>
      <c r="F20" s="84">
        <f t="shared" si="30"/>
        <v>0.13758115672569277</v>
      </c>
      <c r="G20" s="84">
        <f t="shared" si="30"/>
        <v>0.13513215803888384</v>
      </c>
      <c r="H20" s="84">
        <f t="shared" si="30"/>
        <v>0.12340234290116747</v>
      </c>
      <c r="I20" s="83">
        <f t="shared" si="30"/>
        <v>0.13410205747978982</v>
      </c>
      <c r="J20" s="85">
        <f t="shared" si="30"/>
        <v>0.1329851867654834</v>
      </c>
      <c r="K20" s="84">
        <f t="shared" si="30"/>
        <v>0.13668539932994703</v>
      </c>
      <c r="L20" s="84">
        <f t="shared" si="30"/>
        <v>0.14378918940599222</v>
      </c>
      <c r="M20" s="84">
        <f t="shared" si="30"/>
        <v>0.17257602529928417</v>
      </c>
      <c r="N20" s="83">
        <f t="shared" si="30"/>
        <v>0.14687370600414079</v>
      </c>
      <c r="O20" s="85">
        <f t="shared" si="30"/>
        <v>0.13558439233207595</v>
      </c>
      <c r="P20" s="84">
        <f t="shared" si="30"/>
        <v>0.15084368554102887</v>
      </c>
      <c r="Q20" s="84">
        <f t="shared" si="30"/>
        <v>0.14904514325754611</v>
      </c>
      <c r="R20" s="84">
        <f t="shared" si="30"/>
        <v>0.19567677255342744</v>
      </c>
      <c r="S20" s="86">
        <f t="shared" si="30"/>
        <v>0.15831308221952206</v>
      </c>
      <c r="T20" s="84">
        <f t="shared" si="30"/>
        <v>0.1358444925657423</v>
      </c>
      <c r="U20" s="84">
        <f t="shared" si="30"/>
        <v>0.15137196150200408</v>
      </c>
      <c r="V20" s="84">
        <f t="shared" si="30"/>
        <v>0.14261851235757983</v>
      </c>
      <c r="W20" s="84">
        <f t="shared" si="30"/>
        <v>0.15431951370933078</v>
      </c>
      <c r="X20" s="86">
        <f t="shared" si="30"/>
        <v>0.14615454217226265</v>
      </c>
      <c r="Y20" s="84">
        <f>Y19/Y12</f>
        <v>0.15743330275610556</v>
      </c>
      <c r="Z20" s="84">
        <f>Z19/Z12</f>
        <v>0.17082925934979221</v>
      </c>
      <c r="AA20" s="84">
        <f>AA19/AA12</f>
        <v>0.15135343342213126</v>
      </c>
      <c r="AB20" s="84">
        <f>AB19/AB12</f>
        <v>0.15025612000238919</v>
      </c>
      <c r="AC20" s="83">
        <f t="shared" si="30"/>
        <v>0.1572779012493993</v>
      </c>
      <c r="AD20" s="84">
        <f>AD19/AD12</f>
        <v>0.15578310019307304</v>
      </c>
      <c r="AE20" s="84">
        <f>AE19/AE12</f>
        <v>0.16738651648063105</v>
      </c>
      <c r="AF20" s="84">
        <f>AF19/AF12</f>
        <v>0.1471858758521096</v>
      </c>
      <c r="AG20" s="84">
        <f>AG19/AG12</f>
        <v>0.13518389339234599</v>
      </c>
      <c r="AH20" s="83">
        <f t="shared" si="30"/>
        <v>0.15078927472756659</v>
      </c>
      <c r="AI20" s="84">
        <f t="shared" si="30"/>
        <v>0.14951539300817368</v>
      </c>
      <c r="AJ20" s="84">
        <f t="shared" si="30"/>
        <v>0.14908572980228812</v>
      </c>
      <c r="AK20" s="84">
        <f t="shared" si="30"/>
        <v>0.1378472399235787</v>
      </c>
      <c r="AL20" s="84">
        <f t="shared" si="30"/>
        <v>0.13841088684809813</v>
      </c>
      <c r="AM20" s="83">
        <f t="shared" si="30"/>
        <v>0.14349823558497049</v>
      </c>
      <c r="AN20" s="84">
        <f>AN19/AN12</f>
        <v>0.13947266278198334</v>
      </c>
      <c r="AO20" s="84">
        <f>AO19/AO12</f>
        <v>0.13475023255594329</v>
      </c>
      <c r="AP20" s="84">
        <f>AP19/AP12</f>
        <v>0.12518025698460988</v>
      </c>
      <c r="AQ20" s="87">
        <f>AQ19/AQ12</f>
        <v>0.12247453018517244</v>
      </c>
      <c r="AR20" s="83">
        <f t="shared" si="30"/>
        <v>0.13013260236579752</v>
      </c>
      <c r="AS20" s="84">
        <f>AS19/AS12</f>
        <v>0.12691854757432025</v>
      </c>
      <c r="AT20" s="84">
        <f>AT19/AT12</f>
        <v>0.18344619712649454</v>
      </c>
      <c r="AU20" s="84">
        <f>AU19/AU12</f>
        <v>0.14409494168796932</v>
      </c>
      <c r="AV20" s="87">
        <f>AV19/AV12</f>
        <v>0.14948269711023901</v>
      </c>
      <c r="AW20" s="88">
        <f t="shared" si="30"/>
        <v>0.15120925626484494</v>
      </c>
      <c r="AX20" s="84">
        <f t="shared" si="30"/>
        <v>0.1441787209687011</v>
      </c>
      <c r="AY20" s="84">
        <f t="shared" si="30"/>
        <v>0.15163075762197573</v>
      </c>
      <c r="AZ20" s="84">
        <f t="shared" si="30"/>
        <v>0.15622760153469012</v>
      </c>
      <c r="BA20" s="87">
        <f t="shared" si="30"/>
        <v>0.1525390239083185</v>
      </c>
      <c r="BB20" s="88">
        <f t="shared" si="30"/>
        <v>0.15116846717435739</v>
      </c>
      <c r="BC20" s="84">
        <f t="shared" ref="BC20:CA20" si="31">BC19/BC12</f>
        <v>0.15101472343812178</v>
      </c>
      <c r="BD20" s="84">
        <f>BD19/BD12</f>
        <v>0.15061162079510704</v>
      </c>
      <c r="BE20" s="84">
        <f t="shared" si="31"/>
        <v>0.14733199781460576</v>
      </c>
      <c r="BF20" s="87">
        <f t="shared" si="31"/>
        <v>0.15290198141329125</v>
      </c>
      <c r="BG20" s="88">
        <f t="shared" si="31"/>
        <v>0.15047548014171172</v>
      </c>
      <c r="BH20" s="84">
        <f t="shared" si="31"/>
        <v>0.14721922675449134</v>
      </c>
      <c r="BI20" s="84">
        <f t="shared" si="31"/>
        <v>0.14941817305853891</v>
      </c>
      <c r="BJ20" s="84">
        <f t="shared" si="31"/>
        <v>0.148194108379477</v>
      </c>
      <c r="BK20" s="87">
        <f t="shared" si="31"/>
        <v>0.15336790778209541</v>
      </c>
      <c r="BL20" s="88">
        <f t="shared" si="31"/>
        <v>0.1496000429841888</v>
      </c>
      <c r="BM20" s="84">
        <f t="shared" si="31"/>
        <v>0.14601690212262664</v>
      </c>
      <c r="BN20" s="84">
        <f t="shared" si="31"/>
        <v>0.14822623233363633</v>
      </c>
      <c r="BO20" s="84">
        <f t="shared" si="31"/>
        <v>0.14701849846818879</v>
      </c>
      <c r="BP20" s="87">
        <f t="shared" si="31"/>
        <v>0.15218200168831353</v>
      </c>
      <c r="BQ20" s="88">
        <f t="shared" si="31"/>
        <v>0.1484127736930016</v>
      </c>
      <c r="BR20" s="84">
        <f t="shared" si="31"/>
        <v>0.14480422116177052</v>
      </c>
      <c r="BS20" s="84">
        <f t="shared" si="31"/>
        <v>0.14700812507591954</v>
      </c>
      <c r="BT20" s="84">
        <f t="shared" si="31"/>
        <v>0.14581391074266731</v>
      </c>
      <c r="BU20" s="87">
        <f t="shared" si="31"/>
        <v>0.15095777185977502</v>
      </c>
      <c r="BV20" s="88">
        <f t="shared" si="31"/>
        <v>0.14719789999804753</v>
      </c>
      <c r="BW20" s="84">
        <f t="shared" si="31"/>
        <v>0.14359766784344119</v>
      </c>
      <c r="BX20" s="84">
        <f t="shared" si="31"/>
        <v>0.14579601260948202</v>
      </c>
      <c r="BY20" s="84">
        <f t="shared" si="31"/>
        <v>0.14461530098090009</v>
      </c>
      <c r="BZ20" s="87">
        <f t="shared" si="31"/>
        <v>0.14973909204378624</v>
      </c>
      <c r="CA20" s="88">
        <f t="shared" si="31"/>
        <v>0.1459889347937437</v>
      </c>
      <c r="CB20" s="1910"/>
      <c r="CC20" s="93"/>
      <c r="CD20" s="94" t="str">
        <f t="shared" si="3"/>
        <v>% of Total Revenue</v>
      </c>
      <c r="CE20" s="84">
        <f>D20</f>
        <v>0.13713118020963302</v>
      </c>
      <c r="CF20" s="84">
        <f t="shared" si="4"/>
        <v>0.13410205747978982</v>
      </c>
      <c r="CG20" s="84">
        <f t="shared" si="5"/>
        <v>0.14687370600414079</v>
      </c>
      <c r="CH20" s="84">
        <f t="shared" si="6"/>
        <v>0.15831308221952206</v>
      </c>
      <c r="CI20" s="84">
        <f t="shared" si="7"/>
        <v>0.14615454217226265</v>
      </c>
      <c r="CJ20" s="84">
        <f t="shared" si="8"/>
        <v>0.1572779012493993</v>
      </c>
      <c r="CK20" s="84">
        <f t="shared" si="9"/>
        <v>0.15078927472756659</v>
      </c>
      <c r="CL20" s="84">
        <f t="shared" si="10"/>
        <v>0.14349823558497049</v>
      </c>
      <c r="CM20" s="84">
        <f t="shared" si="11"/>
        <v>0.13013260236579752</v>
      </c>
      <c r="CN20" s="84">
        <f t="shared" si="12"/>
        <v>0.15120925626484494</v>
      </c>
      <c r="CO20" s="84">
        <f t="shared" si="13"/>
        <v>0.15116846717435739</v>
      </c>
      <c r="CP20" s="84">
        <f t="shared" si="14"/>
        <v>0.15047548014171172</v>
      </c>
      <c r="CQ20" s="84">
        <f t="shared" si="15"/>
        <v>0.1496000429841888</v>
      </c>
      <c r="CR20" s="84">
        <f t="shared" si="16"/>
        <v>0.1484127736930016</v>
      </c>
      <c r="CS20" s="84">
        <f t="shared" si="17"/>
        <v>0.14719789999804753</v>
      </c>
      <c r="CT20" s="87">
        <f t="shared" si="18"/>
        <v>0.1459889347937437</v>
      </c>
      <c r="CU20" s="1961"/>
      <c r="DB20" s="1961"/>
      <c r="DC20" s="1961"/>
      <c r="DD20" s="1961"/>
      <c r="DE20" s="1961"/>
      <c r="DF20" s="1961"/>
      <c r="DG20" s="1961"/>
      <c r="DH20" s="1961"/>
      <c r="DI20" s="95"/>
    </row>
    <row r="21" spans="1:113" ht="5.25" customHeight="1" x14ac:dyDescent="0.25">
      <c r="A21" s="110"/>
      <c r="B21" s="128"/>
      <c r="C21" s="129" t="s">
        <v>60</v>
      </c>
      <c r="D21" s="129" t="s">
        <v>60</v>
      </c>
      <c r="E21" s="130" t="s">
        <v>60</v>
      </c>
      <c r="F21" s="130" t="s">
        <v>60</v>
      </c>
      <c r="G21" s="130" t="s">
        <v>60</v>
      </c>
      <c r="H21" s="130" t="s">
        <v>60</v>
      </c>
      <c r="I21" s="129" t="s">
        <v>60</v>
      </c>
      <c r="J21" s="130" t="s">
        <v>60</v>
      </c>
      <c r="K21" s="130" t="s">
        <v>60</v>
      </c>
      <c r="L21" s="130" t="s">
        <v>60</v>
      </c>
      <c r="M21" s="130" t="s">
        <v>60</v>
      </c>
      <c r="N21" s="129" t="s">
        <v>60</v>
      </c>
      <c r="O21" s="131" t="s">
        <v>60</v>
      </c>
      <c r="P21" s="130" t="s">
        <v>60</v>
      </c>
      <c r="Q21" s="130" t="s">
        <v>60</v>
      </c>
      <c r="R21" s="130" t="s">
        <v>60</v>
      </c>
      <c r="S21" s="132" t="s">
        <v>60</v>
      </c>
      <c r="T21" s="130" t="s">
        <v>60</v>
      </c>
      <c r="U21" s="130" t="s">
        <v>60</v>
      </c>
      <c r="V21" s="130" t="s">
        <v>60</v>
      </c>
      <c r="W21" s="130" t="s">
        <v>60</v>
      </c>
      <c r="X21" s="132" t="s">
        <v>60</v>
      </c>
      <c r="Y21" s="130" t="s">
        <v>60</v>
      </c>
      <c r="Z21" s="130" t="s">
        <v>60</v>
      </c>
      <c r="AA21" s="130" t="s">
        <v>60</v>
      </c>
      <c r="AB21" s="130" t="s">
        <v>60</v>
      </c>
      <c r="AC21" s="129" t="s">
        <v>60</v>
      </c>
      <c r="AD21" s="130" t="s">
        <v>60</v>
      </c>
      <c r="AE21" s="130" t="s">
        <v>60</v>
      </c>
      <c r="AF21" s="130" t="s">
        <v>60</v>
      </c>
      <c r="AG21" s="130" t="s">
        <v>60</v>
      </c>
      <c r="AH21" s="129" t="s">
        <v>60</v>
      </c>
      <c r="AI21" s="130" t="s">
        <v>60</v>
      </c>
      <c r="AJ21" s="130" t="s">
        <v>60</v>
      </c>
      <c r="AK21" s="130" t="s">
        <v>60</v>
      </c>
      <c r="AL21" s="130" t="s">
        <v>60</v>
      </c>
      <c r="AM21" s="129" t="s">
        <v>60</v>
      </c>
      <c r="AN21" s="130" t="s">
        <v>60</v>
      </c>
      <c r="AO21" s="130" t="s">
        <v>60</v>
      </c>
      <c r="AP21" s="130" t="s">
        <v>60</v>
      </c>
      <c r="AQ21" s="133" t="s">
        <v>60</v>
      </c>
      <c r="AR21" s="129" t="s">
        <v>60</v>
      </c>
      <c r="AS21" s="130" t="s">
        <v>60</v>
      </c>
      <c r="AT21" s="130" t="s">
        <v>60</v>
      </c>
      <c r="AU21" s="130" t="s">
        <v>60</v>
      </c>
      <c r="AV21" s="133" t="s">
        <v>60</v>
      </c>
      <c r="AW21" s="134" t="s">
        <v>60</v>
      </c>
      <c r="AX21" s="130" t="s">
        <v>60</v>
      </c>
      <c r="AY21" s="130" t="s">
        <v>60</v>
      </c>
      <c r="AZ21" s="130" t="s">
        <v>60</v>
      </c>
      <c r="BA21" s="133" t="s">
        <v>60</v>
      </c>
      <c r="BB21" s="134" t="s">
        <v>60</v>
      </c>
      <c r="BC21" s="130" t="s">
        <v>60</v>
      </c>
      <c r="BD21" s="130" t="s">
        <v>60</v>
      </c>
      <c r="BE21" s="130" t="s">
        <v>60</v>
      </c>
      <c r="BF21" s="133" t="s">
        <v>60</v>
      </c>
      <c r="BG21" s="134" t="s">
        <v>60</v>
      </c>
      <c r="BH21" s="130" t="s">
        <v>60</v>
      </c>
      <c r="BI21" s="130" t="s">
        <v>60</v>
      </c>
      <c r="BJ21" s="130" t="s">
        <v>60</v>
      </c>
      <c r="BK21" s="133" t="s">
        <v>60</v>
      </c>
      <c r="BL21" s="134" t="s">
        <v>60</v>
      </c>
      <c r="BM21" s="130" t="s">
        <v>60</v>
      </c>
      <c r="BN21" s="130" t="s">
        <v>60</v>
      </c>
      <c r="BO21" s="130" t="s">
        <v>60</v>
      </c>
      <c r="BP21" s="133" t="s">
        <v>60</v>
      </c>
      <c r="BQ21" s="134" t="s">
        <v>60</v>
      </c>
      <c r="BR21" s="130" t="s">
        <v>60</v>
      </c>
      <c r="BS21" s="130" t="s">
        <v>60</v>
      </c>
      <c r="BT21" s="130" t="s">
        <v>60</v>
      </c>
      <c r="BU21" s="133" t="s">
        <v>60</v>
      </c>
      <c r="BV21" s="134" t="s">
        <v>60</v>
      </c>
      <c r="BW21" s="130" t="s">
        <v>60</v>
      </c>
      <c r="BX21" s="130" t="s">
        <v>60</v>
      </c>
      <c r="BY21" s="130" t="s">
        <v>60</v>
      </c>
      <c r="BZ21" s="133" t="s">
        <v>60</v>
      </c>
      <c r="CA21" s="134" t="s">
        <v>60</v>
      </c>
      <c r="CB21" s="1910"/>
      <c r="CC21" s="29"/>
      <c r="CD21" s="79"/>
      <c r="CE21" s="130"/>
      <c r="CF21" s="130"/>
      <c r="CG21" s="130"/>
      <c r="CH21" s="130"/>
      <c r="CI21" s="130"/>
      <c r="CJ21" s="130"/>
      <c r="CK21" s="130"/>
      <c r="CL21" s="130"/>
      <c r="CM21" s="130"/>
      <c r="CN21" s="130"/>
      <c r="CO21" s="130"/>
      <c r="CP21" s="130"/>
      <c r="CQ21" s="130"/>
      <c r="CR21" s="130"/>
      <c r="CS21" s="130"/>
      <c r="CT21" s="133"/>
      <c r="CU21" s="1961"/>
      <c r="DB21" s="1961"/>
      <c r="DC21" s="1961"/>
      <c r="DD21" s="1961"/>
      <c r="DE21" s="1961"/>
      <c r="DF21" s="1961"/>
      <c r="DG21" s="1961"/>
      <c r="DH21" s="1961"/>
      <c r="DI21" s="135"/>
    </row>
    <row r="22" spans="1:113" ht="12" customHeight="1" x14ac:dyDescent="0.25">
      <c r="A22" s="136" t="s">
        <v>61</v>
      </c>
      <c r="B22" s="137"/>
      <c r="C22" s="71">
        <f t="shared" ref="C22:BB22" si="32">SUM(C17,C19)</f>
        <v>383.834</v>
      </c>
      <c r="D22" s="71">
        <f t="shared" si="32"/>
        <v>431.928</v>
      </c>
      <c r="E22" s="74">
        <f t="shared" si="32"/>
        <v>114.91199999999999</v>
      </c>
      <c r="F22" s="74">
        <f t="shared" si="32"/>
        <v>117.19</v>
      </c>
      <c r="G22" s="74">
        <f t="shared" si="32"/>
        <v>112.33200000000002</v>
      </c>
      <c r="H22" s="74">
        <f t="shared" si="32"/>
        <v>120.33299999999996</v>
      </c>
      <c r="I22" s="71">
        <f t="shared" si="32"/>
        <v>464.76699999999994</v>
      </c>
      <c r="J22" s="74">
        <f t="shared" si="32"/>
        <v>121.98400000000001</v>
      </c>
      <c r="K22" s="74">
        <f t="shared" si="32"/>
        <v>127.72199999999999</v>
      </c>
      <c r="L22" s="74">
        <f t="shared" si="32"/>
        <v>130.572</v>
      </c>
      <c r="M22" s="74">
        <f t="shared" si="32"/>
        <v>137.85800000000003</v>
      </c>
      <c r="N22" s="71">
        <f t="shared" si="32"/>
        <v>518.13600000000008</v>
      </c>
      <c r="O22" s="138">
        <f t="shared" si="32"/>
        <v>140.84299999999999</v>
      </c>
      <c r="P22" s="74">
        <f t="shared" si="32"/>
        <v>151.88300000000001</v>
      </c>
      <c r="Q22" s="74">
        <f t="shared" si="32"/>
        <v>155.88299999999998</v>
      </c>
      <c r="R22" s="74">
        <f t="shared" si="32"/>
        <v>205.28899999999999</v>
      </c>
      <c r="S22" s="73">
        <f t="shared" si="32"/>
        <v>653.89799999999991</v>
      </c>
      <c r="T22" s="74">
        <f t="shared" si="32"/>
        <v>152.50700000000001</v>
      </c>
      <c r="U22" s="74">
        <f t="shared" si="32"/>
        <v>157.63800000000001</v>
      </c>
      <c r="V22" s="74">
        <f t="shared" si="32"/>
        <v>157.98699999999999</v>
      </c>
      <c r="W22" s="74">
        <f t="shared" si="32"/>
        <v>161.71500000000003</v>
      </c>
      <c r="X22" s="73">
        <f t="shared" si="32"/>
        <v>629.84699999999998</v>
      </c>
      <c r="Y22" s="74">
        <f t="shared" si="32"/>
        <v>173.81200000000001</v>
      </c>
      <c r="Z22" s="74">
        <f t="shared" si="32"/>
        <v>187.09399999999999</v>
      </c>
      <c r="AA22" s="74">
        <f t="shared" si="32"/>
        <v>189.09399999999999</v>
      </c>
      <c r="AB22" s="74">
        <f t="shared" si="32"/>
        <v>193.20400000000001</v>
      </c>
      <c r="AC22" s="71">
        <f t="shared" si="32"/>
        <v>743.20399999999995</v>
      </c>
      <c r="AD22" s="74">
        <f t="shared" si="32"/>
        <v>187.30899999999997</v>
      </c>
      <c r="AE22" s="74">
        <f t="shared" si="32"/>
        <v>209.54700000000003</v>
      </c>
      <c r="AF22" s="74">
        <f t="shared" si="32"/>
        <v>215.45599999999999</v>
      </c>
      <c r="AG22" s="74">
        <f t="shared" si="32"/>
        <v>226.221</v>
      </c>
      <c r="AH22" s="71">
        <f t="shared" si="32"/>
        <v>838.5329999999999</v>
      </c>
      <c r="AI22" s="74">
        <f t="shared" si="32"/>
        <v>199.95400000000001</v>
      </c>
      <c r="AJ22" s="74">
        <f t="shared" si="32"/>
        <v>210.626</v>
      </c>
      <c r="AK22" s="74">
        <f t="shared" si="32"/>
        <v>213.089</v>
      </c>
      <c r="AL22" s="75">
        <f t="shared" si="32"/>
        <v>227.83500000000001</v>
      </c>
      <c r="AM22" s="71">
        <f t="shared" si="32"/>
        <v>851.50399999999991</v>
      </c>
      <c r="AN22" s="75">
        <f t="shared" si="32"/>
        <v>226.80700000000002</v>
      </c>
      <c r="AO22" s="75">
        <f t="shared" si="32"/>
        <v>229.54399999999998</v>
      </c>
      <c r="AP22" s="75">
        <f t="shared" si="32"/>
        <v>237.03699999999998</v>
      </c>
      <c r="AQ22" s="76">
        <f t="shared" si="32"/>
        <v>250.51599999999999</v>
      </c>
      <c r="AR22" s="71">
        <f t="shared" si="32"/>
        <v>943.90400000000011</v>
      </c>
      <c r="AS22" s="75">
        <f t="shared" si="32"/>
        <v>242.52199999999999</v>
      </c>
      <c r="AT22" s="75">
        <f t="shared" si="32"/>
        <v>286.48800000000006</v>
      </c>
      <c r="AU22" s="75">
        <f t="shared" si="32"/>
        <v>289.47699999999998</v>
      </c>
      <c r="AV22" s="76">
        <f t="shared" si="32"/>
        <v>297.5</v>
      </c>
      <c r="AW22" s="71">
        <f t="shared" si="32"/>
        <v>1115.9870000000001</v>
      </c>
      <c r="AX22" s="75">
        <f t="shared" si="32"/>
        <v>244.31399999999999</v>
      </c>
      <c r="AY22" s="75">
        <f t="shared" si="32"/>
        <v>254.02300000000002</v>
      </c>
      <c r="AZ22" s="75">
        <f t="shared" si="32"/>
        <v>247.47900000000001</v>
      </c>
      <c r="BA22" s="76">
        <f t="shared" si="32"/>
        <v>270.2</v>
      </c>
      <c r="BB22" s="77">
        <f t="shared" si="32"/>
        <v>1016.0160000000001</v>
      </c>
      <c r="BC22" s="75">
        <f t="shared" ref="BC22:CA22" si="33">SUM(BC17,BC19)</f>
        <v>258.8</v>
      </c>
      <c r="BD22" s="75">
        <f>SUM(BD17,BD19)</f>
        <v>272.5</v>
      </c>
      <c r="BE22" s="75">
        <f t="shared" si="33"/>
        <v>279.39999999999998</v>
      </c>
      <c r="BF22" s="76">
        <f t="shared" si="33"/>
        <v>295.89999999999998</v>
      </c>
      <c r="BG22" s="77">
        <f t="shared" si="33"/>
        <v>1106.5999999999999</v>
      </c>
      <c r="BH22" s="75">
        <f t="shared" si="33"/>
        <v>299.46187230268202</v>
      </c>
      <c r="BI22" s="75">
        <f t="shared" si="33"/>
        <v>307.77557285692671</v>
      </c>
      <c r="BJ22" s="75">
        <f t="shared" si="33"/>
        <v>305.55598290915054</v>
      </c>
      <c r="BK22" s="76">
        <f t="shared" si="33"/>
        <v>317.3644604116235</v>
      </c>
      <c r="BL22" s="77">
        <f t="shared" si="33"/>
        <v>1230.157888480383</v>
      </c>
      <c r="BM22" s="75">
        <f t="shared" si="33"/>
        <v>314.90495130252873</v>
      </c>
      <c r="BN22" s="75">
        <f t="shared" si="33"/>
        <v>323.93301570663033</v>
      </c>
      <c r="BO22" s="75">
        <f t="shared" si="33"/>
        <v>321.61031746694619</v>
      </c>
      <c r="BP22" s="76">
        <f t="shared" si="33"/>
        <v>334.36420112584904</v>
      </c>
      <c r="BQ22" s="77">
        <f t="shared" si="33"/>
        <v>1294.8124856019542</v>
      </c>
      <c r="BR22" s="75">
        <f t="shared" si="33"/>
        <v>330.9117769216881</v>
      </c>
      <c r="BS22" s="75">
        <f t="shared" si="33"/>
        <v>340.39706531295599</v>
      </c>
      <c r="BT22" s="75">
        <f t="shared" si="33"/>
        <v>337.93417538566774</v>
      </c>
      <c r="BU22" s="76">
        <f t="shared" si="33"/>
        <v>351.33863146324575</v>
      </c>
      <c r="BV22" s="77">
        <f t="shared" si="33"/>
        <v>1360.5816490835577</v>
      </c>
      <c r="BW22" s="75">
        <f t="shared" si="33"/>
        <v>347.77134917081185</v>
      </c>
      <c r="BX22" s="75">
        <f t="shared" si="33"/>
        <v>357.7378636758923</v>
      </c>
      <c r="BY22" s="75">
        <f t="shared" si="33"/>
        <v>355.1248097712089</v>
      </c>
      <c r="BZ22" s="76">
        <f t="shared" si="33"/>
        <v>369.21486231466025</v>
      </c>
      <c r="CA22" s="77">
        <f t="shared" si="33"/>
        <v>1429.8488849325734</v>
      </c>
      <c r="CB22" s="1910"/>
      <c r="CC22" s="78" t="s">
        <v>51</v>
      </c>
      <c r="CD22" s="140" t="str">
        <f>A22</f>
        <v>Total Expenses</v>
      </c>
      <c r="CE22" s="74">
        <f>D22</f>
        <v>431.928</v>
      </c>
      <c r="CF22" s="74">
        <f>I22</f>
        <v>464.76699999999994</v>
      </c>
      <c r="CG22" s="74">
        <f>N22</f>
        <v>518.13600000000008</v>
      </c>
      <c r="CH22" s="74">
        <f>S22</f>
        <v>653.89799999999991</v>
      </c>
      <c r="CI22" s="74">
        <f>X22</f>
        <v>629.84699999999998</v>
      </c>
      <c r="CJ22" s="74">
        <f>AC22</f>
        <v>743.20399999999995</v>
      </c>
      <c r="CK22" s="74">
        <f>AH22</f>
        <v>838.5329999999999</v>
      </c>
      <c r="CL22" s="74">
        <f>AM22</f>
        <v>851.50399999999991</v>
      </c>
      <c r="CM22" s="74">
        <f>AR22</f>
        <v>943.90400000000011</v>
      </c>
      <c r="CN22" s="74">
        <f>AW22</f>
        <v>1115.9870000000001</v>
      </c>
      <c r="CO22" s="74">
        <f>BB22</f>
        <v>1016.0160000000001</v>
      </c>
      <c r="CP22" s="74">
        <f>BG22</f>
        <v>1106.5999999999999</v>
      </c>
      <c r="CQ22" s="74">
        <f>BL22</f>
        <v>1230.157888480383</v>
      </c>
      <c r="CR22" s="74">
        <f>BQ22</f>
        <v>1294.8124856019542</v>
      </c>
      <c r="CS22" s="74">
        <f>BV22</f>
        <v>1360.5816490835577</v>
      </c>
      <c r="CT22" s="141">
        <f>CA22</f>
        <v>1429.8488849325734</v>
      </c>
      <c r="CU22" s="1961"/>
      <c r="DB22" s="1961"/>
      <c r="DC22" s="1961"/>
      <c r="DD22" s="1961"/>
      <c r="DE22" s="1961"/>
      <c r="DF22" s="1961"/>
      <c r="DG22" s="1961"/>
      <c r="DH22" s="1961"/>
      <c r="DI22" s="74"/>
    </row>
    <row r="23" spans="1:113" ht="8.1" hidden="1" customHeight="1" outlineLevel="1" x14ac:dyDescent="0.25">
      <c r="A23" s="136"/>
      <c r="B23" s="137"/>
      <c r="C23" s="71"/>
      <c r="D23" s="71"/>
      <c r="E23" s="74"/>
      <c r="F23" s="74"/>
      <c r="G23" s="74"/>
      <c r="H23" s="74"/>
      <c r="I23" s="71"/>
      <c r="J23" s="74"/>
      <c r="K23" s="74"/>
      <c r="L23" s="74"/>
      <c r="M23" s="74"/>
      <c r="N23" s="71"/>
      <c r="O23" s="138"/>
      <c r="P23" s="74"/>
      <c r="Q23" s="74"/>
      <c r="R23" s="74"/>
      <c r="S23" s="73"/>
      <c r="T23" s="74"/>
      <c r="U23" s="74"/>
      <c r="V23" s="74"/>
      <c r="W23" s="74"/>
      <c r="X23" s="73"/>
      <c r="Y23" s="74"/>
      <c r="Z23" s="74"/>
      <c r="AA23" s="74"/>
      <c r="AB23" s="74"/>
      <c r="AC23" s="71"/>
      <c r="AD23" s="74"/>
      <c r="AE23" s="74"/>
      <c r="AF23" s="74"/>
      <c r="AG23" s="74"/>
      <c r="AH23" s="142"/>
      <c r="AI23" s="74"/>
      <c r="AJ23" s="74"/>
      <c r="AK23" s="74"/>
      <c r="AL23" s="74"/>
      <c r="AM23" s="71"/>
      <c r="AN23" s="75"/>
      <c r="AO23" s="75"/>
      <c r="AP23" s="75"/>
      <c r="AQ23" s="76"/>
      <c r="AR23" s="71"/>
      <c r="AS23" s="75"/>
      <c r="AT23" s="75"/>
      <c r="AU23" s="75"/>
      <c r="AV23" s="76"/>
      <c r="AW23" s="71"/>
      <c r="AX23" s="75"/>
      <c r="AY23" s="75"/>
      <c r="AZ23" s="75"/>
      <c r="BA23" s="76"/>
      <c r="BB23" s="77"/>
      <c r="BC23" s="75"/>
      <c r="BD23" s="75"/>
      <c r="BE23" s="75"/>
      <c r="BF23" s="76"/>
      <c r="BG23" s="77"/>
      <c r="BH23" s="75"/>
      <c r="BI23" s="75"/>
      <c r="BJ23" s="75"/>
      <c r="BK23" s="76"/>
      <c r="BL23" s="77"/>
      <c r="BM23" s="75"/>
      <c r="BN23" s="75"/>
      <c r="BO23" s="75"/>
      <c r="BP23" s="76"/>
      <c r="BQ23" s="77"/>
      <c r="BR23" s="75"/>
      <c r="BS23" s="75"/>
      <c r="BT23" s="75"/>
      <c r="BU23" s="76"/>
      <c r="BV23" s="77"/>
      <c r="BW23" s="75"/>
      <c r="BX23" s="75"/>
      <c r="BY23" s="75"/>
      <c r="BZ23" s="76"/>
      <c r="CA23" s="77"/>
      <c r="CB23" s="1910"/>
      <c r="CC23" s="139"/>
      <c r="CD23" s="140"/>
      <c r="CE23" s="74"/>
      <c r="CF23" s="74"/>
      <c r="CG23" s="74"/>
      <c r="CH23" s="74"/>
      <c r="CI23" s="74"/>
      <c r="CJ23" s="74"/>
      <c r="CK23" s="74"/>
      <c r="CL23" s="74"/>
      <c r="CM23" s="74"/>
      <c r="CN23" s="74"/>
      <c r="CO23" s="74"/>
      <c r="CP23" s="74"/>
      <c r="CQ23" s="74"/>
      <c r="CR23" s="74"/>
      <c r="CS23" s="74"/>
      <c r="CT23" s="141"/>
      <c r="CU23" s="1961"/>
      <c r="DB23" s="1961"/>
      <c r="DC23" s="1961"/>
      <c r="DD23" s="1961"/>
      <c r="DE23" s="1961"/>
      <c r="DF23" s="1961"/>
      <c r="DG23" s="1961"/>
      <c r="DH23" s="1961"/>
      <c r="DI23" s="74"/>
    </row>
    <row r="24" spans="1:113" ht="12" hidden="1" customHeight="1" outlineLevel="1" x14ac:dyDescent="0.25">
      <c r="A24" s="136" t="s">
        <v>62</v>
      </c>
      <c r="B24" s="137"/>
      <c r="C24" s="71"/>
      <c r="D24" s="71">
        <f>D265+D331</f>
        <v>11.731999999999999</v>
      </c>
      <c r="E24" s="74"/>
      <c r="F24" s="74"/>
      <c r="G24" s="74"/>
      <c r="H24" s="74"/>
      <c r="I24" s="71">
        <f t="shared" ref="I24:P24" si="34">I265+I331</f>
        <v>13.804</v>
      </c>
      <c r="J24" s="74">
        <f t="shared" si="34"/>
        <v>3.1659999999999999</v>
      </c>
      <c r="K24" s="74">
        <f t="shared" si="34"/>
        <v>3.6109999999999998</v>
      </c>
      <c r="L24" s="74">
        <f t="shared" si="34"/>
        <v>3.24</v>
      </c>
      <c r="M24" s="74">
        <f t="shared" si="34"/>
        <v>2.5459999999999998</v>
      </c>
      <c r="N24" s="71">
        <f t="shared" si="34"/>
        <v>12.562999999999999</v>
      </c>
      <c r="O24" s="138">
        <f t="shared" si="34"/>
        <v>2.8330000000000055</v>
      </c>
      <c r="P24" s="74">
        <f t="shared" si="34"/>
        <v>3.759999999999998</v>
      </c>
      <c r="Q24" s="74">
        <f>3.822+3.154</f>
        <v>6.976</v>
      </c>
      <c r="R24" s="74">
        <f>R265+R331</f>
        <v>60.724999999999987</v>
      </c>
      <c r="S24" s="71">
        <f>S265+S331</f>
        <v>74.27</v>
      </c>
      <c r="T24" s="74">
        <v>0</v>
      </c>
      <c r="U24" s="74">
        <v>0</v>
      </c>
      <c r="V24" s="74">
        <v>0</v>
      </c>
      <c r="W24" s="74">
        <v>0</v>
      </c>
      <c r="X24" s="71">
        <f t="shared" ref="X24:AC24" si="35">X265+X331</f>
        <v>0</v>
      </c>
      <c r="Y24" s="74">
        <f t="shared" si="35"/>
        <v>0</v>
      </c>
      <c r="Z24" s="74">
        <f t="shared" si="35"/>
        <v>3.3639999999999999</v>
      </c>
      <c r="AA24" s="74">
        <f t="shared" si="35"/>
        <v>0</v>
      </c>
      <c r="AB24" s="74">
        <f t="shared" si="35"/>
        <v>0</v>
      </c>
      <c r="AC24" s="71">
        <f t="shared" si="35"/>
        <v>3.3639999999999999</v>
      </c>
      <c r="AD24" s="143">
        <f>AD265+AD331</f>
        <v>-0.435</v>
      </c>
      <c r="AE24" s="143">
        <f t="shared" ref="AE24:AM24" si="36">AE265+AE331</f>
        <v>-0.126</v>
      </c>
      <c r="AF24" s="143">
        <f t="shared" si="36"/>
        <v>0.502</v>
      </c>
      <c r="AG24" s="143">
        <f>AG265+AG331</f>
        <v>-6.9000000000000061E-2</v>
      </c>
      <c r="AH24" s="144">
        <f t="shared" si="36"/>
        <v>-0.128</v>
      </c>
      <c r="AI24" s="143">
        <f t="shared" si="36"/>
        <v>0.14499999999999999</v>
      </c>
      <c r="AJ24" s="120">
        <f>AJ265+AJ331</f>
        <v>-0.127</v>
      </c>
      <c r="AK24" s="120">
        <f>AK265+AK331</f>
        <v>-0.22800000000000001</v>
      </c>
      <c r="AL24" s="143">
        <f t="shared" si="36"/>
        <v>0.84499999999999997</v>
      </c>
      <c r="AM24" s="145">
        <f t="shared" si="36"/>
        <v>0.63500000000000001</v>
      </c>
      <c r="AN24" s="143">
        <f>AN265+AN331</f>
        <v>-8.9999999999999993E-3</v>
      </c>
      <c r="AO24" s="143">
        <f>AO265+AO331</f>
        <v>-0.2</v>
      </c>
      <c r="AP24" s="143">
        <f>AP265+AP331</f>
        <v>0.28499999999999998</v>
      </c>
      <c r="AQ24" s="146">
        <f>AQ265+AQ331</f>
        <v>-0.23399999999999996</v>
      </c>
      <c r="AR24" s="145">
        <f>AR265+AR331</f>
        <v>-0.158</v>
      </c>
      <c r="AS24" s="143">
        <f>-(AS265+AS331)</f>
        <v>0.6</v>
      </c>
      <c r="AT24" s="147">
        <f>-26.617+0.221</f>
        <v>-26.396000000000001</v>
      </c>
      <c r="AU24" s="143">
        <f>-(-AU265+AU331)</f>
        <v>-17.912000000000003</v>
      </c>
      <c r="AV24" s="146">
        <f>AV265+AV331</f>
        <v>0.1</v>
      </c>
      <c r="AW24" s="145">
        <f>SUM(AS24:AV24)</f>
        <v>-43.607999999999997</v>
      </c>
      <c r="AX24" s="143">
        <f>AX265+AX331</f>
        <v>0.21200000000000002</v>
      </c>
      <c r="AY24" s="143">
        <f>AY265+AY331</f>
        <v>0.84599999999999997</v>
      </c>
      <c r="AZ24" s="143">
        <f>AZ265+AZ331</f>
        <v>2.7</v>
      </c>
      <c r="BA24" s="143">
        <f>-(BA265-BA331)</f>
        <v>21.9</v>
      </c>
      <c r="BB24" s="148">
        <f>SUM(AX24:BA24)</f>
        <v>25.657999999999998</v>
      </c>
      <c r="BC24" s="143">
        <f t="shared" ref="BC24:BK24" si="37">-(BC265-BC331)</f>
        <v>1.9000000000000001</v>
      </c>
      <c r="BD24" s="1935">
        <f t="shared" si="37"/>
        <v>3.4</v>
      </c>
      <c r="BE24" s="1935">
        <f t="shared" si="37"/>
        <v>2.6</v>
      </c>
      <c r="BF24" s="143">
        <f t="shared" si="37"/>
        <v>1.7</v>
      </c>
      <c r="BG24" s="148">
        <f t="shared" si="37"/>
        <v>9.6</v>
      </c>
      <c r="BH24" s="143">
        <f t="shared" si="37"/>
        <v>0</v>
      </c>
      <c r="BI24" s="143">
        <f t="shared" si="37"/>
        <v>0</v>
      </c>
      <c r="BJ24" s="143">
        <f t="shared" si="37"/>
        <v>0</v>
      </c>
      <c r="BK24" s="146">
        <f t="shared" si="37"/>
        <v>0</v>
      </c>
      <c r="BL24" s="148">
        <f>BL265+BL331</f>
        <v>0</v>
      </c>
      <c r="BM24" s="143">
        <f>-(BM265-BM331)</f>
        <v>0</v>
      </c>
      <c r="BN24" s="143">
        <f>-(BN265-BN331)</f>
        <v>0</v>
      </c>
      <c r="BO24" s="143">
        <f>-(BO265-BO331)</f>
        <v>0</v>
      </c>
      <c r="BP24" s="146">
        <f>-(BP265-BP331)</f>
        <v>0</v>
      </c>
      <c r="BQ24" s="148">
        <f>BQ265+BQ331</f>
        <v>0</v>
      </c>
      <c r="BR24" s="143">
        <f>-(BR265-BR331)</f>
        <v>0</v>
      </c>
      <c r="BS24" s="143">
        <f>-(BS265-BS331)</f>
        <v>0</v>
      </c>
      <c r="BT24" s="143">
        <f>-(BT265-BT331)</f>
        <v>0</v>
      </c>
      <c r="BU24" s="146">
        <f>-(BU265-BU331)</f>
        <v>0</v>
      </c>
      <c r="BV24" s="148">
        <f>BV265+BV331</f>
        <v>0</v>
      </c>
      <c r="BW24" s="143">
        <f>-(BW265-BW331)</f>
        <v>0</v>
      </c>
      <c r="BX24" s="143">
        <f>-(BX265-BX331)</f>
        <v>0</v>
      </c>
      <c r="BY24" s="143">
        <f>-(BY265-BY331)</f>
        <v>0</v>
      </c>
      <c r="BZ24" s="146">
        <f>-(BZ265-BZ331)</f>
        <v>0</v>
      </c>
      <c r="CA24" s="148">
        <f>CA265+CA331</f>
        <v>0</v>
      </c>
      <c r="CB24" s="1910"/>
      <c r="CC24" s="139"/>
      <c r="CD24" s="140" t="str">
        <f>A24</f>
        <v>Adjustments</v>
      </c>
      <c r="CE24" s="70">
        <f>D24</f>
        <v>11.731999999999999</v>
      </c>
      <c r="CF24" s="70">
        <f>I24</f>
        <v>13.804</v>
      </c>
      <c r="CG24" s="70">
        <f>N24</f>
        <v>12.562999999999999</v>
      </c>
      <c r="CH24" s="70">
        <f>S24</f>
        <v>74.27</v>
      </c>
      <c r="CI24" s="70">
        <f>X24</f>
        <v>0</v>
      </c>
      <c r="CJ24" s="70">
        <f>AC24</f>
        <v>3.3639999999999999</v>
      </c>
      <c r="CK24" s="70">
        <f>AH24</f>
        <v>-0.128</v>
      </c>
      <c r="CL24" s="70">
        <f>AM24</f>
        <v>0.63500000000000001</v>
      </c>
      <c r="CM24" s="70">
        <f>AR24</f>
        <v>-0.158</v>
      </c>
      <c r="CN24" s="70">
        <f>AW24</f>
        <v>-43.607999999999997</v>
      </c>
      <c r="CO24" s="70">
        <f>BB24</f>
        <v>25.657999999999998</v>
      </c>
      <c r="CP24" s="70">
        <f>BG24</f>
        <v>9.6</v>
      </c>
      <c r="CQ24" s="70">
        <f>BL24</f>
        <v>0</v>
      </c>
      <c r="CR24" s="70">
        <f>BQ24</f>
        <v>0</v>
      </c>
      <c r="CS24" s="70">
        <f>BV24</f>
        <v>0</v>
      </c>
      <c r="CT24" s="80">
        <f>CA24</f>
        <v>0</v>
      </c>
      <c r="CU24" s="1961"/>
      <c r="DB24" s="1961"/>
      <c r="DC24" s="1961"/>
      <c r="DD24" s="1961"/>
      <c r="DE24" s="1961"/>
      <c r="DF24" s="1961"/>
      <c r="DG24" s="1961"/>
      <c r="DH24" s="1961"/>
      <c r="DI24" s="147"/>
    </row>
    <row r="25" spans="1:113" ht="12" hidden="1" customHeight="1" outlineLevel="1" x14ac:dyDescent="0.25">
      <c r="A25" s="81" t="s">
        <v>59</v>
      </c>
      <c r="B25" s="127"/>
      <c r="C25" s="83"/>
      <c r="D25" s="83">
        <f>D24/D12</f>
        <v>1.6068305363543353E-2</v>
      </c>
      <c r="E25" s="84"/>
      <c r="F25" s="84"/>
      <c r="G25" s="84"/>
      <c r="H25" s="84"/>
      <c r="I25" s="83">
        <f t="shared" ref="I25:BB25" si="38">I24/I12</f>
        <v>1.7207786136787192E-2</v>
      </c>
      <c r="J25" s="85">
        <f t="shared" si="38"/>
        <v>1.4683375228413212E-2</v>
      </c>
      <c r="K25" s="84">
        <f t="shared" si="38"/>
        <v>1.6260492092654632E-2</v>
      </c>
      <c r="L25" s="84">
        <f t="shared" si="38"/>
        <v>1.4439081781354869E-2</v>
      </c>
      <c r="M25" s="84">
        <f t="shared" si="38"/>
        <v>1.0999313082961433E-2</v>
      </c>
      <c r="N25" s="83">
        <f t="shared" si="38"/>
        <v>1.4059649711823625E-2</v>
      </c>
      <c r="O25" s="85">
        <f t="shared" si="38"/>
        <v>1.1527928675773468E-2</v>
      </c>
      <c r="P25" s="84">
        <f t="shared" si="38"/>
        <v>1.457838986336636E-2</v>
      </c>
      <c r="Q25" s="84">
        <f t="shared" si="38"/>
        <v>2.7006205697782903E-2</v>
      </c>
      <c r="R25" s="84">
        <f t="shared" si="38"/>
        <v>0.22904204038834364</v>
      </c>
      <c r="S25" s="86">
        <f t="shared" si="38"/>
        <v>7.2310106863569798E-2</v>
      </c>
      <c r="T25" s="85">
        <f>T24/T12</f>
        <v>0</v>
      </c>
      <c r="U25" s="84">
        <f>U24/U12</f>
        <v>0</v>
      </c>
      <c r="V25" s="84">
        <f>V24/V12</f>
        <v>0</v>
      </c>
      <c r="W25" s="84">
        <f>W24/W12</f>
        <v>0</v>
      </c>
      <c r="X25" s="86">
        <f t="shared" si="38"/>
        <v>0</v>
      </c>
      <c r="Y25" s="84">
        <f t="shared" si="38"/>
        <v>0</v>
      </c>
      <c r="Z25" s="84">
        <f t="shared" si="38"/>
        <v>1.0278660474211682E-2</v>
      </c>
      <c r="AA25" s="84">
        <f t="shared" si="38"/>
        <v>0</v>
      </c>
      <c r="AB25" s="84">
        <f t="shared" si="38"/>
        <v>0</v>
      </c>
      <c r="AC25" s="83">
        <f t="shared" si="38"/>
        <v>2.5258289283998075E-3</v>
      </c>
      <c r="AD25" s="84">
        <f>AD24/AD12</f>
        <v>-1.2554076323012056E-3</v>
      </c>
      <c r="AE25" s="84">
        <f>AE24/AE12</f>
        <v>-3.3759705915450695E-4</v>
      </c>
      <c r="AF25" s="84">
        <f>AF24/AF12</f>
        <v>1.2585775065624037E-3</v>
      </c>
      <c r="AG25" s="84">
        <f>AG24/AG12</f>
        <v>-1.6597310754576302E-4</v>
      </c>
      <c r="AH25" s="83">
        <f t="shared" si="38"/>
        <v>-8.3424578966578028E-5</v>
      </c>
      <c r="AI25" s="84">
        <f t="shared" si="38"/>
        <v>3.8492475384725651E-4</v>
      </c>
      <c r="AJ25" s="84">
        <f t="shared" si="38"/>
        <v>-3.2533571058954933E-4</v>
      </c>
      <c r="AK25" s="84">
        <f t="shared" si="38"/>
        <v>-5.5349612916851779E-4</v>
      </c>
      <c r="AL25" s="84">
        <f t="shared" si="38"/>
        <v>2.0277258514648819E-3</v>
      </c>
      <c r="AM25" s="83">
        <f t="shared" si="38"/>
        <v>3.9794123379329491E-4</v>
      </c>
      <c r="AN25" s="84">
        <f>AN24/AN12</f>
        <v>-2.1970349792380196E-5</v>
      </c>
      <c r="AO25" s="84">
        <f>AO24/AO12</f>
        <v>-4.7219480869027333E-4</v>
      </c>
      <c r="AP25" s="84">
        <f>AP24/AP12</f>
        <v>6.3521781284477271E-4</v>
      </c>
      <c r="AQ25" s="87">
        <f>AQ24/AQ12</f>
        <v>-5.0337302953121763E-4</v>
      </c>
      <c r="AR25" s="83">
        <f t="shared" si="38"/>
        <v>-9.0454942561111475E-5</v>
      </c>
      <c r="AS25" s="84">
        <f>AS24/AS12</f>
        <v>1.3060599002605588E-3</v>
      </c>
      <c r="AT25" s="84">
        <f>AT24/AT12</f>
        <v>-5.3041294082186281E-2</v>
      </c>
      <c r="AU25" s="84">
        <f>AU24/AU12</f>
        <v>-3.2543545524081542E-2</v>
      </c>
      <c r="AV25" s="87">
        <f>AV24/AV12</f>
        <v>1.7838030681412769E-4</v>
      </c>
      <c r="AW25" s="88">
        <f t="shared" si="38"/>
        <v>-2.1086551182564427E-2</v>
      </c>
      <c r="AX25" s="84">
        <f t="shared" si="38"/>
        <v>4.3028124562361354E-4</v>
      </c>
      <c r="AY25" s="84">
        <f t="shared" si="38"/>
        <v>1.6977860548750142E-3</v>
      </c>
      <c r="AZ25" s="84">
        <f t="shared" si="38"/>
        <v>5.4208050497810602E-3</v>
      </c>
      <c r="BA25" s="87">
        <f t="shared" si="38"/>
        <v>4.3272080616478949E-2</v>
      </c>
      <c r="BB25" s="88">
        <f t="shared" si="38"/>
        <v>1.2860005473195876E-2</v>
      </c>
      <c r="BC25" s="84">
        <f t="shared" ref="BC25:CA25" si="39">BC24/BC12</f>
        <v>3.7803422204536418E-3</v>
      </c>
      <c r="BD25" s="84">
        <f t="shared" si="39"/>
        <v>6.4984709480122313E-3</v>
      </c>
      <c r="BE25" s="84">
        <f t="shared" si="39"/>
        <v>4.7350209433618656E-3</v>
      </c>
      <c r="BF25" s="87">
        <f t="shared" si="39"/>
        <v>2.9808872523233386E-3</v>
      </c>
      <c r="BG25" s="88">
        <f t="shared" si="39"/>
        <v>4.4751072161103855E-3</v>
      </c>
      <c r="BH25" s="84">
        <f t="shared" si="39"/>
        <v>0</v>
      </c>
      <c r="BI25" s="84">
        <f t="shared" si="39"/>
        <v>0</v>
      </c>
      <c r="BJ25" s="84">
        <f t="shared" si="39"/>
        <v>0</v>
      </c>
      <c r="BK25" s="87">
        <f t="shared" si="39"/>
        <v>0</v>
      </c>
      <c r="BL25" s="88">
        <f t="shared" si="39"/>
        <v>0</v>
      </c>
      <c r="BM25" s="84">
        <f t="shared" si="39"/>
        <v>0</v>
      </c>
      <c r="BN25" s="84">
        <f t="shared" si="39"/>
        <v>0</v>
      </c>
      <c r="BO25" s="84">
        <f t="shared" si="39"/>
        <v>0</v>
      </c>
      <c r="BP25" s="87">
        <f t="shared" si="39"/>
        <v>0</v>
      </c>
      <c r="BQ25" s="88">
        <f t="shared" si="39"/>
        <v>0</v>
      </c>
      <c r="BR25" s="84">
        <f t="shared" si="39"/>
        <v>0</v>
      </c>
      <c r="BS25" s="84">
        <f t="shared" si="39"/>
        <v>0</v>
      </c>
      <c r="BT25" s="84">
        <f t="shared" si="39"/>
        <v>0</v>
      </c>
      <c r="BU25" s="87">
        <f t="shared" si="39"/>
        <v>0</v>
      </c>
      <c r="BV25" s="88">
        <f t="shared" si="39"/>
        <v>0</v>
      </c>
      <c r="BW25" s="84">
        <f t="shared" si="39"/>
        <v>0</v>
      </c>
      <c r="BX25" s="84">
        <f t="shared" si="39"/>
        <v>0</v>
      </c>
      <c r="BY25" s="84">
        <f t="shared" si="39"/>
        <v>0</v>
      </c>
      <c r="BZ25" s="87">
        <f t="shared" si="39"/>
        <v>0</v>
      </c>
      <c r="CA25" s="88">
        <f t="shared" si="39"/>
        <v>0</v>
      </c>
      <c r="CB25" s="1910"/>
      <c r="CC25" s="139"/>
      <c r="CD25" s="94" t="str">
        <f>A25</f>
        <v>% of Total Revenue</v>
      </c>
      <c r="CE25" s="84">
        <f>D25</f>
        <v>1.6068305363543353E-2</v>
      </c>
      <c r="CF25" s="84">
        <f>I25</f>
        <v>1.7207786136787192E-2</v>
      </c>
      <c r="CG25" s="84">
        <f>N25</f>
        <v>1.4059649711823625E-2</v>
      </c>
      <c r="CH25" s="84">
        <f>S25</f>
        <v>7.2310106863569798E-2</v>
      </c>
      <c r="CI25" s="84">
        <f>X25</f>
        <v>0</v>
      </c>
      <c r="CJ25" s="84">
        <f>AC25</f>
        <v>2.5258289283998075E-3</v>
      </c>
      <c r="CK25" s="84">
        <f>AH25</f>
        <v>-8.3424578966578028E-5</v>
      </c>
      <c r="CL25" s="84">
        <f>AM25</f>
        <v>3.9794123379329491E-4</v>
      </c>
      <c r="CM25" s="84">
        <f>AR25</f>
        <v>-9.0454942561111475E-5</v>
      </c>
      <c r="CN25" s="84">
        <f>AW25</f>
        <v>-2.1086551182564427E-2</v>
      </c>
      <c r="CO25" s="84">
        <f>BB25</f>
        <v>1.2860005473195876E-2</v>
      </c>
      <c r="CP25" s="84">
        <f>BG25</f>
        <v>4.4751072161103855E-3</v>
      </c>
      <c r="CQ25" s="84">
        <f>BL25</f>
        <v>0</v>
      </c>
      <c r="CR25" s="84">
        <f>BQ25</f>
        <v>0</v>
      </c>
      <c r="CS25" s="84">
        <f>BV25</f>
        <v>0</v>
      </c>
      <c r="CT25" s="87">
        <f>CA25</f>
        <v>0</v>
      </c>
      <c r="CU25" s="1961"/>
      <c r="DB25" s="1961"/>
      <c r="DC25" s="1961"/>
      <c r="DD25" s="1961"/>
      <c r="DE25" s="1961"/>
      <c r="DF25" s="1961"/>
      <c r="DG25" s="1961"/>
      <c r="DH25" s="1961"/>
      <c r="DI25" s="95"/>
    </row>
    <row r="26" spans="1:113" ht="8.25" hidden="1" customHeight="1" collapsed="1" x14ac:dyDescent="0.25">
      <c r="A26" s="149"/>
      <c r="B26" s="127"/>
      <c r="C26" s="83"/>
      <c r="D26" s="83"/>
      <c r="E26" s="84"/>
      <c r="F26" s="84"/>
      <c r="G26" s="84"/>
      <c r="H26" s="84"/>
      <c r="I26" s="83"/>
      <c r="J26" s="84"/>
      <c r="K26" s="84"/>
      <c r="L26" s="84"/>
      <c r="M26" s="84"/>
      <c r="N26" s="83"/>
      <c r="O26" s="85"/>
      <c r="P26" s="84"/>
      <c r="Q26" s="150"/>
      <c r="R26" s="151"/>
      <c r="S26" s="73"/>
      <c r="T26" s="84"/>
      <c r="U26" s="84"/>
      <c r="V26" s="84"/>
      <c r="W26" s="84"/>
      <c r="X26" s="86"/>
      <c r="Y26" s="84"/>
      <c r="Z26" s="84"/>
      <c r="AA26" s="84"/>
      <c r="AB26" s="84"/>
      <c r="AC26" s="83"/>
      <c r="AD26" s="84"/>
      <c r="AE26" s="84"/>
      <c r="AF26" s="84"/>
      <c r="AG26" s="84"/>
      <c r="AH26" s="83"/>
      <c r="AI26" s="84"/>
      <c r="AJ26" s="84"/>
      <c r="AK26" s="84"/>
      <c r="AL26" s="84"/>
      <c r="AM26" s="83"/>
      <c r="AN26" s="84"/>
      <c r="AO26" s="84"/>
      <c r="AP26" s="84"/>
      <c r="AQ26" s="87"/>
      <c r="AR26" s="83"/>
      <c r="AS26" s="84"/>
      <c r="AT26" s="84"/>
      <c r="AU26" s="84"/>
      <c r="AV26" s="87"/>
      <c r="AW26" s="88"/>
      <c r="AX26" s="84"/>
      <c r="AY26" s="84"/>
      <c r="AZ26" s="84"/>
      <c r="BA26" s="87"/>
      <c r="BB26" s="88"/>
      <c r="BC26" s="84"/>
      <c r="BD26" s="84"/>
      <c r="BE26" s="84"/>
      <c r="BF26" s="87"/>
      <c r="BG26" s="88"/>
      <c r="BH26" s="84"/>
      <c r="BI26" s="84"/>
      <c r="BJ26" s="84"/>
      <c r="BK26" s="87"/>
      <c r="BL26" s="88"/>
      <c r="BM26" s="84"/>
      <c r="BN26" s="84"/>
      <c r="BO26" s="84"/>
      <c r="BP26" s="87"/>
      <c r="BQ26" s="88"/>
      <c r="BR26" s="84"/>
      <c r="BS26" s="84"/>
      <c r="BT26" s="84"/>
      <c r="BU26" s="87"/>
      <c r="BV26" s="88"/>
      <c r="BW26" s="84"/>
      <c r="BX26" s="84"/>
      <c r="BY26" s="84"/>
      <c r="BZ26" s="87"/>
      <c r="CA26" s="88"/>
      <c r="CB26" s="1910"/>
      <c r="CC26" s="93"/>
      <c r="CD26" s="152"/>
      <c r="CE26" s="84"/>
      <c r="CF26" s="84"/>
      <c r="CG26" s="84"/>
      <c r="CH26" s="84"/>
      <c r="CI26" s="84"/>
      <c r="CJ26" s="84"/>
      <c r="CK26" s="84"/>
      <c r="CL26" s="84"/>
      <c r="CM26" s="84"/>
      <c r="CN26" s="84"/>
      <c r="CO26" s="84"/>
      <c r="CP26" s="84"/>
      <c r="CQ26" s="84"/>
      <c r="CR26" s="84"/>
      <c r="CS26" s="84"/>
      <c r="CT26" s="87"/>
      <c r="CU26" s="1961"/>
      <c r="DB26" s="1961"/>
      <c r="DC26" s="1961"/>
      <c r="DD26" s="1961"/>
      <c r="DE26" s="1961"/>
      <c r="DF26" s="1961"/>
      <c r="DG26" s="1961"/>
      <c r="DH26" s="1961"/>
      <c r="DI26" s="95"/>
    </row>
    <row r="27" spans="1:113" ht="12" customHeight="1" x14ac:dyDescent="0.25">
      <c r="A27" s="136" t="s">
        <v>63</v>
      </c>
      <c r="B27" s="137"/>
      <c r="C27" s="71">
        <f>C22-C24</f>
        <v>383.834</v>
      </c>
      <c r="D27" s="71">
        <f t="shared" ref="D27:AW27" si="40">D22-D24</f>
        <v>420.19600000000003</v>
      </c>
      <c r="E27" s="74">
        <f t="shared" si="40"/>
        <v>114.91199999999999</v>
      </c>
      <c r="F27" s="74">
        <f t="shared" si="40"/>
        <v>117.19</v>
      </c>
      <c r="G27" s="74">
        <f t="shared" si="40"/>
        <v>112.33200000000002</v>
      </c>
      <c r="H27" s="74">
        <f t="shared" si="40"/>
        <v>120.33299999999996</v>
      </c>
      <c r="I27" s="71">
        <f t="shared" si="40"/>
        <v>450.96299999999997</v>
      </c>
      <c r="J27" s="74">
        <f t="shared" si="40"/>
        <v>118.81800000000001</v>
      </c>
      <c r="K27" s="74">
        <f t="shared" si="40"/>
        <v>124.11099999999999</v>
      </c>
      <c r="L27" s="74">
        <f t="shared" si="40"/>
        <v>127.33200000000001</v>
      </c>
      <c r="M27" s="74">
        <f t="shared" si="40"/>
        <v>135.31200000000004</v>
      </c>
      <c r="N27" s="71">
        <f t="shared" si="40"/>
        <v>505.57300000000009</v>
      </c>
      <c r="O27" s="138">
        <f t="shared" si="40"/>
        <v>138.01</v>
      </c>
      <c r="P27" s="74">
        <f t="shared" si="40"/>
        <v>148.12300000000002</v>
      </c>
      <c r="Q27" s="74">
        <f t="shared" si="40"/>
        <v>148.90699999999998</v>
      </c>
      <c r="R27" s="74">
        <f t="shared" si="40"/>
        <v>144.56399999999999</v>
      </c>
      <c r="S27" s="73">
        <f t="shared" si="40"/>
        <v>579.62799999999993</v>
      </c>
      <c r="T27" s="74">
        <f t="shared" si="40"/>
        <v>152.50700000000001</v>
      </c>
      <c r="U27" s="74">
        <f t="shared" si="40"/>
        <v>157.63800000000001</v>
      </c>
      <c r="V27" s="74">
        <f t="shared" si="40"/>
        <v>157.98699999999999</v>
      </c>
      <c r="W27" s="74">
        <f t="shared" si="40"/>
        <v>161.71500000000003</v>
      </c>
      <c r="X27" s="73">
        <f t="shared" si="40"/>
        <v>629.84699999999998</v>
      </c>
      <c r="Y27" s="74">
        <f t="shared" si="40"/>
        <v>173.81200000000001</v>
      </c>
      <c r="Z27" s="74">
        <f t="shared" si="40"/>
        <v>183.73</v>
      </c>
      <c r="AA27" s="74">
        <f t="shared" si="40"/>
        <v>189.09399999999999</v>
      </c>
      <c r="AB27" s="74">
        <f t="shared" si="40"/>
        <v>193.20400000000001</v>
      </c>
      <c r="AC27" s="71">
        <f t="shared" si="40"/>
        <v>739.83999999999992</v>
      </c>
      <c r="AD27" s="74">
        <f t="shared" si="40"/>
        <v>187.74399999999997</v>
      </c>
      <c r="AE27" s="74">
        <f t="shared" si="40"/>
        <v>209.67300000000003</v>
      </c>
      <c r="AF27" s="74">
        <f t="shared" si="40"/>
        <v>214.95399999999998</v>
      </c>
      <c r="AG27" s="74">
        <f t="shared" si="40"/>
        <v>226.29</v>
      </c>
      <c r="AH27" s="71">
        <f t="shared" si="40"/>
        <v>838.66099999999994</v>
      </c>
      <c r="AI27" s="74">
        <f t="shared" si="40"/>
        <v>199.809</v>
      </c>
      <c r="AJ27" s="74">
        <f t="shared" si="40"/>
        <v>210.75300000000001</v>
      </c>
      <c r="AK27" s="74">
        <f t="shared" si="40"/>
        <v>213.31700000000001</v>
      </c>
      <c r="AL27" s="74">
        <f t="shared" si="40"/>
        <v>226.99</v>
      </c>
      <c r="AM27" s="71">
        <f t="shared" si="40"/>
        <v>850.86899999999991</v>
      </c>
      <c r="AN27" s="75"/>
      <c r="AO27" s="75"/>
      <c r="AP27" s="75"/>
      <c r="AQ27" s="76"/>
      <c r="AR27" s="71">
        <f>AR22-AR24</f>
        <v>944.06200000000013</v>
      </c>
      <c r="AS27" s="75"/>
      <c r="AT27" s="75"/>
      <c r="AU27" s="75"/>
      <c r="AV27" s="76"/>
      <c r="AW27" s="71">
        <f t="shared" si="40"/>
        <v>1159.595</v>
      </c>
      <c r="AX27" s="75"/>
      <c r="AY27" s="75"/>
      <c r="AZ27" s="75"/>
      <c r="BA27" s="76"/>
      <c r="BB27" s="77">
        <f>BB22-BB24</f>
        <v>990.35800000000006</v>
      </c>
      <c r="BC27" s="75"/>
      <c r="BD27" s="75"/>
      <c r="BE27" s="75"/>
      <c r="BF27" s="76"/>
      <c r="BG27" s="77">
        <f>BG22-BG24</f>
        <v>1097</v>
      </c>
      <c r="BH27" s="75"/>
      <c r="BI27" s="75"/>
      <c r="BJ27" s="75"/>
      <c r="BK27" s="76"/>
      <c r="BL27" s="77">
        <f>BL22-BL24</f>
        <v>1230.157888480383</v>
      </c>
      <c r="BM27" s="75"/>
      <c r="BN27" s="75"/>
      <c r="BO27" s="75"/>
      <c r="BP27" s="76"/>
      <c r="BQ27" s="77">
        <f>BQ22-BQ24</f>
        <v>1294.8124856019542</v>
      </c>
      <c r="BR27" s="75"/>
      <c r="BS27" s="75"/>
      <c r="BT27" s="75"/>
      <c r="BU27" s="76"/>
      <c r="BV27" s="77">
        <f>BV22-BV24</f>
        <v>1360.5816490835577</v>
      </c>
      <c r="BW27" s="75"/>
      <c r="BX27" s="75"/>
      <c r="BY27" s="75"/>
      <c r="BZ27" s="76"/>
      <c r="CA27" s="77">
        <f>CA22-CA24</f>
        <v>1429.8488849325734</v>
      </c>
      <c r="CB27" s="1910"/>
      <c r="CC27" s="139"/>
      <c r="CD27" s="140" t="str">
        <f>A27</f>
        <v>Total Expenses ex. ESOP and IPO Expenses</v>
      </c>
      <c r="CE27" s="74">
        <f>D27</f>
        <v>420.19600000000003</v>
      </c>
      <c r="CF27" s="74">
        <f>I27</f>
        <v>450.96299999999997</v>
      </c>
      <c r="CG27" s="74">
        <f>N27</f>
        <v>505.57300000000009</v>
      </c>
      <c r="CH27" s="74">
        <f>S27</f>
        <v>579.62799999999993</v>
      </c>
      <c r="CI27" s="74">
        <f>X27</f>
        <v>629.84699999999998</v>
      </c>
      <c r="CJ27" s="74">
        <f>AC27</f>
        <v>739.83999999999992</v>
      </c>
      <c r="CK27" s="74">
        <f>AH27</f>
        <v>838.66099999999994</v>
      </c>
      <c r="CL27" s="74">
        <f>AM27</f>
        <v>850.86899999999991</v>
      </c>
      <c r="CM27" s="74">
        <f>AR27</f>
        <v>944.06200000000013</v>
      </c>
      <c r="CN27" s="74">
        <f>AW27</f>
        <v>1159.595</v>
      </c>
      <c r="CO27" s="74">
        <f>BB27</f>
        <v>990.35800000000006</v>
      </c>
      <c r="CP27" s="74">
        <f>BG27</f>
        <v>1097</v>
      </c>
      <c r="CQ27" s="74">
        <f>BL27</f>
        <v>1230.157888480383</v>
      </c>
      <c r="CR27" s="74">
        <f>BQ27</f>
        <v>1294.8124856019542</v>
      </c>
      <c r="CS27" s="74">
        <f>BV27</f>
        <v>1360.5816490835577</v>
      </c>
      <c r="CT27" s="141">
        <f>CA27</f>
        <v>1429.8488849325734</v>
      </c>
      <c r="CU27" s="1961"/>
      <c r="DB27" s="1961"/>
      <c r="DC27" s="1961"/>
      <c r="DD27" s="1961"/>
      <c r="DE27" s="1961"/>
      <c r="DF27" s="1961"/>
      <c r="DG27" s="1961"/>
      <c r="DH27" s="1961"/>
      <c r="DI27" s="74"/>
    </row>
    <row r="28" spans="1:113" ht="5.0999999999999996" customHeight="1" x14ac:dyDescent="0.25">
      <c r="A28" s="153"/>
      <c r="B28" s="128"/>
      <c r="C28" s="134"/>
      <c r="D28" s="134"/>
      <c r="E28" s="135"/>
      <c r="F28" s="154"/>
      <c r="G28" s="154"/>
      <c r="H28" s="155"/>
      <c r="I28" s="156"/>
      <c r="J28" s="135"/>
      <c r="K28" s="154"/>
      <c r="L28" s="154"/>
      <c r="M28" s="155"/>
      <c r="N28" s="156"/>
      <c r="O28" s="157"/>
      <c r="P28" s="154"/>
      <c r="Q28" s="154"/>
      <c r="R28" s="154"/>
      <c r="S28" s="158"/>
      <c r="T28" s="154"/>
      <c r="U28" s="154"/>
      <c r="V28" s="154"/>
      <c r="W28" s="154"/>
      <c r="X28" s="158"/>
      <c r="Y28" s="154"/>
      <c r="Z28" s="154"/>
      <c r="AA28" s="154"/>
      <c r="AB28" s="154"/>
      <c r="AC28" s="156"/>
      <c r="AD28" s="154"/>
      <c r="AE28" s="159"/>
      <c r="AF28" s="154"/>
      <c r="AG28" s="154"/>
      <c r="AH28" s="156"/>
      <c r="AI28" s="154"/>
      <c r="AJ28" s="159"/>
      <c r="AK28" s="154"/>
      <c r="AL28" s="154"/>
      <c r="AM28" s="156"/>
      <c r="AN28" s="160"/>
      <c r="AO28" s="160"/>
      <c r="AP28" s="160"/>
      <c r="AQ28" s="161"/>
      <c r="AR28" s="156"/>
      <c r="AS28" s="160"/>
      <c r="AT28" s="160"/>
      <c r="AU28" s="160"/>
      <c r="AV28" s="161"/>
      <c r="AW28" s="156"/>
      <c r="AX28" s="160"/>
      <c r="AY28" s="160"/>
      <c r="AZ28" s="160"/>
      <c r="BA28" s="161"/>
      <c r="BB28" s="156"/>
      <c r="BC28" s="1872"/>
      <c r="BD28" s="1872"/>
      <c r="BE28" s="1872"/>
      <c r="BF28" s="1872"/>
      <c r="BG28" s="156"/>
      <c r="BH28" s="1872"/>
      <c r="BI28" s="1872"/>
      <c r="BJ28" s="1872"/>
      <c r="BK28" s="1872"/>
      <c r="BL28" s="156"/>
      <c r="BM28" s="1872"/>
      <c r="BN28" s="1872"/>
      <c r="BO28" s="1872"/>
      <c r="BP28" s="1872"/>
      <c r="BQ28" s="156"/>
      <c r="BR28" s="1872"/>
      <c r="BS28" s="1872"/>
      <c r="BT28" s="1872"/>
      <c r="BU28" s="1872"/>
      <c r="BV28" s="156"/>
      <c r="BW28" s="1872"/>
      <c r="BX28" s="1872"/>
      <c r="BY28" s="1872"/>
      <c r="BZ28" s="1872"/>
      <c r="CA28" s="156"/>
      <c r="CB28" s="1910"/>
      <c r="CC28" s="162"/>
      <c r="CD28" s="163"/>
      <c r="CE28" s="154"/>
      <c r="CF28" s="154"/>
      <c r="CG28" s="154"/>
      <c r="CH28" s="154"/>
      <c r="CI28" s="154"/>
      <c r="CJ28" s="154"/>
      <c r="CK28" s="154"/>
      <c r="CL28" s="154"/>
      <c r="CM28" s="154"/>
      <c r="CN28" s="154"/>
      <c r="CO28" s="154"/>
      <c r="CP28" s="154"/>
      <c r="CQ28" s="154"/>
      <c r="CR28" s="154"/>
      <c r="CS28" s="154"/>
      <c r="CT28" s="155"/>
      <c r="CU28" s="1961"/>
      <c r="DB28" s="1961"/>
      <c r="DC28" s="1961"/>
      <c r="DD28" s="1961"/>
      <c r="DE28" s="1961"/>
      <c r="DF28" s="1961"/>
      <c r="DG28" s="1961"/>
      <c r="DH28" s="1961"/>
      <c r="DI28" s="135"/>
    </row>
    <row r="29" spans="1:113" ht="12" hidden="1" customHeight="1" outlineLevel="1" x14ac:dyDescent="0.25">
      <c r="A29" s="164" t="s">
        <v>64</v>
      </c>
      <c r="B29" s="165"/>
      <c r="C29" s="166">
        <f t="shared" ref="C29:AQ29" si="41">C12-C22</f>
        <v>261.82600000000008</v>
      </c>
      <c r="D29" s="166">
        <f t="shared" si="41"/>
        <v>298.20500000000004</v>
      </c>
      <c r="E29" s="167">
        <f t="shared" si="41"/>
        <v>83.922000000000011</v>
      </c>
      <c r="F29" s="74">
        <f t="shared" si="41"/>
        <v>83.963999999999999</v>
      </c>
      <c r="G29" s="74">
        <f t="shared" si="41"/>
        <v>87.390999999999991</v>
      </c>
      <c r="H29" s="141">
        <f t="shared" si="41"/>
        <v>82.151000000000025</v>
      </c>
      <c r="I29" s="166">
        <f t="shared" si="41"/>
        <v>337.428</v>
      </c>
      <c r="J29" s="168">
        <f t="shared" si="41"/>
        <v>93.633999999999986</v>
      </c>
      <c r="K29" s="74">
        <f t="shared" si="41"/>
        <v>94.350000000000009</v>
      </c>
      <c r="L29" s="74">
        <f t="shared" si="41"/>
        <v>93.818999999999988</v>
      </c>
      <c r="M29" s="141">
        <f t="shared" si="41"/>
        <v>93.610999999999962</v>
      </c>
      <c r="N29" s="167">
        <f t="shared" si="41"/>
        <v>375.41399999999987</v>
      </c>
      <c r="O29" s="168">
        <f t="shared" si="41"/>
        <v>104.90800000000002</v>
      </c>
      <c r="P29" s="74">
        <f t="shared" si="41"/>
        <v>106.03299999999999</v>
      </c>
      <c r="Q29" s="74">
        <f t="shared" si="41"/>
        <v>102.42800000000005</v>
      </c>
      <c r="R29" s="169">
        <f t="shared" si="41"/>
        <v>59.836999999999989</v>
      </c>
      <c r="S29" s="170">
        <f t="shared" si="41"/>
        <v>373.20600000000013</v>
      </c>
      <c r="T29" s="168">
        <f t="shared" si="41"/>
        <v>123.64699999999999</v>
      </c>
      <c r="U29" s="74">
        <f t="shared" si="41"/>
        <v>124.03900000000002</v>
      </c>
      <c r="V29" s="74">
        <f t="shared" si="41"/>
        <v>129.36700000000005</v>
      </c>
      <c r="W29" s="169">
        <f t="shared" si="41"/>
        <v>131.44299999999998</v>
      </c>
      <c r="X29" s="170">
        <f t="shared" si="41"/>
        <v>508.49600000000009</v>
      </c>
      <c r="Y29" s="74">
        <f t="shared" si="41"/>
        <v>139.05700000000002</v>
      </c>
      <c r="Z29" s="74">
        <f>Z12-Z22</f>
        <v>140.18600000000004</v>
      </c>
      <c r="AA29" s="74">
        <f t="shared" si="41"/>
        <v>151.00400000000002</v>
      </c>
      <c r="AB29" s="74">
        <f t="shared" si="41"/>
        <v>158.38899999999995</v>
      </c>
      <c r="AC29" s="166">
        <f t="shared" si="41"/>
        <v>588.63600000000019</v>
      </c>
      <c r="AD29" s="74">
        <f t="shared" si="41"/>
        <v>159.19200000000001</v>
      </c>
      <c r="AE29" s="74">
        <f>AE12-AE22</f>
        <v>163.67899999999997</v>
      </c>
      <c r="AF29" s="74">
        <f t="shared" si="41"/>
        <v>183.40700000000001</v>
      </c>
      <c r="AG29" s="74">
        <f t="shared" si="41"/>
        <v>189.50900000000001</v>
      </c>
      <c r="AH29" s="166">
        <f t="shared" si="41"/>
        <v>695.78700000000003</v>
      </c>
      <c r="AI29" s="74">
        <f t="shared" si="41"/>
        <v>176.74299999999999</v>
      </c>
      <c r="AJ29" s="74">
        <f t="shared" si="41"/>
        <v>179.73999999999998</v>
      </c>
      <c r="AK29" s="74">
        <f t="shared" si="41"/>
        <v>198.83799999999997</v>
      </c>
      <c r="AL29" s="74">
        <f t="shared" si="41"/>
        <v>188.88800000000001</v>
      </c>
      <c r="AM29" s="166">
        <f t="shared" si="41"/>
        <v>744.20900000000006</v>
      </c>
      <c r="AN29" s="75">
        <f t="shared" si="41"/>
        <v>182.83599999999996</v>
      </c>
      <c r="AO29" s="75">
        <f t="shared" si="41"/>
        <v>194.01</v>
      </c>
      <c r="AP29" s="75">
        <f t="shared" si="41"/>
        <v>211.62800000000004</v>
      </c>
      <c r="AQ29" s="76">
        <f t="shared" si="41"/>
        <v>214.34799999999998</v>
      </c>
      <c r="AR29" s="166">
        <f>SUM(AN29:AQ29)</f>
        <v>802.82199999999989</v>
      </c>
      <c r="AS29" s="75">
        <f t="shared" ref="AS29:BF29" si="42">AS12-AS22</f>
        <v>216.875</v>
      </c>
      <c r="AT29" s="75">
        <f t="shared" si="42"/>
        <v>211.16199999999992</v>
      </c>
      <c r="AU29" s="75">
        <f t="shared" si="42"/>
        <v>260.92399999999998</v>
      </c>
      <c r="AV29" s="76">
        <f t="shared" si="42"/>
        <v>263.10000000000014</v>
      </c>
      <c r="AW29" s="71">
        <f t="shared" si="42"/>
        <v>952.06099999999969</v>
      </c>
      <c r="AX29" s="75">
        <f t="shared" si="42"/>
        <v>248.38700000000003</v>
      </c>
      <c r="AY29" s="75">
        <f t="shared" si="42"/>
        <v>244.27299999999991</v>
      </c>
      <c r="AZ29" s="75">
        <f t="shared" si="42"/>
        <v>250.602</v>
      </c>
      <c r="BA29" s="75">
        <f t="shared" si="42"/>
        <v>235.90000000000003</v>
      </c>
      <c r="BB29" s="77">
        <f t="shared" si="42"/>
        <v>979.16199999999981</v>
      </c>
      <c r="BC29" s="75">
        <f t="shared" si="42"/>
        <v>243.79999999999995</v>
      </c>
      <c r="BD29" s="75">
        <f t="shared" si="42"/>
        <v>250.70000000000005</v>
      </c>
      <c r="BE29" s="75">
        <f t="shared" si="42"/>
        <v>269.69999999999993</v>
      </c>
      <c r="BF29" s="76">
        <f t="shared" si="42"/>
        <v>274.39999999999998</v>
      </c>
      <c r="BG29" s="77">
        <f t="shared" ref="BG29:CA29" si="43">BG12-BG22</f>
        <v>1038.6000000000004</v>
      </c>
      <c r="BH29" s="75">
        <f t="shared" si="43"/>
        <v>268.69212769731797</v>
      </c>
      <c r="BI29" s="75">
        <f t="shared" si="43"/>
        <v>274.9064271430733</v>
      </c>
      <c r="BJ29" s="75">
        <f t="shared" si="43"/>
        <v>292.67235042418281</v>
      </c>
      <c r="BK29" s="76">
        <f t="shared" si="43"/>
        <v>292.98453958837644</v>
      </c>
      <c r="BL29" s="77">
        <f t="shared" si="43"/>
        <v>1129.2554448529504</v>
      </c>
      <c r="BM29" s="75">
        <f t="shared" si="43"/>
        <v>285.44939369747124</v>
      </c>
      <c r="BN29" s="75">
        <f t="shared" si="43"/>
        <v>292.31414929336967</v>
      </c>
      <c r="BO29" s="75">
        <f t="shared" si="43"/>
        <v>311.24028628305382</v>
      </c>
      <c r="BP29" s="76">
        <f t="shared" si="43"/>
        <v>311.84117887415096</v>
      </c>
      <c r="BQ29" s="77">
        <f t="shared" si="43"/>
        <v>1200.8450081480457</v>
      </c>
      <c r="BR29" s="75">
        <f t="shared" si="43"/>
        <v>303.09166552831198</v>
      </c>
      <c r="BS29" s="75">
        <f t="shared" si="43"/>
        <v>310.43977653704405</v>
      </c>
      <c r="BT29" s="75">
        <f t="shared" si="43"/>
        <v>330.54008697683236</v>
      </c>
      <c r="BU29" s="76">
        <f t="shared" si="43"/>
        <v>331.20439773675423</v>
      </c>
      <c r="BV29" s="77">
        <f t="shared" si="43"/>
        <v>1275.2759267789424</v>
      </c>
      <c r="BW29" s="75">
        <f t="shared" si="43"/>
        <v>321.85068051768815</v>
      </c>
      <c r="BX29" s="75">
        <f t="shared" si="43"/>
        <v>329.71698253060777</v>
      </c>
      <c r="BY29" s="75">
        <f t="shared" si="43"/>
        <v>351.0669711696662</v>
      </c>
      <c r="BZ29" s="76">
        <f t="shared" si="43"/>
        <v>351.80003057333982</v>
      </c>
      <c r="CA29" s="77">
        <f t="shared" si="43"/>
        <v>1354.4346647913019</v>
      </c>
      <c r="CB29" s="1910">
        <f>(CA29/BB29)^(1/5)-1</f>
        <v>6.7040004560878996E-2</v>
      </c>
      <c r="CC29" s="78" t="s">
        <v>51</v>
      </c>
      <c r="CD29" s="171" t="str">
        <f>A29</f>
        <v>EBITDA</v>
      </c>
      <c r="CE29" s="74">
        <f>D29</f>
        <v>298.20500000000004</v>
      </c>
      <c r="CF29" s="74">
        <f>I29</f>
        <v>337.428</v>
      </c>
      <c r="CG29" s="74">
        <f>N29</f>
        <v>375.41399999999987</v>
      </c>
      <c r="CH29" s="74">
        <f>S29</f>
        <v>373.20600000000013</v>
      </c>
      <c r="CI29" s="74">
        <f>X29</f>
        <v>508.49600000000009</v>
      </c>
      <c r="CJ29" s="74">
        <f>AC29</f>
        <v>588.63600000000019</v>
      </c>
      <c r="CK29" s="74">
        <f>AH29</f>
        <v>695.78700000000003</v>
      </c>
      <c r="CL29" s="74">
        <f>AM29</f>
        <v>744.20900000000006</v>
      </c>
      <c r="CM29" s="74">
        <f>AR29</f>
        <v>802.82199999999989</v>
      </c>
      <c r="CN29" s="74">
        <f>AW29</f>
        <v>952.06099999999969</v>
      </c>
      <c r="CO29" s="74">
        <f>BB29</f>
        <v>979.16199999999981</v>
      </c>
      <c r="CP29" s="167">
        <f>BG29</f>
        <v>1038.6000000000004</v>
      </c>
      <c r="CQ29" s="167">
        <f>BL29</f>
        <v>1129.2554448529504</v>
      </c>
      <c r="CR29" s="167">
        <f>BQ29</f>
        <v>1200.8450081480457</v>
      </c>
      <c r="CS29" s="167">
        <f>BV29</f>
        <v>1275.2759267789424</v>
      </c>
      <c r="CT29" s="169">
        <f>CA29</f>
        <v>1354.4346647913019</v>
      </c>
      <c r="CU29" s="1961"/>
      <c r="DB29" s="1961"/>
      <c r="DC29" s="1961"/>
      <c r="DD29" s="1961"/>
      <c r="DE29" s="1961"/>
      <c r="DF29" s="1961"/>
      <c r="DG29" s="1961"/>
      <c r="DH29" s="1961"/>
      <c r="DI29" s="74"/>
    </row>
    <row r="30" spans="1:113" ht="12" hidden="1" customHeight="1" outlineLevel="1" x14ac:dyDescent="0.25">
      <c r="A30" s="172" t="s">
        <v>65</v>
      </c>
      <c r="B30" s="173"/>
      <c r="C30" s="88">
        <f t="shared" ref="C30:BB30" si="44">C29/C12</f>
        <v>0.40551683548616924</v>
      </c>
      <c r="D30" s="88">
        <f t="shared" si="44"/>
        <v>0.40842558821474995</v>
      </c>
      <c r="E30" s="95">
        <f t="shared" si="44"/>
        <v>0.42207067201786419</v>
      </c>
      <c r="F30" s="95">
        <f t="shared" si="44"/>
        <v>0.41741153544050824</v>
      </c>
      <c r="G30" s="95">
        <f t="shared" si="44"/>
        <v>0.43756102201549141</v>
      </c>
      <c r="H30" s="95">
        <f t="shared" si="44"/>
        <v>0.40571600719069179</v>
      </c>
      <c r="I30" s="88">
        <f t="shared" si="44"/>
        <v>0.42063089398462972</v>
      </c>
      <c r="J30" s="174">
        <f t="shared" si="44"/>
        <v>0.43425873535604631</v>
      </c>
      <c r="K30" s="95">
        <f t="shared" si="44"/>
        <v>0.42486220685183185</v>
      </c>
      <c r="L30" s="95">
        <f t="shared" si="44"/>
        <v>0.41810500421139885</v>
      </c>
      <c r="M30" s="95">
        <f t="shared" si="44"/>
        <v>0.40442132639791922</v>
      </c>
      <c r="N30" s="88">
        <f t="shared" si="44"/>
        <v>0.42013765318113133</v>
      </c>
      <c r="O30" s="174">
        <f t="shared" si="44"/>
        <v>0.42688737787435255</v>
      </c>
      <c r="P30" s="95">
        <f t="shared" si="44"/>
        <v>0.41111447137827817</v>
      </c>
      <c r="Q30" s="95">
        <f t="shared" si="44"/>
        <v>0.39652976450867383</v>
      </c>
      <c r="R30" s="95">
        <f t="shared" si="44"/>
        <v>0.22569268951366517</v>
      </c>
      <c r="S30" s="175">
        <f t="shared" si="44"/>
        <v>0.36335755678100767</v>
      </c>
      <c r="T30" s="174">
        <f t="shared" si="44"/>
        <v>0.44774654721640822</v>
      </c>
      <c r="U30" s="95">
        <f t="shared" si="44"/>
        <v>0.44035899274701168</v>
      </c>
      <c r="V30" s="95">
        <f t="shared" si="44"/>
        <v>0.45020079762244491</v>
      </c>
      <c r="W30" s="95">
        <f t="shared" si="44"/>
        <v>0.44836913882616192</v>
      </c>
      <c r="X30" s="175">
        <f t="shared" si="44"/>
        <v>0.44669840285397289</v>
      </c>
      <c r="Y30" s="95">
        <f t="shared" si="44"/>
        <v>0.444457584484241</v>
      </c>
      <c r="Z30" s="95">
        <f t="shared" si="44"/>
        <v>0.42833659252016631</v>
      </c>
      <c r="AA30" s="95">
        <f t="shared" si="44"/>
        <v>0.44400143488053445</v>
      </c>
      <c r="AB30" s="95">
        <f t="shared" si="44"/>
        <v>0.45048962863310693</v>
      </c>
      <c r="AC30" s="88">
        <f t="shared" si="44"/>
        <v>0.44197200864968778</v>
      </c>
      <c r="AD30" s="95">
        <f>AD29/AD12</f>
        <v>0.45942724552021502</v>
      </c>
      <c r="AE30" s="95">
        <f>AE29/AE12</f>
        <v>0.43855197655040101</v>
      </c>
      <c r="AF30" s="95">
        <f>AF29/AF12</f>
        <v>0.45982455128703342</v>
      </c>
      <c r="AG30" s="95">
        <f>AG29/AG12</f>
        <v>0.45584634257811563</v>
      </c>
      <c r="AH30" s="88">
        <f t="shared" si="44"/>
        <v>0.45348232441733149</v>
      </c>
      <c r="AI30" s="95">
        <f t="shared" si="44"/>
        <v>0.46919141909810802</v>
      </c>
      <c r="AJ30" s="95">
        <f t="shared" si="44"/>
        <v>0.46043968993201251</v>
      </c>
      <c r="AK30" s="95">
        <f t="shared" si="44"/>
        <v>0.48270203215618296</v>
      </c>
      <c r="AL30" s="95">
        <f t="shared" si="44"/>
        <v>0.45326991790709897</v>
      </c>
      <c r="AM30" s="88">
        <f t="shared" si="44"/>
        <v>0.46638023253555</v>
      </c>
      <c r="AN30" s="84">
        <f>AN29/AN12</f>
        <v>0.44633009718218053</v>
      </c>
      <c r="AO30" s="84">
        <f>AO29/AO12</f>
        <v>0.45805257416999956</v>
      </c>
      <c r="AP30" s="84">
        <f>AP29/AP12</f>
        <v>0.47168377297092495</v>
      </c>
      <c r="AQ30" s="87">
        <f>AQ29/AQ12</f>
        <v>0.46109829971776689</v>
      </c>
      <c r="AR30" s="88">
        <f t="shared" si="44"/>
        <v>0.45961530314428245</v>
      </c>
      <c r="AS30" s="84">
        <f>AS29/AS12</f>
        <v>0.47208623478168121</v>
      </c>
      <c r="AT30" s="84">
        <f>AT29/AT12</f>
        <v>0.42431829599115828</v>
      </c>
      <c r="AU30" s="84">
        <f>AU29/AU12</f>
        <v>0.47406163869615064</v>
      </c>
      <c r="AV30" s="87">
        <f>AV29/AV12</f>
        <v>0.46931858722797015</v>
      </c>
      <c r="AW30" s="88">
        <f t="shared" si="44"/>
        <v>0.46036697407410265</v>
      </c>
      <c r="AX30" s="84">
        <f t="shared" si="44"/>
        <v>0.50413333847505892</v>
      </c>
      <c r="AY30" s="84">
        <f t="shared" si="44"/>
        <v>0.49021665837173073</v>
      </c>
      <c r="AZ30" s="84">
        <f t="shared" si="44"/>
        <v>0.50313503225379008</v>
      </c>
      <c r="BA30" s="87">
        <f t="shared" si="44"/>
        <v>0.46611341632088527</v>
      </c>
      <c r="BB30" s="88">
        <f t="shared" si="44"/>
        <v>0.49076423256471347</v>
      </c>
      <c r="BC30" s="84">
        <f t="shared" ref="BC30:CA30" si="45">BC29/BC12</f>
        <v>0.48507759649820925</v>
      </c>
      <c r="BD30" s="84">
        <f t="shared" si="45"/>
        <v>0.47916666666666669</v>
      </c>
      <c r="BE30" s="84">
        <f t="shared" si="45"/>
        <v>0.4911673647787288</v>
      </c>
      <c r="BF30" s="87">
        <f t="shared" si="45"/>
        <v>0.48115027178677888</v>
      </c>
      <c r="BG30" s="88">
        <f t="shared" si="45"/>
        <v>0.48415066194294248</v>
      </c>
      <c r="BH30" s="84">
        <f t="shared" si="45"/>
        <v>0.47292129897407742</v>
      </c>
      <c r="BI30" s="84">
        <f t="shared" si="45"/>
        <v>0.47179495358201096</v>
      </c>
      <c r="BJ30" s="84">
        <f t="shared" si="45"/>
        <v>0.48923184362300259</v>
      </c>
      <c r="BK30" s="87">
        <f t="shared" si="45"/>
        <v>0.48002788501066845</v>
      </c>
      <c r="BL30" s="88">
        <f t="shared" si="45"/>
        <v>0.4786170481021908</v>
      </c>
      <c r="BM30" s="84">
        <f t="shared" si="45"/>
        <v>0.47546818986955319</v>
      </c>
      <c r="BN30" s="84">
        <f t="shared" si="45"/>
        <v>0.47434562931152741</v>
      </c>
      <c r="BO30" s="84">
        <f t="shared" si="45"/>
        <v>0.4918068884485185</v>
      </c>
      <c r="BP30" s="87">
        <f t="shared" si="45"/>
        <v>0.48257286077400185</v>
      </c>
      <c r="BQ30" s="88">
        <f t="shared" si="45"/>
        <v>0.48117380335858667</v>
      </c>
      <c r="BR30" s="84">
        <f t="shared" si="45"/>
        <v>0.47805996818734142</v>
      </c>
      <c r="BS30" s="84">
        <f t="shared" si="45"/>
        <v>0.47698556162650652</v>
      </c>
      <c r="BT30" s="84">
        <f t="shared" si="45"/>
        <v>0.49446942924720583</v>
      </c>
      <c r="BU30" s="87">
        <f t="shared" si="45"/>
        <v>0.485250575520425</v>
      </c>
      <c r="BV30" s="88">
        <f t="shared" si="45"/>
        <v>0.48381822237176419</v>
      </c>
      <c r="BW30" s="84">
        <f t="shared" si="45"/>
        <v>0.48064529876266043</v>
      </c>
      <c r="BX30" s="84">
        <f t="shared" si="45"/>
        <v>0.47961983881566272</v>
      </c>
      <c r="BY30" s="84">
        <f t="shared" si="45"/>
        <v>0.497126957073802</v>
      </c>
      <c r="BZ30" s="87">
        <f t="shared" si="45"/>
        <v>0.48792338971559523</v>
      </c>
      <c r="CA30" s="88">
        <f t="shared" si="45"/>
        <v>0.48645715876374185</v>
      </c>
      <c r="CB30" s="1910"/>
      <c r="CC30" s="93"/>
      <c r="CD30" s="176" t="str">
        <f>A30</f>
        <v>EBITDA Margin</v>
      </c>
      <c r="CE30" s="95">
        <f>D30</f>
        <v>0.40842558821474995</v>
      </c>
      <c r="CF30" s="95">
        <f>I30</f>
        <v>0.42063089398462972</v>
      </c>
      <c r="CG30" s="95">
        <f>N30</f>
        <v>0.42013765318113133</v>
      </c>
      <c r="CH30" s="95">
        <f>S30</f>
        <v>0.36335755678100767</v>
      </c>
      <c r="CI30" s="95">
        <f>X30</f>
        <v>0.44669840285397289</v>
      </c>
      <c r="CJ30" s="95">
        <f>AC30</f>
        <v>0.44197200864968778</v>
      </c>
      <c r="CK30" s="95">
        <f>AH30</f>
        <v>0.45348232441733149</v>
      </c>
      <c r="CL30" s="95">
        <f>AM30</f>
        <v>0.46638023253555</v>
      </c>
      <c r="CM30" s="95">
        <f>AR30</f>
        <v>0.45961530314428245</v>
      </c>
      <c r="CN30" s="95">
        <f>AW30</f>
        <v>0.46036697407410265</v>
      </c>
      <c r="CO30" s="95">
        <f>BB30</f>
        <v>0.49076423256471347</v>
      </c>
      <c r="CP30" s="95">
        <f>BG30</f>
        <v>0.48415066194294248</v>
      </c>
      <c r="CQ30" s="95">
        <f>BL30</f>
        <v>0.4786170481021908</v>
      </c>
      <c r="CR30" s="95">
        <f>BQ30</f>
        <v>0.48117380335858667</v>
      </c>
      <c r="CS30" s="95">
        <f>BV30</f>
        <v>0.48381822237176419</v>
      </c>
      <c r="CT30" s="177">
        <f>CA30</f>
        <v>0.48645715876374185</v>
      </c>
      <c r="CU30" s="1961"/>
      <c r="DB30" s="1961"/>
      <c r="DC30" s="1961"/>
      <c r="DD30" s="1961"/>
      <c r="DE30" s="1961"/>
      <c r="DF30" s="1961"/>
      <c r="DG30" s="1961"/>
      <c r="DH30" s="1961"/>
      <c r="DI30" s="95"/>
    </row>
    <row r="31" spans="1:113" ht="12" hidden="1" customHeight="1" outlineLevel="1" x14ac:dyDescent="0.25">
      <c r="A31" s="172" t="s">
        <v>66</v>
      </c>
      <c r="B31" s="173"/>
      <c r="C31" s="88"/>
      <c r="D31" s="88"/>
      <c r="E31" s="95"/>
      <c r="F31" s="95"/>
      <c r="G31" s="95"/>
      <c r="H31" s="95"/>
      <c r="I31" s="88">
        <f t="shared" ref="I31:BB31" si="46">I29/D29-1</f>
        <v>0.13153032309988077</v>
      </c>
      <c r="J31" s="174">
        <f t="shared" si="46"/>
        <v>0.11572650794785599</v>
      </c>
      <c r="K31" s="95">
        <f>K29/F29-1</f>
        <v>0.12369586965842516</v>
      </c>
      <c r="L31" s="95">
        <f>L29/G29-1</f>
        <v>7.3554485015619342E-2</v>
      </c>
      <c r="M31" s="95">
        <f>M29/H29-1</f>
        <v>0.13949921486043904</v>
      </c>
      <c r="N31" s="88">
        <f t="shared" si="46"/>
        <v>0.11257512713823359</v>
      </c>
      <c r="O31" s="174">
        <f t="shared" si="46"/>
        <v>0.12040498109661057</v>
      </c>
      <c r="P31" s="95">
        <f t="shared" si="46"/>
        <v>0.12382617912029659</v>
      </c>
      <c r="Q31" s="95">
        <f t="shared" si="46"/>
        <v>9.1761796650998928E-2</v>
      </c>
      <c r="R31" s="95">
        <f t="shared" si="46"/>
        <v>-0.36079093268953422</v>
      </c>
      <c r="S31" s="175">
        <f t="shared" si="46"/>
        <v>-5.8815068164739248E-3</v>
      </c>
      <c r="T31" s="174">
        <f t="shared" si="46"/>
        <v>0.17862317459107002</v>
      </c>
      <c r="U31" s="95">
        <f>U29/P29-1</f>
        <v>0.16981505757641524</v>
      </c>
      <c r="V31" s="95">
        <f>V29/Q29-1</f>
        <v>0.26300425664857241</v>
      </c>
      <c r="W31" s="95">
        <f>W29/R29-1</f>
        <v>1.1966843257516255</v>
      </c>
      <c r="X31" s="175">
        <f t="shared" si="46"/>
        <v>0.36250756954604135</v>
      </c>
      <c r="Y31" s="95">
        <f t="shared" si="46"/>
        <v>0.12462898412416012</v>
      </c>
      <c r="Z31" s="95">
        <f t="shared" si="46"/>
        <v>0.13017679923249958</v>
      </c>
      <c r="AA31" s="95">
        <f t="shared" si="46"/>
        <v>0.1672528542827767</v>
      </c>
      <c r="AB31" s="95">
        <f t="shared" si="46"/>
        <v>0.20500140745418149</v>
      </c>
      <c r="AC31" s="88">
        <f t="shared" si="46"/>
        <v>0.15760202636795584</v>
      </c>
      <c r="AD31" s="95">
        <f t="shared" si="46"/>
        <v>0.14479673802829041</v>
      </c>
      <c r="AE31" s="95">
        <f t="shared" si="46"/>
        <v>0.1675844948853662</v>
      </c>
      <c r="AF31" s="95">
        <f t="shared" si="46"/>
        <v>0.21458371963656586</v>
      </c>
      <c r="AG31" s="95">
        <f t="shared" si="46"/>
        <v>0.19647829079039614</v>
      </c>
      <c r="AH31" s="88">
        <f t="shared" si="46"/>
        <v>0.18203269932521926</v>
      </c>
      <c r="AI31" s="95">
        <f t="shared" si="46"/>
        <v>0.11025051510126138</v>
      </c>
      <c r="AJ31" s="95">
        <f t="shared" si="46"/>
        <v>9.812498854465157E-2</v>
      </c>
      <c r="AK31" s="95">
        <f t="shared" si="46"/>
        <v>8.4135283822318385E-2</v>
      </c>
      <c r="AL31" s="95">
        <f t="shared" si="46"/>
        <v>-3.2768892242585057E-3</v>
      </c>
      <c r="AM31" s="88">
        <f t="shared" si="46"/>
        <v>6.9593136980139025E-2</v>
      </c>
      <c r="AN31" s="84">
        <f t="shared" si="46"/>
        <v>3.4473783968813176E-2</v>
      </c>
      <c r="AO31" s="84">
        <f t="shared" si="46"/>
        <v>7.9392455769444759E-2</v>
      </c>
      <c r="AP31" s="84">
        <f t="shared" si="46"/>
        <v>6.432372081795279E-2</v>
      </c>
      <c r="AQ31" s="87">
        <f t="shared" si="46"/>
        <v>0.13478886959468039</v>
      </c>
      <c r="AR31" s="88">
        <f t="shared" si="46"/>
        <v>7.8758789533585061E-2</v>
      </c>
      <c r="AS31" s="84">
        <f t="shared" si="46"/>
        <v>0.18617230742304613</v>
      </c>
      <c r="AT31" s="84">
        <f t="shared" si="46"/>
        <v>8.8407814030204257E-2</v>
      </c>
      <c r="AU31" s="84">
        <f t="shared" si="46"/>
        <v>0.23293704046723462</v>
      </c>
      <c r="AV31" s="87">
        <f t="shared" si="46"/>
        <v>0.22744322316979937</v>
      </c>
      <c r="AW31" s="88">
        <f t="shared" si="46"/>
        <v>0.18589301239876321</v>
      </c>
      <c r="AX31" s="84">
        <f t="shared" si="46"/>
        <v>0.14530028818443808</v>
      </c>
      <c r="AY31" s="84">
        <f t="shared" si="46"/>
        <v>0.15680378098332093</v>
      </c>
      <c r="AZ31" s="84">
        <f t="shared" si="46"/>
        <v>-3.9559411936042621E-2</v>
      </c>
      <c r="BA31" s="87">
        <f t="shared" si="46"/>
        <v>-0.10338274420372517</v>
      </c>
      <c r="BB31" s="88">
        <f t="shared" si="46"/>
        <v>2.8465613022695013E-2</v>
      </c>
      <c r="BC31" s="84">
        <f t="shared" ref="BC31:CA31" si="47">BC29/AX29-1</f>
        <v>-1.8467150052136727E-2</v>
      </c>
      <c r="BD31" s="84">
        <f t="shared" si="47"/>
        <v>2.6310726113815797E-2</v>
      </c>
      <c r="BE31" s="84">
        <f t="shared" si="47"/>
        <v>7.6208489956185232E-2</v>
      </c>
      <c r="BF31" s="87">
        <f t="shared" si="47"/>
        <v>0.16320474777448046</v>
      </c>
      <c r="BG31" s="88">
        <f t="shared" si="47"/>
        <v>6.0702927605442714E-2</v>
      </c>
      <c r="BH31" s="84">
        <f t="shared" si="47"/>
        <v>0.10210060581344549</v>
      </c>
      <c r="BI31" s="84">
        <f t="shared" si="47"/>
        <v>9.6555353582262748E-2</v>
      </c>
      <c r="BJ31" s="84">
        <f t="shared" si="47"/>
        <v>8.5177420927633918E-2</v>
      </c>
      <c r="BK31" s="87">
        <f t="shared" si="47"/>
        <v>6.7727913951809215E-2</v>
      </c>
      <c r="BL31" s="88">
        <f t="shared" si="47"/>
        <v>8.728619762463885E-2</v>
      </c>
      <c r="BM31" s="84">
        <f t="shared" si="47"/>
        <v>6.2366047504861521E-2</v>
      </c>
      <c r="BN31" s="84">
        <f t="shared" si="47"/>
        <v>6.3322354195948449E-2</v>
      </c>
      <c r="BO31" s="84">
        <f t="shared" si="47"/>
        <v>6.344274008788231E-2</v>
      </c>
      <c r="BP31" s="87">
        <f t="shared" si="47"/>
        <v>6.4360526709930976E-2</v>
      </c>
      <c r="BQ31" s="88">
        <f t="shared" si="47"/>
        <v>6.3395366939689612E-2</v>
      </c>
      <c r="BR31" s="84">
        <f t="shared" si="47"/>
        <v>6.1805252420814805E-2</v>
      </c>
      <c r="BS31" s="84">
        <f t="shared" si="47"/>
        <v>6.2007355057874136E-2</v>
      </c>
      <c r="BT31" s="84">
        <f t="shared" si="47"/>
        <v>6.2009327019531657E-2</v>
      </c>
      <c r="BU31" s="87">
        <f t="shared" si="47"/>
        <v>6.2093206973212522E-2</v>
      </c>
      <c r="BV31" s="88">
        <f t="shared" si="47"/>
        <v>6.1982119362501864E-2</v>
      </c>
      <c r="BW31" s="84">
        <f t="shared" si="47"/>
        <v>6.1892216523597776E-2</v>
      </c>
      <c r="BX31" s="84">
        <f t="shared" si="47"/>
        <v>6.209644333790254E-2</v>
      </c>
      <c r="BY31" s="84">
        <f t="shared" si="47"/>
        <v>6.2101043115755594E-2</v>
      </c>
      <c r="BZ31" s="87">
        <f t="shared" si="47"/>
        <v>6.2184056061221904E-2</v>
      </c>
      <c r="CA31" s="88">
        <f t="shared" si="47"/>
        <v>6.2071851550037804E-2</v>
      </c>
      <c r="CB31" s="1910"/>
      <c r="CC31" s="93"/>
      <c r="CD31" s="176" t="str">
        <f>A31</f>
        <v>Year-over-Year Growth</v>
      </c>
      <c r="CE31" s="95"/>
      <c r="CF31" s="95">
        <f>I31</f>
        <v>0.13153032309988077</v>
      </c>
      <c r="CG31" s="95">
        <f>N31</f>
        <v>0.11257512713823359</v>
      </c>
      <c r="CH31" s="95">
        <f>S31</f>
        <v>-5.8815068164739248E-3</v>
      </c>
      <c r="CI31" s="95">
        <f>X31</f>
        <v>0.36250756954604135</v>
      </c>
      <c r="CJ31" s="95">
        <f>AC31</f>
        <v>0.15760202636795584</v>
      </c>
      <c r="CK31" s="95">
        <f>AH31</f>
        <v>0.18203269932521926</v>
      </c>
      <c r="CL31" s="95">
        <f>AM31</f>
        <v>6.9593136980139025E-2</v>
      </c>
      <c r="CM31" s="95">
        <f>AR31</f>
        <v>7.8758789533585061E-2</v>
      </c>
      <c r="CN31" s="95">
        <f>AW31</f>
        <v>0.18589301239876321</v>
      </c>
      <c r="CO31" s="95">
        <f>BB31</f>
        <v>2.8465613022695013E-2</v>
      </c>
      <c r="CP31" s="95">
        <f>BG31</f>
        <v>6.0702927605442714E-2</v>
      </c>
      <c r="CQ31" s="95">
        <f>BL31</f>
        <v>8.728619762463885E-2</v>
      </c>
      <c r="CR31" s="95">
        <f>BQ31</f>
        <v>6.3395366939689612E-2</v>
      </c>
      <c r="CS31" s="95">
        <f>BV31</f>
        <v>6.1982119362501864E-2</v>
      </c>
      <c r="CT31" s="177">
        <f>CA31</f>
        <v>6.2071851550037804E-2</v>
      </c>
      <c r="CU31" s="1961"/>
      <c r="DB31" s="1961"/>
      <c r="DC31" s="1961"/>
      <c r="DD31" s="1961"/>
      <c r="DE31" s="1961"/>
      <c r="DF31" s="1961"/>
      <c r="DG31" s="1961"/>
      <c r="DH31" s="1961"/>
      <c r="DI31" s="95"/>
    </row>
    <row r="32" spans="1:113" ht="5.25" hidden="1" customHeight="1" outlineLevel="1" x14ac:dyDescent="0.25">
      <c r="A32" s="153"/>
      <c r="B32" s="178"/>
      <c r="C32" s="179"/>
      <c r="D32" s="179"/>
      <c r="E32" s="154"/>
      <c r="F32" s="154"/>
      <c r="G32" s="154"/>
      <c r="H32" s="154"/>
      <c r="I32" s="179"/>
      <c r="J32" s="154"/>
      <c r="K32" s="154"/>
      <c r="L32" s="154"/>
      <c r="M32" s="154"/>
      <c r="N32" s="179"/>
      <c r="O32" s="157"/>
      <c r="P32" s="154"/>
      <c r="Q32" s="154"/>
      <c r="R32" s="154"/>
      <c r="S32" s="180"/>
      <c r="T32" s="181"/>
      <c r="U32" s="181"/>
      <c r="V32" s="181"/>
      <c r="W32" s="181"/>
      <c r="X32" s="182"/>
      <c r="Y32" s="181"/>
      <c r="Z32" s="181"/>
      <c r="AA32" s="181"/>
      <c r="AB32" s="181"/>
      <c r="AC32" s="183"/>
      <c r="AD32" s="181"/>
      <c r="AE32" s="181"/>
      <c r="AF32" s="181"/>
      <c r="AG32" s="181"/>
      <c r="AH32" s="183"/>
      <c r="AI32" s="181"/>
      <c r="AJ32" s="181"/>
      <c r="AK32" s="181"/>
      <c r="AL32" s="181"/>
      <c r="AM32" s="183"/>
      <c r="AN32" s="184"/>
      <c r="AO32" s="184"/>
      <c r="AP32" s="184"/>
      <c r="AQ32" s="185"/>
      <c r="AR32" s="183"/>
      <c r="AS32" s="184"/>
      <c r="AT32" s="184"/>
      <c r="AU32" s="184"/>
      <c r="AV32" s="185"/>
      <c r="AW32" s="156"/>
      <c r="AX32" s="184"/>
      <c r="AY32" s="184"/>
      <c r="AZ32" s="184"/>
      <c r="BA32" s="185"/>
      <c r="BB32" s="156"/>
      <c r="BC32" s="184"/>
      <c r="BD32" s="184"/>
      <c r="BE32" s="184"/>
      <c r="BF32" s="185"/>
      <c r="BG32" s="156"/>
      <c r="BH32" s="184"/>
      <c r="BI32" s="184"/>
      <c r="BJ32" s="184"/>
      <c r="BK32" s="185"/>
      <c r="BL32" s="156"/>
      <c r="BM32" s="184"/>
      <c r="BN32" s="184"/>
      <c r="BO32" s="184"/>
      <c r="BP32" s="185"/>
      <c r="BQ32" s="156"/>
      <c r="BR32" s="184"/>
      <c r="BS32" s="184"/>
      <c r="BT32" s="184"/>
      <c r="BU32" s="185"/>
      <c r="BV32" s="156"/>
      <c r="BW32" s="184"/>
      <c r="BX32" s="184"/>
      <c r="BY32" s="184"/>
      <c r="BZ32" s="185"/>
      <c r="CA32" s="156"/>
      <c r="CB32" s="1910"/>
      <c r="CC32" s="162"/>
      <c r="CD32" s="186"/>
      <c r="CE32" s="181"/>
      <c r="CF32" s="181"/>
      <c r="CG32" s="181"/>
      <c r="CH32" s="181"/>
      <c r="CI32" s="181"/>
      <c r="CJ32" s="181"/>
      <c r="CK32" s="181"/>
      <c r="CL32" s="181"/>
      <c r="CM32" s="181"/>
      <c r="CN32" s="181"/>
      <c r="CO32" s="181"/>
      <c r="CP32" s="181"/>
      <c r="CQ32" s="181"/>
      <c r="CR32" s="181"/>
      <c r="CS32" s="181"/>
      <c r="CT32" s="187"/>
      <c r="CU32" s="188"/>
      <c r="DB32" s="1961"/>
      <c r="DC32" s="1961"/>
      <c r="DD32" s="1961"/>
      <c r="DE32" s="1961"/>
      <c r="DF32" s="1961"/>
      <c r="DG32" s="1961"/>
      <c r="DH32" s="1961"/>
      <c r="DI32" s="135"/>
    </row>
    <row r="33" spans="1:113" ht="12" customHeight="1" collapsed="1" x14ac:dyDescent="0.25">
      <c r="A33" s="136" t="s">
        <v>67</v>
      </c>
      <c r="B33" s="137"/>
      <c r="C33" s="71">
        <f>C29+C24</f>
        <v>261.82600000000008</v>
      </c>
      <c r="D33" s="71">
        <f t="shared" ref="D33:AC33" si="48">D29+D24</f>
        <v>309.93700000000001</v>
      </c>
      <c r="E33" s="74">
        <f t="shared" si="48"/>
        <v>83.922000000000011</v>
      </c>
      <c r="F33" s="74">
        <f t="shared" si="48"/>
        <v>83.963999999999999</v>
      </c>
      <c r="G33" s="74">
        <f t="shared" si="48"/>
        <v>87.390999999999991</v>
      </c>
      <c r="H33" s="141">
        <f t="shared" si="48"/>
        <v>82.151000000000025</v>
      </c>
      <c r="I33" s="71">
        <f t="shared" si="48"/>
        <v>351.23199999999997</v>
      </c>
      <c r="J33" s="138">
        <f t="shared" si="48"/>
        <v>96.799999999999983</v>
      </c>
      <c r="K33" s="74">
        <f t="shared" si="48"/>
        <v>97.961000000000013</v>
      </c>
      <c r="L33" s="74">
        <f t="shared" si="48"/>
        <v>97.058999999999983</v>
      </c>
      <c r="M33" s="141">
        <f t="shared" si="48"/>
        <v>96.156999999999968</v>
      </c>
      <c r="N33" s="74">
        <f t="shared" si="48"/>
        <v>387.97699999999986</v>
      </c>
      <c r="O33" s="138">
        <f t="shared" si="48"/>
        <v>107.74100000000001</v>
      </c>
      <c r="P33" s="74">
        <f>P29+P24+P26</f>
        <v>109.79299999999998</v>
      </c>
      <c r="Q33" s="74">
        <f>Q29+Q24+Q26</f>
        <v>109.40400000000005</v>
      </c>
      <c r="R33" s="74">
        <f>R29+R24+R26</f>
        <v>120.56199999999998</v>
      </c>
      <c r="S33" s="73">
        <f>S29+S24+S26</f>
        <v>447.47600000000011</v>
      </c>
      <c r="T33" s="74">
        <f t="shared" si="48"/>
        <v>123.64699999999999</v>
      </c>
      <c r="U33" s="74">
        <f t="shared" si="48"/>
        <v>124.03900000000002</v>
      </c>
      <c r="V33" s="74">
        <f t="shared" si="48"/>
        <v>129.36700000000005</v>
      </c>
      <c r="W33" s="141">
        <f t="shared" si="48"/>
        <v>131.44299999999998</v>
      </c>
      <c r="X33" s="73">
        <f t="shared" si="48"/>
        <v>508.49600000000009</v>
      </c>
      <c r="Y33" s="74">
        <f t="shared" si="48"/>
        <v>139.05700000000002</v>
      </c>
      <c r="Z33" s="74">
        <f t="shared" si="48"/>
        <v>143.55000000000004</v>
      </c>
      <c r="AA33" s="74">
        <f t="shared" si="48"/>
        <v>151.00400000000002</v>
      </c>
      <c r="AB33" s="74">
        <f t="shared" si="48"/>
        <v>158.38899999999995</v>
      </c>
      <c r="AC33" s="71">
        <f t="shared" si="48"/>
        <v>592.00000000000023</v>
      </c>
      <c r="AD33" s="189">
        <f t="shared" ref="AD33:AQ33" si="49">AD29-AD24</f>
        <v>159.62700000000001</v>
      </c>
      <c r="AE33" s="189">
        <f t="shared" si="49"/>
        <v>163.80499999999998</v>
      </c>
      <c r="AF33" s="189">
        <f t="shared" si="49"/>
        <v>182.905</v>
      </c>
      <c r="AG33" s="189">
        <f t="shared" si="49"/>
        <v>189.578</v>
      </c>
      <c r="AH33" s="190">
        <f t="shared" si="49"/>
        <v>695.91500000000008</v>
      </c>
      <c r="AI33" s="189">
        <f t="shared" si="49"/>
        <v>176.59799999999998</v>
      </c>
      <c r="AJ33" s="189">
        <f t="shared" si="49"/>
        <v>179.86699999999999</v>
      </c>
      <c r="AK33" s="189">
        <f t="shared" si="49"/>
        <v>199.06599999999997</v>
      </c>
      <c r="AL33" s="189">
        <f t="shared" si="49"/>
        <v>188.04300000000001</v>
      </c>
      <c r="AM33" s="190">
        <f t="shared" si="49"/>
        <v>743.57400000000007</v>
      </c>
      <c r="AN33" s="191">
        <f t="shared" si="49"/>
        <v>182.84499999999994</v>
      </c>
      <c r="AO33" s="191">
        <f t="shared" si="49"/>
        <v>194.20999999999998</v>
      </c>
      <c r="AP33" s="191">
        <f t="shared" si="49"/>
        <v>211.34300000000005</v>
      </c>
      <c r="AQ33" s="191">
        <f t="shared" si="49"/>
        <v>214.58199999999999</v>
      </c>
      <c r="AR33" s="190">
        <f>SUM(AN33:AQ33)</f>
        <v>802.98</v>
      </c>
      <c r="AS33" s="191">
        <f>AS29-AS24</f>
        <v>216.27500000000001</v>
      </c>
      <c r="AT33" s="191">
        <f>AT29-AT24</f>
        <v>237.55799999999994</v>
      </c>
      <c r="AU33" s="191">
        <f>AU29-AU24</f>
        <v>278.83599999999996</v>
      </c>
      <c r="AV33" s="192">
        <f>AV29-AV24</f>
        <v>263.00000000000011</v>
      </c>
      <c r="AW33" s="71">
        <f>AW29-AW24</f>
        <v>995.66899999999964</v>
      </c>
      <c r="AX33" s="191">
        <f>AX29+AX24</f>
        <v>248.59900000000002</v>
      </c>
      <c r="AY33" s="191">
        <f t="shared" ref="AY33:BF33" si="50">AY29+AY24</f>
        <v>245.11899999999991</v>
      </c>
      <c r="AZ33" s="191">
        <f t="shared" si="50"/>
        <v>253.30199999999999</v>
      </c>
      <c r="BA33" s="192">
        <f t="shared" si="50"/>
        <v>257.8</v>
      </c>
      <c r="BB33" s="77">
        <f t="shared" si="50"/>
        <v>1004.8199999999998</v>
      </c>
      <c r="BC33" s="191">
        <f t="shared" si="50"/>
        <v>245.69999999999996</v>
      </c>
      <c r="BD33" s="191">
        <f t="shared" si="50"/>
        <v>254.10000000000005</v>
      </c>
      <c r="BE33" s="191">
        <f t="shared" si="50"/>
        <v>272.29999999999995</v>
      </c>
      <c r="BF33" s="192">
        <f t="shared" si="50"/>
        <v>276.09999999999997</v>
      </c>
      <c r="BG33" s="77">
        <f t="shared" ref="BG33:CA33" si="51">BG29+BG24</f>
        <v>1048.2000000000003</v>
      </c>
      <c r="BH33" s="191">
        <f t="shared" si="51"/>
        <v>268.69212769731797</v>
      </c>
      <c r="BI33" s="191">
        <f t="shared" si="51"/>
        <v>274.9064271430733</v>
      </c>
      <c r="BJ33" s="191">
        <f t="shared" si="51"/>
        <v>292.67235042418281</v>
      </c>
      <c r="BK33" s="192">
        <f t="shared" si="51"/>
        <v>292.98453958837644</v>
      </c>
      <c r="BL33" s="77">
        <f>BL29+BL24</f>
        <v>1129.2554448529504</v>
      </c>
      <c r="BM33" s="191">
        <f t="shared" si="51"/>
        <v>285.44939369747124</v>
      </c>
      <c r="BN33" s="191">
        <f t="shared" si="51"/>
        <v>292.31414929336967</v>
      </c>
      <c r="BO33" s="191">
        <f t="shared" si="51"/>
        <v>311.24028628305382</v>
      </c>
      <c r="BP33" s="192">
        <f t="shared" si="51"/>
        <v>311.84117887415096</v>
      </c>
      <c r="BQ33" s="77">
        <f t="shared" si="51"/>
        <v>1200.8450081480457</v>
      </c>
      <c r="BR33" s="191">
        <f t="shared" si="51"/>
        <v>303.09166552831198</v>
      </c>
      <c r="BS33" s="191">
        <f t="shared" si="51"/>
        <v>310.43977653704405</v>
      </c>
      <c r="BT33" s="191">
        <f t="shared" si="51"/>
        <v>330.54008697683236</v>
      </c>
      <c r="BU33" s="192">
        <f t="shared" si="51"/>
        <v>331.20439773675423</v>
      </c>
      <c r="BV33" s="77">
        <f t="shared" si="51"/>
        <v>1275.2759267789424</v>
      </c>
      <c r="BW33" s="191">
        <f t="shared" si="51"/>
        <v>321.85068051768815</v>
      </c>
      <c r="BX33" s="191">
        <f t="shared" si="51"/>
        <v>329.71698253060777</v>
      </c>
      <c r="BY33" s="191">
        <f t="shared" si="51"/>
        <v>351.0669711696662</v>
      </c>
      <c r="BZ33" s="192">
        <f t="shared" si="51"/>
        <v>351.80003057333982</v>
      </c>
      <c r="CA33" s="77">
        <f t="shared" si="51"/>
        <v>1354.4346647913019</v>
      </c>
      <c r="CB33" s="1910">
        <f>(CA33/BG33)^(1/4)-1</f>
        <v>6.6174954377163919E-2</v>
      </c>
      <c r="CC33" s="78" t="s">
        <v>51</v>
      </c>
      <c r="CD33" s="171" t="str">
        <f>A33</f>
        <v>Adj. EBITDA</v>
      </c>
      <c r="CE33" s="74">
        <f>D33</f>
        <v>309.93700000000001</v>
      </c>
      <c r="CF33" s="74">
        <f>I33</f>
        <v>351.23199999999997</v>
      </c>
      <c r="CG33" s="74">
        <f>N33</f>
        <v>387.97699999999986</v>
      </c>
      <c r="CH33" s="74">
        <f>S33</f>
        <v>447.47600000000011</v>
      </c>
      <c r="CI33" s="74">
        <f>X33</f>
        <v>508.49600000000009</v>
      </c>
      <c r="CJ33" s="74">
        <f>AC33</f>
        <v>592.00000000000023</v>
      </c>
      <c r="CK33" s="74">
        <f>AH33</f>
        <v>695.91500000000008</v>
      </c>
      <c r="CL33" s="74">
        <f>AM33</f>
        <v>743.57400000000007</v>
      </c>
      <c r="CM33" s="74">
        <f>AR33</f>
        <v>802.98</v>
      </c>
      <c r="CN33" s="74">
        <f>AW33</f>
        <v>995.66899999999964</v>
      </c>
      <c r="CO33" s="74">
        <f>BB33</f>
        <v>1004.8199999999998</v>
      </c>
      <c r="CP33" s="74">
        <f>BG33</f>
        <v>1048.2000000000003</v>
      </c>
      <c r="CQ33" s="74">
        <f>BL33</f>
        <v>1129.2554448529504</v>
      </c>
      <c r="CR33" s="74">
        <f>BQ33</f>
        <v>1200.8450081480457</v>
      </c>
      <c r="CS33" s="74">
        <f>BV33</f>
        <v>1275.2759267789424</v>
      </c>
      <c r="CT33" s="141">
        <f>CA33</f>
        <v>1354.4346647913019</v>
      </c>
      <c r="CU33" s="1961"/>
      <c r="DB33" s="1961"/>
      <c r="DC33" s="1961"/>
      <c r="DD33" s="1961"/>
      <c r="DE33" s="1961"/>
      <c r="DF33" s="1961"/>
      <c r="DG33" s="1961"/>
      <c r="DH33" s="1961"/>
      <c r="DI33" s="74"/>
    </row>
    <row r="34" spans="1:113" ht="12" customHeight="1" x14ac:dyDescent="0.25">
      <c r="A34" s="172" t="s">
        <v>68</v>
      </c>
      <c r="B34" s="173"/>
      <c r="C34" s="88">
        <f>C33/C12</f>
        <v>0.40551683548616924</v>
      </c>
      <c r="D34" s="88">
        <f t="shared" ref="D34:BB34" si="52">D33/D12</f>
        <v>0.42449389357829326</v>
      </c>
      <c r="E34" s="95">
        <f t="shared" si="52"/>
        <v>0.42207067201786419</v>
      </c>
      <c r="F34" s="95">
        <f t="shared" si="52"/>
        <v>0.41741153544050824</v>
      </c>
      <c r="G34" s="95">
        <f t="shared" si="52"/>
        <v>0.43756102201549141</v>
      </c>
      <c r="H34" s="95">
        <f t="shared" si="52"/>
        <v>0.40571600719069179</v>
      </c>
      <c r="I34" s="88">
        <f t="shared" si="52"/>
        <v>0.43783868012141686</v>
      </c>
      <c r="J34" s="174">
        <f t="shared" si="52"/>
        <v>0.44894211058445949</v>
      </c>
      <c r="K34" s="95">
        <f t="shared" si="52"/>
        <v>0.44112269894448652</v>
      </c>
      <c r="L34" s="95">
        <f t="shared" si="52"/>
        <v>0.43254408599275368</v>
      </c>
      <c r="M34" s="95">
        <f t="shared" si="52"/>
        <v>0.4154206394808807</v>
      </c>
      <c r="N34" s="88">
        <f t="shared" si="52"/>
        <v>0.43419730289295494</v>
      </c>
      <c r="O34" s="174">
        <f t="shared" si="52"/>
        <v>0.438415306550126</v>
      </c>
      <c r="P34" s="95">
        <f t="shared" si="52"/>
        <v>0.42569286124164446</v>
      </c>
      <c r="Q34" s="95">
        <f t="shared" si="52"/>
        <v>0.42353597020645672</v>
      </c>
      <c r="R34" s="95">
        <f t="shared" si="52"/>
        <v>0.45473472990200886</v>
      </c>
      <c r="S34" s="175">
        <f t="shared" si="52"/>
        <v>0.43566766364457749</v>
      </c>
      <c r="T34" s="95">
        <f t="shared" si="52"/>
        <v>0.44774654721640822</v>
      </c>
      <c r="U34" s="95">
        <f t="shared" si="52"/>
        <v>0.44035899274701168</v>
      </c>
      <c r="V34" s="95">
        <f t="shared" si="52"/>
        <v>0.45020079762244491</v>
      </c>
      <c r="W34" s="95">
        <f t="shared" si="52"/>
        <v>0.44836913882616192</v>
      </c>
      <c r="X34" s="175">
        <f t="shared" si="52"/>
        <v>0.44669840285397289</v>
      </c>
      <c r="Y34" s="95">
        <f t="shared" si="52"/>
        <v>0.444457584484241</v>
      </c>
      <c r="Z34" s="95">
        <f t="shared" si="52"/>
        <v>0.43861525299437798</v>
      </c>
      <c r="AA34" s="95">
        <f t="shared" si="52"/>
        <v>0.44400143488053445</v>
      </c>
      <c r="AB34" s="95">
        <f t="shared" si="52"/>
        <v>0.45048962863310693</v>
      </c>
      <c r="AC34" s="88">
        <f t="shared" si="52"/>
        <v>0.44449783757808758</v>
      </c>
      <c r="AD34" s="95">
        <f>AD33/AD12</f>
        <v>0.46068265315251622</v>
      </c>
      <c r="AE34" s="95">
        <f>AE33/AE12</f>
        <v>0.43888957360955555</v>
      </c>
      <c r="AF34" s="95">
        <f>AF33/AF12</f>
        <v>0.45856597378047098</v>
      </c>
      <c r="AG34" s="95">
        <f>AG33/AG12</f>
        <v>0.45601231568566136</v>
      </c>
      <c r="AH34" s="88">
        <f t="shared" si="52"/>
        <v>0.45356574899629809</v>
      </c>
      <c r="AI34" s="95">
        <f t="shared" si="52"/>
        <v>0.46880649434426075</v>
      </c>
      <c r="AJ34" s="95">
        <f t="shared" si="52"/>
        <v>0.46076502564260208</v>
      </c>
      <c r="AK34" s="95">
        <f t="shared" si="52"/>
        <v>0.48325552828535151</v>
      </c>
      <c r="AL34" s="95">
        <f t="shared" si="52"/>
        <v>0.45124219205563409</v>
      </c>
      <c r="AM34" s="88">
        <f t="shared" si="52"/>
        <v>0.46598229130175672</v>
      </c>
      <c r="AN34" s="84">
        <f>AN33/AN12</f>
        <v>0.44635206753197287</v>
      </c>
      <c r="AO34" s="84">
        <f>AO33/AO12</f>
        <v>0.45852476897868982</v>
      </c>
      <c r="AP34" s="84">
        <f>AP33/AP12</f>
        <v>0.47104855515808014</v>
      </c>
      <c r="AQ34" s="87">
        <f>AQ33/AQ12</f>
        <v>0.46160167274729813</v>
      </c>
      <c r="AR34" s="88">
        <f t="shared" si="52"/>
        <v>0.45970575808684366</v>
      </c>
      <c r="AS34" s="84">
        <f>AS33/AS12</f>
        <v>0.47078017488142065</v>
      </c>
      <c r="AT34" s="84">
        <f>AT33/AT12</f>
        <v>0.47735959007334461</v>
      </c>
      <c r="AU34" s="84">
        <f>AU33/AU12</f>
        <v>0.50660518422023215</v>
      </c>
      <c r="AV34" s="87">
        <f>AV33/AV12</f>
        <v>0.46914020692115599</v>
      </c>
      <c r="AW34" s="88">
        <f t="shared" si="52"/>
        <v>0.48145352525666701</v>
      </c>
      <c r="AX34" s="84">
        <f t="shared" si="52"/>
        <v>0.50456361972068253</v>
      </c>
      <c r="AY34" s="84">
        <f t="shared" si="52"/>
        <v>0.49191444442660576</v>
      </c>
      <c r="AZ34" s="84">
        <f t="shared" si="52"/>
        <v>0.50855583730357112</v>
      </c>
      <c r="BA34" s="87">
        <f t="shared" si="52"/>
        <v>0.50938549693736412</v>
      </c>
      <c r="BB34" s="88">
        <f t="shared" si="52"/>
        <v>0.50362423803790934</v>
      </c>
      <c r="BC34" s="84">
        <f t="shared" ref="BC34:CA34" si="53">BC33/BC12</f>
        <v>0.4888579387186629</v>
      </c>
      <c r="BD34" s="84">
        <f t="shared" si="53"/>
        <v>0.48566513761467894</v>
      </c>
      <c r="BE34" s="84">
        <f t="shared" si="53"/>
        <v>0.49590238572209067</v>
      </c>
      <c r="BF34" s="87">
        <f t="shared" si="53"/>
        <v>0.4841311590391022</v>
      </c>
      <c r="BG34" s="88">
        <f t="shared" si="53"/>
        <v>0.48862576915905281</v>
      </c>
      <c r="BH34" s="84">
        <f t="shared" si="53"/>
        <v>0.47292129897407742</v>
      </c>
      <c r="BI34" s="84">
        <f t="shared" si="53"/>
        <v>0.47179495358201096</v>
      </c>
      <c r="BJ34" s="84">
        <f t="shared" si="53"/>
        <v>0.48923184362300259</v>
      </c>
      <c r="BK34" s="87">
        <f t="shared" si="53"/>
        <v>0.48002788501066845</v>
      </c>
      <c r="BL34" s="88">
        <f t="shared" si="53"/>
        <v>0.4786170481021908</v>
      </c>
      <c r="BM34" s="84">
        <f t="shared" si="53"/>
        <v>0.47546818986955319</v>
      </c>
      <c r="BN34" s="84">
        <f t="shared" si="53"/>
        <v>0.47434562931152741</v>
      </c>
      <c r="BO34" s="84">
        <f t="shared" si="53"/>
        <v>0.4918068884485185</v>
      </c>
      <c r="BP34" s="87">
        <f t="shared" si="53"/>
        <v>0.48257286077400185</v>
      </c>
      <c r="BQ34" s="88">
        <f t="shared" si="53"/>
        <v>0.48117380335858667</v>
      </c>
      <c r="BR34" s="84">
        <f t="shared" si="53"/>
        <v>0.47805996818734142</v>
      </c>
      <c r="BS34" s="84">
        <f t="shared" si="53"/>
        <v>0.47698556162650652</v>
      </c>
      <c r="BT34" s="84">
        <f t="shared" si="53"/>
        <v>0.49446942924720583</v>
      </c>
      <c r="BU34" s="87">
        <f t="shared" si="53"/>
        <v>0.485250575520425</v>
      </c>
      <c r="BV34" s="88">
        <f t="shared" si="53"/>
        <v>0.48381822237176419</v>
      </c>
      <c r="BW34" s="84">
        <f t="shared" si="53"/>
        <v>0.48064529876266043</v>
      </c>
      <c r="BX34" s="84">
        <f t="shared" si="53"/>
        <v>0.47961983881566272</v>
      </c>
      <c r="BY34" s="84">
        <f t="shared" si="53"/>
        <v>0.497126957073802</v>
      </c>
      <c r="BZ34" s="87">
        <f t="shared" si="53"/>
        <v>0.48792338971559523</v>
      </c>
      <c r="CA34" s="88">
        <f t="shared" si="53"/>
        <v>0.48645715876374185</v>
      </c>
      <c r="CB34" s="1910"/>
      <c r="CC34" s="93"/>
      <c r="CD34" s="176" t="str">
        <f>A34</f>
        <v>Adj. EBITDA Margin</v>
      </c>
      <c r="CE34" s="95">
        <f>D34</f>
        <v>0.42449389357829326</v>
      </c>
      <c r="CF34" s="95">
        <f>I34</f>
        <v>0.43783868012141686</v>
      </c>
      <c r="CG34" s="95">
        <f>N34</f>
        <v>0.43419730289295494</v>
      </c>
      <c r="CH34" s="95">
        <f>S34</f>
        <v>0.43566766364457749</v>
      </c>
      <c r="CI34" s="95">
        <f>X34</f>
        <v>0.44669840285397289</v>
      </c>
      <c r="CJ34" s="95">
        <f>AC34</f>
        <v>0.44449783757808758</v>
      </c>
      <c r="CK34" s="95">
        <f>AH34</f>
        <v>0.45356574899629809</v>
      </c>
      <c r="CL34" s="95">
        <f>AM34</f>
        <v>0.46598229130175672</v>
      </c>
      <c r="CM34" s="95">
        <f>AR34</f>
        <v>0.45970575808684366</v>
      </c>
      <c r="CN34" s="95">
        <f>AW34</f>
        <v>0.48145352525666701</v>
      </c>
      <c r="CO34" s="95">
        <f>BB34</f>
        <v>0.50362423803790934</v>
      </c>
      <c r="CP34" s="95">
        <f>BG34</f>
        <v>0.48862576915905281</v>
      </c>
      <c r="CQ34" s="95">
        <f>BL34</f>
        <v>0.4786170481021908</v>
      </c>
      <c r="CR34" s="95">
        <f>BQ34</f>
        <v>0.48117380335858667</v>
      </c>
      <c r="CS34" s="95">
        <f>BV34</f>
        <v>0.48381822237176419</v>
      </c>
      <c r="CT34" s="177">
        <f>CA34</f>
        <v>0.48645715876374185</v>
      </c>
      <c r="CU34" s="1961"/>
      <c r="DB34" s="1961"/>
      <c r="DC34" s="1961"/>
      <c r="DD34" s="1961"/>
      <c r="DE34" s="1961"/>
      <c r="DF34" s="1961"/>
      <c r="DG34" s="1961"/>
      <c r="DH34" s="1961"/>
      <c r="DI34" s="95"/>
    </row>
    <row r="35" spans="1:113" ht="12" customHeight="1" x14ac:dyDescent="0.25">
      <c r="A35" s="193" t="s">
        <v>66</v>
      </c>
      <c r="B35" s="194"/>
      <c r="C35" s="179"/>
      <c r="D35" s="179">
        <f>D33/C33-1</f>
        <v>0.18375180463361129</v>
      </c>
      <c r="E35" s="195"/>
      <c r="F35" s="195"/>
      <c r="G35" s="195"/>
      <c r="H35" s="195"/>
      <c r="I35" s="179">
        <f>I33/D33-1</f>
        <v>0.1332367545662505</v>
      </c>
      <c r="J35" s="196">
        <f t="shared" ref="J35:AW35" si="54">J33/E33-1</f>
        <v>0.15345201496627792</v>
      </c>
      <c r="K35" s="195">
        <f t="shared" si="54"/>
        <v>0.16670239626506622</v>
      </c>
      <c r="L35" s="195">
        <f t="shared" si="54"/>
        <v>0.1106292409973566</v>
      </c>
      <c r="M35" s="195">
        <f t="shared" si="54"/>
        <v>0.17049092524740961</v>
      </c>
      <c r="N35" s="179">
        <f t="shared" si="54"/>
        <v>0.10461746082361478</v>
      </c>
      <c r="O35" s="196">
        <f t="shared" si="54"/>
        <v>0.1130268595041326</v>
      </c>
      <c r="P35" s="195">
        <f t="shared" si="54"/>
        <v>0.12078276048631564</v>
      </c>
      <c r="Q35" s="195">
        <f t="shared" si="54"/>
        <v>0.12719067783513194</v>
      </c>
      <c r="R35" s="195">
        <f t="shared" si="54"/>
        <v>0.25380367523945235</v>
      </c>
      <c r="S35" s="180">
        <f t="shared" si="54"/>
        <v>0.15335702889604352</v>
      </c>
      <c r="T35" s="195">
        <f t="shared" si="54"/>
        <v>0.14763182075532977</v>
      </c>
      <c r="U35" s="195">
        <f t="shared" si="54"/>
        <v>0.12975326295847678</v>
      </c>
      <c r="V35" s="195">
        <f t="shared" si="54"/>
        <v>0.18247047639940028</v>
      </c>
      <c r="W35" s="195">
        <f t="shared" si="54"/>
        <v>9.0252318309251622E-2</v>
      </c>
      <c r="X35" s="180">
        <f t="shared" si="54"/>
        <v>0.1363648553218495</v>
      </c>
      <c r="Y35" s="195">
        <f t="shared" si="54"/>
        <v>0.12462898412416012</v>
      </c>
      <c r="Z35" s="195">
        <f t="shared" si="54"/>
        <v>0.15729730165512468</v>
      </c>
      <c r="AA35" s="195">
        <f t="shared" si="54"/>
        <v>0.1672528542827767</v>
      </c>
      <c r="AB35" s="195">
        <f t="shared" si="54"/>
        <v>0.20500140745418149</v>
      </c>
      <c r="AC35" s="179">
        <f t="shared" si="54"/>
        <v>0.16421761429785109</v>
      </c>
      <c r="AD35" s="195">
        <f t="shared" si="54"/>
        <v>0.14792495163853658</v>
      </c>
      <c r="AE35" s="195">
        <f t="shared" si="54"/>
        <v>0.14110066179031655</v>
      </c>
      <c r="AF35" s="195">
        <f t="shared" si="54"/>
        <v>0.21125930438928764</v>
      </c>
      <c r="AG35" s="195">
        <f t="shared" si="54"/>
        <v>0.19691392710352407</v>
      </c>
      <c r="AH35" s="179">
        <f t="shared" si="54"/>
        <v>0.17553209459459418</v>
      </c>
      <c r="AI35" s="195">
        <f t="shared" si="54"/>
        <v>0.10631660057509063</v>
      </c>
      <c r="AJ35" s="195">
        <f t="shared" si="54"/>
        <v>9.8055614907969879E-2</v>
      </c>
      <c r="AK35" s="195">
        <f t="shared" si="54"/>
        <v>8.8357343976380953E-2</v>
      </c>
      <c r="AL35" s="195">
        <f t="shared" si="54"/>
        <v>-8.0969310785006243E-3</v>
      </c>
      <c r="AM35" s="179">
        <f t="shared" si="54"/>
        <v>6.8483938412018608E-2</v>
      </c>
      <c r="AN35" s="197">
        <f t="shared" si="54"/>
        <v>3.5374126547299323E-2</v>
      </c>
      <c r="AO35" s="197">
        <f t="shared" si="54"/>
        <v>7.9742253998787982E-2</v>
      </c>
      <c r="AP35" s="197">
        <f t="shared" si="54"/>
        <v>6.1673012970572927E-2</v>
      </c>
      <c r="AQ35" s="198">
        <f t="shared" si="54"/>
        <v>0.14113261328525906</v>
      </c>
      <c r="AR35" s="179">
        <f t="shared" si="54"/>
        <v>7.9892519103680337E-2</v>
      </c>
      <c r="AS35" s="197">
        <f t="shared" si="54"/>
        <v>0.18283245371763002</v>
      </c>
      <c r="AT35" s="197">
        <f t="shared" si="54"/>
        <v>0.22320168889346559</v>
      </c>
      <c r="AU35" s="197">
        <f t="shared" si="54"/>
        <v>0.31935290026165952</v>
      </c>
      <c r="AV35" s="198">
        <f t="shared" si="54"/>
        <v>0.22563868358017047</v>
      </c>
      <c r="AW35" s="179">
        <f t="shared" si="54"/>
        <v>0.23996737154100933</v>
      </c>
      <c r="AX35" s="199">
        <v>0.24113330004992495</v>
      </c>
      <c r="AY35" s="199">
        <v>0.12491509866911366</v>
      </c>
      <c r="AZ35" s="199">
        <v>-5.8791208791209026E-3</v>
      </c>
      <c r="BA35" s="200">
        <v>7.0153590701536039E-2</v>
      </c>
      <c r="BB35" s="201">
        <v>9.9485720538351474E-2</v>
      </c>
      <c r="BC35" s="197">
        <f t="shared" ref="BC35:CA35" si="55">BC33/AX33-1</f>
        <v>-1.1661350206557786E-2</v>
      </c>
      <c r="BD35" s="197">
        <f t="shared" si="55"/>
        <v>3.6639346603078993E-2</v>
      </c>
      <c r="BE35" s="197">
        <f t="shared" si="55"/>
        <v>7.5001381749847829E-2</v>
      </c>
      <c r="BF35" s="198">
        <f t="shared" si="55"/>
        <v>7.0985259891388486E-2</v>
      </c>
      <c r="BG35" s="179">
        <f t="shared" si="55"/>
        <v>4.3171911387114514E-2</v>
      </c>
      <c r="BH35" s="197">
        <f t="shared" si="55"/>
        <v>9.3578053306137665E-2</v>
      </c>
      <c r="BI35" s="197">
        <f t="shared" si="55"/>
        <v>8.1882830157706588E-2</v>
      </c>
      <c r="BJ35" s="197">
        <f t="shared" si="55"/>
        <v>7.4815829688515745E-2</v>
      </c>
      <c r="BK35" s="198">
        <f t="shared" si="55"/>
        <v>6.1153710932185801E-2</v>
      </c>
      <c r="BL35" s="179">
        <f t="shared" si="55"/>
        <v>7.7328224435174731E-2</v>
      </c>
      <c r="BM35" s="197">
        <f t="shared" si="55"/>
        <v>6.2366047504861521E-2</v>
      </c>
      <c r="BN35" s="197">
        <f t="shared" si="55"/>
        <v>6.3322354195948449E-2</v>
      </c>
      <c r="BO35" s="197">
        <f t="shared" si="55"/>
        <v>6.344274008788231E-2</v>
      </c>
      <c r="BP35" s="198">
        <f t="shared" si="55"/>
        <v>6.4360526709930976E-2</v>
      </c>
      <c r="BQ35" s="179">
        <f t="shared" si="55"/>
        <v>6.3395366939689612E-2</v>
      </c>
      <c r="BR35" s="197">
        <f t="shared" si="55"/>
        <v>6.1805252420814805E-2</v>
      </c>
      <c r="BS35" s="197">
        <f t="shared" si="55"/>
        <v>6.2007355057874136E-2</v>
      </c>
      <c r="BT35" s="197">
        <f t="shared" si="55"/>
        <v>6.2009327019531657E-2</v>
      </c>
      <c r="BU35" s="198">
        <f t="shared" si="55"/>
        <v>6.2093206973212522E-2</v>
      </c>
      <c r="BV35" s="179">
        <f t="shared" si="55"/>
        <v>6.1982119362501864E-2</v>
      </c>
      <c r="BW35" s="197">
        <f t="shared" si="55"/>
        <v>6.1892216523597776E-2</v>
      </c>
      <c r="BX35" s="197">
        <f t="shared" si="55"/>
        <v>6.209644333790254E-2</v>
      </c>
      <c r="BY35" s="197">
        <f t="shared" si="55"/>
        <v>6.2101043115755594E-2</v>
      </c>
      <c r="BZ35" s="198">
        <f t="shared" si="55"/>
        <v>6.2184056061221904E-2</v>
      </c>
      <c r="CA35" s="179">
        <f t="shared" si="55"/>
        <v>6.2071851550037804E-2</v>
      </c>
      <c r="CB35" s="1910"/>
      <c r="CC35" s="93"/>
      <c r="CD35" s="202" t="str">
        <f>A35</f>
        <v>Year-over-Year Growth</v>
      </c>
      <c r="CE35" s="195">
        <f>D35</f>
        <v>0.18375180463361129</v>
      </c>
      <c r="CF35" s="195">
        <f>I35</f>
        <v>0.1332367545662505</v>
      </c>
      <c r="CG35" s="195">
        <f>N35</f>
        <v>0.10461746082361478</v>
      </c>
      <c r="CH35" s="195">
        <f>S35</f>
        <v>0.15335702889604352</v>
      </c>
      <c r="CI35" s="195">
        <f>X35</f>
        <v>0.1363648553218495</v>
      </c>
      <c r="CJ35" s="195">
        <f>AC35</f>
        <v>0.16421761429785109</v>
      </c>
      <c r="CK35" s="195">
        <f>AH35</f>
        <v>0.17553209459459418</v>
      </c>
      <c r="CL35" s="195">
        <f>AM35</f>
        <v>6.8483938412018608E-2</v>
      </c>
      <c r="CM35" s="195">
        <f>AR35</f>
        <v>7.9892519103680337E-2</v>
      </c>
      <c r="CN35" s="195">
        <f>AW35</f>
        <v>0.23996737154100933</v>
      </c>
      <c r="CO35" s="195">
        <f>BB35</f>
        <v>9.9485720538351474E-2</v>
      </c>
      <c r="CP35" s="195">
        <f>BG35</f>
        <v>4.3171911387114514E-2</v>
      </c>
      <c r="CQ35" s="195">
        <f>BL35</f>
        <v>7.7328224435174731E-2</v>
      </c>
      <c r="CR35" s="195">
        <f>BQ35</f>
        <v>6.3395366939689612E-2</v>
      </c>
      <c r="CS35" s="195">
        <f>BV35</f>
        <v>6.1982119362501864E-2</v>
      </c>
      <c r="CT35" s="203">
        <f>CA35</f>
        <v>6.2071851550037804E-2</v>
      </c>
      <c r="CU35" s="1961"/>
      <c r="DB35" s="1961"/>
      <c r="DC35" s="1961"/>
      <c r="DD35" s="1961"/>
      <c r="DE35" s="1961"/>
      <c r="DF35" s="1961"/>
      <c r="DG35" s="1961"/>
      <c r="DH35" s="1961"/>
      <c r="DI35" s="95"/>
    </row>
    <row r="36" spans="1:113" ht="5.0999999999999996" customHeight="1" x14ac:dyDescent="0.25">
      <c r="A36" s="204"/>
      <c r="B36" s="128"/>
      <c r="C36" s="134"/>
      <c r="D36" s="134"/>
      <c r="E36" s="135"/>
      <c r="F36" s="135"/>
      <c r="G36" s="135"/>
      <c r="H36" s="135"/>
      <c r="I36" s="134"/>
      <c r="J36" s="135"/>
      <c r="K36" s="135"/>
      <c r="L36" s="135"/>
      <c r="M36" s="135"/>
      <c r="N36" s="134"/>
      <c r="O36" s="205"/>
      <c r="P36" s="130"/>
      <c r="Q36" s="130"/>
      <c r="R36" s="130"/>
      <c r="S36" s="206"/>
      <c r="T36" s="130"/>
      <c r="U36" s="130"/>
      <c r="V36" s="130"/>
      <c r="W36" s="130"/>
      <c r="X36" s="206"/>
      <c r="Y36" s="135"/>
      <c r="Z36" s="207"/>
      <c r="AA36" s="95"/>
      <c r="AB36" s="95"/>
      <c r="AC36" s="129"/>
      <c r="AD36" s="135"/>
      <c r="AE36" s="135"/>
      <c r="AF36" s="135"/>
      <c r="AG36" s="135"/>
      <c r="AH36" s="129"/>
      <c r="AI36" s="135"/>
      <c r="AJ36" s="135"/>
      <c r="AK36" s="135"/>
      <c r="AL36" s="135"/>
      <c r="AM36" s="129"/>
      <c r="AN36" s="130"/>
      <c r="AO36" s="130"/>
      <c r="AP36" s="130"/>
      <c r="AQ36" s="133"/>
      <c r="AR36" s="208"/>
      <c r="AS36" s="130"/>
      <c r="AT36" s="130"/>
      <c r="AU36" s="209"/>
      <c r="AV36" s="133"/>
      <c r="AW36" s="88"/>
      <c r="AX36" s="1874"/>
      <c r="AY36" s="130"/>
      <c r="AZ36" s="130"/>
      <c r="BA36" s="133"/>
      <c r="BB36" s="88"/>
      <c r="BC36" s="130"/>
      <c r="BD36" s="130"/>
      <c r="BE36" s="130"/>
      <c r="BF36" s="133"/>
      <c r="BG36" s="88"/>
      <c r="BH36" s="130"/>
      <c r="BI36" s="130"/>
      <c r="BJ36" s="130"/>
      <c r="BK36" s="133"/>
      <c r="BL36" s="88"/>
      <c r="BM36" s="130"/>
      <c r="BN36" s="130"/>
      <c r="BO36" s="130"/>
      <c r="BP36" s="133"/>
      <c r="BQ36" s="88"/>
      <c r="BR36" s="130"/>
      <c r="BS36" s="130"/>
      <c r="BT36" s="130"/>
      <c r="BU36" s="133"/>
      <c r="BV36" s="88"/>
      <c r="BW36" s="130"/>
      <c r="BX36" s="130"/>
      <c r="BY36" s="130"/>
      <c r="BZ36" s="133"/>
      <c r="CA36" s="88"/>
      <c r="CB36" s="1910"/>
      <c r="CC36" s="162"/>
      <c r="CD36" s="163"/>
      <c r="CE36" s="135"/>
      <c r="CF36" s="135"/>
      <c r="CG36" s="135"/>
      <c r="CH36" s="135"/>
      <c r="CI36" s="135"/>
      <c r="CJ36" s="135"/>
      <c r="CK36" s="135"/>
      <c r="CL36" s="135"/>
      <c r="CM36" s="135"/>
      <c r="CN36" s="135"/>
      <c r="CO36" s="135"/>
      <c r="CP36" s="135"/>
      <c r="CQ36" s="135"/>
      <c r="CR36" s="135"/>
      <c r="CS36" s="135"/>
      <c r="CT36" s="210"/>
      <c r="CU36" s="1961"/>
      <c r="DB36" s="1961"/>
      <c r="DC36" s="1961"/>
      <c r="DD36" s="1961"/>
      <c r="DE36" s="1961"/>
      <c r="DF36" s="1961"/>
      <c r="DG36" s="1961"/>
      <c r="DH36" s="1961"/>
      <c r="DI36" s="95"/>
    </row>
    <row r="37" spans="1:113" ht="12" customHeight="1" x14ac:dyDescent="0.25">
      <c r="A37" s="211" t="s">
        <v>69</v>
      </c>
      <c r="B37" s="137"/>
      <c r="C37" s="71">
        <f t="shared" ref="C37:AQ37" si="56">C38+C39</f>
        <v>41.823999999999998</v>
      </c>
      <c r="D37" s="71">
        <f t="shared" si="56"/>
        <v>54.861000000000004</v>
      </c>
      <c r="E37" s="74">
        <f t="shared" si="56"/>
        <v>16.504999999999999</v>
      </c>
      <c r="F37" s="74">
        <f t="shared" si="56"/>
        <v>16.232999999999997</v>
      </c>
      <c r="G37" s="74">
        <f t="shared" si="56"/>
        <v>15.523</v>
      </c>
      <c r="H37" s="74">
        <f t="shared" si="56"/>
        <v>17.399999999999999</v>
      </c>
      <c r="I37" s="71">
        <f t="shared" si="56"/>
        <v>65.661000000000001</v>
      </c>
      <c r="J37" s="74">
        <f t="shared" si="56"/>
        <v>15.948</v>
      </c>
      <c r="K37" s="74">
        <f t="shared" si="56"/>
        <v>15.413</v>
      </c>
      <c r="L37" s="74">
        <f t="shared" si="56"/>
        <v>16.094999999999999</v>
      </c>
      <c r="M37" s="74">
        <f t="shared" si="56"/>
        <v>17.415999999999997</v>
      </c>
      <c r="N37" s="71">
        <f t="shared" si="56"/>
        <v>64.871999999999986</v>
      </c>
      <c r="O37" s="138">
        <f t="shared" si="56"/>
        <v>17.704999999999998</v>
      </c>
      <c r="P37" s="70">
        <f t="shared" si="56"/>
        <v>18.182000000000002</v>
      </c>
      <c r="Q37" s="70">
        <f t="shared" si="56"/>
        <v>17.633000000000003</v>
      </c>
      <c r="R37" s="70">
        <f t="shared" si="56"/>
        <v>17.679000000000002</v>
      </c>
      <c r="S37" s="71">
        <f t="shared" si="56"/>
        <v>71.199000000000012</v>
      </c>
      <c r="T37" s="70">
        <f t="shared" si="56"/>
        <v>17.233000000000001</v>
      </c>
      <c r="U37" s="70">
        <f t="shared" si="56"/>
        <v>16.963999999999999</v>
      </c>
      <c r="V37" s="70">
        <f t="shared" si="56"/>
        <v>15.648999999999999</v>
      </c>
      <c r="W37" s="70">
        <f t="shared" si="56"/>
        <v>17.735999999999994</v>
      </c>
      <c r="X37" s="71">
        <f t="shared" si="56"/>
        <v>67.581999999999994</v>
      </c>
      <c r="Y37" s="70">
        <f t="shared" si="56"/>
        <v>19.759999999999998</v>
      </c>
      <c r="Z37" s="70">
        <f t="shared" si="56"/>
        <v>19.731999999999999</v>
      </c>
      <c r="AA37" s="70">
        <f t="shared" si="56"/>
        <v>19.594999999999999</v>
      </c>
      <c r="AB37" s="70">
        <f t="shared" si="56"/>
        <v>19.532000000000004</v>
      </c>
      <c r="AC37" s="71">
        <f t="shared" si="56"/>
        <v>78.619</v>
      </c>
      <c r="AD37" s="70">
        <f t="shared" si="56"/>
        <v>20.230999999999998</v>
      </c>
      <c r="AE37" s="70">
        <f t="shared" si="56"/>
        <v>25.277000000000001</v>
      </c>
      <c r="AF37" s="70">
        <f t="shared" si="56"/>
        <v>28.155999999999999</v>
      </c>
      <c r="AG37" s="70">
        <f t="shared" si="56"/>
        <v>30.535000000000004</v>
      </c>
      <c r="AH37" s="71">
        <f t="shared" si="56"/>
        <v>104.19900000000001</v>
      </c>
      <c r="AI37" s="70">
        <f t="shared" si="56"/>
        <v>31.215</v>
      </c>
      <c r="AJ37" s="70">
        <f t="shared" si="56"/>
        <v>32.871000000000002</v>
      </c>
      <c r="AK37" s="70">
        <f t="shared" si="56"/>
        <v>32.003</v>
      </c>
      <c r="AL37" s="70">
        <f t="shared" si="56"/>
        <v>33.841000000000001</v>
      </c>
      <c r="AM37" s="71">
        <f t="shared" si="56"/>
        <v>129.93</v>
      </c>
      <c r="AN37" s="75">
        <f t="shared" si="56"/>
        <v>33.992999999999995</v>
      </c>
      <c r="AO37" s="75">
        <f t="shared" si="56"/>
        <v>34.944000000000003</v>
      </c>
      <c r="AP37" s="75">
        <f t="shared" si="56"/>
        <v>36.138000000000005</v>
      </c>
      <c r="AQ37" s="76">
        <f t="shared" si="56"/>
        <v>37.300999999999995</v>
      </c>
      <c r="AR37" s="71">
        <f>SUM(AN37:AQ37)</f>
        <v>142.376</v>
      </c>
      <c r="AS37" s="75">
        <f>AS38+AS39</f>
        <v>38.582999999999998</v>
      </c>
      <c r="AT37" s="75">
        <f>AT38+AT39</f>
        <v>57.44</v>
      </c>
      <c r="AU37" s="75">
        <f>AU38+AU39</f>
        <v>52.043999999999997</v>
      </c>
      <c r="AV37" s="75">
        <f>AV38+AV39</f>
        <v>67.682000000000016</v>
      </c>
      <c r="AW37" s="71">
        <f>SUM(AS37:AV37)</f>
        <v>215.74900000000002</v>
      </c>
      <c r="AX37" s="75">
        <f>AX38+AX39</f>
        <v>55.757999999999996</v>
      </c>
      <c r="AY37" s="75">
        <f>AY38+AY39</f>
        <v>53.194000000000003</v>
      </c>
      <c r="AZ37" s="75">
        <f>AZ38+AZ39</f>
        <v>52.18</v>
      </c>
      <c r="BA37" s="75">
        <f>BA38+BA39</f>
        <v>50.400000000000006</v>
      </c>
      <c r="BB37" s="77">
        <f>SUM(AX37:BA37)</f>
        <v>211.53200000000001</v>
      </c>
      <c r="BC37" s="75">
        <f>BC38+BC39</f>
        <v>56.099999999999994</v>
      </c>
      <c r="BD37" s="75">
        <f>BD38+BD39</f>
        <v>55.7</v>
      </c>
      <c r="BE37" s="75">
        <f>BE38+BE39</f>
        <v>61.3</v>
      </c>
      <c r="BF37" s="76">
        <f>BF38+BF39</f>
        <v>64.300000000000011</v>
      </c>
      <c r="BG37" s="77">
        <f>SUM(BC37:BF37)</f>
        <v>237.4</v>
      </c>
      <c r="BH37" s="75">
        <f>BH38+BH39</f>
        <v>70.91086</v>
      </c>
      <c r="BI37" s="75">
        <f>BI38+BI39</f>
        <v>70.044939999999997</v>
      </c>
      <c r="BJ37" s="75">
        <f>BJ38+BJ39</f>
        <v>70.57007999999999</v>
      </c>
      <c r="BK37" s="76">
        <f>BK38+BK39</f>
        <v>71.014840000000007</v>
      </c>
      <c r="BL37" s="77">
        <f>SUM(BH37:BK37)</f>
        <v>282.54072000000002</v>
      </c>
      <c r="BM37" s="75">
        <f>BM38+BM39</f>
        <v>70.561862187499997</v>
      </c>
      <c r="BN37" s="75">
        <f>BN38+BN39</f>
        <v>69.693847187499998</v>
      </c>
      <c r="BO37" s="75">
        <f>BO38+BO39</f>
        <v>70.218594374999995</v>
      </c>
      <c r="BP37" s="76">
        <f>BP38+BP39</f>
        <v>70.662655000000001</v>
      </c>
      <c r="BQ37" s="77">
        <f>SUM(BM37:BP37)</f>
        <v>281.13695874999996</v>
      </c>
      <c r="BR37" s="75">
        <f>BR38+BR39</f>
        <v>69.855624943750001</v>
      </c>
      <c r="BS37" s="75">
        <f>BS38+BS39</f>
        <v>68.984970243749999</v>
      </c>
      <c r="BT37" s="75">
        <f>BT38+BT39</f>
        <v>69.509222487500011</v>
      </c>
      <c r="BU37" s="76">
        <f>BU38+BU39</f>
        <v>69.952401900000012</v>
      </c>
      <c r="BV37" s="77">
        <f>SUM(BR37:BU37)</f>
        <v>278.30221957500004</v>
      </c>
      <c r="BW37" s="75">
        <f>BW38+BW39</f>
        <v>67.613406190937496</v>
      </c>
      <c r="BX37" s="75">
        <f>BX38+BX39</f>
        <v>66.749218755937505</v>
      </c>
      <c r="BY37" s="75">
        <f>BY38+BY39</f>
        <v>67.274683611875005</v>
      </c>
      <c r="BZ37" s="76">
        <f>BZ38+BZ39</f>
        <v>67.72002199500001</v>
      </c>
      <c r="CA37" s="77">
        <f>SUM(BW37:BZ37)</f>
        <v>269.35733055375005</v>
      </c>
      <c r="CB37" s="1910"/>
      <c r="CC37" s="78" t="s">
        <v>51</v>
      </c>
      <c r="CD37" s="212" t="str">
        <f>A37</f>
        <v>Depreciation and Amortization</v>
      </c>
      <c r="CE37" s="70">
        <f>D37</f>
        <v>54.861000000000004</v>
      </c>
      <c r="CF37" s="70">
        <f>I37</f>
        <v>65.661000000000001</v>
      </c>
      <c r="CG37" s="70">
        <f>N37</f>
        <v>64.871999999999986</v>
      </c>
      <c r="CH37" s="70">
        <f>S37</f>
        <v>71.199000000000012</v>
      </c>
      <c r="CI37" s="70">
        <f>X37</f>
        <v>67.581999999999994</v>
      </c>
      <c r="CJ37" s="70">
        <f>AC37</f>
        <v>78.619</v>
      </c>
      <c r="CK37" s="70">
        <f>AH37</f>
        <v>104.19900000000001</v>
      </c>
      <c r="CL37" s="70">
        <f>AM37</f>
        <v>129.93</v>
      </c>
      <c r="CM37" s="70">
        <f>AR37</f>
        <v>142.376</v>
      </c>
      <c r="CN37" s="70">
        <f>AW37</f>
        <v>215.74900000000002</v>
      </c>
      <c r="CO37" s="70">
        <f>BB37</f>
        <v>211.53200000000001</v>
      </c>
      <c r="CP37" s="70">
        <f>BG37</f>
        <v>237.4</v>
      </c>
      <c r="CQ37" s="70">
        <f>BL37</f>
        <v>282.54072000000002</v>
      </c>
      <c r="CR37" s="70">
        <f>BQ37</f>
        <v>281.13695874999996</v>
      </c>
      <c r="CS37" s="70">
        <f>BV37</f>
        <v>278.30221957500004</v>
      </c>
      <c r="CT37" s="80">
        <f>CA37</f>
        <v>269.35733055375005</v>
      </c>
      <c r="CU37" s="1961"/>
      <c r="DB37" s="1961"/>
      <c r="DC37" s="1961"/>
      <c r="DD37" s="1961"/>
      <c r="DE37" s="1961"/>
      <c r="DF37" s="1961"/>
      <c r="DG37" s="1961"/>
      <c r="DH37" s="1961"/>
      <c r="DI37" s="1961"/>
    </row>
    <row r="38" spans="1:113" ht="12" hidden="1" customHeight="1" outlineLevel="1" x14ac:dyDescent="0.25">
      <c r="A38" s="213" t="s">
        <v>70</v>
      </c>
      <c r="B38" s="214"/>
      <c r="C38" s="114">
        <f t="shared" ref="C38:H38" si="57">C277+C345</f>
        <v>22.024000000000001</v>
      </c>
      <c r="D38" s="114">
        <f t="shared" si="57"/>
        <v>28.007000000000001</v>
      </c>
      <c r="E38" s="115">
        <f t="shared" si="57"/>
        <v>7.5819999999999999</v>
      </c>
      <c r="F38" s="115">
        <f t="shared" si="57"/>
        <v>7.9160000000000004</v>
      </c>
      <c r="G38" s="115">
        <f t="shared" si="57"/>
        <v>7.7989999999999986</v>
      </c>
      <c r="H38" s="115">
        <f t="shared" si="57"/>
        <v>8.4480000000000004</v>
      </c>
      <c r="I38" s="116">
        <f>SUM(E38:H38)</f>
        <v>31.745000000000001</v>
      </c>
      <c r="J38" s="115">
        <f>J277+J345</f>
        <v>7.907</v>
      </c>
      <c r="K38" s="115">
        <f>K277+K345</f>
        <v>8.5170000000000012</v>
      </c>
      <c r="L38" s="115">
        <f>L277+L345</f>
        <v>9.0539999999999985</v>
      </c>
      <c r="M38" s="115">
        <f>M277+M345</f>
        <v>9.8389999999999986</v>
      </c>
      <c r="N38" s="116">
        <f>SUM(J38:M38)</f>
        <v>35.316999999999993</v>
      </c>
      <c r="O38" s="117">
        <f>O277+O345</f>
        <v>9.1950000000000003</v>
      </c>
      <c r="P38" s="115">
        <f>P277+P345</f>
        <v>9.718</v>
      </c>
      <c r="Q38" s="115">
        <v>9.6210000000000004</v>
      </c>
      <c r="R38" s="115">
        <f>R277+R345</f>
        <v>10.044</v>
      </c>
      <c r="S38" s="118">
        <f>SUM(O38:R38)</f>
        <v>38.578000000000003</v>
      </c>
      <c r="T38" s="115">
        <f>T277+T345</f>
        <v>9.9290000000000003</v>
      </c>
      <c r="U38" s="115">
        <f>U277+U345</f>
        <v>9.9439999999999991</v>
      </c>
      <c r="V38" s="115">
        <f>V277+V345</f>
        <v>10.035</v>
      </c>
      <c r="W38" s="115">
        <f>W277+W345</f>
        <v>10.819999999999995</v>
      </c>
      <c r="X38" s="118">
        <f>SUM(T38:W38)</f>
        <v>40.727999999999994</v>
      </c>
      <c r="Y38" s="115">
        <f>Y277+Y345</f>
        <v>11.305</v>
      </c>
      <c r="Z38" s="115">
        <f>Z277+Z345</f>
        <v>10.855</v>
      </c>
      <c r="AA38" s="115">
        <f>AA277+AA345</f>
        <v>10.798</v>
      </c>
      <c r="AB38" s="115">
        <f>AB277+AB345</f>
        <v>10.869000000000002</v>
      </c>
      <c r="AC38" s="118">
        <f>SUM(Y38:AB38)</f>
        <v>43.826999999999998</v>
      </c>
      <c r="AD38" s="115">
        <f>AD277+AD345</f>
        <v>11.643999999999998</v>
      </c>
      <c r="AE38" s="115">
        <f>AE277+AE345</f>
        <v>13.09</v>
      </c>
      <c r="AF38" s="115">
        <f>AF277+AF345</f>
        <v>12.714</v>
      </c>
      <c r="AG38" s="115">
        <f>AG277+AG345</f>
        <v>13.176000000000004</v>
      </c>
      <c r="AH38" s="118">
        <f>SUM(AD38:AG38)</f>
        <v>50.624000000000002</v>
      </c>
      <c r="AI38" s="115">
        <f>AI277+AI345</f>
        <v>14.163</v>
      </c>
      <c r="AJ38" s="115">
        <f>AJ277+AJ345</f>
        <v>15.81</v>
      </c>
      <c r="AK38" s="115">
        <f>AK277+AK345</f>
        <v>16.745000000000001</v>
      </c>
      <c r="AL38" s="115">
        <f>AL277+AL345</f>
        <v>19.471</v>
      </c>
      <c r="AM38" s="118">
        <f>SUM(AI38:AL38)</f>
        <v>66.189000000000007</v>
      </c>
      <c r="AN38" s="120">
        <f>AN277+AN345</f>
        <v>19.780999999999999</v>
      </c>
      <c r="AO38" s="120">
        <f>AO277+AO345</f>
        <v>20.722999999999999</v>
      </c>
      <c r="AP38" s="120">
        <f>AP277+AP345</f>
        <v>21.951000000000001</v>
      </c>
      <c r="AQ38" s="120">
        <f>AQ277+AQ345</f>
        <v>23.050999999999991</v>
      </c>
      <c r="AR38" s="116">
        <f>SUM(AN38:AQ38)</f>
        <v>85.505999999999986</v>
      </c>
      <c r="AS38" s="120">
        <f>AS277+AS345</f>
        <v>24.442</v>
      </c>
      <c r="AT38" s="120">
        <f>AT277+AT345</f>
        <v>28.628</v>
      </c>
      <c r="AU38" s="120">
        <f>AU277+AU345</f>
        <v>33.500999999999998</v>
      </c>
      <c r="AV38" s="120">
        <f>AV277+AV345</f>
        <v>34.049000000000007</v>
      </c>
      <c r="AW38" s="122">
        <f>SUM(AS38:AV38)</f>
        <v>120.62</v>
      </c>
      <c r="AX38" s="215">
        <v>31.887</v>
      </c>
      <c r="AY38" s="215">
        <v>29.388000000000002</v>
      </c>
      <c r="AZ38" s="215">
        <v>29.501000000000001</v>
      </c>
      <c r="BA38" s="215">
        <v>28.3</v>
      </c>
      <c r="BB38" s="216">
        <f>SUM(AX38:BA38)</f>
        <v>119.07600000000001</v>
      </c>
      <c r="BC38" s="1883">
        <v>33.799999999999997</v>
      </c>
      <c r="BD38" s="1883">
        <v>31.8</v>
      </c>
      <c r="BE38" s="1927">
        <v>33.799999999999997</v>
      </c>
      <c r="BF38" s="1927">
        <v>36.200000000000003</v>
      </c>
      <c r="BG38" s="216">
        <f>SUM(BC38:BF38)</f>
        <v>135.6</v>
      </c>
      <c r="BH38" s="120">
        <f>BH277+BH345</f>
        <v>38.635860000000001</v>
      </c>
      <c r="BI38" s="120">
        <f>BI277+BI345</f>
        <v>37.769939999999998</v>
      </c>
      <c r="BJ38" s="120">
        <f>BJ277+BJ345</f>
        <v>38.295079999999999</v>
      </c>
      <c r="BK38" s="120">
        <f>BK277+BK345</f>
        <v>38.739840000000008</v>
      </c>
      <c r="BL38" s="216">
        <f>SUM(BH38:BK38)</f>
        <v>153.44072</v>
      </c>
      <c r="BM38" s="120">
        <f>BM277+BM345</f>
        <v>38.5118621875</v>
      </c>
      <c r="BN38" s="120">
        <f>BN277+BN345</f>
        <v>37.6438471875</v>
      </c>
      <c r="BO38" s="120">
        <f>BO277+BO345</f>
        <v>38.168594374999998</v>
      </c>
      <c r="BP38" s="120">
        <f>BP277+BP345</f>
        <v>38.612655000000004</v>
      </c>
      <c r="BQ38" s="216">
        <f>SUM(BM38:BP38)</f>
        <v>152.93695875</v>
      </c>
      <c r="BR38" s="120">
        <f>BR277+BR345</f>
        <v>38.355624943750001</v>
      </c>
      <c r="BS38" s="120">
        <f>BS277+BS345</f>
        <v>37.484970243749999</v>
      </c>
      <c r="BT38" s="120">
        <f>BT277+BT345</f>
        <v>38.009222487500004</v>
      </c>
      <c r="BU38" s="120">
        <f>BU277+BU345</f>
        <v>38.452401900000012</v>
      </c>
      <c r="BV38" s="216">
        <f>SUM(BR38:BU38)</f>
        <v>152.30221957500001</v>
      </c>
      <c r="BW38" s="120">
        <f>BW277+BW345</f>
        <v>38.738406190937496</v>
      </c>
      <c r="BX38" s="120">
        <f>BX277+BX345</f>
        <v>37.874218755937505</v>
      </c>
      <c r="BY38" s="120">
        <f>BY277+BY345</f>
        <v>38.399683611875005</v>
      </c>
      <c r="BZ38" s="120">
        <f>BZ277+BZ345</f>
        <v>38.84502199500001</v>
      </c>
      <c r="CA38" s="216">
        <f>SUM(BW38:BZ38)</f>
        <v>153.85733055375002</v>
      </c>
      <c r="CB38" s="1910"/>
      <c r="CC38" s="217"/>
      <c r="CD38" s="218" t="str">
        <f>A38</f>
        <v>Depreciation</v>
      </c>
      <c r="CE38" s="115">
        <f>D38</f>
        <v>28.007000000000001</v>
      </c>
      <c r="CF38" s="115">
        <f>I38</f>
        <v>31.745000000000001</v>
      </c>
      <c r="CG38" s="115">
        <f>N38</f>
        <v>35.316999999999993</v>
      </c>
      <c r="CH38" s="115">
        <f>S38</f>
        <v>38.578000000000003</v>
      </c>
      <c r="CI38" s="115">
        <f>X38</f>
        <v>40.727999999999994</v>
      </c>
      <c r="CJ38" s="115">
        <f>AC38</f>
        <v>43.826999999999998</v>
      </c>
      <c r="CK38" s="115">
        <f>AH38</f>
        <v>50.624000000000002</v>
      </c>
      <c r="CL38" s="115">
        <f>AM38</f>
        <v>66.189000000000007</v>
      </c>
      <c r="CM38" s="115">
        <f>AR38</f>
        <v>85.505999999999986</v>
      </c>
      <c r="CN38" s="115">
        <f>AW38</f>
        <v>120.62</v>
      </c>
      <c r="CO38" s="115">
        <f>BB38</f>
        <v>119.07600000000001</v>
      </c>
      <c r="CP38" s="115">
        <f>BG38</f>
        <v>135.6</v>
      </c>
      <c r="CQ38" s="115">
        <f>BL38</f>
        <v>153.44072</v>
      </c>
      <c r="CR38" s="115">
        <f>BQ38</f>
        <v>152.93695875</v>
      </c>
      <c r="CS38" s="115">
        <f>BV38</f>
        <v>152.30221957500001</v>
      </c>
      <c r="CT38" s="125">
        <f>CA38</f>
        <v>153.85733055375002</v>
      </c>
      <c r="CU38" s="1961"/>
      <c r="DB38" s="1961"/>
      <c r="DC38" s="1961"/>
      <c r="DD38" s="1961"/>
      <c r="DE38" s="1961"/>
      <c r="DF38" s="1961"/>
      <c r="DG38" s="1961"/>
      <c r="DH38" s="1961"/>
      <c r="DI38" s="219"/>
    </row>
    <row r="39" spans="1:113" ht="12" hidden="1" customHeight="1" outlineLevel="1" x14ac:dyDescent="0.25">
      <c r="A39" s="213" t="s">
        <v>71</v>
      </c>
      <c r="B39" s="214"/>
      <c r="C39" s="114">
        <f t="shared" ref="C39:H39" si="58">C279+C346</f>
        <v>19.8</v>
      </c>
      <c r="D39" s="114">
        <f t="shared" si="58"/>
        <v>26.854000000000003</v>
      </c>
      <c r="E39" s="115">
        <f t="shared" si="58"/>
        <v>8.923</v>
      </c>
      <c r="F39" s="115">
        <f t="shared" si="58"/>
        <v>8.3169999999999984</v>
      </c>
      <c r="G39" s="115">
        <f t="shared" si="58"/>
        <v>7.7240000000000002</v>
      </c>
      <c r="H39" s="115">
        <f t="shared" si="58"/>
        <v>8.952</v>
      </c>
      <c r="I39" s="116">
        <f>SUM(E39:H39)</f>
        <v>33.915999999999997</v>
      </c>
      <c r="J39" s="115">
        <f>J279+J346</f>
        <v>8.0410000000000004</v>
      </c>
      <c r="K39" s="115">
        <f>K279+K346</f>
        <v>6.8959999999999999</v>
      </c>
      <c r="L39" s="115">
        <f>L279+L346</f>
        <v>7.0410000000000013</v>
      </c>
      <c r="M39" s="115">
        <f>M279+M346</f>
        <v>7.5769999999999982</v>
      </c>
      <c r="N39" s="116">
        <f>SUM(J39:M39)</f>
        <v>29.555</v>
      </c>
      <c r="O39" s="117">
        <f>O279+O346</f>
        <v>8.51</v>
      </c>
      <c r="P39" s="115">
        <f>P279+P346</f>
        <v>8.4640000000000004</v>
      </c>
      <c r="Q39" s="115">
        <v>8.0120000000000005</v>
      </c>
      <c r="R39" s="115">
        <f>R279+R346</f>
        <v>7.6350000000000033</v>
      </c>
      <c r="S39" s="118">
        <f>SUM(O39:R39)</f>
        <v>32.621000000000002</v>
      </c>
      <c r="T39" s="115">
        <f>T279+T346</f>
        <v>7.3039999999999994</v>
      </c>
      <c r="U39" s="115">
        <f>U279+U346</f>
        <v>7.02</v>
      </c>
      <c r="V39" s="115">
        <f>V279+V346</f>
        <v>5.613999999999999</v>
      </c>
      <c r="W39" s="115">
        <f>W279+W346</f>
        <v>6.9159999999999986</v>
      </c>
      <c r="X39" s="118">
        <f>SUM(T39:W39)</f>
        <v>26.853999999999992</v>
      </c>
      <c r="Y39" s="115">
        <f>Y279+Y346</f>
        <v>8.4550000000000001</v>
      </c>
      <c r="Z39" s="115">
        <f>Z279+Z346</f>
        <v>8.8769999999999989</v>
      </c>
      <c r="AA39" s="115">
        <f>AA279+AA346</f>
        <v>8.7970000000000006</v>
      </c>
      <c r="AB39" s="115">
        <f>AB279+AB346</f>
        <v>8.6630000000000038</v>
      </c>
      <c r="AC39" s="118">
        <f>SUM(Y39:AB39)</f>
        <v>34.792000000000002</v>
      </c>
      <c r="AD39" s="115">
        <f>AD279+AD346</f>
        <v>8.5869999999999997</v>
      </c>
      <c r="AE39" s="115">
        <f>AE279+AE346</f>
        <v>12.186999999999999</v>
      </c>
      <c r="AF39" s="115">
        <f>AF279+AF346</f>
        <v>15.442</v>
      </c>
      <c r="AG39" s="115">
        <f>AG279+AG346</f>
        <v>17.359000000000002</v>
      </c>
      <c r="AH39" s="118">
        <f>SUM(AD39:AG39)</f>
        <v>53.575000000000003</v>
      </c>
      <c r="AI39" s="115">
        <f>AI279+AI346</f>
        <v>17.052</v>
      </c>
      <c r="AJ39" s="115">
        <f>AJ279+AJ346</f>
        <v>17.061</v>
      </c>
      <c r="AK39" s="115">
        <f>AK279+AK346</f>
        <v>15.258000000000001</v>
      </c>
      <c r="AL39" s="115">
        <f>AL279+AL346</f>
        <v>14.37</v>
      </c>
      <c r="AM39" s="118">
        <f>SUM(AI39:AL39)</f>
        <v>63.741</v>
      </c>
      <c r="AN39" s="120">
        <f>AN279+AN346</f>
        <v>14.212</v>
      </c>
      <c r="AO39" s="120">
        <f>AO279+AO346</f>
        <v>14.221</v>
      </c>
      <c r="AP39" s="120">
        <f>AP279+AP346</f>
        <v>14.187000000000001</v>
      </c>
      <c r="AQ39" s="120">
        <f>AQ279+AQ346</f>
        <v>14.250000000000004</v>
      </c>
      <c r="AR39" s="116">
        <f>SUM(AN39:AQ39)</f>
        <v>56.870000000000005</v>
      </c>
      <c r="AS39" s="120">
        <f>AS279+AS346</f>
        <v>14.141</v>
      </c>
      <c r="AT39" s="120">
        <f>AT279+AT346</f>
        <v>28.811999999999998</v>
      </c>
      <c r="AU39" s="120">
        <f>AU279+AU346</f>
        <v>18.542999999999999</v>
      </c>
      <c r="AV39" s="120">
        <f>AV279+AV346</f>
        <v>33.633000000000003</v>
      </c>
      <c r="AW39" s="122">
        <f>SUM(AS39:AV39)</f>
        <v>95.128999999999991</v>
      </c>
      <c r="AX39" s="215">
        <v>23.870999999999999</v>
      </c>
      <c r="AY39" s="215">
        <v>23.806000000000001</v>
      </c>
      <c r="AZ39" s="215">
        <v>22.678999999999998</v>
      </c>
      <c r="BA39" s="215">
        <v>22.1</v>
      </c>
      <c r="BB39" s="216">
        <f>SUM(AX39:BA39)</f>
        <v>92.455999999999989</v>
      </c>
      <c r="BC39" s="1883">
        <v>22.3</v>
      </c>
      <c r="BD39" s="1883">
        <v>23.9</v>
      </c>
      <c r="BE39" s="1928">
        <v>27.5</v>
      </c>
      <c r="BF39" s="1928">
        <v>28.1</v>
      </c>
      <c r="BG39" s="216">
        <f>SUM(BC39:BF39)</f>
        <v>101.80000000000001</v>
      </c>
      <c r="BH39" s="1895">
        <f>129.1/4</f>
        <v>32.274999999999999</v>
      </c>
      <c r="BI39" s="1895">
        <f>BH39</f>
        <v>32.274999999999999</v>
      </c>
      <c r="BJ39" s="1895">
        <f t="shared" ref="BJ39:BK39" si="59">BI39</f>
        <v>32.274999999999999</v>
      </c>
      <c r="BK39" s="1895">
        <f t="shared" si="59"/>
        <v>32.274999999999999</v>
      </c>
      <c r="BL39" s="216">
        <f>SUM(BH39:BK39)</f>
        <v>129.1</v>
      </c>
      <c r="BM39" s="1895">
        <f>128.2/4</f>
        <v>32.049999999999997</v>
      </c>
      <c r="BN39" s="1895">
        <f>BM39</f>
        <v>32.049999999999997</v>
      </c>
      <c r="BO39" s="1895">
        <f t="shared" ref="BO39:BP39" si="60">BN39</f>
        <v>32.049999999999997</v>
      </c>
      <c r="BP39" s="1895">
        <f t="shared" si="60"/>
        <v>32.049999999999997</v>
      </c>
      <c r="BQ39" s="216">
        <f>SUM(BM39:BP39)</f>
        <v>128.19999999999999</v>
      </c>
      <c r="BR39" s="1895">
        <f>126/4</f>
        <v>31.5</v>
      </c>
      <c r="BS39" s="1895">
        <f>BR39</f>
        <v>31.5</v>
      </c>
      <c r="BT39" s="1895">
        <f t="shared" ref="BT39:BU39" si="61">BS39</f>
        <v>31.5</v>
      </c>
      <c r="BU39" s="1895">
        <f t="shared" si="61"/>
        <v>31.5</v>
      </c>
      <c r="BV39" s="216">
        <f>SUM(BR39:BU39)</f>
        <v>126</v>
      </c>
      <c r="BW39" s="1895">
        <f>115.5/4</f>
        <v>28.875</v>
      </c>
      <c r="BX39" s="1895">
        <f>BW39</f>
        <v>28.875</v>
      </c>
      <c r="BY39" s="1895">
        <f t="shared" ref="BY39:BZ39" si="62">BX39</f>
        <v>28.875</v>
      </c>
      <c r="BZ39" s="1895">
        <f t="shared" si="62"/>
        <v>28.875</v>
      </c>
      <c r="CA39" s="216">
        <f>SUM(BW39:BZ39)</f>
        <v>115.5</v>
      </c>
      <c r="CB39" s="1910"/>
      <c r="CC39" s="217"/>
      <c r="CD39" s="218" t="str">
        <f>A39</f>
        <v>Intangible Amortization</v>
      </c>
      <c r="CE39" s="115">
        <f>D39</f>
        <v>26.854000000000003</v>
      </c>
      <c r="CF39" s="115">
        <f>I39</f>
        <v>33.915999999999997</v>
      </c>
      <c r="CG39" s="115">
        <f>N39</f>
        <v>29.555</v>
      </c>
      <c r="CH39" s="115">
        <f>S39</f>
        <v>32.621000000000002</v>
      </c>
      <c r="CI39" s="115">
        <f>X39</f>
        <v>26.853999999999992</v>
      </c>
      <c r="CJ39" s="115">
        <f>AC39</f>
        <v>34.792000000000002</v>
      </c>
      <c r="CK39" s="115">
        <f>AH39</f>
        <v>53.575000000000003</v>
      </c>
      <c r="CL39" s="115">
        <f>AM39</f>
        <v>63.741</v>
      </c>
      <c r="CM39" s="115">
        <f>AR39</f>
        <v>56.870000000000005</v>
      </c>
      <c r="CN39" s="115">
        <f>AW39</f>
        <v>95.128999999999991</v>
      </c>
      <c r="CO39" s="115">
        <f>BB39</f>
        <v>92.455999999999989</v>
      </c>
      <c r="CP39" s="115">
        <f>BG39</f>
        <v>101.80000000000001</v>
      </c>
      <c r="CQ39" s="115">
        <f>BL39</f>
        <v>129.1</v>
      </c>
      <c r="CR39" s="115">
        <f>BQ39</f>
        <v>128.19999999999999</v>
      </c>
      <c r="CS39" s="115">
        <f>BV39</f>
        <v>126</v>
      </c>
      <c r="CT39" s="125">
        <f>CA39</f>
        <v>115.5</v>
      </c>
      <c r="CU39" s="1961"/>
      <c r="DB39" s="1961"/>
      <c r="DC39" s="1961"/>
      <c r="DD39" s="1961"/>
      <c r="DE39" s="1961"/>
      <c r="DF39" s="1961"/>
      <c r="DG39" s="1961"/>
      <c r="DH39" s="1961"/>
      <c r="DI39" s="1961"/>
    </row>
    <row r="40" spans="1:113" ht="12" customHeight="1" collapsed="1" x14ac:dyDescent="0.25">
      <c r="A40" s="81" t="s">
        <v>59</v>
      </c>
      <c r="B40" s="173"/>
      <c r="C40" s="88">
        <f t="shared" ref="C40:X40" si="63">C37/C12</f>
        <v>6.4777127280612079E-2</v>
      </c>
      <c r="D40" s="88">
        <f t="shared" si="63"/>
        <v>7.5138365201956353E-2</v>
      </c>
      <c r="E40" s="95">
        <f t="shared" si="63"/>
        <v>8.300894213263324E-2</v>
      </c>
      <c r="F40" s="95">
        <f t="shared" si="63"/>
        <v>8.0699364665877876E-2</v>
      </c>
      <c r="G40" s="95">
        <f t="shared" si="63"/>
        <v>7.7722645864522363E-2</v>
      </c>
      <c r="H40" s="95">
        <f t="shared" si="63"/>
        <v>8.5932715671361695E-2</v>
      </c>
      <c r="I40" s="88">
        <f t="shared" si="63"/>
        <v>8.1851669481859152E-2</v>
      </c>
      <c r="J40" s="174">
        <f t="shared" si="63"/>
        <v>7.39641402851339E-2</v>
      </c>
      <c r="K40" s="95">
        <f t="shared" si="63"/>
        <v>6.940541806261033E-2</v>
      </c>
      <c r="L40" s="95">
        <f t="shared" si="63"/>
        <v>7.1727475700897089E-2</v>
      </c>
      <c r="M40" s="95">
        <f t="shared" si="63"/>
        <v>7.5241177004264054E-2</v>
      </c>
      <c r="N40" s="88">
        <f t="shared" si="63"/>
        <v>7.2600302165519548E-2</v>
      </c>
      <c r="O40" s="174">
        <f t="shared" si="63"/>
        <v>7.2044467774291854E-2</v>
      </c>
      <c r="P40" s="84">
        <f t="shared" si="63"/>
        <v>7.0495820344608329E-2</v>
      </c>
      <c r="Q40" s="84">
        <f t="shared" si="63"/>
        <v>6.8262675611956133E-2</v>
      </c>
      <c r="R40" s="84">
        <f t="shared" si="63"/>
        <v>6.6681502380000465E-2</v>
      </c>
      <c r="S40" s="86">
        <f t="shared" si="63"/>
        <v>6.9320146742686245E-2</v>
      </c>
      <c r="T40" s="84">
        <f t="shared" si="63"/>
        <v>6.2403586404687239E-2</v>
      </c>
      <c r="U40" s="84">
        <f t="shared" si="63"/>
        <v>6.0225009496693009E-2</v>
      </c>
      <c r="V40" s="84">
        <f t="shared" si="63"/>
        <v>5.4458960028397022E-2</v>
      </c>
      <c r="W40" s="84">
        <f t="shared" si="63"/>
        <v>6.0499798743339744E-2</v>
      </c>
      <c r="X40" s="86">
        <f t="shared" si="63"/>
        <v>5.9368749138001456E-2</v>
      </c>
      <c r="Y40" s="84"/>
      <c r="Z40" s="84">
        <f t="shared" ref="Z40:AE40" si="64">Z37/Z12</f>
        <v>6.0290882424834998E-2</v>
      </c>
      <c r="AA40" s="84">
        <f t="shared" si="64"/>
        <v>5.7615746049668029E-2</v>
      </c>
      <c r="AB40" s="84">
        <f t="shared" si="64"/>
        <v>5.5552869368844106E-2</v>
      </c>
      <c r="AC40" s="86">
        <f t="shared" si="64"/>
        <v>5.9030364007688602E-2</v>
      </c>
      <c r="AD40" s="84">
        <f t="shared" si="64"/>
        <v>5.8386555882955604E-2</v>
      </c>
      <c r="AE40" s="84">
        <f t="shared" si="64"/>
        <v>6.7725721144829137E-2</v>
      </c>
      <c r="AF40" s="84">
        <f>AF37/AF12</f>
        <v>7.0590653933806841E-2</v>
      </c>
      <c r="AG40" s="84">
        <f>AF40</f>
        <v>7.0590653933806841E-2</v>
      </c>
      <c r="AH40" s="86">
        <f t="shared" ref="AH40:AP40" si="65">AH37/AH12</f>
        <v>6.7912169560456759E-2</v>
      </c>
      <c r="AI40" s="84">
        <f t="shared" si="65"/>
        <v>8.2865008216152503E-2</v>
      </c>
      <c r="AJ40" s="95">
        <f t="shared" si="65"/>
        <v>8.4205591675504537E-2</v>
      </c>
      <c r="AK40" s="95">
        <f t="shared" si="65"/>
        <v>7.7690950095526637E-2</v>
      </c>
      <c r="AL40" s="95">
        <f>AL37/AL12</f>
        <v>8.1207420756713694E-2</v>
      </c>
      <c r="AM40" s="86">
        <f t="shared" si="65"/>
        <v>8.1424416546083164E-2</v>
      </c>
      <c r="AN40" s="84">
        <f t="shared" si="65"/>
        <v>8.2982011165819991E-2</v>
      </c>
      <c r="AO40" s="84">
        <f t="shared" si="65"/>
        <v>8.2501876974364549E-2</v>
      </c>
      <c r="AP40" s="84">
        <f t="shared" si="65"/>
        <v>8.0545618668717206E-2</v>
      </c>
      <c r="AQ40" s="87">
        <f>AP40</f>
        <v>8.0545618668717206E-2</v>
      </c>
      <c r="AR40" s="83">
        <f>AR37/AR12</f>
        <v>8.1510208241017776E-2</v>
      </c>
      <c r="AS40" s="84">
        <f>AS37/AS12</f>
        <v>8.3986181886255243E-2</v>
      </c>
      <c r="AT40" s="84">
        <f>AT37/AT12</f>
        <v>0.11542248568270873</v>
      </c>
      <c r="AU40" s="84">
        <v>3.0200000000000001E-2</v>
      </c>
      <c r="AV40" s="84">
        <f>AV37/AV12</f>
        <v>0.12073135925793792</v>
      </c>
      <c r="AW40" s="83">
        <f t="shared" ref="AW40:BB40" si="66">AW37/AW12</f>
        <v>0.1043249479702599</v>
      </c>
      <c r="AX40" s="84">
        <f t="shared" si="66"/>
        <v>0.11316802685604452</v>
      </c>
      <c r="AY40" s="84">
        <f t="shared" si="66"/>
        <v>0.10675181016905616</v>
      </c>
      <c r="AZ40" s="84">
        <f t="shared" si="66"/>
        <v>0.10476207685095396</v>
      </c>
      <c r="BA40" s="84">
        <f t="shared" si="66"/>
        <v>9.9585062240663907E-2</v>
      </c>
      <c r="BB40" s="83">
        <f t="shared" si="66"/>
        <v>0.10602161812129045</v>
      </c>
      <c r="BC40" s="84">
        <f t="shared" ref="BC40:CA40" si="67">BC37/BC12</f>
        <v>0.11161957819339434</v>
      </c>
      <c r="BD40" s="84">
        <f t="shared" si="67"/>
        <v>0.10646024464831803</v>
      </c>
      <c r="BE40" s="84">
        <f t="shared" si="67"/>
        <v>0.11163722454926245</v>
      </c>
      <c r="BF40" s="84">
        <f t="shared" si="67"/>
        <v>0.11274767666140631</v>
      </c>
      <c r="BG40" s="83">
        <f t="shared" si="67"/>
        <v>0.1106656721983964</v>
      </c>
      <c r="BH40" s="84">
        <f t="shared" si="67"/>
        <v>0.12480922425961975</v>
      </c>
      <c r="BI40" s="84">
        <f t="shared" si="67"/>
        <v>0.12021126446329215</v>
      </c>
      <c r="BJ40" s="84">
        <f t="shared" si="67"/>
        <v>0.11796512479905942</v>
      </c>
      <c r="BK40" s="84">
        <f t="shared" si="67"/>
        <v>0.11635120234488795</v>
      </c>
      <c r="BL40" s="83">
        <f t="shared" si="67"/>
        <v>0.11975041253192885</v>
      </c>
      <c r="BM40" s="84">
        <f t="shared" si="67"/>
        <v>0.11753369118616107</v>
      </c>
      <c r="BN40" s="84">
        <f t="shared" si="67"/>
        <v>0.11309398427415078</v>
      </c>
      <c r="BO40" s="84">
        <f t="shared" si="67"/>
        <v>0.11095603600425576</v>
      </c>
      <c r="BP40" s="84">
        <f t="shared" si="67"/>
        <v>0.10935014963818469</v>
      </c>
      <c r="BQ40" s="83">
        <f t="shared" si="67"/>
        <v>0.1126504576265234</v>
      </c>
      <c r="BR40" s="84">
        <f t="shared" si="67"/>
        <v>0.11018177547081549</v>
      </c>
      <c r="BS40" s="84">
        <f t="shared" si="67"/>
        <v>0.10599426124627581</v>
      </c>
      <c r="BT40" s="84">
        <f t="shared" si="67"/>
        <v>0.10398189788465867</v>
      </c>
      <c r="BU40" s="84">
        <f t="shared" si="67"/>
        <v>0.10248790026028151</v>
      </c>
      <c r="BV40" s="83">
        <f t="shared" si="67"/>
        <v>0.10558317798484788</v>
      </c>
      <c r="BW40" s="84">
        <f t="shared" si="67"/>
        <v>0.10097249372513988</v>
      </c>
      <c r="BX40" s="84">
        <f t="shared" si="67"/>
        <v>9.7096149840635707E-2</v>
      </c>
      <c r="BY40" s="84">
        <f t="shared" si="67"/>
        <v>9.5264042187298531E-2</v>
      </c>
      <c r="BZ40" s="84">
        <f t="shared" si="67"/>
        <v>9.3923194462391502E-2</v>
      </c>
      <c r="CA40" s="83">
        <f t="shared" si="67"/>
        <v>9.6742061554924222E-2</v>
      </c>
      <c r="CB40" s="1910"/>
      <c r="CC40" s="93"/>
      <c r="CD40" s="94" t="str">
        <f>A40</f>
        <v>% of Total Revenue</v>
      </c>
      <c r="CE40" s="84">
        <f>D40</f>
        <v>7.5138365201956353E-2</v>
      </c>
      <c r="CF40" s="84">
        <f>I40</f>
        <v>8.1851669481859152E-2</v>
      </c>
      <c r="CG40" s="84">
        <f>N40</f>
        <v>7.2600302165519548E-2</v>
      </c>
      <c r="CH40" s="84">
        <f>S40</f>
        <v>6.9320146742686245E-2</v>
      </c>
      <c r="CI40" s="84">
        <f>X40</f>
        <v>5.9368749138001456E-2</v>
      </c>
      <c r="CJ40" s="84">
        <f>AC40</f>
        <v>5.9030364007688602E-2</v>
      </c>
      <c r="CK40" s="84">
        <f>AH40</f>
        <v>6.7912169560456759E-2</v>
      </c>
      <c r="CL40" s="84">
        <f>AM40</f>
        <v>8.1424416546083164E-2</v>
      </c>
      <c r="CM40" s="84">
        <f>AR40</f>
        <v>8.1510208241017776E-2</v>
      </c>
      <c r="CN40" s="84">
        <f>AW40</f>
        <v>0.1043249479702599</v>
      </c>
      <c r="CO40" s="84">
        <f>BB40</f>
        <v>0.10602161812129045</v>
      </c>
      <c r="CP40" s="84">
        <f>BG40</f>
        <v>0.1106656721983964</v>
      </c>
      <c r="CQ40" s="84">
        <f>BL40</f>
        <v>0.11975041253192885</v>
      </c>
      <c r="CR40" s="84">
        <f>BQ40</f>
        <v>0.1126504576265234</v>
      </c>
      <c r="CS40" s="84">
        <f>BV40</f>
        <v>0.10558317798484788</v>
      </c>
      <c r="CT40" s="87">
        <f>CA40</f>
        <v>9.6742061554924222E-2</v>
      </c>
      <c r="CU40" s="1961"/>
      <c r="DB40" s="1961"/>
      <c r="DC40" s="1961"/>
      <c r="DD40" s="1961"/>
      <c r="DE40" s="1961"/>
      <c r="DF40" s="1961"/>
      <c r="DG40" s="1961"/>
      <c r="DH40" s="1961"/>
      <c r="DI40" s="1961"/>
    </row>
    <row r="41" spans="1:113" ht="5.0999999999999996" customHeight="1" x14ac:dyDescent="0.25">
      <c r="A41" s="204"/>
      <c r="B41" s="128"/>
      <c r="C41" s="134"/>
      <c r="D41" s="134"/>
      <c r="E41" s="135"/>
      <c r="F41" s="135"/>
      <c r="G41" s="135"/>
      <c r="H41" s="135"/>
      <c r="I41" s="134"/>
      <c r="J41" s="135"/>
      <c r="K41" s="135"/>
      <c r="L41" s="135"/>
      <c r="M41" s="135"/>
      <c r="N41" s="134"/>
      <c r="O41" s="205"/>
      <c r="P41" s="130"/>
      <c r="Q41" s="130"/>
      <c r="R41" s="130"/>
      <c r="S41" s="206"/>
      <c r="T41" s="130"/>
      <c r="U41" s="130"/>
      <c r="V41" s="130"/>
      <c r="W41" s="130"/>
      <c r="X41" s="206"/>
      <c r="Y41" s="135"/>
      <c r="Z41" s="135"/>
      <c r="AA41" s="135"/>
      <c r="AB41" s="135"/>
      <c r="AC41" s="206"/>
      <c r="AD41" s="135"/>
      <c r="AE41" s="135"/>
      <c r="AF41" s="135"/>
      <c r="AG41" s="135"/>
      <c r="AH41" s="206"/>
      <c r="AI41" s="135"/>
      <c r="AJ41" s="135"/>
      <c r="AK41" s="135"/>
      <c r="AL41" s="135"/>
      <c r="AM41" s="206"/>
      <c r="AN41" s="130"/>
      <c r="AO41" s="130"/>
      <c r="AP41" s="130"/>
      <c r="AQ41" s="133"/>
      <c r="AR41" s="220"/>
      <c r="AS41" s="130"/>
      <c r="AT41" s="130"/>
      <c r="AU41" s="130"/>
      <c r="AV41" s="133"/>
      <c r="AW41" s="134"/>
      <c r="AX41" s="221"/>
      <c r="AY41" s="130"/>
      <c r="AZ41" s="130"/>
      <c r="BA41" s="133"/>
      <c r="BB41" s="134"/>
      <c r="BC41" s="130"/>
      <c r="BD41" s="130"/>
      <c r="BE41" s="130"/>
      <c r="BF41" s="133"/>
      <c r="BG41" s="134"/>
      <c r="BH41" s="130"/>
      <c r="BI41" s="130"/>
      <c r="BJ41" s="130"/>
      <c r="BK41" s="133"/>
      <c r="BL41" s="134"/>
      <c r="BM41" s="130"/>
      <c r="BN41" s="130"/>
      <c r="BO41" s="130"/>
      <c r="BP41" s="133"/>
      <c r="BQ41" s="134"/>
      <c r="BR41" s="130"/>
      <c r="BS41" s="130"/>
      <c r="BT41" s="130"/>
      <c r="BU41" s="133"/>
      <c r="BV41" s="134"/>
      <c r="BW41" s="130"/>
      <c r="BX41" s="130"/>
      <c r="BY41" s="130"/>
      <c r="BZ41" s="133"/>
      <c r="CA41" s="134"/>
      <c r="CB41" s="1910"/>
      <c r="CC41" s="162"/>
      <c r="CD41" s="163"/>
      <c r="CE41" s="135"/>
      <c r="CF41" s="135"/>
      <c r="CG41" s="135"/>
      <c r="CH41" s="135"/>
      <c r="CI41" s="135"/>
      <c r="CJ41" s="135"/>
      <c r="CK41" s="135"/>
      <c r="CL41" s="135"/>
      <c r="CM41" s="135"/>
      <c r="CN41" s="135"/>
      <c r="CO41" s="135"/>
      <c r="CP41" s="135"/>
      <c r="CQ41" s="135"/>
      <c r="CR41" s="135"/>
      <c r="CS41" s="135"/>
      <c r="CT41" s="210"/>
      <c r="CU41" s="1961"/>
      <c r="DB41" s="1961"/>
      <c r="DC41" s="1961"/>
      <c r="DD41" s="1961"/>
      <c r="DE41" s="1961"/>
      <c r="DF41" s="1961"/>
      <c r="DG41" s="1961"/>
      <c r="DH41" s="1961"/>
      <c r="DI41" s="135"/>
    </row>
    <row r="42" spans="1:113" ht="12" customHeight="1" x14ac:dyDescent="0.25">
      <c r="A42" s="136" t="s">
        <v>72</v>
      </c>
      <c r="B42" s="137"/>
      <c r="C42" s="71">
        <f t="shared" ref="C42:AQ42" si="68">C12-C22-C37</f>
        <v>220.00200000000007</v>
      </c>
      <c r="D42" s="71">
        <f t="shared" si="68"/>
        <v>243.34400000000005</v>
      </c>
      <c r="E42" s="74">
        <f t="shared" si="68"/>
        <v>67.417000000000016</v>
      </c>
      <c r="F42" s="74">
        <f t="shared" si="68"/>
        <v>67.730999999999995</v>
      </c>
      <c r="G42" s="74">
        <f t="shared" si="68"/>
        <v>71.867999999999995</v>
      </c>
      <c r="H42" s="141">
        <f t="shared" si="68"/>
        <v>64.751000000000033</v>
      </c>
      <c r="I42" s="141">
        <f t="shared" si="68"/>
        <v>271.767</v>
      </c>
      <c r="J42" s="74">
        <f t="shared" si="68"/>
        <v>77.685999999999979</v>
      </c>
      <c r="K42" s="74">
        <f t="shared" si="68"/>
        <v>78.937000000000012</v>
      </c>
      <c r="L42" s="74">
        <f t="shared" si="68"/>
        <v>77.72399999999999</v>
      </c>
      <c r="M42" s="141">
        <f t="shared" si="68"/>
        <v>76.194999999999965</v>
      </c>
      <c r="N42" s="141">
        <f t="shared" si="68"/>
        <v>310.54199999999992</v>
      </c>
      <c r="O42" s="138">
        <f t="shared" si="68"/>
        <v>87.203000000000017</v>
      </c>
      <c r="P42" s="70">
        <f t="shared" si="68"/>
        <v>87.850999999999985</v>
      </c>
      <c r="Q42" s="70">
        <f t="shared" si="68"/>
        <v>84.795000000000044</v>
      </c>
      <c r="R42" s="70">
        <f t="shared" si="68"/>
        <v>42.157999999999987</v>
      </c>
      <c r="S42" s="222">
        <f t="shared" si="68"/>
        <v>302.00700000000012</v>
      </c>
      <c r="T42" s="70">
        <f t="shared" si="68"/>
        <v>106.41399999999999</v>
      </c>
      <c r="U42" s="70">
        <f t="shared" si="68"/>
        <v>107.07500000000002</v>
      </c>
      <c r="V42" s="70">
        <f t="shared" si="68"/>
        <v>113.71800000000005</v>
      </c>
      <c r="W42" s="70">
        <f t="shared" si="68"/>
        <v>113.70699999999999</v>
      </c>
      <c r="X42" s="222">
        <f t="shared" si="68"/>
        <v>440.9140000000001</v>
      </c>
      <c r="Y42" s="70">
        <f t="shared" si="68"/>
        <v>119.29700000000003</v>
      </c>
      <c r="Z42" s="70">
        <f t="shared" si="68"/>
        <v>120.45400000000004</v>
      </c>
      <c r="AA42" s="70">
        <f t="shared" si="68"/>
        <v>131.40900000000002</v>
      </c>
      <c r="AB42" s="70">
        <f t="shared" si="68"/>
        <v>138.85699999999994</v>
      </c>
      <c r="AC42" s="222">
        <f t="shared" si="68"/>
        <v>510.01700000000017</v>
      </c>
      <c r="AD42" s="70">
        <f t="shared" si="68"/>
        <v>138.96100000000001</v>
      </c>
      <c r="AE42" s="70">
        <f t="shared" si="68"/>
        <v>138.40199999999999</v>
      </c>
      <c r="AF42" s="70">
        <f>AF12-AF22-AF37</f>
        <v>155.251</v>
      </c>
      <c r="AG42" s="70">
        <f t="shared" si="68"/>
        <v>158.97400000000002</v>
      </c>
      <c r="AH42" s="222">
        <f t="shared" si="68"/>
        <v>591.58799999999997</v>
      </c>
      <c r="AI42" s="223">
        <f t="shared" si="68"/>
        <v>145.52799999999999</v>
      </c>
      <c r="AJ42" s="70">
        <f t="shared" si="68"/>
        <v>146.86899999999997</v>
      </c>
      <c r="AK42" s="70">
        <f t="shared" si="68"/>
        <v>166.83499999999998</v>
      </c>
      <c r="AL42" s="70">
        <f t="shared" si="68"/>
        <v>155.047</v>
      </c>
      <c r="AM42" s="222">
        <f t="shared" si="68"/>
        <v>614.279</v>
      </c>
      <c r="AN42" s="75">
        <f t="shared" si="68"/>
        <v>148.84299999999996</v>
      </c>
      <c r="AO42" s="75">
        <f t="shared" si="68"/>
        <v>159.06599999999997</v>
      </c>
      <c r="AP42" s="75">
        <f>AP12-AP22-AP37</f>
        <v>175.49000000000004</v>
      </c>
      <c r="AQ42" s="76">
        <f t="shared" si="68"/>
        <v>177.047</v>
      </c>
      <c r="AR42" s="111">
        <f>SUM(AN42:AQ42)</f>
        <v>660.44600000000003</v>
      </c>
      <c r="AS42" s="75">
        <f t="shared" ref="AS42:BB42" si="69">AS12-AS22-AS37</f>
        <v>178.292</v>
      </c>
      <c r="AT42" s="75">
        <f>AT12-AT22-AT37</f>
        <v>153.72199999999992</v>
      </c>
      <c r="AU42" s="75">
        <f t="shared" si="69"/>
        <v>208.88</v>
      </c>
      <c r="AV42" s="76">
        <f>AV12-AV22-AV37</f>
        <v>195.41800000000012</v>
      </c>
      <c r="AW42" s="224">
        <f t="shared" si="69"/>
        <v>736.31199999999967</v>
      </c>
      <c r="AX42" s="75">
        <f t="shared" si="69"/>
        <v>192.62900000000002</v>
      </c>
      <c r="AY42" s="75">
        <f t="shared" si="69"/>
        <v>191.07899999999989</v>
      </c>
      <c r="AZ42" s="75">
        <f t="shared" si="69"/>
        <v>198.422</v>
      </c>
      <c r="BA42" s="76">
        <f t="shared" si="69"/>
        <v>185.50000000000003</v>
      </c>
      <c r="BB42" s="225">
        <f t="shared" si="69"/>
        <v>767.62999999999977</v>
      </c>
      <c r="BC42" s="75">
        <f t="shared" ref="BC42:CA42" si="70">BC12-BC22-BC37</f>
        <v>187.69999999999996</v>
      </c>
      <c r="BD42" s="75">
        <f t="shared" si="70"/>
        <v>195.00000000000006</v>
      </c>
      <c r="BE42" s="75">
        <f t="shared" si="70"/>
        <v>208.39999999999992</v>
      </c>
      <c r="BF42" s="76">
        <f t="shared" si="70"/>
        <v>210.09999999999997</v>
      </c>
      <c r="BG42" s="225">
        <f t="shared" si="70"/>
        <v>801.20000000000039</v>
      </c>
      <c r="BH42" s="75">
        <f t="shared" si="70"/>
        <v>197.78126769731796</v>
      </c>
      <c r="BI42" s="75">
        <f t="shared" si="70"/>
        <v>204.8614871430733</v>
      </c>
      <c r="BJ42" s="75">
        <f t="shared" si="70"/>
        <v>222.10227042418282</v>
      </c>
      <c r="BK42" s="76">
        <f t="shared" si="70"/>
        <v>221.96969958837644</v>
      </c>
      <c r="BL42" s="225">
        <f t="shared" si="70"/>
        <v>846.71472485295044</v>
      </c>
      <c r="BM42" s="75">
        <f t="shared" si="70"/>
        <v>214.88753150997124</v>
      </c>
      <c r="BN42" s="75">
        <f t="shared" si="70"/>
        <v>222.62030210586965</v>
      </c>
      <c r="BO42" s="75">
        <f t="shared" si="70"/>
        <v>241.02169190805381</v>
      </c>
      <c r="BP42" s="76">
        <f t="shared" si="70"/>
        <v>241.17852387415095</v>
      </c>
      <c r="BQ42" s="225">
        <f t="shared" si="70"/>
        <v>919.70804939804577</v>
      </c>
      <c r="BR42" s="75">
        <f t="shared" si="70"/>
        <v>233.23604058456198</v>
      </c>
      <c r="BS42" s="75">
        <f t="shared" si="70"/>
        <v>241.45480629329404</v>
      </c>
      <c r="BT42" s="75">
        <f t="shared" si="70"/>
        <v>261.03086448933232</v>
      </c>
      <c r="BU42" s="76">
        <f t="shared" si="70"/>
        <v>261.25199583675419</v>
      </c>
      <c r="BV42" s="225">
        <f t="shared" si="70"/>
        <v>996.97370720394247</v>
      </c>
      <c r="BW42" s="75">
        <f t="shared" si="70"/>
        <v>254.23727432675065</v>
      </c>
      <c r="BX42" s="75">
        <f t="shared" si="70"/>
        <v>262.96776377467029</v>
      </c>
      <c r="BY42" s="75">
        <f t="shared" si="70"/>
        <v>283.79228755779121</v>
      </c>
      <c r="BZ42" s="76">
        <f t="shared" si="70"/>
        <v>284.0800085783398</v>
      </c>
      <c r="CA42" s="225">
        <f t="shared" si="70"/>
        <v>1085.0773342375519</v>
      </c>
      <c r="CB42" s="1910"/>
      <c r="CC42" s="78" t="s">
        <v>51</v>
      </c>
      <c r="CD42" s="140" t="str">
        <f>A42</f>
        <v>Income from Operations</v>
      </c>
      <c r="CE42" s="70">
        <f>D42</f>
        <v>243.34400000000005</v>
      </c>
      <c r="CF42" s="70">
        <f>I42</f>
        <v>271.767</v>
      </c>
      <c r="CG42" s="70">
        <f>N42</f>
        <v>310.54199999999992</v>
      </c>
      <c r="CH42" s="70">
        <f>S42</f>
        <v>302.00700000000012</v>
      </c>
      <c r="CI42" s="70">
        <f>X42</f>
        <v>440.9140000000001</v>
      </c>
      <c r="CJ42" s="70">
        <f>AC42</f>
        <v>510.01700000000017</v>
      </c>
      <c r="CK42" s="70">
        <f>AH42</f>
        <v>591.58799999999997</v>
      </c>
      <c r="CL42" s="70">
        <f>AM42</f>
        <v>614.279</v>
      </c>
      <c r="CM42" s="70">
        <f>AR42</f>
        <v>660.44600000000003</v>
      </c>
      <c r="CN42" s="70">
        <f>AW42</f>
        <v>736.31199999999967</v>
      </c>
      <c r="CO42" s="70">
        <f>BB42</f>
        <v>767.62999999999977</v>
      </c>
      <c r="CP42" s="70">
        <f>BG42</f>
        <v>801.20000000000039</v>
      </c>
      <c r="CQ42" s="70">
        <f>BL42</f>
        <v>846.71472485295044</v>
      </c>
      <c r="CR42" s="70">
        <f>BQ42</f>
        <v>919.70804939804577</v>
      </c>
      <c r="CS42" s="70">
        <f>BV42</f>
        <v>996.97370720394247</v>
      </c>
      <c r="CT42" s="80">
        <f>CA42</f>
        <v>1085.0773342375519</v>
      </c>
      <c r="CU42" s="1961"/>
      <c r="DB42" s="1961"/>
      <c r="DC42" s="1961"/>
      <c r="DD42" s="1961"/>
      <c r="DE42" s="1961"/>
      <c r="DF42" s="1961"/>
      <c r="DG42" s="1961"/>
      <c r="DH42" s="1961"/>
      <c r="DI42" s="226"/>
    </row>
    <row r="43" spans="1:113" ht="12" customHeight="1" x14ac:dyDescent="0.25">
      <c r="A43" s="172" t="s">
        <v>73</v>
      </c>
      <c r="B43" s="173"/>
      <c r="C43" s="83">
        <f t="shared" ref="C43:BB43" si="71">C42/C12</f>
        <v>0.34073970820555716</v>
      </c>
      <c r="D43" s="83">
        <f t="shared" si="71"/>
        <v>0.33328722301279362</v>
      </c>
      <c r="E43" s="84">
        <f t="shared" si="71"/>
        <v>0.33906172988523098</v>
      </c>
      <c r="F43" s="84">
        <f t="shared" si="71"/>
        <v>0.33671217077463034</v>
      </c>
      <c r="G43" s="84">
        <f t="shared" si="71"/>
        <v>0.35983837615096903</v>
      </c>
      <c r="H43" s="84">
        <f t="shared" si="71"/>
        <v>0.3197832915193301</v>
      </c>
      <c r="I43" s="83">
        <f t="shared" si="71"/>
        <v>0.33877922450277054</v>
      </c>
      <c r="J43" s="85">
        <f t="shared" si="71"/>
        <v>0.36029459507091238</v>
      </c>
      <c r="K43" s="84">
        <f t="shared" si="71"/>
        <v>0.35545678878922154</v>
      </c>
      <c r="L43" s="84">
        <f t="shared" si="71"/>
        <v>0.34637752851050174</v>
      </c>
      <c r="M43" s="84">
        <f t="shared" si="71"/>
        <v>0.32918014939365514</v>
      </c>
      <c r="N43" s="83">
        <f t="shared" si="71"/>
        <v>0.34753735101561178</v>
      </c>
      <c r="O43" s="85">
        <f t="shared" si="71"/>
        <v>0.35484291010006069</v>
      </c>
      <c r="P43" s="84">
        <f t="shared" si="71"/>
        <v>0.34061865103366984</v>
      </c>
      <c r="Q43" s="84">
        <f t="shared" si="71"/>
        <v>0.32826708889671763</v>
      </c>
      <c r="R43" s="84">
        <f t="shared" si="71"/>
        <v>0.15901118713366472</v>
      </c>
      <c r="S43" s="86">
        <f t="shared" si="71"/>
        <v>0.29403741003832146</v>
      </c>
      <c r="T43" s="84">
        <f t="shared" si="71"/>
        <v>0.38534296081172098</v>
      </c>
      <c r="U43" s="84">
        <f t="shared" si="71"/>
        <v>0.38013398325031866</v>
      </c>
      <c r="V43" s="84">
        <f t="shared" si="71"/>
        <v>0.39574183759404785</v>
      </c>
      <c r="W43" s="84">
        <f t="shared" si="71"/>
        <v>0.3878693400828222</v>
      </c>
      <c r="X43" s="86">
        <f t="shared" si="71"/>
        <v>0.38732965371597144</v>
      </c>
      <c r="Y43" s="84">
        <f t="shared" si="71"/>
        <v>0.38130016077016265</v>
      </c>
      <c r="Z43" s="84">
        <f t="shared" si="71"/>
        <v>0.36804571009533127</v>
      </c>
      <c r="AA43" s="84">
        <f t="shared" si="71"/>
        <v>0.38638568883086644</v>
      </c>
      <c r="AB43" s="84">
        <f t="shared" si="71"/>
        <v>0.3949367592642628</v>
      </c>
      <c r="AC43" s="86">
        <f t="shared" si="71"/>
        <v>0.38294164464199915</v>
      </c>
      <c r="AD43" s="84">
        <f>AD42/AD12</f>
        <v>0.40104068963725942</v>
      </c>
      <c r="AE43" s="84">
        <f>AE42/AE12</f>
        <v>0.3708262554055719</v>
      </c>
      <c r="AF43" s="84">
        <f>AF42/AF12</f>
        <v>0.38923389735322655</v>
      </c>
      <c r="AG43" s="84">
        <f>AG42/AG12</f>
        <v>0.3823972289707262</v>
      </c>
      <c r="AH43" s="86">
        <f t="shared" si="71"/>
        <v>0.38557015485687468</v>
      </c>
      <c r="AI43" s="84">
        <f>AI42/AI12</f>
        <v>0.38632641088195552</v>
      </c>
      <c r="AJ43" s="84">
        <f t="shared" si="71"/>
        <v>0.37623409825650794</v>
      </c>
      <c r="AK43" s="84">
        <f t="shared" si="71"/>
        <v>0.40501108206065639</v>
      </c>
      <c r="AL43" s="84">
        <f t="shared" si="71"/>
        <v>0.37206249715038525</v>
      </c>
      <c r="AM43" s="86">
        <f t="shared" si="71"/>
        <v>0.38495581598946677</v>
      </c>
      <c r="AN43" s="84">
        <f>AN42/AN12</f>
        <v>0.36334808601636054</v>
      </c>
      <c r="AO43" s="84">
        <f>AO42/AO12</f>
        <v>0.375550697195635</v>
      </c>
      <c r="AP43" s="84">
        <f>AP42/AP12</f>
        <v>0.39113815430220772</v>
      </c>
      <c r="AQ43" s="87">
        <f>AQ42/AQ12</f>
        <v>0.3808576271769808</v>
      </c>
      <c r="AR43" s="83">
        <f t="shared" si="71"/>
        <v>0.37810509490326477</v>
      </c>
      <c r="AS43" s="84">
        <f>AS42/AS12</f>
        <v>0.38810005289542598</v>
      </c>
      <c r="AT43" s="84">
        <f>AT42/AT12</f>
        <v>0.30889581030844959</v>
      </c>
      <c r="AU43" s="84">
        <f>AU42/AU12</f>
        <v>0.3795051244456315</v>
      </c>
      <c r="AV43" s="87">
        <f>AV42/AV12</f>
        <v>0.34858722797003222</v>
      </c>
      <c r="AW43" s="88">
        <f t="shared" si="71"/>
        <v>0.35604202610384272</v>
      </c>
      <c r="AX43" s="84">
        <f t="shared" si="71"/>
        <v>0.39096531161901438</v>
      </c>
      <c r="AY43" s="84">
        <f t="shared" si="71"/>
        <v>0.38346484820267457</v>
      </c>
      <c r="AZ43" s="84">
        <f t="shared" si="71"/>
        <v>0.39837295540283607</v>
      </c>
      <c r="BA43" s="87">
        <f t="shared" si="71"/>
        <v>0.36652835408022133</v>
      </c>
      <c r="BB43" s="88">
        <f t="shared" si="71"/>
        <v>0.384742614443423</v>
      </c>
      <c r="BC43" s="84">
        <f t="shared" ref="BC43:CA43" si="72">BC42/BC12</f>
        <v>0.3734580183048149</v>
      </c>
      <c r="BD43" s="84">
        <f t="shared" si="72"/>
        <v>0.37270642201834869</v>
      </c>
      <c r="BE43" s="84">
        <f t="shared" si="72"/>
        <v>0.3795301402294663</v>
      </c>
      <c r="BF43" s="87">
        <f t="shared" si="72"/>
        <v>0.3684025951253726</v>
      </c>
      <c r="BG43" s="88">
        <f t="shared" si="72"/>
        <v>0.37348498974454608</v>
      </c>
      <c r="BH43" s="84">
        <f t="shared" si="72"/>
        <v>0.34811207471445765</v>
      </c>
      <c r="BI43" s="84">
        <f t="shared" si="72"/>
        <v>0.35158368911871879</v>
      </c>
      <c r="BJ43" s="84">
        <f t="shared" si="72"/>
        <v>0.37126671882394319</v>
      </c>
      <c r="BK43" s="87">
        <f t="shared" si="72"/>
        <v>0.36367668266578052</v>
      </c>
      <c r="BL43" s="88">
        <f t="shared" si="72"/>
        <v>0.35886663557026199</v>
      </c>
      <c r="BM43" s="84">
        <f t="shared" si="72"/>
        <v>0.35793449868339217</v>
      </c>
      <c r="BN43" s="84">
        <f t="shared" si="72"/>
        <v>0.36125164503737661</v>
      </c>
      <c r="BO43" s="84">
        <f t="shared" si="72"/>
        <v>0.3808508524442627</v>
      </c>
      <c r="BP43" s="87">
        <f t="shared" si="72"/>
        <v>0.37322271113581718</v>
      </c>
      <c r="BQ43" s="88">
        <f t="shared" si="72"/>
        <v>0.3685233457320633</v>
      </c>
      <c r="BR43" s="84">
        <f t="shared" si="72"/>
        <v>0.36787819271652594</v>
      </c>
      <c r="BS43" s="84">
        <f t="shared" si="72"/>
        <v>0.37099130038023065</v>
      </c>
      <c r="BT43" s="84">
        <f t="shared" si="72"/>
        <v>0.39048753136254716</v>
      </c>
      <c r="BU43" s="87">
        <f t="shared" si="72"/>
        <v>0.38276267526014346</v>
      </c>
      <c r="BV43" s="88">
        <f t="shared" si="72"/>
        <v>0.37823504438691635</v>
      </c>
      <c r="BW43" s="84">
        <f t="shared" si="72"/>
        <v>0.37967280503752054</v>
      </c>
      <c r="BX43" s="84">
        <f t="shared" si="72"/>
        <v>0.38252368897502703</v>
      </c>
      <c r="BY43" s="84">
        <f t="shared" si="72"/>
        <v>0.4018629148865035</v>
      </c>
      <c r="BZ43" s="87">
        <f t="shared" si="72"/>
        <v>0.39400019525320373</v>
      </c>
      <c r="CA43" s="88">
        <f t="shared" si="72"/>
        <v>0.38971509720881764</v>
      </c>
      <c r="CB43" s="1910"/>
      <c r="CC43" s="93"/>
      <c r="CD43" s="176" t="str">
        <f>A43</f>
        <v>Operating Margin</v>
      </c>
      <c r="CE43" s="84">
        <f>D43</f>
        <v>0.33328722301279362</v>
      </c>
      <c r="CF43" s="84">
        <f>I43</f>
        <v>0.33877922450277054</v>
      </c>
      <c r="CG43" s="84">
        <f>N43</f>
        <v>0.34753735101561178</v>
      </c>
      <c r="CH43" s="84">
        <f>S43</f>
        <v>0.29403741003832146</v>
      </c>
      <c r="CI43" s="84">
        <f>X43</f>
        <v>0.38732965371597144</v>
      </c>
      <c r="CJ43" s="84">
        <f>AC43</f>
        <v>0.38294164464199915</v>
      </c>
      <c r="CK43" s="84">
        <f>AH43</f>
        <v>0.38557015485687468</v>
      </c>
      <c r="CL43" s="84">
        <f>AM43</f>
        <v>0.38495581598946677</v>
      </c>
      <c r="CM43" s="84">
        <f>AR43</f>
        <v>0.37810509490326477</v>
      </c>
      <c r="CN43" s="84">
        <f>AW43</f>
        <v>0.35604202610384272</v>
      </c>
      <c r="CO43" s="84">
        <f>BB43</f>
        <v>0.384742614443423</v>
      </c>
      <c r="CP43" s="84">
        <f>BG43</f>
        <v>0.37348498974454608</v>
      </c>
      <c r="CQ43" s="84">
        <f>BL43</f>
        <v>0.35886663557026199</v>
      </c>
      <c r="CR43" s="84">
        <f>BQ43</f>
        <v>0.3685233457320633</v>
      </c>
      <c r="CS43" s="84">
        <f>BV43</f>
        <v>0.37823504438691635</v>
      </c>
      <c r="CT43" s="87">
        <f>CA43</f>
        <v>0.38971509720881764</v>
      </c>
      <c r="CU43" s="1961"/>
      <c r="DB43" s="1961"/>
      <c r="DC43" s="1961"/>
      <c r="DD43" s="1961"/>
      <c r="DE43" s="1961"/>
      <c r="DF43" s="1961"/>
      <c r="DG43" s="1961"/>
      <c r="DH43" s="1961"/>
      <c r="DI43" s="95"/>
    </row>
    <row r="44" spans="1:113" ht="5.0999999999999996" customHeight="1" x14ac:dyDescent="0.25">
      <c r="A44" s="204"/>
      <c r="B44" s="128"/>
      <c r="C44" s="134"/>
      <c r="D44" s="134"/>
      <c r="E44" s="130"/>
      <c r="F44" s="130"/>
      <c r="G44" s="130"/>
      <c r="H44" s="130"/>
      <c r="I44" s="134"/>
      <c r="J44" s="130"/>
      <c r="K44" s="130"/>
      <c r="L44" s="130"/>
      <c r="M44" s="130"/>
      <c r="N44" s="134"/>
      <c r="O44" s="131"/>
      <c r="P44" s="130"/>
      <c r="Q44" s="130"/>
      <c r="R44" s="130"/>
      <c r="S44" s="206"/>
      <c r="T44" s="130"/>
      <c r="U44" s="130"/>
      <c r="V44" s="130"/>
      <c r="W44" s="130"/>
      <c r="X44" s="206"/>
      <c r="Y44" s="130"/>
      <c r="Z44" s="130"/>
      <c r="AA44" s="130"/>
      <c r="AB44" s="130"/>
      <c r="AC44" s="206"/>
      <c r="AD44" s="130"/>
      <c r="AE44" s="130"/>
      <c r="AF44" s="130"/>
      <c r="AG44" s="130"/>
      <c r="AH44" s="206"/>
      <c r="AI44" s="130"/>
      <c r="AJ44" s="130"/>
      <c r="AK44" s="130"/>
      <c r="AL44" s="130"/>
      <c r="AM44" s="206"/>
      <c r="AN44" s="130"/>
      <c r="AO44" s="130"/>
      <c r="AP44" s="130"/>
      <c r="AQ44" s="133"/>
      <c r="AR44" s="134"/>
      <c r="AS44" s="130"/>
      <c r="AT44" s="130"/>
      <c r="AU44" s="130"/>
      <c r="AV44" s="133"/>
      <c r="AW44" s="134"/>
      <c r="AX44" s="130"/>
      <c r="AY44" s="130"/>
      <c r="AZ44" s="130"/>
      <c r="BA44" s="133"/>
      <c r="BB44" s="134"/>
      <c r="BC44" s="130"/>
      <c r="BD44" s="130"/>
      <c r="BE44" s="130"/>
      <c r="BF44" s="133"/>
      <c r="BG44" s="134"/>
      <c r="BH44" s="130"/>
      <c r="BI44" s="130"/>
      <c r="BJ44" s="130"/>
      <c r="BK44" s="133"/>
      <c r="BL44" s="134"/>
      <c r="BM44" s="130"/>
      <c r="BN44" s="130"/>
      <c r="BO44" s="130"/>
      <c r="BP44" s="133"/>
      <c r="BQ44" s="134"/>
      <c r="BR44" s="130"/>
      <c r="BS44" s="130"/>
      <c r="BT44" s="130"/>
      <c r="BU44" s="133"/>
      <c r="BV44" s="134"/>
      <c r="BW44" s="130"/>
      <c r="BX44" s="130"/>
      <c r="BY44" s="130"/>
      <c r="BZ44" s="133"/>
      <c r="CA44" s="134"/>
      <c r="CB44" s="1910"/>
      <c r="CC44" s="162"/>
      <c r="CD44" s="163"/>
      <c r="CE44" s="130"/>
      <c r="CF44" s="130"/>
      <c r="CG44" s="130"/>
      <c r="CH44" s="130"/>
      <c r="CI44" s="130"/>
      <c r="CJ44" s="130"/>
      <c r="CK44" s="130"/>
      <c r="CL44" s="130"/>
      <c r="CM44" s="130"/>
      <c r="CN44" s="130"/>
      <c r="CO44" s="130"/>
      <c r="CP44" s="130"/>
      <c r="CQ44" s="130"/>
      <c r="CR44" s="130"/>
      <c r="CS44" s="130"/>
      <c r="CT44" s="133"/>
      <c r="CU44" s="1961"/>
      <c r="DB44" s="1961"/>
      <c r="DC44" s="1961"/>
      <c r="DD44" s="1961"/>
      <c r="DE44" s="1961"/>
      <c r="DF44" s="1961"/>
      <c r="DG44" s="1961"/>
      <c r="DH44" s="1961"/>
      <c r="DI44" s="135"/>
    </row>
    <row r="45" spans="1:113" ht="12" customHeight="1" x14ac:dyDescent="0.25">
      <c r="A45" s="227" t="s">
        <v>74</v>
      </c>
      <c r="B45" s="228"/>
      <c r="C45" s="229">
        <v>2.919</v>
      </c>
      <c r="D45" s="229">
        <v>6.585</v>
      </c>
      <c r="E45" s="230">
        <v>2.1</v>
      </c>
      <c r="F45" s="230">
        <f>4.392-E45</f>
        <v>2.2920000000000003</v>
      </c>
      <c r="G45" s="230">
        <f>5.953-SUM(E45:F45)</f>
        <v>1.5609999999999999</v>
      </c>
      <c r="H45" s="230">
        <f>8.442-SUM(E45:G45)</f>
        <v>2.4889999999999999</v>
      </c>
      <c r="I45" s="71">
        <f>SUM(E45:H45)</f>
        <v>8.4420000000000002</v>
      </c>
      <c r="J45" s="230">
        <v>0.81599999999999995</v>
      </c>
      <c r="K45" s="230">
        <f>1.617-J45</f>
        <v>0.80100000000000005</v>
      </c>
      <c r="L45" s="230">
        <f>2.005-SUM(J45:K45)</f>
        <v>0.3879999999999999</v>
      </c>
      <c r="M45" s="230">
        <f>2.233-SUM(J45:L45)</f>
        <v>0.2280000000000002</v>
      </c>
      <c r="N45" s="71">
        <f>SUM(J45:M45)</f>
        <v>2.2330000000000001</v>
      </c>
      <c r="O45" s="231">
        <v>4.2999999999999997E-2</v>
      </c>
      <c r="P45" s="232">
        <f>0.092-O45</f>
        <v>4.9000000000000002E-2</v>
      </c>
      <c r="Q45" s="230">
        <v>2.9000000000000001E-2</v>
      </c>
      <c r="R45" s="230">
        <f>0.195-SUM(O45:Q45)</f>
        <v>7.400000000000001E-2</v>
      </c>
      <c r="S45" s="73">
        <f>SUM(O45:R45)</f>
        <v>0.19500000000000001</v>
      </c>
      <c r="T45" s="231">
        <v>3.2000000000000001E-2</v>
      </c>
      <c r="U45" s="230">
        <v>9.1999999999999998E-2</v>
      </c>
      <c r="V45" s="230">
        <v>5.8999999999999997E-2</v>
      </c>
      <c r="W45" s="233">
        <v>0.122</v>
      </c>
      <c r="X45" s="73">
        <f>SUM(T45:W45)</f>
        <v>0.30499999999999999</v>
      </c>
      <c r="Y45" s="231">
        <f>0.01</f>
        <v>0.01</v>
      </c>
      <c r="Z45" s="230">
        <v>-0.01</v>
      </c>
      <c r="AA45" s="230">
        <v>9.9000000000000005E-2</v>
      </c>
      <c r="AB45" s="230">
        <v>0.10199999999999999</v>
      </c>
      <c r="AC45" s="73">
        <v>0.19830390016957261</v>
      </c>
      <c r="AD45" s="230">
        <v>0.105</v>
      </c>
      <c r="AE45" s="230">
        <v>0.156</v>
      </c>
      <c r="AF45" s="230">
        <v>0.13600000000000001</v>
      </c>
      <c r="AG45" s="230">
        <f>0.46-SUM(AD45:AF45)</f>
        <v>6.3E-2</v>
      </c>
      <c r="AH45" s="73">
        <v>0.68582108911579287</v>
      </c>
      <c r="AI45" s="230">
        <v>4.3999999999999997E-2</v>
      </c>
      <c r="AJ45" s="234">
        <v>0.04</v>
      </c>
      <c r="AK45" s="235">
        <v>0.22500000000000001</v>
      </c>
      <c r="AL45" s="235">
        <v>0.39900000000000002</v>
      </c>
      <c r="AM45" s="73">
        <f>SUM(AI45:AL45)</f>
        <v>0.70799999999999996</v>
      </c>
      <c r="AN45" s="230">
        <v>0.02</v>
      </c>
      <c r="AO45" s="234">
        <v>7.3999999999999996E-2</v>
      </c>
      <c r="AP45" s="234">
        <v>-0.28499999999999998</v>
      </c>
      <c r="AQ45" s="234">
        <v>0.23400000000000001</v>
      </c>
      <c r="AR45" s="71">
        <f>SUM(AN45:AQ45)</f>
        <v>4.3000000000000038E-2</v>
      </c>
      <c r="AS45" s="234">
        <v>-0.53800000000000003</v>
      </c>
      <c r="AT45" s="236">
        <v>-0.221</v>
      </c>
      <c r="AU45" s="236">
        <v>0</v>
      </c>
      <c r="AV45" s="237">
        <v>-0.15</v>
      </c>
      <c r="AW45" s="71">
        <f>SUM(AS45:AV45)</f>
        <v>-0.90900000000000003</v>
      </c>
      <c r="AX45" s="235">
        <v>4.3999999999999997E-2</v>
      </c>
      <c r="AY45" s="235">
        <v>0</v>
      </c>
      <c r="AZ45" s="235">
        <v>2.1240000000000001</v>
      </c>
      <c r="BA45" s="235">
        <v>3.1</v>
      </c>
      <c r="BB45" s="238">
        <f>SUM(AX45:BA45)</f>
        <v>5.2680000000000007</v>
      </c>
      <c r="BC45" s="1884">
        <v>1.9</v>
      </c>
      <c r="BD45" s="1884">
        <v>3.4</v>
      </c>
      <c r="BE45" s="1929">
        <v>2.6</v>
      </c>
      <c r="BF45" s="1929">
        <v>1.3</v>
      </c>
      <c r="BG45" s="238">
        <f>SUM(BC45:BF45)</f>
        <v>9.2000000000000011</v>
      </c>
      <c r="BH45" s="239">
        <f>BH418</f>
        <v>1.3017816517282019</v>
      </c>
      <c r="BI45" s="239">
        <f>BI418</f>
        <v>3.355070757812924</v>
      </c>
      <c r="BJ45" s="239">
        <f>BJ418</f>
        <v>3.3433208864024859</v>
      </c>
      <c r="BK45" s="239">
        <f>BK418</f>
        <v>3.1192168261521678</v>
      </c>
      <c r="BL45" s="238">
        <f>SUM(BH45:BK45)</f>
        <v>11.11939012209578</v>
      </c>
      <c r="BM45" s="239">
        <f>BM418</f>
        <v>2.4606640121220158</v>
      </c>
      <c r="BN45" s="239">
        <f>BN418</f>
        <v>4.3858649533676219</v>
      </c>
      <c r="BO45" s="239">
        <f>BO418</f>
        <v>4.1285553759837779</v>
      </c>
      <c r="BP45" s="239">
        <f>BP418</f>
        <v>3.6436800716739057</v>
      </c>
      <c r="BQ45" s="238">
        <f>SUM(BM45:BP45)</f>
        <v>14.618764413147321</v>
      </c>
      <c r="BR45" s="239">
        <f>BR418</f>
        <v>2.7015057791129218</v>
      </c>
      <c r="BS45" s="239">
        <f>BS418</f>
        <v>4.6676959960901945</v>
      </c>
      <c r="BT45" s="239">
        <f>BT418</f>
        <v>4.3287482994807025</v>
      </c>
      <c r="BU45" s="239">
        <f>BU418</f>
        <v>3.7486581288288612</v>
      </c>
      <c r="BV45" s="238">
        <f>SUM(BR45:BU45)</f>
        <v>15.44660820351268</v>
      </c>
      <c r="BW45" s="239">
        <f>BW418</f>
        <v>2.6882510389841512</v>
      </c>
      <c r="BX45" s="239">
        <f>BX418</f>
        <v>4.908552608192962</v>
      </c>
      <c r="BY45" s="239">
        <f>BY418</f>
        <v>4.694534563382887</v>
      </c>
      <c r="BZ45" s="239">
        <f>BZ418</f>
        <v>4.2258026533543989</v>
      </c>
      <c r="CA45" s="238">
        <f>SUM(BW45:BZ45)</f>
        <v>16.517140863914399</v>
      </c>
      <c r="CB45" s="1910"/>
      <c r="CC45" s="78" t="s">
        <v>51</v>
      </c>
      <c r="CD45" s="240" t="str">
        <f>A45</f>
        <v>Interest Income</v>
      </c>
      <c r="CE45" s="241">
        <f>D45</f>
        <v>6.585</v>
      </c>
      <c r="CF45" s="241">
        <f>I45</f>
        <v>8.4420000000000002</v>
      </c>
      <c r="CG45" s="241">
        <f>N45</f>
        <v>2.2330000000000001</v>
      </c>
      <c r="CH45" s="241">
        <f>S45</f>
        <v>0.19500000000000001</v>
      </c>
      <c r="CI45" s="241">
        <f>X45</f>
        <v>0.30499999999999999</v>
      </c>
      <c r="CJ45" s="241">
        <f>AC45</f>
        <v>0.19830390016957261</v>
      </c>
      <c r="CK45" s="241">
        <f>AH45</f>
        <v>0.68582108911579287</v>
      </c>
      <c r="CL45" s="241">
        <f>AM45</f>
        <v>0.70799999999999996</v>
      </c>
      <c r="CM45" s="241">
        <f>AR45</f>
        <v>4.3000000000000038E-2</v>
      </c>
      <c r="CN45" s="241">
        <f>AW45</f>
        <v>-0.90900000000000003</v>
      </c>
      <c r="CO45" s="241">
        <f>BB45</f>
        <v>5.2680000000000007</v>
      </c>
      <c r="CP45" s="241">
        <f>BG45</f>
        <v>9.2000000000000011</v>
      </c>
      <c r="CQ45" s="241">
        <f>BL45</f>
        <v>11.11939012209578</v>
      </c>
      <c r="CR45" s="241">
        <f>BQ45</f>
        <v>14.618764413147321</v>
      </c>
      <c r="CS45" s="241">
        <f>BV45</f>
        <v>15.44660820351268</v>
      </c>
      <c r="CT45" s="242">
        <f>CA45</f>
        <v>16.517140863914399</v>
      </c>
      <c r="CU45" s="1961"/>
      <c r="DB45" s="1961"/>
      <c r="DC45" s="1961"/>
      <c r="DD45" s="1961"/>
      <c r="DE45" s="1961"/>
      <c r="DF45" s="1961"/>
      <c r="DG45" s="1961"/>
      <c r="DH45" s="1961"/>
      <c r="DI45" s="1961"/>
    </row>
    <row r="46" spans="1:113" ht="12" customHeight="1" x14ac:dyDescent="0.25">
      <c r="A46" s="227" t="s">
        <v>75</v>
      </c>
      <c r="B46" s="243"/>
      <c r="C46" s="244">
        <v>-10.265000000000001</v>
      </c>
      <c r="D46" s="244">
        <v>-16.667999999999999</v>
      </c>
      <c r="E46" s="232">
        <v>-5.7729999999999997</v>
      </c>
      <c r="F46" s="232">
        <f>-11.474-E46</f>
        <v>-5.7010000000000005</v>
      </c>
      <c r="G46" s="232">
        <f>-17.052-SUM(E46:F46)</f>
        <v>-5.5779999999999994</v>
      </c>
      <c r="H46" s="232">
        <f>-22.928-SUM(E46:G46)</f>
        <v>-5.8760000000000012</v>
      </c>
      <c r="I46" s="116">
        <f>SUM(E46:H46)</f>
        <v>-22.928000000000001</v>
      </c>
      <c r="J46" s="232">
        <v>-6.3259999999999996</v>
      </c>
      <c r="K46" s="232">
        <f>-14.173-J46</f>
        <v>-7.8470000000000004</v>
      </c>
      <c r="L46" s="232">
        <f>-22.566-SUM(J46:K46)</f>
        <v>-8.3929999999999989</v>
      </c>
      <c r="M46" s="232">
        <f>-31.316-SUM(J46:L46)</f>
        <v>-8.75</v>
      </c>
      <c r="N46" s="116">
        <f>SUM(J46:M46)</f>
        <v>-31.315999999999999</v>
      </c>
      <c r="O46" s="245">
        <v>-8.1539999999999999</v>
      </c>
      <c r="P46" s="232">
        <f>-16.677-O46</f>
        <v>-8.5229999999999997</v>
      </c>
      <c r="Q46" s="232">
        <f>-9.449</f>
        <v>-9.4489999999999998</v>
      </c>
      <c r="R46" s="232">
        <f>-35.265-SUM(O46:Q46)</f>
        <v>-9.1390000000000029</v>
      </c>
      <c r="S46" s="118">
        <f>SUM(O46:R46)</f>
        <v>-35.265000000000001</v>
      </c>
      <c r="T46" s="245">
        <v>-8.4659999999999993</v>
      </c>
      <c r="U46" s="232">
        <v>-8.4450000000000003</v>
      </c>
      <c r="V46" s="232">
        <v>-8.484</v>
      </c>
      <c r="W46" s="232">
        <f>-9.269</f>
        <v>-9.2690000000000001</v>
      </c>
      <c r="X46" s="118">
        <f>SUM(T46:W46)</f>
        <v>-34.664000000000001</v>
      </c>
      <c r="Y46" s="245">
        <v>-9.6150000000000002</v>
      </c>
      <c r="Z46" s="232">
        <v>-14.885</v>
      </c>
      <c r="AA46" s="232">
        <v>-14.593</v>
      </c>
      <c r="AB46" s="232">
        <v>-14.754</v>
      </c>
      <c r="AC46" s="118">
        <f>SUM(Y46:AB46)</f>
        <v>-53.847000000000001</v>
      </c>
      <c r="AD46" s="232">
        <v>-16.385000000000002</v>
      </c>
      <c r="AE46" s="232">
        <v>-17.376999999999999</v>
      </c>
      <c r="AF46" s="232">
        <v>-18.132999999999999</v>
      </c>
      <c r="AG46" s="232">
        <f>-72.508-SUM(AD46:AF46)</f>
        <v>-20.613</v>
      </c>
      <c r="AH46" s="118">
        <f>SUM(AD46:AG46)</f>
        <v>-72.507999999999996</v>
      </c>
      <c r="AI46" s="232">
        <v>-20.09</v>
      </c>
      <c r="AJ46" s="232">
        <v>-19.704000000000001</v>
      </c>
      <c r="AK46" s="232">
        <v>-18.692</v>
      </c>
      <c r="AL46" s="232">
        <v>-17.649999999999999</v>
      </c>
      <c r="AM46" s="118">
        <f>SUM(AI46:AL46)</f>
        <v>-76.135999999999996</v>
      </c>
      <c r="AN46" s="232">
        <v>-17.439</v>
      </c>
      <c r="AO46" s="232">
        <f>-17.459</f>
        <v>-17.459</v>
      </c>
      <c r="AP46" s="232">
        <v>-17.498000000000001</v>
      </c>
      <c r="AQ46" s="232">
        <v>-17.588000000000001</v>
      </c>
      <c r="AR46" s="116">
        <f>SUM(AN46:AQ46)</f>
        <v>-69.984000000000009</v>
      </c>
      <c r="AS46" s="232">
        <v>-18.262</v>
      </c>
      <c r="AT46" s="236">
        <v>-37.661999999999999</v>
      </c>
      <c r="AU46" s="236">
        <v>-33.003</v>
      </c>
      <c r="AV46" s="237">
        <v>-32.389000000000003</v>
      </c>
      <c r="AW46" s="71">
        <f>SUM(AS46:AV46)</f>
        <v>-121.316</v>
      </c>
      <c r="AX46" s="235">
        <v>-32.031999999999996</v>
      </c>
      <c r="AY46" s="235">
        <v>-31.434999999999999</v>
      </c>
      <c r="AZ46" s="235">
        <v>-28.15</v>
      </c>
      <c r="BA46" s="235">
        <v>-28.4</v>
      </c>
      <c r="BB46" s="238">
        <f>SUM(AX46:BA46)</f>
        <v>-120.017</v>
      </c>
      <c r="BC46" s="1884">
        <v>-28.4</v>
      </c>
      <c r="BD46" s="1884">
        <v>-28.5</v>
      </c>
      <c r="BE46" s="1929">
        <v>-30.3</v>
      </c>
      <c r="BF46" s="1929">
        <v>-32.1</v>
      </c>
      <c r="BG46" s="238">
        <v>-119.2247625</v>
      </c>
      <c r="BH46" s="239">
        <v>-33.156837500000002</v>
      </c>
      <c r="BI46" s="239">
        <v>-33.156837500000002</v>
      </c>
      <c r="BJ46" s="239">
        <v>-33.156837500000002</v>
      </c>
      <c r="BK46" s="239">
        <v>-33.156837500000002</v>
      </c>
      <c r="BL46" s="238">
        <v>-132.62735000000001</v>
      </c>
      <c r="BM46" s="239">
        <v>-33.156837500000002</v>
      </c>
      <c r="BN46" s="239">
        <v>-33.156837500000002</v>
      </c>
      <c r="BO46" s="239">
        <v>-33.156837500000002</v>
      </c>
      <c r="BP46" s="239">
        <v>-33.156837500000002</v>
      </c>
      <c r="BQ46" s="238">
        <v>-132.62735000000001</v>
      </c>
      <c r="BR46" s="239">
        <v>-33.156837500000002</v>
      </c>
      <c r="BS46" s="239">
        <v>-33.156837500000002</v>
      </c>
      <c r="BT46" s="239">
        <v>-33.156837500000002</v>
      </c>
      <c r="BU46" s="239">
        <v>-33.156837500000002</v>
      </c>
      <c r="BV46" s="238">
        <v>-132.62735000000001</v>
      </c>
      <c r="BW46" s="239">
        <v>-33.156837500000002</v>
      </c>
      <c r="BX46" s="239">
        <v>-33.156837500000002</v>
      </c>
      <c r="BY46" s="239">
        <v>-33.156837500000002</v>
      </c>
      <c r="BZ46" s="239">
        <v>-33.156837500000002</v>
      </c>
      <c r="CA46" s="238">
        <v>-132.62735000000001</v>
      </c>
      <c r="CB46" s="1910"/>
      <c r="CC46" s="78" t="s">
        <v>51</v>
      </c>
      <c r="CD46" s="240" t="str">
        <f>A46</f>
        <v>Interest (Expense)</v>
      </c>
      <c r="CE46" s="246">
        <f>D46</f>
        <v>-16.667999999999999</v>
      </c>
      <c r="CF46" s="246">
        <f>I46</f>
        <v>-22.928000000000001</v>
      </c>
      <c r="CG46" s="246">
        <f>N46</f>
        <v>-31.315999999999999</v>
      </c>
      <c r="CH46" s="246">
        <f>S46</f>
        <v>-35.265000000000001</v>
      </c>
      <c r="CI46" s="246">
        <f>X46</f>
        <v>-34.664000000000001</v>
      </c>
      <c r="CJ46" s="246">
        <f>AC46</f>
        <v>-53.847000000000001</v>
      </c>
      <c r="CK46" s="246">
        <f>AH46</f>
        <v>-72.507999999999996</v>
      </c>
      <c r="CL46" s="246">
        <f>AM46</f>
        <v>-76.135999999999996</v>
      </c>
      <c r="CM46" s="246">
        <f>AR46</f>
        <v>-69.984000000000009</v>
      </c>
      <c r="CN46" s="246">
        <f>AW46</f>
        <v>-121.316</v>
      </c>
      <c r="CO46" s="246">
        <f>BB46</f>
        <v>-120.017</v>
      </c>
      <c r="CP46" s="246">
        <f>BG46</f>
        <v>-119.2247625</v>
      </c>
      <c r="CQ46" s="246">
        <f>BL46</f>
        <v>-132.62735000000001</v>
      </c>
      <c r="CR46" s="246">
        <f>BQ46</f>
        <v>-132.62735000000001</v>
      </c>
      <c r="CS46" s="246">
        <f>BV46</f>
        <v>-132.62735000000001</v>
      </c>
      <c r="CT46" s="247">
        <f>CA46</f>
        <v>-132.62735000000001</v>
      </c>
      <c r="CU46" s="6"/>
      <c r="DB46" s="1961"/>
      <c r="DC46" s="1961"/>
      <c r="DD46" s="1961"/>
      <c r="DE46" s="1961"/>
      <c r="DF46" s="1961"/>
      <c r="DG46" s="1961"/>
      <c r="DH46" s="1961"/>
      <c r="DI46" s="1961"/>
    </row>
    <row r="47" spans="1:113" ht="12" customHeight="1" x14ac:dyDescent="0.25">
      <c r="A47" s="227" t="s">
        <v>76</v>
      </c>
      <c r="B47" s="248"/>
      <c r="C47" s="244">
        <f>0.027-0.014</f>
        <v>1.2999999999999999E-2</v>
      </c>
      <c r="D47" s="244">
        <f>-0.375-0.109</f>
        <v>-0.48399999999999999</v>
      </c>
      <c r="E47" s="233">
        <f>-0.018+0.012</f>
        <v>-5.9999999999999984E-3</v>
      </c>
      <c r="F47" s="233">
        <f>0.592-0.021-E47</f>
        <v>0.57699999999999996</v>
      </c>
      <c r="G47" s="233">
        <f>0.854-0.119-SUM(E47:F47)</f>
        <v>0.16400000000000003</v>
      </c>
      <c r="H47" s="233">
        <f>0.857+0.009-SUM(E47:G47)</f>
        <v>0.13100000000000001</v>
      </c>
      <c r="I47" s="116">
        <f>SUM(E47:H47)</f>
        <v>0.86599999999999999</v>
      </c>
      <c r="J47" s="233">
        <v>-1.274</v>
      </c>
      <c r="K47" s="233">
        <f>-1.286-0.014-J47</f>
        <v>-2.6000000000000023E-2</v>
      </c>
      <c r="L47" s="233">
        <f>-1.665-0.021-SUM(J47:K47)</f>
        <v>-0.3859999999999999</v>
      </c>
      <c r="M47" s="233">
        <f>-2.511-0.049-SUM(J47:L47)</f>
        <v>-0.87400000000000011</v>
      </c>
      <c r="N47" s="116">
        <f>SUM(J47:M47)</f>
        <v>-2.56</v>
      </c>
      <c r="O47" s="249">
        <v>-0.39800000000000002</v>
      </c>
      <c r="P47" s="232">
        <f>-0.365-O47</f>
        <v>3.3000000000000029E-2</v>
      </c>
      <c r="Q47" s="233">
        <f>0.024</f>
        <v>2.4E-2</v>
      </c>
      <c r="R47" s="233">
        <f>-2.332-SUM(O47:Q47)</f>
        <v>-1.9909999999999999</v>
      </c>
      <c r="S47" s="118">
        <f>SUM(O47:R47)</f>
        <v>-2.3319999999999999</v>
      </c>
      <c r="T47" s="249">
        <v>3.2000000000000001E-2</v>
      </c>
      <c r="U47" s="233">
        <v>2.9000000000000001E-2</v>
      </c>
      <c r="V47" s="233">
        <v>8.9999999999999993E-3</v>
      </c>
      <c r="W47" s="233">
        <f>0.025</f>
        <v>2.5000000000000001E-2</v>
      </c>
      <c r="X47" s="118">
        <f>SUM(T47:W47)</f>
        <v>9.5000000000000001E-2</v>
      </c>
      <c r="Y47" s="249">
        <v>0.36199999999999999</v>
      </c>
      <c r="Z47" s="233">
        <v>0.125</v>
      </c>
      <c r="AA47" s="233">
        <v>-8.5999999999999993E-2</v>
      </c>
      <c r="AB47" s="233">
        <v>0.28499999999999998</v>
      </c>
      <c r="AC47" s="118">
        <f>SUM(Y47:AB47)</f>
        <v>0.68599999999999994</v>
      </c>
      <c r="AD47" s="233">
        <v>0.33</v>
      </c>
      <c r="AE47" s="233">
        <v>-0.03</v>
      </c>
      <c r="AF47" s="233">
        <v>-0.63800000000000001</v>
      </c>
      <c r="AG47" s="233">
        <f>-0.332-SUM(AD47:AF47)</f>
        <v>5.9999999999999498E-3</v>
      </c>
      <c r="AH47" s="118">
        <f>SUM(AD47:AG47)</f>
        <v>-0.33200000000000002</v>
      </c>
      <c r="AI47" s="233">
        <v>-0.193</v>
      </c>
      <c r="AJ47" s="232">
        <v>9.2999999999999999E-2</v>
      </c>
      <c r="AK47" s="232">
        <v>0</v>
      </c>
      <c r="AL47" s="232">
        <v>7.0000000000000001E-3</v>
      </c>
      <c r="AM47" s="118">
        <f>SUM(AI47:AL47)</f>
        <v>-9.2999999999999999E-2</v>
      </c>
      <c r="AN47" s="233">
        <v>-1.0999999999999999E-2</v>
      </c>
      <c r="AO47" s="232">
        <v>0.126</v>
      </c>
      <c r="AP47" s="232">
        <v>0</v>
      </c>
      <c r="AQ47" s="232">
        <v>0</v>
      </c>
      <c r="AR47" s="116">
        <f>SUM(AN47:AQ47)</f>
        <v>0.115</v>
      </c>
      <c r="AS47" s="232">
        <v>0</v>
      </c>
      <c r="AT47" s="250">
        <v>85.186999999999998</v>
      </c>
      <c r="AU47" s="250">
        <v>17.911999999999999</v>
      </c>
      <c r="AV47" s="251">
        <v>0</v>
      </c>
      <c r="AW47" s="116">
        <f>SUM(AS47:AV47)</f>
        <v>103.09899999999999</v>
      </c>
      <c r="AX47" s="250">
        <v>0</v>
      </c>
      <c r="AY47" s="250">
        <v>0.84599999999999997</v>
      </c>
      <c r="AZ47" s="250">
        <v>0</v>
      </c>
      <c r="BA47" s="251">
        <v>0</v>
      </c>
      <c r="BB47" s="238">
        <f>SUM(AX47:BA47)</f>
        <v>0.84599999999999997</v>
      </c>
      <c r="BC47" s="1885">
        <v>0</v>
      </c>
      <c r="BD47" s="1885">
        <v>0</v>
      </c>
      <c r="BE47" s="1941">
        <v>0</v>
      </c>
      <c r="BF47" s="1941">
        <v>0</v>
      </c>
      <c r="BG47" s="238">
        <f>SUM(BC47:BF47)</f>
        <v>0</v>
      </c>
      <c r="BH47" s="252">
        <v>0</v>
      </c>
      <c r="BI47" s="252">
        <v>0</v>
      </c>
      <c r="BJ47" s="252">
        <v>0</v>
      </c>
      <c r="BK47" s="253">
        <v>0</v>
      </c>
      <c r="BL47" s="238">
        <f>SUM(BH47:BK47)</f>
        <v>0</v>
      </c>
      <c r="BM47" s="252">
        <v>0</v>
      </c>
      <c r="BN47" s="252">
        <v>0</v>
      </c>
      <c r="BO47" s="252">
        <v>0</v>
      </c>
      <c r="BP47" s="253">
        <v>0</v>
      </c>
      <c r="BQ47" s="238">
        <f>SUM(BM47:BP47)</f>
        <v>0</v>
      </c>
      <c r="BR47" s="252">
        <v>0</v>
      </c>
      <c r="BS47" s="252">
        <v>0</v>
      </c>
      <c r="BT47" s="252">
        <v>0</v>
      </c>
      <c r="BU47" s="253">
        <v>0</v>
      </c>
      <c r="BV47" s="238">
        <f>SUM(BR47:BU47)</f>
        <v>0</v>
      </c>
      <c r="BW47" s="252">
        <v>0</v>
      </c>
      <c r="BX47" s="252">
        <v>0</v>
      </c>
      <c r="BY47" s="252">
        <v>0</v>
      </c>
      <c r="BZ47" s="253">
        <v>0</v>
      </c>
      <c r="CA47" s="238">
        <f>SUM(BW47:BZ47)</f>
        <v>0</v>
      </c>
      <c r="CB47" s="1910"/>
      <c r="CC47" s="78"/>
      <c r="CD47" s="240" t="str">
        <f>A47</f>
        <v>Other Income (Expense)</v>
      </c>
      <c r="CE47" s="254">
        <f>D47</f>
        <v>-0.48399999999999999</v>
      </c>
      <c r="CF47" s="254">
        <f>I47</f>
        <v>0.86599999999999999</v>
      </c>
      <c r="CG47" s="254">
        <f>N47</f>
        <v>-2.56</v>
      </c>
      <c r="CH47" s="254">
        <f>S47</f>
        <v>-2.3319999999999999</v>
      </c>
      <c r="CI47" s="254">
        <f>X47</f>
        <v>9.5000000000000001E-2</v>
      </c>
      <c r="CJ47" s="254">
        <f>AC47</f>
        <v>0.68599999999999994</v>
      </c>
      <c r="CK47" s="254">
        <f>AH47</f>
        <v>-0.33200000000000002</v>
      </c>
      <c r="CL47" s="254">
        <f>AM47</f>
        <v>-9.2999999999999999E-2</v>
      </c>
      <c r="CM47" s="254">
        <f>AR47</f>
        <v>0.115</v>
      </c>
      <c r="CN47" s="254">
        <f>AW47</f>
        <v>103.09899999999999</v>
      </c>
      <c r="CO47" s="254">
        <f>BB47</f>
        <v>0.84599999999999997</v>
      </c>
      <c r="CP47" s="254">
        <f>BG47</f>
        <v>0</v>
      </c>
      <c r="CQ47" s="254">
        <f>BL47</f>
        <v>0</v>
      </c>
      <c r="CR47" s="254">
        <f>BQ47</f>
        <v>0</v>
      </c>
      <c r="CS47" s="254">
        <f>BV47</f>
        <v>0</v>
      </c>
      <c r="CT47" s="255">
        <f>CA47</f>
        <v>0</v>
      </c>
      <c r="CU47" s="1961"/>
      <c r="DB47" s="1961"/>
      <c r="DC47" s="1961"/>
      <c r="DD47" s="1961"/>
      <c r="DE47" s="1961"/>
      <c r="DF47" s="1961"/>
      <c r="DG47" s="1961"/>
      <c r="DH47" s="1961"/>
      <c r="DI47" s="256"/>
    </row>
    <row r="48" spans="1:113" ht="5.25" customHeight="1" x14ac:dyDescent="0.25">
      <c r="A48" s="204"/>
      <c r="B48" s="257"/>
      <c r="C48" s="134" t="s">
        <v>60</v>
      </c>
      <c r="D48" s="134" t="s">
        <v>60</v>
      </c>
      <c r="E48" s="130" t="s">
        <v>60</v>
      </c>
      <c r="F48" s="130" t="s">
        <v>60</v>
      </c>
      <c r="G48" s="130" t="s">
        <v>60</v>
      </c>
      <c r="H48" s="130" t="s">
        <v>60</v>
      </c>
      <c r="I48" s="129" t="s">
        <v>60</v>
      </c>
      <c r="J48" s="130" t="s">
        <v>60</v>
      </c>
      <c r="K48" s="130" t="s">
        <v>60</v>
      </c>
      <c r="L48" s="130" t="s">
        <v>60</v>
      </c>
      <c r="M48" s="130" t="s">
        <v>60</v>
      </c>
      <c r="N48" s="129" t="s">
        <v>60</v>
      </c>
      <c r="O48" s="131" t="s">
        <v>60</v>
      </c>
      <c r="P48" s="130" t="s">
        <v>60</v>
      </c>
      <c r="Q48" s="130" t="s">
        <v>60</v>
      </c>
      <c r="R48" s="130" t="s">
        <v>60</v>
      </c>
      <c r="S48" s="132" t="s">
        <v>60</v>
      </c>
      <c r="T48" s="131" t="s">
        <v>60</v>
      </c>
      <c r="U48" s="130" t="s">
        <v>60</v>
      </c>
      <c r="V48" s="130" t="s">
        <v>60</v>
      </c>
      <c r="W48" s="130" t="s">
        <v>60</v>
      </c>
      <c r="X48" s="132" t="s">
        <v>60</v>
      </c>
      <c r="Y48" s="130" t="s">
        <v>60</v>
      </c>
      <c r="Z48" s="130" t="s">
        <v>60</v>
      </c>
      <c r="AA48" s="130" t="s">
        <v>60</v>
      </c>
      <c r="AB48" s="130" t="s">
        <v>60</v>
      </c>
      <c r="AC48" s="132" t="s">
        <v>60</v>
      </c>
      <c r="AD48" s="130" t="s">
        <v>60</v>
      </c>
      <c r="AE48" s="130" t="s">
        <v>60</v>
      </c>
      <c r="AF48" s="130" t="s">
        <v>60</v>
      </c>
      <c r="AG48" s="130" t="s">
        <v>60</v>
      </c>
      <c r="AH48" s="132" t="s">
        <v>60</v>
      </c>
      <c r="AI48" s="130" t="s">
        <v>60</v>
      </c>
      <c r="AJ48" s="130" t="s">
        <v>60</v>
      </c>
      <c r="AK48" s="130" t="s">
        <v>60</v>
      </c>
      <c r="AL48" s="130" t="s">
        <v>60</v>
      </c>
      <c r="AM48" s="132" t="s">
        <v>60</v>
      </c>
      <c r="AN48" s="130" t="s">
        <v>60</v>
      </c>
      <c r="AO48" s="130" t="s">
        <v>60</v>
      </c>
      <c r="AP48" s="130" t="s">
        <v>60</v>
      </c>
      <c r="AQ48" s="130" t="s">
        <v>60</v>
      </c>
      <c r="AR48" s="129" t="s">
        <v>60</v>
      </c>
      <c r="AS48" s="130" t="s">
        <v>60</v>
      </c>
      <c r="AT48" s="130" t="s">
        <v>60</v>
      </c>
      <c r="AU48" s="130" t="s">
        <v>60</v>
      </c>
      <c r="AV48" s="133" t="s">
        <v>60</v>
      </c>
      <c r="AW48" s="258" t="s">
        <v>60</v>
      </c>
      <c r="AX48" s="130" t="s">
        <v>60</v>
      </c>
      <c r="AY48" s="130" t="s">
        <v>60</v>
      </c>
      <c r="AZ48" s="130" t="s">
        <v>60</v>
      </c>
      <c r="BA48" s="133" t="s">
        <v>60</v>
      </c>
      <c r="BB48" s="258" t="s">
        <v>60</v>
      </c>
      <c r="BC48" s="130" t="s">
        <v>60</v>
      </c>
      <c r="BD48" s="130" t="s">
        <v>60</v>
      </c>
      <c r="BE48" s="130" t="s">
        <v>60</v>
      </c>
      <c r="BF48" s="133" t="s">
        <v>60</v>
      </c>
      <c r="BG48" s="258" t="s">
        <v>60</v>
      </c>
      <c r="BH48" s="130" t="s">
        <v>60</v>
      </c>
      <c r="BI48" s="130" t="s">
        <v>60</v>
      </c>
      <c r="BJ48" s="130" t="s">
        <v>60</v>
      </c>
      <c r="BK48" s="133" t="s">
        <v>60</v>
      </c>
      <c r="BL48" s="258" t="s">
        <v>60</v>
      </c>
      <c r="BM48" s="130" t="s">
        <v>60</v>
      </c>
      <c r="BN48" s="130" t="s">
        <v>60</v>
      </c>
      <c r="BO48" s="130" t="s">
        <v>60</v>
      </c>
      <c r="BP48" s="133" t="s">
        <v>60</v>
      </c>
      <c r="BQ48" s="258" t="s">
        <v>60</v>
      </c>
      <c r="BR48" s="130" t="s">
        <v>60</v>
      </c>
      <c r="BS48" s="130" t="s">
        <v>60</v>
      </c>
      <c r="BT48" s="130" t="s">
        <v>60</v>
      </c>
      <c r="BU48" s="133" t="s">
        <v>60</v>
      </c>
      <c r="BV48" s="258" t="s">
        <v>60</v>
      </c>
      <c r="BW48" s="130" t="s">
        <v>60</v>
      </c>
      <c r="BX48" s="130" t="s">
        <v>60</v>
      </c>
      <c r="BY48" s="130" t="s">
        <v>60</v>
      </c>
      <c r="BZ48" s="133" t="s">
        <v>60</v>
      </c>
      <c r="CA48" s="258" t="s">
        <v>60</v>
      </c>
      <c r="CB48" s="1910"/>
      <c r="CC48" s="29"/>
      <c r="CD48" s="163"/>
      <c r="CE48" s="130"/>
      <c r="CF48" s="130"/>
      <c r="CG48" s="130"/>
      <c r="CH48" s="130"/>
      <c r="CI48" s="130"/>
      <c r="CJ48" s="130"/>
      <c r="CK48" s="130"/>
      <c r="CL48" s="130"/>
      <c r="CM48" s="130"/>
      <c r="CN48" s="130"/>
      <c r="CO48" s="130"/>
      <c r="CP48" s="130"/>
      <c r="CQ48" s="130"/>
      <c r="CR48" s="130"/>
      <c r="CS48" s="130"/>
      <c r="CT48" s="133"/>
      <c r="CU48" s="1961"/>
      <c r="DB48" s="1961"/>
      <c r="DC48" s="1961"/>
      <c r="DD48" s="1961"/>
      <c r="DE48" s="1961"/>
      <c r="DF48" s="1961"/>
      <c r="DG48" s="1961"/>
      <c r="DH48" s="1961"/>
      <c r="DI48" s="259"/>
    </row>
    <row r="49" spans="1:113" ht="12" customHeight="1" x14ac:dyDescent="0.25">
      <c r="A49" s="260" t="s">
        <v>77</v>
      </c>
      <c r="B49" s="261"/>
      <c r="C49" s="71">
        <f t="shared" ref="C49:AQ49" si="73">C42+C45+C46+C47</f>
        <v>212.66900000000007</v>
      </c>
      <c r="D49" s="71">
        <f t="shared" si="73"/>
        <v>232.77700000000004</v>
      </c>
      <c r="E49" s="70">
        <f t="shared" si="73"/>
        <v>63.738000000000014</v>
      </c>
      <c r="F49" s="70">
        <f t="shared" si="73"/>
        <v>64.899000000000001</v>
      </c>
      <c r="G49" s="70">
        <f t="shared" si="73"/>
        <v>68.015000000000001</v>
      </c>
      <c r="H49" s="70">
        <f t="shared" si="73"/>
        <v>61.495000000000033</v>
      </c>
      <c r="I49" s="111">
        <f t="shared" si="73"/>
        <v>258.14699999999999</v>
      </c>
      <c r="J49" s="70">
        <f t="shared" si="73"/>
        <v>70.901999999999987</v>
      </c>
      <c r="K49" s="70">
        <f t="shared" si="73"/>
        <v>71.865000000000023</v>
      </c>
      <c r="L49" s="70">
        <f t="shared" si="73"/>
        <v>69.332999999999998</v>
      </c>
      <c r="M49" s="70">
        <f t="shared" si="73"/>
        <v>66.798999999999964</v>
      </c>
      <c r="N49" s="111">
        <f t="shared" si="73"/>
        <v>278.89899999999994</v>
      </c>
      <c r="O49" s="112">
        <f t="shared" si="73"/>
        <v>78.694000000000031</v>
      </c>
      <c r="P49" s="70">
        <f t="shared" si="73"/>
        <v>79.41</v>
      </c>
      <c r="Q49" s="70">
        <f t="shared" si="73"/>
        <v>75.399000000000044</v>
      </c>
      <c r="R49" s="70">
        <f t="shared" si="73"/>
        <v>31.101999999999983</v>
      </c>
      <c r="S49" s="222">
        <f t="shared" si="73"/>
        <v>264.60500000000013</v>
      </c>
      <c r="T49" s="112">
        <f t="shared" si="73"/>
        <v>98.011999999999986</v>
      </c>
      <c r="U49" s="70">
        <f t="shared" si="73"/>
        <v>98.751000000000005</v>
      </c>
      <c r="V49" s="70">
        <f t="shared" si="73"/>
        <v>105.30200000000005</v>
      </c>
      <c r="W49" s="70">
        <f t="shared" si="73"/>
        <v>104.58499999999999</v>
      </c>
      <c r="X49" s="222">
        <f t="shared" si="73"/>
        <v>406.65000000000015</v>
      </c>
      <c r="Y49" s="70">
        <f t="shared" si="73"/>
        <v>110.05400000000003</v>
      </c>
      <c r="Z49" s="70">
        <f t="shared" si="73"/>
        <v>105.68400000000003</v>
      </c>
      <c r="AA49" s="70">
        <f t="shared" si="73"/>
        <v>116.82900000000001</v>
      </c>
      <c r="AB49" s="70">
        <f t="shared" si="73"/>
        <v>124.48999999999994</v>
      </c>
      <c r="AC49" s="222">
        <f t="shared" si="73"/>
        <v>457.05430390016971</v>
      </c>
      <c r="AD49" s="70">
        <f t="shared" si="73"/>
        <v>123.011</v>
      </c>
      <c r="AE49" s="70">
        <f t="shared" si="73"/>
        <v>121.151</v>
      </c>
      <c r="AF49" s="70">
        <f t="shared" si="73"/>
        <v>136.61599999999999</v>
      </c>
      <c r="AG49" s="70">
        <f t="shared" si="73"/>
        <v>138.43</v>
      </c>
      <c r="AH49" s="222">
        <f t="shared" si="73"/>
        <v>519.43382108911578</v>
      </c>
      <c r="AI49" s="223">
        <f t="shared" si="73"/>
        <v>125.289</v>
      </c>
      <c r="AJ49" s="70">
        <f t="shared" si="73"/>
        <v>127.29799999999996</v>
      </c>
      <c r="AK49" s="223">
        <f t="shared" si="73"/>
        <v>148.36799999999997</v>
      </c>
      <c r="AL49" s="70">
        <f t="shared" si="73"/>
        <v>137.803</v>
      </c>
      <c r="AM49" s="222">
        <f t="shared" si="73"/>
        <v>538.75800000000004</v>
      </c>
      <c r="AN49" s="70">
        <f t="shared" si="73"/>
        <v>131.41299999999998</v>
      </c>
      <c r="AO49" s="75">
        <f t="shared" si="73"/>
        <v>141.80699999999999</v>
      </c>
      <c r="AP49" s="75">
        <f t="shared" si="73"/>
        <v>157.70700000000005</v>
      </c>
      <c r="AQ49" s="75">
        <f t="shared" si="73"/>
        <v>159.69300000000001</v>
      </c>
      <c r="AR49" s="111">
        <f>SUM(AN49:AQ49)</f>
        <v>590.62</v>
      </c>
      <c r="AS49" s="75">
        <f>AS42+AS45+AS46+AS47</f>
        <v>159.49199999999999</v>
      </c>
      <c r="AT49" s="75">
        <f>AT42+AT45+AT46+AT47</f>
        <v>201.0259999999999</v>
      </c>
      <c r="AU49" s="75">
        <f>AU42+AU45+AU46+AU47</f>
        <v>193.78900000000002</v>
      </c>
      <c r="AV49" s="76">
        <f>AV42+AV45+AV46+AV47</f>
        <v>162.8790000000001</v>
      </c>
      <c r="AW49" s="111">
        <f>SUM(AS49:AV49)</f>
        <v>717.18600000000004</v>
      </c>
      <c r="AX49" s="75">
        <f>AX42+AX45+AX46+AX47</f>
        <v>160.64100000000002</v>
      </c>
      <c r="AY49" s="75">
        <f>AY42+AY45+AY46+AY47</f>
        <v>160.4899999999999</v>
      </c>
      <c r="AZ49" s="75">
        <f>AZ42+AZ45+AZ46+AZ47</f>
        <v>172.39599999999999</v>
      </c>
      <c r="BA49" s="76">
        <f>BA42+BA45+BA46+BA47</f>
        <v>160.20000000000002</v>
      </c>
      <c r="BB49" s="262">
        <f>SUM(AX49:BA49)</f>
        <v>653.72699999999998</v>
      </c>
      <c r="BC49" s="75">
        <f>BC42+BC45+BC46+BC47</f>
        <v>161.19999999999996</v>
      </c>
      <c r="BD49" s="75">
        <f>BD42+BD45+BD46+BD47</f>
        <v>169.90000000000006</v>
      </c>
      <c r="BE49" s="75">
        <f>BE42+BE45+BE46+BE47</f>
        <v>180.6999999999999</v>
      </c>
      <c r="BF49" s="76">
        <f>BF42+BF45+BF46+BF47</f>
        <v>179.29999999999998</v>
      </c>
      <c r="BG49" s="262">
        <f>SUM(BC49:BF49)</f>
        <v>691.09999999999991</v>
      </c>
      <c r="BH49" s="75">
        <f>BH42+BH45+BH46+BH47</f>
        <v>165.92621184904615</v>
      </c>
      <c r="BI49" s="75">
        <f>BI42+BI45+BI46+BI47</f>
        <v>175.05972040088622</v>
      </c>
      <c r="BJ49" s="75">
        <f>BJ42+BJ45+BJ46+BJ47</f>
        <v>192.28875381058532</v>
      </c>
      <c r="BK49" s="76">
        <f>BK42+BK45+BK46+BK47</f>
        <v>191.9320789145286</v>
      </c>
      <c r="BL49" s="262">
        <f>SUM(BH49:BK49)</f>
        <v>725.20676497504633</v>
      </c>
      <c r="BM49" s="75">
        <f>BM42+BM45+BM46+BM47</f>
        <v>184.19135802209325</v>
      </c>
      <c r="BN49" s="75">
        <f>BN42+BN45+BN46+BN47</f>
        <v>193.84932955923728</v>
      </c>
      <c r="BO49" s="75">
        <f>BO42+BO45+BO46+BO47</f>
        <v>211.9934097840376</v>
      </c>
      <c r="BP49" s="76">
        <f>BP42+BP45+BP46+BP47</f>
        <v>211.66536644582487</v>
      </c>
      <c r="BQ49" s="262">
        <f>SUM(BM49:BP49)</f>
        <v>801.69946381119303</v>
      </c>
      <c r="BR49" s="75">
        <f>BR42+BR45+BR46+BR47</f>
        <v>202.7807088636749</v>
      </c>
      <c r="BS49" s="75">
        <f>BS42+BS45+BS46+BS47</f>
        <v>212.96566478938425</v>
      </c>
      <c r="BT49" s="75">
        <f>BT42+BT45+BT46+BT47</f>
        <v>232.20277528881303</v>
      </c>
      <c r="BU49" s="76">
        <f>BU42+BU45+BU46+BU47</f>
        <v>231.84381646558307</v>
      </c>
      <c r="BV49" s="262">
        <f>SUM(BR49:BU49)</f>
        <v>879.79296540745531</v>
      </c>
      <c r="BW49" s="75">
        <f>BW42+BW45+BW46+BW47</f>
        <v>223.76868786573482</v>
      </c>
      <c r="BX49" s="75">
        <f>BX42+BX45+BX46+BX47</f>
        <v>234.71947888286326</v>
      </c>
      <c r="BY49" s="75">
        <f>BY42+BY45+BY46+BY47</f>
        <v>255.32998462117411</v>
      </c>
      <c r="BZ49" s="76">
        <f>BZ42+BZ45+BZ46+BZ47</f>
        <v>255.14897373169418</v>
      </c>
      <c r="CA49" s="262">
        <f>SUM(BW49:BZ49)</f>
        <v>968.96712510146631</v>
      </c>
      <c r="CB49" s="1910"/>
      <c r="CC49" s="29"/>
      <c r="CD49" s="263" t="str">
        <f>A49</f>
        <v>Pretax Income</v>
      </c>
      <c r="CE49" s="70">
        <f>D49</f>
        <v>232.77700000000004</v>
      </c>
      <c r="CF49" s="70">
        <f>I49</f>
        <v>258.14699999999999</v>
      </c>
      <c r="CG49" s="70">
        <f>N49</f>
        <v>278.89899999999994</v>
      </c>
      <c r="CH49" s="70">
        <f>S49</f>
        <v>264.60500000000013</v>
      </c>
      <c r="CI49" s="70">
        <f>X49</f>
        <v>406.65000000000015</v>
      </c>
      <c r="CJ49" s="70">
        <f>AC49</f>
        <v>457.05430390016971</v>
      </c>
      <c r="CK49" s="70">
        <f>AH49</f>
        <v>519.43382108911578</v>
      </c>
      <c r="CL49" s="70">
        <f>AM49</f>
        <v>538.75800000000004</v>
      </c>
      <c r="CM49" s="70">
        <f>AR49</f>
        <v>590.62</v>
      </c>
      <c r="CN49" s="70">
        <f>AW49</f>
        <v>717.18600000000004</v>
      </c>
      <c r="CO49" s="70">
        <f>BB49</f>
        <v>653.72699999999998</v>
      </c>
      <c r="CP49" s="70">
        <f>BG49</f>
        <v>691.09999999999991</v>
      </c>
      <c r="CQ49" s="70">
        <f>BL49</f>
        <v>725.20676497504633</v>
      </c>
      <c r="CR49" s="70">
        <f>BQ49</f>
        <v>801.69946381119303</v>
      </c>
      <c r="CS49" s="70">
        <f>BV49</f>
        <v>879.79296540745531</v>
      </c>
      <c r="CT49" s="80">
        <f>CA49</f>
        <v>968.96712510146631</v>
      </c>
      <c r="CU49" s="1961"/>
      <c r="DB49" s="1961"/>
      <c r="DC49" s="1961"/>
      <c r="DD49" s="1961"/>
      <c r="DE49" s="1961"/>
      <c r="DF49" s="1961"/>
      <c r="DG49" s="1961"/>
      <c r="DH49" s="1961"/>
      <c r="DI49" s="74"/>
    </row>
    <row r="50" spans="1:113" ht="12" hidden="1" customHeight="1" outlineLevel="1" x14ac:dyDescent="0.25">
      <c r="A50" s="260" t="s">
        <v>78</v>
      </c>
      <c r="B50" s="264"/>
      <c r="C50" s="265">
        <v>-85.721999999999994</v>
      </c>
      <c r="D50" s="265">
        <v>-91.992000000000004</v>
      </c>
      <c r="E50" s="266">
        <v>-24.867000000000001</v>
      </c>
      <c r="F50" s="266">
        <f>-52.432-E50</f>
        <v>-27.565000000000001</v>
      </c>
      <c r="G50" s="266">
        <f>-81.273-SUM(E50:F50)</f>
        <v>-28.840999999999994</v>
      </c>
      <c r="H50" s="266">
        <f>-103.184-SUM(E50:G50)</f>
        <v>-21.911000000000001</v>
      </c>
      <c r="I50" s="116">
        <f>SUM(E50:H50)</f>
        <v>-103.184</v>
      </c>
      <c r="J50" s="266">
        <v>-29.876000000000001</v>
      </c>
      <c r="K50" s="266">
        <f>-61.818-J50</f>
        <v>-31.941999999999997</v>
      </c>
      <c r="L50" s="266">
        <f>-90.311-SUM(J50:K50)</f>
        <v>-28.493000000000009</v>
      </c>
      <c r="M50" s="266">
        <f>-120.671-SUM(J50:L50)</f>
        <v>-30.36</v>
      </c>
      <c r="N50" s="116">
        <f>SUM(J50:M50)</f>
        <v>-120.67100000000001</v>
      </c>
      <c r="O50" s="267">
        <v>-33.779000000000003</v>
      </c>
      <c r="P50" s="266">
        <f>-67.25-O50</f>
        <v>-33.470999999999997</v>
      </c>
      <c r="Q50" s="266">
        <v>-33.194000000000003</v>
      </c>
      <c r="R50" s="266">
        <f>-137.991-SUM(O50:Q50)</f>
        <v>-37.547000000000011</v>
      </c>
      <c r="S50" s="118">
        <f>SUM(O50:R50)</f>
        <v>-137.99100000000001</v>
      </c>
      <c r="T50" s="267">
        <v>-42.637</v>
      </c>
      <c r="U50" s="266">
        <v>-40.347000000000001</v>
      </c>
      <c r="V50" s="266">
        <v>-42.421999999999997</v>
      </c>
      <c r="W50" s="266">
        <v>-38.692</v>
      </c>
      <c r="X50" s="118">
        <f>SUM(T50:W50)</f>
        <v>-164.09800000000001</v>
      </c>
      <c r="Y50" s="266">
        <v>-44.177999999999997</v>
      </c>
      <c r="Z50" s="266">
        <v>-43.470999999999997</v>
      </c>
      <c r="AA50" s="266">
        <v>-45.841999999999999</v>
      </c>
      <c r="AB50" s="266">
        <v>-44.171999999999997</v>
      </c>
      <c r="AC50" s="116">
        <f>SUM(Y50:AB50)</f>
        <v>-177.66299999999998</v>
      </c>
      <c r="AD50" s="266">
        <v>-48.41</v>
      </c>
      <c r="AE50" s="266">
        <v>-47.82</v>
      </c>
      <c r="AF50" s="266">
        <v>-53.704999999999998</v>
      </c>
      <c r="AG50" s="266">
        <f>-190.066-SUM(AD50:AF50)</f>
        <v>-40.131</v>
      </c>
      <c r="AH50" s="116">
        <f>SUM(AD50:AG50)</f>
        <v>-190.066</v>
      </c>
      <c r="AI50" s="266">
        <v>-45.844000000000001</v>
      </c>
      <c r="AJ50" s="268">
        <v>-45.68</v>
      </c>
      <c r="AK50" s="268">
        <v>-53.473999999999997</v>
      </c>
      <c r="AL50" s="268">
        <v>-51.427999999999997</v>
      </c>
      <c r="AM50" s="116">
        <f>SUM(AI50:AL50)</f>
        <v>-196.42599999999999</v>
      </c>
      <c r="AN50" s="266">
        <v>-46.972000000000001</v>
      </c>
      <c r="AO50" s="268">
        <v>-53.707999999999998</v>
      </c>
      <c r="AP50" s="268">
        <f>-AP49*AP380</f>
        <v>-58.692</v>
      </c>
      <c r="AQ50" s="268">
        <v>-60.383000000000003</v>
      </c>
      <c r="AR50" s="116">
        <f>SUM(AN50:AQ50)</f>
        <v>-219.75500000000002</v>
      </c>
      <c r="AS50" s="268">
        <f>-AS49*AS380</f>
        <v>-60.805999999999997</v>
      </c>
      <c r="AT50" s="269">
        <v>-37.706000000000003</v>
      </c>
      <c r="AU50" s="269">
        <v>-61.975000000000001</v>
      </c>
      <c r="AV50" s="270">
        <v>-49.372</v>
      </c>
      <c r="AW50" s="116">
        <f>SUM(AS50:AV50)</f>
        <v>-209.85899999999998</v>
      </c>
      <c r="AX50" s="269">
        <v>-50.911000000000001</v>
      </c>
      <c r="AY50" s="269">
        <v>-53.753999999999998</v>
      </c>
      <c r="AZ50" s="269">
        <v>-44.819000000000003</v>
      </c>
      <c r="BA50" s="270">
        <v>-52.7</v>
      </c>
      <c r="BB50" s="238">
        <f>SUM(AX50:BA50)</f>
        <v>-202.18399999999997</v>
      </c>
      <c r="BC50" s="1886">
        <v>-52.4</v>
      </c>
      <c r="BD50" s="1886">
        <v>-48.9</v>
      </c>
      <c r="BE50" s="1930">
        <v>-60</v>
      </c>
      <c r="BF50" s="1930">
        <v>25.3</v>
      </c>
      <c r="BG50" s="238">
        <f>SUM(BC50:BF50)</f>
        <v>-136</v>
      </c>
      <c r="BH50" s="271">
        <f>-BH49*BH380</f>
        <v>-36.503766606790151</v>
      </c>
      <c r="BI50" s="271">
        <f>-BI49*BI380</f>
        <v>-38.513138488194969</v>
      </c>
      <c r="BJ50" s="271">
        <f>-BJ49*BJ380</f>
        <v>-42.303525838328774</v>
      </c>
      <c r="BK50" s="272">
        <f>-BK49*BK380</f>
        <v>-42.225057361196292</v>
      </c>
      <c r="BL50" s="238">
        <f>SUM(BH50:BK50)</f>
        <v>-159.54548829451019</v>
      </c>
      <c r="BM50" s="271">
        <f>-BM49*BM380</f>
        <v>-40.522098764860516</v>
      </c>
      <c r="BN50" s="271">
        <f>-BN49*BN380</f>
        <v>-42.6468525030322</v>
      </c>
      <c r="BO50" s="271">
        <f>-BO49*BO380</f>
        <v>-46.638550152488271</v>
      </c>
      <c r="BP50" s="272">
        <f>-BP49*BP380</f>
        <v>-46.566380618081475</v>
      </c>
      <c r="BQ50" s="238">
        <f>SUM(BM50:BP50)</f>
        <v>-176.37388203846245</v>
      </c>
      <c r="BR50" s="271">
        <f>-BR49*BR380</f>
        <v>-44.611755950008472</v>
      </c>
      <c r="BS50" s="271">
        <f>-BS49*BS380</f>
        <v>-46.852446253664532</v>
      </c>
      <c r="BT50" s="271">
        <f>-BT49*BT380</f>
        <v>-51.08461056353886</v>
      </c>
      <c r="BU50" s="272">
        <f>-BU49*BU380</f>
        <v>-51.005639622428269</v>
      </c>
      <c r="BV50" s="238">
        <f>SUM(BR50:BU50)</f>
        <v>-193.55445238964015</v>
      </c>
      <c r="BW50" s="271">
        <f>-BW49*BW380</f>
        <v>-49.229111330461656</v>
      </c>
      <c r="BX50" s="271">
        <f>-BX49*BX380</f>
        <v>-51.638285354229907</v>
      </c>
      <c r="BY50" s="271">
        <f>-BY49*BY380</f>
        <v>-56.172596616658296</v>
      </c>
      <c r="BZ50" s="272">
        <f>-BZ49*BZ380</f>
        <v>-56.132774220972713</v>
      </c>
      <c r="CA50" s="238">
        <f>SUM(BW50:BZ50)</f>
        <v>-213.17276752232257</v>
      </c>
      <c r="CB50" s="1910"/>
      <c r="CC50" s="29"/>
      <c r="CD50" s="263"/>
      <c r="CE50" s="273"/>
      <c r="CF50" s="273"/>
      <c r="CG50" s="273"/>
      <c r="CH50" s="273"/>
      <c r="CI50" s="273"/>
      <c r="CJ50" s="273"/>
      <c r="CK50" s="273"/>
      <c r="CL50" s="273"/>
      <c r="CM50" s="273"/>
      <c r="CN50" s="273"/>
      <c r="CO50" s="273"/>
      <c r="CP50" s="273"/>
      <c r="CQ50" s="273"/>
      <c r="CR50" s="273"/>
      <c r="CS50" s="273"/>
      <c r="CT50" s="274"/>
      <c r="CU50" s="1961"/>
      <c r="DB50" s="1961"/>
      <c r="DC50" s="1961"/>
      <c r="DD50" s="1961"/>
      <c r="DE50" s="1961"/>
      <c r="DF50" s="1961"/>
      <c r="DG50" s="1961"/>
      <c r="DH50" s="1961"/>
      <c r="DI50" s="275"/>
    </row>
    <row r="51" spans="1:113" ht="12" hidden="1" customHeight="1" outlineLevel="1" x14ac:dyDescent="0.25">
      <c r="A51" s="276" t="s">
        <v>79</v>
      </c>
      <c r="B51" s="277"/>
      <c r="C51" s="278">
        <v>0</v>
      </c>
      <c r="D51" s="278">
        <v>0</v>
      </c>
      <c r="E51" s="266">
        <v>0</v>
      </c>
      <c r="F51" s="266">
        <f>0-E51</f>
        <v>0</v>
      </c>
      <c r="G51" s="266">
        <v>0</v>
      </c>
      <c r="H51" s="266">
        <f>0-SUM(E51:G51)</f>
        <v>0</v>
      </c>
      <c r="I51" s="116">
        <f>SUM(E51:H51)</f>
        <v>0</v>
      </c>
      <c r="J51" s="279">
        <v>0</v>
      </c>
      <c r="K51" s="279">
        <f>0-J51</f>
        <v>0</v>
      </c>
      <c r="L51" s="279">
        <v>0</v>
      </c>
      <c r="M51" s="266">
        <f>0-SUM(J51:L51)</f>
        <v>0</v>
      </c>
      <c r="N51" s="116">
        <f>SUM(J51:M51)</f>
        <v>0</v>
      </c>
      <c r="O51" s="280">
        <v>0</v>
      </c>
      <c r="P51" s="279">
        <v>0</v>
      </c>
      <c r="Q51" s="279">
        <v>0</v>
      </c>
      <c r="R51" s="279">
        <v>0</v>
      </c>
      <c r="S51" s="118">
        <f>SUM(O51:R51)</f>
        <v>0</v>
      </c>
      <c r="T51" s="280">
        <v>0</v>
      </c>
      <c r="U51" s="279">
        <v>0</v>
      </c>
      <c r="V51" s="279">
        <v>0</v>
      </c>
      <c r="W51" s="279">
        <v>0</v>
      </c>
      <c r="X51" s="118">
        <f>SUM(T51:W51)</f>
        <v>0</v>
      </c>
      <c r="Y51" s="279">
        <v>0</v>
      </c>
      <c r="Z51" s="279">
        <v>0</v>
      </c>
      <c r="AA51" s="279">
        <v>0</v>
      </c>
      <c r="AB51" s="279">
        <v>0</v>
      </c>
      <c r="AC51" s="116">
        <f>SUM(Y51:AB51)</f>
        <v>0</v>
      </c>
      <c r="AD51" s="279">
        <v>0</v>
      </c>
      <c r="AE51" s="279">
        <v>0</v>
      </c>
      <c r="AF51" s="279">
        <v>0</v>
      </c>
      <c r="AG51" s="279">
        <v>0</v>
      </c>
      <c r="AH51" s="116">
        <f>SUM(AD51:AG51)</f>
        <v>0</v>
      </c>
      <c r="AI51" s="279">
        <v>0</v>
      </c>
      <c r="AJ51" s="279">
        <v>0</v>
      </c>
      <c r="AK51" s="279">
        <v>0</v>
      </c>
      <c r="AL51" s="279">
        <v>0</v>
      </c>
      <c r="AM51" s="116">
        <f>SUM(AI51:AL51)</f>
        <v>0</v>
      </c>
      <c r="AN51" s="279">
        <v>0</v>
      </c>
      <c r="AO51" s="279">
        <v>0</v>
      </c>
      <c r="AP51" s="279">
        <v>0</v>
      </c>
      <c r="AQ51" s="279">
        <v>0</v>
      </c>
      <c r="AR51" s="116">
        <f>SUM(AN51:AQ51)</f>
        <v>0</v>
      </c>
      <c r="AS51" s="279">
        <v>0</v>
      </c>
      <c r="AT51" s="279">
        <v>0</v>
      </c>
      <c r="AU51" s="279">
        <v>0</v>
      </c>
      <c r="AV51" s="279">
        <v>0</v>
      </c>
      <c r="AW51" s="116">
        <f>SUM(AS51:AV51)</f>
        <v>0</v>
      </c>
      <c r="AX51" s="215">
        <v>0</v>
      </c>
      <c r="AY51" s="232">
        <v>0</v>
      </c>
      <c r="AZ51" s="232">
        <v>0</v>
      </c>
      <c r="BA51" s="232">
        <v>0</v>
      </c>
      <c r="BB51" s="238">
        <f>SUM(AX51:BA51)</f>
        <v>0</v>
      </c>
      <c r="BC51" s="1883">
        <v>0</v>
      </c>
      <c r="BD51" s="1883">
        <v>0</v>
      </c>
      <c r="BE51" s="1927">
        <v>0</v>
      </c>
      <c r="BF51" s="1927">
        <v>0</v>
      </c>
      <c r="BG51" s="238">
        <f>SUM(BC51:BF51)</f>
        <v>0</v>
      </c>
      <c r="BH51" s="281">
        <v>0</v>
      </c>
      <c r="BI51" s="281">
        <v>0</v>
      </c>
      <c r="BJ51" s="281">
        <v>0</v>
      </c>
      <c r="BK51" s="282">
        <v>0</v>
      </c>
      <c r="BL51" s="238">
        <f>SUM(BH51:BK51)</f>
        <v>0</v>
      </c>
      <c r="BM51" s="281">
        <v>0</v>
      </c>
      <c r="BN51" s="281">
        <v>0</v>
      </c>
      <c r="BO51" s="281">
        <v>0</v>
      </c>
      <c r="BP51" s="282">
        <v>0</v>
      </c>
      <c r="BQ51" s="238">
        <f>SUM(BM51:BP51)</f>
        <v>0</v>
      </c>
      <c r="BR51" s="281">
        <v>0</v>
      </c>
      <c r="BS51" s="281">
        <v>0</v>
      </c>
      <c r="BT51" s="281">
        <v>0</v>
      </c>
      <c r="BU51" s="282">
        <v>0</v>
      </c>
      <c r="BV51" s="238">
        <f>SUM(BR51:BU51)</f>
        <v>0</v>
      </c>
      <c r="BW51" s="281">
        <v>0</v>
      </c>
      <c r="BX51" s="281">
        <v>0</v>
      </c>
      <c r="BY51" s="281">
        <v>0</v>
      </c>
      <c r="BZ51" s="282">
        <v>0</v>
      </c>
      <c r="CA51" s="238">
        <f>SUM(BW51:BZ51)</f>
        <v>0</v>
      </c>
      <c r="CB51" s="1910"/>
      <c r="CC51" s="143"/>
      <c r="CD51" s="283"/>
      <c r="CE51" s="279"/>
      <c r="CF51" s="279"/>
      <c r="CG51" s="279"/>
      <c r="CH51" s="279"/>
      <c r="CI51" s="279"/>
      <c r="CJ51" s="279"/>
      <c r="CK51" s="279"/>
      <c r="CL51" s="279"/>
      <c r="CM51" s="279"/>
      <c r="CN51" s="279"/>
      <c r="CO51" s="279"/>
      <c r="CP51" s="279"/>
      <c r="CQ51" s="279"/>
      <c r="CR51" s="279"/>
      <c r="CS51" s="279"/>
      <c r="CT51" s="284"/>
      <c r="CU51" s="1961"/>
      <c r="DB51" s="1961"/>
      <c r="DC51" s="1961"/>
      <c r="DD51" s="1961"/>
      <c r="DE51" s="1961"/>
      <c r="DF51" s="1961"/>
      <c r="DG51" s="1961"/>
      <c r="DH51" s="1961"/>
      <c r="DI51" s="1961"/>
    </row>
    <row r="52" spans="1:113" ht="12" customHeight="1" collapsed="1" x14ac:dyDescent="0.25">
      <c r="A52" s="260" t="s">
        <v>80</v>
      </c>
      <c r="B52" s="285"/>
      <c r="C52" s="116">
        <f t="shared" ref="C52:AO52" si="74">SUM(C50:C51)</f>
        <v>-85.721999999999994</v>
      </c>
      <c r="D52" s="116">
        <f t="shared" si="74"/>
        <v>-91.992000000000004</v>
      </c>
      <c r="E52" s="273">
        <f t="shared" si="74"/>
        <v>-24.867000000000001</v>
      </c>
      <c r="F52" s="273">
        <f t="shared" si="74"/>
        <v>-27.565000000000001</v>
      </c>
      <c r="G52" s="273">
        <f t="shared" si="74"/>
        <v>-28.840999999999994</v>
      </c>
      <c r="H52" s="273">
        <f t="shared" si="74"/>
        <v>-21.911000000000001</v>
      </c>
      <c r="I52" s="286">
        <f t="shared" si="74"/>
        <v>-103.184</v>
      </c>
      <c r="J52" s="273">
        <f t="shared" si="74"/>
        <v>-29.876000000000001</v>
      </c>
      <c r="K52" s="273">
        <f t="shared" si="74"/>
        <v>-31.941999999999997</v>
      </c>
      <c r="L52" s="273">
        <f t="shared" si="74"/>
        <v>-28.493000000000009</v>
      </c>
      <c r="M52" s="273">
        <f t="shared" si="74"/>
        <v>-30.36</v>
      </c>
      <c r="N52" s="286">
        <f t="shared" si="74"/>
        <v>-120.67100000000001</v>
      </c>
      <c r="O52" s="287">
        <f t="shared" si="74"/>
        <v>-33.779000000000003</v>
      </c>
      <c r="P52" s="273">
        <f t="shared" si="74"/>
        <v>-33.470999999999997</v>
      </c>
      <c r="Q52" s="273">
        <f t="shared" si="74"/>
        <v>-33.194000000000003</v>
      </c>
      <c r="R52" s="273">
        <f t="shared" si="74"/>
        <v>-37.547000000000011</v>
      </c>
      <c r="S52" s="288">
        <f t="shared" si="74"/>
        <v>-137.99100000000001</v>
      </c>
      <c r="T52" s="287">
        <f t="shared" si="74"/>
        <v>-42.637</v>
      </c>
      <c r="U52" s="273">
        <f t="shared" si="74"/>
        <v>-40.347000000000001</v>
      </c>
      <c r="V52" s="273">
        <f t="shared" si="74"/>
        <v>-42.421999999999997</v>
      </c>
      <c r="W52" s="273">
        <f t="shared" si="74"/>
        <v>-38.692</v>
      </c>
      <c r="X52" s="288">
        <f>SUM(X50:X51)</f>
        <v>-164.09800000000001</v>
      </c>
      <c r="Y52" s="273">
        <f t="shared" si="74"/>
        <v>-44.177999999999997</v>
      </c>
      <c r="Z52" s="273">
        <f t="shared" si="74"/>
        <v>-43.470999999999997</v>
      </c>
      <c r="AA52" s="273">
        <f t="shared" si="74"/>
        <v>-45.841999999999999</v>
      </c>
      <c r="AB52" s="273">
        <f t="shared" si="74"/>
        <v>-44.171999999999997</v>
      </c>
      <c r="AC52" s="286">
        <f t="shared" si="74"/>
        <v>-177.66299999999998</v>
      </c>
      <c r="AD52" s="273">
        <f t="shared" si="74"/>
        <v>-48.41</v>
      </c>
      <c r="AE52" s="273">
        <f t="shared" si="74"/>
        <v>-47.82</v>
      </c>
      <c r="AF52" s="273">
        <f t="shared" si="74"/>
        <v>-53.704999999999998</v>
      </c>
      <c r="AG52" s="273">
        <f t="shared" si="74"/>
        <v>-40.131</v>
      </c>
      <c r="AH52" s="286">
        <f t="shared" si="74"/>
        <v>-190.066</v>
      </c>
      <c r="AI52" s="273">
        <f t="shared" si="74"/>
        <v>-45.844000000000001</v>
      </c>
      <c r="AJ52" s="273">
        <f t="shared" si="74"/>
        <v>-45.68</v>
      </c>
      <c r="AK52" s="273">
        <f t="shared" si="74"/>
        <v>-53.473999999999997</v>
      </c>
      <c r="AL52" s="273">
        <f t="shared" si="74"/>
        <v>-51.427999999999997</v>
      </c>
      <c r="AM52" s="286">
        <f t="shared" si="74"/>
        <v>-196.42599999999999</v>
      </c>
      <c r="AN52" s="271">
        <f t="shared" si="74"/>
        <v>-46.972000000000001</v>
      </c>
      <c r="AO52" s="271">
        <f t="shared" si="74"/>
        <v>-53.707999999999998</v>
      </c>
      <c r="AP52" s="271">
        <v>-58.692</v>
      </c>
      <c r="AQ52" s="271">
        <f>SUM(AQ50:AQ51)</f>
        <v>-60.383000000000003</v>
      </c>
      <c r="AR52" s="286">
        <f>SUM(AN52:AQ52)</f>
        <v>-219.75500000000002</v>
      </c>
      <c r="AS52" s="271">
        <v>-60.805999999999997</v>
      </c>
      <c r="AT52" s="271">
        <f>SUM(AT50:AT51)</f>
        <v>-37.706000000000003</v>
      </c>
      <c r="AU52" s="271">
        <f>SUM(AU50:AU51)</f>
        <v>-61.975000000000001</v>
      </c>
      <c r="AV52" s="272">
        <f>SUM(AV50:AV51)</f>
        <v>-49.372</v>
      </c>
      <c r="AW52" s="286">
        <f>SUM(AS52:AV52)</f>
        <v>-209.85899999999998</v>
      </c>
      <c r="AX52" s="271">
        <f>SUM(AX50:AX51)</f>
        <v>-50.911000000000001</v>
      </c>
      <c r="AY52" s="275">
        <f>SUM(AY50:AY51)</f>
        <v>-53.753999999999998</v>
      </c>
      <c r="AZ52" s="275">
        <f>SUM(AZ50:AZ51)</f>
        <v>-44.819000000000003</v>
      </c>
      <c r="BA52" s="272">
        <f>SUM(BA50:BA51)</f>
        <v>-52.7</v>
      </c>
      <c r="BB52" s="289">
        <f>SUM(AX52:BA52)</f>
        <v>-202.18399999999997</v>
      </c>
      <c r="BC52" s="271">
        <f>SUM(BC50:BC51)</f>
        <v>-52.4</v>
      </c>
      <c r="BD52" s="271">
        <f>SUM(BD50:BD51)</f>
        <v>-48.9</v>
      </c>
      <c r="BE52" s="271">
        <f>SUM(BE50:BE51)</f>
        <v>-60</v>
      </c>
      <c r="BF52" s="272">
        <f>SUM(BF50:BF51)</f>
        <v>25.3</v>
      </c>
      <c r="BG52" s="289">
        <f>SUM(BC52:BF52)</f>
        <v>-136</v>
      </c>
      <c r="BH52" s="271">
        <f>SUM(BH50:BH51)</f>
        <v>-36.503766606790151</v>
      </c>
      <c r="BI52" s="271">
        <f>SUM(BI50:BI51)</f>
        <v>-38.513138488194969</v>
      </c>
      <c r="BJ52" s="271">
        <f>SUM(BJ50:BJ51)</f>
        <v>-42.303525838328774</v>
      </c>
      <c r="BK52" s="272">
        <f>SUM(BK50:BK51)</f>
        <v>-42.225057361196292</v>
      </c>
      <c r="BL52" s="289">
        <f>SUM(BH52:BK52)</f>
        <v>-159.54548829451019</v>
      </c>
      <c r="BM52" s="271">
        <f>SUM(BM50:BM51)</f>
        <v>-40.522098764860516</v>
      </c>
      <c r="BN52" s="271">
        <f>SUM(BN50:BN51)</f>
        <v>-42.6468525030322</v>
      </c>
      <c r="BO52" s="271">
        <f>SUM(BO50:BO51)</f>
        <v>-46.638550152488271</v>
      </c>
      <c r="BP52" s="272">
        <f>SUM(BP50:BP51)</f>
        <v>-46.566380618081475</v>
      </c>
      <c r="BQ52" s="289">
        <f>SUM(BM52:BP52)</f>
        <v>-176.37388203846245</v>
      </c>
      <c r="BR52" s="271">
        <f>SUM(BR50:BR51)</f>
        <v>-44.611755950008472</v>
      </c>
      <c r="BS52" s="271">
        <f>SUM(BS50:BS51)</f>
        <v>-46.852446253664532</v>
      </c>
      <c r="BT52" s="271">
        <f>SUM(BT50:BT51)</f>
        <v>-51.08461056353886</v>
      </c>
      <c r="BU52" s="272">
        <f>SUM(BU50:BU51)</f>
        <v>-51.005639622428269</v>
      </c>
      <c r="BV52" s="289">
        <f>SUM(BR52:BU52)</f>
        <v>-193.55445238964015</v>
      </c>
      <c r="BW52" s="271">
        <f>SUM(BW50:BW51)</f>
        <v>-49.229111330461656</v>
      </c>
      <c r="BX52" s="271">
        <f>SUM(BX50:BX51)</f>
        <v>-51.638285354229907</v>
      </c>
      <c r="BY52" s="271">
        <f>SUM(BY50:BY51)</f>
        <v>-56.172596616658296</v>
      </c>
      <c r="BZ52" s="272">
        <f>SUM(BZ50:BZ51)</f>
        <v>-56.132774220972713</v>
      </c>
      <c r="CA52" s="289">
        <f>SUM(BW52:BZ52)</f>
        <v>-213.17276752232257</v>
      </c>
      <c r="CB52" s="1910"/>
      <c r="CC52" s="29"/>
      <c r="CD52" s="263" t="str">
        <f>A52</f>
        <v>Income Tax Benefit (Expense)</v>
      </c>
      <c r="CE52" s="273">
        <f>D52</f>
        <v>-91.992000000000004</v>
      </c>
      <c r="CF52" s="273">
        <f>I52</f>
        <v>-103.184</v>
      </c>
      <c r="CG52" s="273">
        <f>N52</f>
        <v>-120.67100000000001</v>
      </c>
      <c r="CH52" s="273">
        <f>S52</f>
        <v>-137.99100000000001</v>
      </c>
      <c r="CI52" s="273">
        <f>X52</f>
        <v>-164.09800000000001</v>
      </c>
      <c r="CJ52" s="273">
        <f>AC52</f>
        <v>-177.66299999999998</v>
      </c>
      <c r="CK52" s="273">
        <f>AH52</f>
        <v>-190.066</v>
      </c>
      <c r="CL52" s="273">
        <f>AM52</f>
        <v>-196.42599999999999</v>
      </c>
      <c r="CM52" s="273">
        <f>AR52</f>
        <v>-219.75500000000002</v>
      </c>
      <c r="CN52" s="273">
        <f>AW52</f>
        <v>-209.85899999999998</v>
      </c>
      <c r="CO52" s="273">
        <f>BB52</f>
        <v>-202.18399999999997</v>
      </c>
      <c r="CP52" s="273">
        <f>BG52</f>
        <v>-136</v>
      </c>
      <c r="CQ52" s="273">
        <f>BL52</f>
        <v>-159.54548829451019</v>
      </c>
      <c r="CR52" s="273">
        <f>BQ52</f>
        <v>-176.37388203846245</v>
      </c>
      <c r="CS52" s="273">
        <f>BV52</f>
        <v>-193.55445238964015</v>
      </c>
      <c r="CT52" s="274">
        <f>CA52</f>
        <v>-213.17276752232257</v>
      </c>
      <c r="CU52" s="1961"/>
      <c r="DB52" s="1961"/>
      <c r="DC52" s="1961"/>
      <c r="DD52" s="1961"/>
      <c r="DE52" s="1961"/>
      <c r="DF52" s="1961"/>
      <c r="DG52" s="1961"/>
      <c r="DH52" s="1961"/>
      <c r="DI52" s="275"/>
    </row>
    <row r="53" spans="1:113" ht="5.25" customHeight="1" x14ac:dyDescent="0.25">
      <c r="A53" s="204"/>
      <c r="B53" s="257"/>
      <c r="C53" s="134" t="s">
        <v>60</v>
      </c>
      <c r="D53" s="134" t="s">
        <v>60</v>
      </c>
      <c r="E53" s="130" t="s">
        <v>60</v>
      </c>
      <c r="F53" s="130" t="s">
        <v>60</v>
      </c>
      <c r="G53" s="130" t="s">
        <v>60</v>
      </c>
      <c r="H53" s="130" t="s">
        <v>60</v>
      </c>
      <c r="I53" s="129" t="s">
        <v>60</v>
      </c>
      <c r="J53" s="130" t="s">
        <v>60</v>
      </c>
      <c r="K53" s="130" t="s">
        <v>60</v>
      </c>
      <c r="L53" s="130" t="s">
        <v>60</v>
      </c>
      <c r="M53" s="130" t="s">
        <v>60</v>
      </c>
      <c r="N53" s="129" t="s">
        <v>60</v>
      </c>
      <c r="O53" s="131" t="s">
        <v>60</v>
      </c>
      <c r="P53" s="130" t="s">
        <v>60</v>
      </c>
      <c r="Q53" s="130" t="s">
        <v>60</v>
      </c>
      <c r="R53" s="130" t="s">
        <v>60</v>
      </c>
      <c r="S53" s="132" t="s">
        <v>60</v>
      </c>
      <c r="T53" s="131" t="s">
        <v>60</v>
      </c>
      <c r="U53" s="130" t="s">
        <v>60</v>
      </c>
      <c r="V53" s="130" t="s">
        <v>60</v>
      </c>
      <c r="W53" s="130" t="s">
        <v>60</v>
      </c>
      <c r="X53" s="132" t="s">
        <v>60</v>
      </c>
      <c r="Y53" s="130" t="s">
        <v>60</v>
      </c>
      <c r="Z53" s="130" t="s">
        <v>60</v>
      </c>
      <c r="AA53" s="130" t="s">
        <v>60</v>
      </c>
      <c r="AB53" s="130" t="s">
        <v>60</v>
      </c>
      <c r="AC53" s="129" t="s">
        <v>60</v>
      </c>
      <c r="AD53" s="130" t="s">
        <v>60</v>
      </c>
      <c r="AE53" s="130" t="s">
        <v>60</v>
      </c>
      <c r="AF53" s="130" t="s">
        <v>60</v>
      </c>
      <c r="AG53" s="130" t="s">
        <v>60</v>
      </c>
      <c r="AH53" s="129" t="s">
        <v>60</v>
      </c>
      <c r="AI53" s="130" t="s">
        <v>60</v>
      </c>
      <c r="AJ53" s="130" t="s">
        <v>60</v>
      </c>
      <c r="AK53" s="130" t="s">
        <v>60</v>
      </c>
      <c r="AL53" s="130" t="s">
        <v>60</v>
      </c>
      <c r="AM53" s="129" t="s">
        <v>60</v>
      </c>
      <c r="AN53" s="130" t="s">
        <v>60</v>
      </c>
      <c r="AO53" s="130" t="s">
        <v>60</v>
      </c>
      <c r="AP53" s="130" t="s">
        <v>60</v>
      </c>
      <c r="AQ53" s="130" t="s">
        <v>60</v>
      </c>
      <c r="AR53" s="129" t="s">
        <v>60</v>
      </c>
      <c r="AS53" s="130" t="s">
        <v>60</v>
      </c>
      <c r="AT53" s="130" t="s">
        <v>60</v>
      </c>
      <c r="AU53" s="130" t="s">
        <v>60</v>
      </c>
      <c r="AV53" s="133" t="s">
        <v>60</v>
      </c>
      <c r="AW53" s="129" t="s">
        <v>60</v>
      </c>
      <c r="AX53" s="130" t="s">
        <v>60</v>
      </c>
      <c r="AY53" s="135" t="s">
        <v>60</v>
      </c>
      <c r="AZ53" s="135" t="s">
        <v>60</v>
      </c>
      <c r="BA53" s="133" t="s">
        <v>60</v>
      </c>
      <c r="BB53" s="129" t="s">
        <v>60</v>
      </c>
      <c r="BC53" s="130" t="s">
        <v>60</v>
      </c>
      <c r="BD53" s="130" t="s">
        <v>60</v>
      </c>
      <c r="BE53" s="130" t="s">
        <v>60</v>
      </c>
      <c r="BF53" s="133" t="s">
        <v>60</v>
      </c>
      <c r="BG53" s="129" t="s">
        <v>60</v>
      </c>
      <c r="BH53" s="130" t="s">
        <v>60</v>
      </c>
      <c r="BI53" s="130" t="s">
        <v>60</v>
      </c>
      <c r="BJ53" s="130" t="s">
        <v>60</v>
      </c>
      <c r="BK53" s="133" t="s">
        <v>60</v>
      </c>
      <c r="BL53" s="129" t="s">
        <v>60</v>
      </c>
      <c r="BM53" s="130" t="s">
        <v>60</v>
      </c>
      <c r="BN53" s="130" t="s">
        <v>60</v>
      </c>
      <c r="BO53" s="130" t="s">
        <v>60</v>
      </c>
      <c r="BP53" s="133" t="s">
        <v>60</v>
      </c>
      <c r="BQ53" s="129" t="s">
        <v>60</v>
      </c>
      <c r="BR53" s="130" t="s">
        <v>60</v>
      </c>
      <c r="BS53" s="130" t="s">
        <v>60</v>
      </c>
      <c r="BT53" s="130" t="s">
        <v>60</v>
      </c>
      <c r="BU53" s="133" t="s">
        <v>60</v>
      </c>
      <c r="BV53" s="129" t="s">
        <v>60</v>
      </c>
      <c r="BW53" s="130" t="s">
        <v>60</v>
      </c>
      <c r="BX53" s="130" t="s">
        <v>60</v>
      </c>
      <c r="BY53" s="130" t="s">
        <v>60</v>
      </c>
      <c r="BZ53" s="133" t="s">
        <v>60</v>
      </c>
      <c r="CA53" s="129" t="s">
        <v>60</v>
      </c>
      <c r="CB53" s="1910"/>
      <c r="CC53" s="162"/>
      <c r="CD53" s="163"/>
      <c r="CE53" s="130"/>
      <c r="CF53" s="130"/>
      <c r="CG53" s="130"/>
      <c r="CH53" s="130"/>
      <c r="CI53" s="130"/>
      <c r="CJ53" s="130"/>
      <c r="CK53" s="130"/>
      <c r="CL53" s="130"/>
      <c r="CM53" s="130"/>
      <c r="CN53" s="130"/>
      <c r="CO53" s="130"/>
      <c r="CP53" s="130"/>
      <c r="CQ53" s="130"/>
      <c r="CR53" s="130"/>
      <c r="CS53" s="130"/>
      <c r="CT53" s="133"/>
      <c r="CU53" s="1961"/>
      <c r="DB53" s="1961"/>
      <c r="DC53" s="1961"/>
      <c r="DD53" s="1961"/>
      <c r="DE53" s="1961"/>
      <c r="DF53" s="1961"/>
      <c r="DG53" s="1961"/>
      <c r="DH53" s="1961"/>
      <c r="DI53" s="259"/>
    </row>
    <row r="54" spans="1:113" ht="12" customHeight="1" x14ac:dyDescent="0.25">
      <c r="A54" s="136" t="s">
        <v>81</v>
      </c>
      <c r="B54" s="261"/>
      <c r="C54" s="71">
        <f t="shared" ref="C54:AQ54" si="75">C49+C52</f>
        <v>126.94700000000007</v>
      </c>
      <c r="D54" s="71">
        <f t="shared" si="75"/>
        <v>140.78500000000003</v>
      </c>
      <c r="E54" s="70">
        <f t="shared" si="75"/>
        <v>38.871000000000009</v>
      </c>
      <c r="F54" s="70">
        <f t="shared" si="75"/>
        <v>37.334000000000003</v>
      </c>
      <c r="G54" s="70">
        <f t="shared" si="75"/>
        <v>39.174000000000007</v>
      </c>
      <c r="H54" s="70">
        <f t="shared" si="75"/>
        <v>39.584000000000032</v>
      </c>
      <c r="I54" s="111">
        <f t="shared" si="75"/>
        <v>154.96299999999999</v>
      </c>
      <c r="J54" s="70">
        <f t="shared" si="75"/>
        <v>41.025999999999982</v>
      </c>
      <c r="K54" s="70">
        <f t="shared" si="75"/>
        <v>39.92300000000003</v>
      </c>
      <c r="L54" s="70">
        <f t="shared" si="75"/>
        <v>40.839999999999989</v>
      </c>
      <c r="M54" s="70">
        <f t="shared" si="75"/>
        <v>36.438999999999965</v>
      </c>
      <c r="N54" s="111">
        <f t="shared" si="75"/>
        <v>158.22799999999995</v>
      </c>
      <c r="O54" s="112">
        <f t="shared" si="75"/>
        <v>44.915000000000028</v>
      </c>
      <c r="P54" s="70">
        <f t="shared" si="75"/>
        <v>45.939</v>
      </c>
      <c r="Q54" s="70">
        <f t="shared" si="75"/>
        <v>42.205000000000041</v>
      </c>
      <c r="R54" s="70">
        <f t="shared" si="75"/>
        <v>-6.4450000000000287</v>
      </c>
      <c r="S54" s="222">
        <f t="shared" si="75"/>
        <v>126.61400000000012</v>
      </c>
      <c r="T54" s="112">
        <f t="shared" si="75"/>
        <v>55.374999999999986</v>
      </c>
      <c r="U54" s="70">
        <f t="shared" si="75"/>
        <v>58.404000000000003</v>
      </c>
      <c r="V54" s="70">
        <f t="shared" si="75"/>
        <v>62.880000000000052</v>
      </c>
      <c r="W54" s="70">
        <f t="shared" si="75"/>
        <v>65.893000000000001</v>
      </c>
      <c r="X54" s="222">
        <f t="shared" si="75"/>
        <v>242.55200000000013</v>
      </c>
      <c r="Y54" s="70">
        <f t="shared" si="75"/>
        <v>65.876000000000033</v>
      </c>
      <c r="Z54" s="70">
        <f t="shared" si="75"/>
        <v>62.213000000000029</v>
      </c>
      <c r="AA54" s="70">
        <f t="shared" si="75"/>
        <v>70.987000000000009</v>
      </c>
      <c r="AB54" s="70">
        <f t="shared" si="75"/>
        <v>80.317999999999941</v>
      </c>
      <c r="AC54" s="111">
        <f t="shared" si="75"/>
        <v>279.39130390016976</v>
      </c>
      <c r="AD54" s="70">
        <f t="shared" si="75"/>
        <v>74.600999999999999</v>
      </c>
      <c r="AE54" s="70">
        <f t="shared" si="75"/>
        <v>73.330999999999989</v>
      </c>
      <c r="AF54" s="70">
        <f t="shared" si="75"/>
        <v>82.910999999999987</v>
      </c>
      <c r="AG54" s="70">
        <f t="shared" si="75"/>
        <v>98.299000000000007</v>
      </c>
      <c r="AH54" s="111">
        <f t="shared" si="75"/>
        <v>329.36782108911575</v>
      </c>
      <c r="AI54" s="70">
        <f t="shared" si="75"/>
        <v>79.444999999999993</v>
      </c>
      <c r="AJ54" s="70">
        <f t="shared" si="75"/>
        <v>81.617999999999967</v>
      </c>
      <c r="AK54" s="70">
        <f t="shared" si="75"/>
        <v>94.893999999999977</v>
      </c>
      <c r="AL54" s="70">
        <f t="shared" si="75"/>
        <v>86.375</v>
      </c>
      <c r="AM54" s="111">
        <f t="shared" si="75"/>
        <v>342.33200000000005</v>
      </c>
      <c r="AN54" s="75">
        <f t="shared" si="75"/>
        <v>84.440999999999974</v>
      </c>
      <c r="AO54" s="75">
        <f t="shared" si="75"/>
        <v>88.09899999999999</v>
      </c>
      <c r="AP54" s="75">
        <f t="shared" si="75"/>
        <v>99.015000000000043</v>
      </c>
      <c r="AQ54" s="75">
        <f t="shared" si="75"/>
        <v>99.31</v>
      </c>
      <c r="AR54" s="111">
        <f>SUM(AN54:AQ54)</f>
        <v>370.86500000000001</v>
      </c>
      <c r="AS54" s="75">
        <f>AS49+AS52</f>
        <v>98.685999999999993</v>
      </c>
      <c r="AT54" s="75">
        <f>AT49+AT52</f>
        <v>163.31999999999988</v>
      </c>
      <c r="AU54" s="75">
        <f>AU49+AU52</f>
        <v>131.81400000000002</v>
      </c>
      <c r="AV54" s="76">
        <f>AV49+AV52</f>
        <v>113.5070000000001</v>
      </c>
      <c r="AW54" s="111">
        <f>SUM(AS54:AV54)</f>
        <v>507.327</v>
      </c>
      <c r="AX54" s="75">
        <f>AX49+AX52</f>
        <v>109.73000000000002</v>
      </c>
      <c r="AY54" s="74">
        <f>AY49+AY52</f>
        <v>106.7359999999999</v>
      </c>
      <c r="AZ54" s="74">
        <f>AZ49+AZ52</f>
        <v>127.57699999999998</v>
      </c>
      <c r="BA54" s="76">
        <f>BA49+BA52</f>
        <v>107.50000000000001</v>
      </c>
      <c r="BB54" s="262">
        <f>SUM(AX54:BA54)</f>
        <v>451.54299999999989</v>
      </c>
      <c r="BC54" s="75">
        <f>BC49+BC52</f>
        <v>108.79999999999995</v>
      </c>
      <c r="BD54" s="75">
        <f>BD49+BD52</f>
        <v>121.00000000000006</v>
      </c>
      <c r="BE54" s="75">
        <f>BE49+BE52</f>
        <v>120.6999999999999</v>
      </c>
      <c r="BF54" s="76">
        <f>BF49+BF52</f>
        <v>204.6</v>
      </c>
      <c r="BG54" s="262">
        <f>SUM(BC54:BF54)</f>
        <v>555.09999999999991</v>
      </c>
      <c r="BH54" s="75">
        <f>BH49+BH52</f>
        <v>129.422445242256</v>
      </c>
      <c r="BI54" s="75">
        <f>BI49+BI52</f>
        <v>136.54658191269124</v>
      </c>
      <c r="BJ54" s="75">
        <f>BJ49+BJ52</f>
        <v>149.98522797225655</v>
      </c>
      <c r="BK54" s="76">
        <f>BK49+BK52</f>
        <v>149.70702155333231</v>
      </c>
      <c r="BL54" s="262">
        <f>SUM(BH54:BK54)</f>
        <v>565.66127668053605</v>
      </c>
      <c r="BM54" s="75">
        <f>BM49+BM52</f>
        <v>143.66925925723274</v>
      </c>
      <c r="BN54" s="75">
        <f>BN49+BN52</f>
        <v>151.20247705620508</v>
      </c>
      <c r="BO54" s="75">
        <f>BO49+BO52</f>
        <v>165.35485963154932</v>
      </c>
      <c r="BP54" s="76">
        <f>BP49+BP52</f>
        <v>165.09898582774341</v>
      </c>
      <c r="BQ54" s="262">
        <f>SUM(BM54:BP54)</f>
        <v>625.32558177273052</v>
      </c>
      <c r="BR54" s="75">
        <f>BR49+BR52</f>
        <v>158.16895291366643</v>
      </c>
      <c r="BS54" s="75">
        <f>BS49+BS52</f>
        <v>166.11321853571971</v>
      </c>
      <c r="BT54" s="75">
        <f>BT49+BT52</f>
        <v>181.11816472527417</v>
      </c>
      <c r="BU54" s="76">
        <f>BU49+BU52</f>
        <v>180.8381768431548</v>
      </c>
      <c r="BV54" s="262">
        <f>SUM(BR54:BU54)</f>
        <v>686.23851301781508</v>
      </c>
      <c r="BW54" s="75">
        <f>BW49+BW52</f>
        <v>174.53957653527317</v>
      </c>
      <c r="BX54" s="75">
        <f>BX49+BX52</f>
        <v>183.08119352863335</v>
      </c>
      <c r="BY54" s="75">
        <f>BY49+BY52</f>
        <v>199.15738800451581</v>
      </c>
      <c r="BZ54" s="76">
        <f>BZ49+BZ52</f>
        <v>199.01619951072146</v>
      </c>
      <c r="CA54" s="262">
        <f>SUM(BW54:BZ54)</f>
        <v>755.79435757914382</v>
      </c>
      <c r="CB54" s="1910"/>
      <c r="CC54" s="29"/>
      <c r="CD54" s="140" t="str">
        <f>A54</f>
        <v>Net Income from Continuing Operations</v>
      </c>
      <c r="CE54" s="70">
        <f>D54</f>
        <v>140.78500000000003</v>
      </c>
      <c r="CF54" s="70">
        <f>I54</f>
        <v>154.96299999999999</v>
      </c>
      <c r="CG54" s="70">
        <f>N54</f>
        <v>158.22799999999995</v>
      </c>
      <c r="CH54" s="70">
        <f>S54</f>
        <v>126.61400000000012</v>
      </c>
      <c r="CI54" s="70">
        <f>X54</f>
        <v>242.55200000000013</v>
      </c>
      <c r="CJ54" s="70">
        <f>AC54</f>
        <v>279.39130390016976</v>
      </c>
      <c r="CK54" s="70">
        <f>AH54</f>
        <v>329.36782108911575</v>
      </c>
      <c r="CL54" s="70">
        <f>AM54</f>
        <v>342.33200000000005</v>
      </c>
      <c r="CM54" s="70">
        <f>AR54</f>
        <v>370.86500000000001</v>
      </c>
      <c r="CN54" s="70">
        <f>AW54</f>
        <v>507.327</v>
      </c>
      <c r="CO54" s="70">
        <f>BB54</f>
        <v>451.54299999999989</v>
      </c>
      <c r="CP54" s="70">
        <f>BG54</f>
        <v>555.09999999999991</v>
      </c>
      <c r="CQ54" s="70">
        <f>BL54</f>
        <v>565.66127668053605</v>
      </c>
      <c r="CR54" s="70">
        <f>BQ54</f>
        <v>625.32558177273052</v>
      </c>
      <c r="CS54" s="70">
        <f>BV54</f>
        <v>686.23851301781508</v>
      </c>
      <c r="CT54" s="80">
        <f>CA54</f>
        <v>755.79435757914382</v>
      </c>
      <c r="CU54" s="1961"/>
      <c r="DB54" s="1961"/>
      <c r="DC54" s="1961"/>
      <c r="DD54" s="1961"/>
      <c r="DE54" s="1961"/>
      <c r="DF54" s="1961"/>
      <c r="DG54" s="1961"/>
      <c r="DH54" s="1961"/>
      <c r="DI54" s="74"/>
    </row>
    <row r="55" spans="1:113" ht="12" customHeight="1" x14ac:dyDescent="0.25">
      <c r="A55" s="136" t="s">
        <v>82</v>
      </c>
      <c r="B55" s="264"/>
      <c r="C55" s="265">
        <v>-2.5739999999999998</v>
      </c>
      <c r="D55" s="265">
        <v>-1.8049999999999999</v>
      </c>
      <c r="E55" s="266">
        <v>-0.61</v>
      </c>
      <c r="F55" s="266">
        <f>-1.302-E55</f>
        <v>-0.69200000000000006</v>
      </c>
      <c r="G55" s="266">
        <f>-3.322-SUM(E55:F55)</f>
        <v>-2.02</v>
      </c>
      <c r="H55" s="266">
        <f>-4.589-SUM(E55:G55)</f>
        <v>-1.2670000000000003</v>
      </c>
      <c r="I55" s="116">
        <f>SUM(E55:H55)</f>
        <v>-4.5890000000000004</v>
      </c>
      <c r="J55" s="266">
        <v>0</v>
      </c>
      <c r="K55" s="266">
        <v>0</v>
      </c>
      <c r="L55" s="266">
        <v>0</v>
      </c>
      <c r="M55" s="266">
        <v>0</v>
      </c>
      <c r="N55" s="116">
        <f>SUM(J55:M55)</f>
        <v>0</v>
      </c>
      <c r="O55" s="267">
        <v>0</v>
      </c>
      <c r="P55" s="266">
        <v>0</v>
      </c>
      <c r="Q55" s="266">
        <v>0</v>
      </c>
      <c r="R55" s="266">
        <v>0</v>
      </c>
      <c r="S55" s="118">
        <f>SUM(O55:R55)</f>
        <v>0</v>
      </c>
      <c r="T55" s="267">
        <v>0</v>
      </c>
      <c r="U55" s="266">
        <v>0</v>
      </c>
      <c r="V55" s="233">
        <v>0</v>
      </c>
      <c r="W55" s="233">
        <v>0</v>
      </c>
      <c r="X55" s="118">
        <f>SUM(T55:W55)</f>
        <v>0</v>
      </c>
      <c r="Y55" s="233">
        <v>0</v>
      </c>
      <c r="Z55" s="233">
        <v>0</v>
      </c>
      <c r="AA55" s="233">
        <v>0</v>
      </c>
      <c r="AB55" s="233">
        <v>0</v>
      </c>
      <c r="AC55" s="116">
        <f>SUM(Y55:AB55)</f>
        <v>0</v>
      </c>
      <c r="AD55" s="279">
        <v>0</v>
      </c>
      <c r="AE55" s="233">
        <v>0</v>
      </c>
      <c r="AF55" s="233">
        <v>0</v>
      </c>
      <c r="AG55" s="233">
        <v>0</v>
      </c>
      <c r="AH55" s="116">
        <f>SUM(AD55:AG55)</f>
        <v>0</v>
      </c>
      <c r="AI55" s="233">
        <v>1.0660000000000001</v>
      </c>
      <c r="AJ55" s="233">
        <v>2.605</v>
      </c>
      <c r="AK55" s="233">
        <v>1.5469999999999999</v>
      </c>
      <c r="AL55" s="290">
        <v>0.84799999999999998</v>
      </c>
      <c r="AM55" s="116">
        <f>SUM(AI55:AL55)</f>
        <v>6.0659999999999998</v>
      </c>
      <c r="AN55" s="252">
        <v>31.117000000000001</v>
      </c>
      <c r="AO55" s="233">
        <v>0</v>
      </c>
      <c r="AP55" s="233">
        <v>0</v>
      </c>
      <c r="AQ55" s="233">
        <v>-1.94</v>
      </c>
      <c r="AR55" s="116">
        <f>SUM(AN55:AQ55)</f>
        <v>29.177</v>
      </c>
      <c r="AS55" s="233">
        <v>0</v>
      </c>
      <c r="AT55" s="250">
        <v>0</v>
      </c>
      <c r="AU55" s="250">
        <v>0</v>
      </c>
      <c r="AV55" s="251">
        <v>0</v>
      </c>
      <c r="AW55" s="116">
        <f>SUM(AS55:AV55)</f>
        <v>0</v>
      </c>
      <c r="AX55" s="250">
        <f>-18.871+1.78</f>
        <v>-17.090999999999998</v>
      </c>
      <c r="AY55" s="232">
        <v>155</v>
      </c>
      <c r="AZ55" s="232">
        <v>0</v>
      </c>
      <c r="BA55" s="251">
        <v>1.8</v>
      </c>
      <c r="BB55" s="238">
        <f>SUM(AX55:BA55)</f>
        <v>139.709</v>
      </c>
      <c r="BC55" s="1885">
        <v>0</v>
      </c>
      <c r="BD55" s="1885">
        <v>0</v>
      </c>
      <c r="BE55" s="1941">
        <v>0</v>
      </c>
      <c r="BF55" s="1941">
        <v>0</v>
      </c>
      <c r="BG55" s="238">
        <f>SUM(BC55:BF55)</f>
        <v>0</v>
      </c>
      <c r="BH55" s="252">
        <v>0</v>
      </c>
      <c r="BI55" s="252">
        <v>0</v>
      </c>
      <c r="BJ55" s="252">
        <v>0</v>
      </c>
      <c r="BK55" s="253">
        <v>0</v>
      </c>
      <c r="BL55" s="238">
        <f>SUM(BH55:BK55)</f>
        <v>0</v>
      </c>
      <c r="BM55" s="252">
        <v>0</v>
      </c>
      <c r="BN55" s="252">
        <v>0</v>
      </c>
      <c r="BO55" s="252">
        <v>0</v>
      </c>
      <c r="BP55" s="253">
        <v>0</v>
      </c>
      <c r="BQ55" s="238">
        <f>SUM(BM55:BP55)</f>
        <v>0</v>
      </c>
      <c r="BR55" s="252">
        <v>0</v>
      </c>
      <c r="BS55" s="252">
        <v>0</v>
      </c>
      <c r="BT55" s="252">
        <v>0</v>
      </c>
      <c r="BU55" s="253">
        <v>0</v>
      </c>
      <c r="BV55" s="238">
        <f>SUM(BR55:BU55)</f>
        <v>0</v>
      </c>
      <c r="BW55" s="252">
        <v>0</v>
      </c>
      <c r="BX55" s="252">
        <v>0</v>
      </c>
      <c r="BY55" s="252">
        <v>0</v>
      </c>
      <c r="BZ55" s="253">
        <v>0</v>
      </c>
      <c r="CA55" s="238">
        <f>SUM(BW55:BZ55)</f>
        <v>0</v>
      </c>
      <c r="CB55" s="1910"/>
      <c r="CC55" s="93"/>
      <c r="CD55" s="140" t="str">
        <f>A55</f>
        <v>Income (loss) from Discontinued operations, net</v>
      </c>
      <c r="CE55" s="273">
        <f>D55</f>
        <v>-1.8049999999999999</v>
      </c>
      <c r="CF55" s="273">
        <f>I55</f>
        <v>-4.5890000000000004</v>
      </c>
      <c r="CG55" s="273">
        <f>N55</f>
        <v>0</v>
      </c>
      <c r="CH55" s="273">
        <f>S55</f>
        <v>0</v>
      </c>
      <c r="CI55" s="273">
        <f>X55</f>
        <v>0</v>
      </c>
      <c r="CJ55" s="273">
        <f>AC55</f>
        <v>0</v>
      </c>
      <c r="CK55" s="273">
        <f>AH55</f>
        <v>0</v>
      </c>
      <c r="CL55" s="273">
        <f>AM55</f>
        <v>6.0659999999999998</v>
      </c>
      <c r="CM55" s="273">
        <f>AR55</f>
        <v>29.177</v>
      </c>
      <c r="CN55" s="273">
        <f>AW55</f>
        <v>0</v>
      </c>
      <c r="CO55" s="273">
        <f>BB55</f>
        <v>139.709</v>
      </c>
      <c r="CP55" s="273">
        <f>BG55</f>
        <v>0</v>
      </c>
      <c r="CQ55" s="273">
        <f>BL55</f>
        <v>0</v>
      </c>
      <c r="CR55" s="273">
        <f>BQ55</f>
        <v>0</v>
      </c>
      <c r="CS55" s="273">
        <f>BV55</f>
        <v>0</v>
      </c>
      <c r="CT55" s="274">
        <f>CA55</f>
        <v>0</v>
      </c>
      <c r="CU55" s="1961"/>
      <c r="DB55" s="1961"/>
      <c r="DC55" s="1961"/>
      <c r="DD55" s="1961"/>
      <c r="DE55" s="1961"/>
      <c r="DF55" s="1961"/>
      <c r="DG55" s="1961"/>
      <c r="DH55" s="1961"/>
      <c r="DI55" s="256"/>
    </row>
    <row r="56" spans="1:113" ht="12" customHeight="1" x14ac:dyDescent="0.25">
      <c r="A56" s="291" t="s">
        <v>83</v>
      </c>
      <c r="B56" s="264"/>
      <c r="C56" s="265">
        <v>0</v>
      </c>
      <c r="D56" s="265">
        <v>0</v>
      </c>
      <c r="E56" s="266">
        <v>0</v>
      </c>
      <c r="F56" s="266">
        <f>0-E56</f>
        <v>0</v>
      </c>
      <c r="G56" s="266">
        <v>0</v>
      </c>
      <c r="H56" s="269">
        <v>0</v>
      </c>
      <c r="I56" s="116">
        <f>SUM(E56:H56)</f>
        <v>0</v>
      </c>
      <c r="J56" s="266">
        <v>0</v>
      </c>
      <c r="K56" s="266">
        <v>0</v>
      </c>
      <c r="L56" s="266">
        <v>0</v>
      </c>
      <c r="M56" s="266">
        <v>0</v>
      </c>
      <c r="N56" s="116">
        <f>SUM(J56:M56)</f>
        <v>0</v>
      </c>
      <c r="O56" s="267">
        <v>0</v>
      </c>
      <c r="P56" s="279">
        <v>0</v>
      </c>
      <c r="Q56" s="279">
        <v>0</v>
      </c>
      <c r="R56" s="279">
        <v>0</v>
      </c>
      <c r="S56" s="118">
        <f>SUM(O56:R56)</f>
        <v>0</v>
      </c>
      <c r="T56" s="267">
        <v>0</v>
      </c>
      <c r="U56" s="279">
        <v>0</v>
      </c>
      <c r="V56" s="233">
        <v>0</v>
      </c>
      <c r="W56" s="233">
        <v>0</v>
      </c>
      <c r="X56" s="118">
        <f>SUM(T56:W56)</f>
        <v>0</v>
      </c>
      <c r="Y56" s="233">
        <v>0</v>
      </c>
      <c r="Z56" s="233">
        <f>Z24</f>
        <v>3.3639999999999999</v>
      </c>
      <c r="AA56" s="233">
        <v>0</v>
      </c>
      <c r="AB56" s="233">
        <v>0</v>
      </c>
      <c r="AC56" s="116">
        <f>SUM(Y56:AB56)</f>
        <v>3.3639999999999999</v>
      </c>
      <c r="AD56" s="233">
        <v>0</v>
      </c>
      <c r="AE56" s="233">
        <v>0</v>
      </c>
      <c r="AF56" s="233">
        <v>0</v>
      </c>
      <c r="AG56" s="233">
        <v>0</v>
      </c>
      <c r="AH56" s="116">
        <f>SUM(AD56:AG56)</f>
        <v>0</v>
      </c>
      <c r="AI56" s="233">
        <v>0</v>
      </c>
      <c r="AJ56" s="233">
        <v>0</v>
      </c>
      <c r="AK56" s="233">
        <v>0</v>
      </c>
      <c r="AL56" s="290">
        <v>0</v>
      </c>
      <c r="AM56" s="116">
        <f>SUM(AI56:AL56)</f>
        <v>0</v>
      </c>
      <c r="AN56" s="252">
        <v>0</v>
      </c>
      <c r="AO56" s="233">
        <v>0</v>
      </c>
      <c r="AP56" s="233">
        <v>0</v>
      </c>
      <c r="AQ56" s="233">
        <v>0</v>
      </c>
      <c r="AR56" s="116">
        <f>SUM(AN56:AQ56)</f>
        <v>0</v>
      </c>
      <c r="AS56" s="233">
        <v>0</v>
      </c>
      <c r="AT56" s="250">
        <f>-45.2-10.7</f>
        <v>-55.900000000000006</v>
      </c>
      <c r="AU56" s="250">
        <v>0</v>
      </c>
      <c r="AV56" s="251">
        <v>0</v>
      </c>
      <c r="AW56" s="116">
        <f>SUM(AS56:AV56)</f>
        <v>-55.900000000000006</v>
      </c>
      <c r="AX56" s="232">
        <v>0</v>
      </c>
      <c r="AY56" s="232">
        <v>0</v>
      </c>
      <c r="AZ56" s="232">
        <v>0</v>
      </c>
      <c r="BA56" s="251">
        <v>0</v>
      </c>
      <c r="BB56" s="238">
        <f>SUM(AX56:BA56)</f>
        <v>0</v>
      </c>
      <c r="BC56" s="1885">
        <v>0</v>
      </c>
      <c r="BD56" s="1885">
        <v>0</v>
      </c>
      <c r="BE56" s="1941">
        <v>0</v>
      </c>
      <c r="BF56" s="1941">
        <v>0</v>
      </c>
      <c r="BG56" s="238">
        <f>SUM(BC56:BF56)</f>
        <v>0</v>
      </c>
      <c r="BH56" s="252">
        <v>0</v>
      </c>
      <c r="BI56" s="252">
        <v>0</v>
      </c>
      <c r="BJ56" s="252">
        <v>0</v>
      </c>
      <c r="BK56" s="253">
        <v>0</v>
      </c>
      <c r="BL56" s="238">
        <f>SUM(BH56:BK56)</f>
        <v>0</v>
      </c>
      <c r="BM56" s="252">
        <v>0</v>
      </c>
      <c r="BN56" s="252">
        <v>0</v>
      </c>
      <c r="BO56" s="252">
        <v>0</v>
      </c>
      <c r="BP56" s="253">
        <v>0</v>
      </c>
      <c r="BQ56" s="238">
        <f>SUM(BM56:BP56)</f>
        <v>0</v>
      </c>
      <c r="BR56" s="252">
        <v>0</v>
      </c>
      <c r="BS56" s="252">
        <v>0</v>
      </c>
      <c r="BT56" s="252">
        <v>0</v>
      </c>
      <c r="BU56" s="253">
        <v>0</v>
      </c>
      <c r="BV56" s="238">
        <f>SUM(BR56:BU56)</f>
        <v>0</v>
      </c>
      <c r="BW56" s="252">
        <v>0</v>
      </c>
      <c r="BX56" s="252">
        <v>0</v>
      </c>
      <c r="BY56" s="252">
        <v>0</v>
      </c>
      <c r="BZ56" s="253">
        <v>0</v>
      </c>
      <c r="CA56" s="238">
        <f>SUM(BW56:BZ56)</f>
        <v>0</v>
      </c>
      <c r="CB56" s="1910"/>
      <c r="CC56" s="93"/>
      <c r="CD56" s="292" t="str">
        <f>A56</f>
        <v>Extraordinary (charges) / gains</v>
      </c>
      <c r="CE56" s="115">
        <f>D56</f>
        <v>0</v>
      </c>
      <c r="CF56" s="115">
        <f>I56</f>
        <v>0</v>
      </c>
      <c r="CG56" s="115">
        <f>N56</f>
        <v>0</v>
      </c>
      <c r="CH56" s="115">
        <f>S56</f>
        <v>0</v>
      </c>
      <c r="CI56" s="115">
        <f>X56</f>
        <v>0</v>
      </c>
      <c r="CJ56" s="115">
        <f>AC56</f>
        <v>3.3639999999999999</v>
      </c>
      <c r="CK56" s="115">
        <f>AH56</f>
        <v>0</v>
      </c>
      <c r="CL56" s="115">
        <f>AM56</f>
        <v>0</v>
      </c>
      <c r="CM56" s="115">
        <f>AR56</f>
        <v>0</v>
      </c>
      <c r="CN56" s="115">
        <f>AW56</f>
        <v>-55.900000000000006</v>
      </c>
      <c r="CO56" s="115">
        <f>BB56</f>
        <v>0</v>
      </c>
      <c r="CP56" s="115">
        <f>BG56</f>
        <v>0</v>
      </c>
      <c r="CQ56" s="115">
        <f>BL56</f>
        <v>0</v>
      </c>
      <c r="CR56" s="115">
        <f>BQ56</f>
        <v>0</v>
      </c>
      <c r="CS56" s="115">
        <f>BV56</f>
        <v>0</v>
      </c>
      <c r="CT56" s="125">
        <f>CA56</f>
        <v>0</v>
      </c>
      <c r="CU56" s="1961"/>
      <c r="DB56" s="1961"/>
      <c r="DC56" s="1961"/>
      <c r="DD56" s="1961"/>
      <c r="DE56" s="1961"/>
      <c r="DF56" s="1961"/>
      <c r="DG56" s="1961"/>
      <c r="DH56" s="1961"/>
      <c r="DI56" s="256"/>
    </row>
    <row r="57" spans="1:113" ht="5.25" customHeight="1" x14ac:dyDescent="0.25">
      <c r="A57" s="204"/>
      <c r="B57" s="257"/>
      <c r="C57" s="134" t="s">
        <v>60</v>
      </c>
      <c r="D57" s="134" t="s">
        <v>60</v>
      </c>
      <c r="E57" s="130" t="s">
        <v>60</v>
      </c>
      <c r="F57" s="130" t="s">
        <v>60</v>
      </c>
      <c r="G57" s="130" t="s">
        <v>60</v>
      </c>
      <c r="H57" s="130" t="s">
        <v>60</v>
      </c>
      <c r="I57" s="129" t="s">
        <v>60</v>
      </c>
      <c r="J57" s="130" t="s">
        <v>60</v>
      </c>
      <c r="K57" s="130" t="s">
        <v>60</v>
      </c>
      <c r="L57" s="130" t="s">
        <v>60</v>
      </c>
      <c r="M57" s="130" t="s">
        <v>60</v>
      </c>
      <c r="N57" s="129" t="s">
        <v>60</v>
      </c>
      <c r="O57" s="131" t="s">
        <v>60</v>
      </c>
      <c r="P57" s="130" t="s">
        <v>60</v>
      </c>
      <c r="Q57" s="130" t="s">
        <v>60</v>
      </c>
      <c r="R57" s="130" t="s">
        <v>60</v>
      </c>
      <c r="S57" s="132" t="s">
        <v>60</v>
      </c>
      <c r="T57" s="130" t="s">
        <v>60</v>
      </c>
      <c r="U57" s="130" t="s">
        <v>60</v>
      </c>
      <c r="V57" s="130" t="s">
        <v>60</v>
      </c>
      <c r="W57" s="130" t="s">
        <v>60</v>
      </c>
      <c r="X57" s="132" t="s">
        <v>60</v>
      </c>
      <c r="Y57" s="130" t="s">
        <v>60</v>
      </c>
      <c r="Z57" s="130" t="s">
        <v>60</v>
      </c>
      <c r="AA57" s="130" t="s">
        <v>60</v>
      </c>
      <c r="AB57" s="130" t="s">
        <v>60</v>
      </c>
      <c r="AC57" s="129" t="s">
        <v>60</v>
      </c>
      <c r="AD57" s="130" t="s">
        <v>60</v>
      </c>
      <c r="AE57" s="130" t="s">
        <v>60</v>
      </c>
      <c r="AF57" s="130" t="s">
        <v>60</v>
      </c>
      <c r="AG57" s="130" t="s">
        <v>60</v>
      </c>
      <c r="AH57" s="129" t="s">
        <v>60</v>
      </c>
      <c r="AI57" s="130" t="s">
        <v>60</v>
      </c>
      <c r="AJ57" s="130" t="s">
        <v>60</v>
      </c>
      <c r="AK57" s="130" t="s">
        <v>60</v>
      </c>
      <c r="AL57" s="130" t="s">
        <v>60</v>
      </c>
      <c r="AM57" s="129" t="s">
        <v>60</v>
      </c>
      <c r="AN57" s="130" t="s">
        <v>60</v>
      </c>
      <c r="AO57" s="130" t="s">
        <v>60</v>
      </c>
      <c r="AP57" s="130" t="s">
        <v>60</v>
      </c>
      <c r="AQ57" s="133" t="s">
        <v>60</v>
      </c>
      <c r="AR57" s="129" t="s">
        <v>60</v>
      </c>
      <c r="AS57" s="130" t="s">
        <v>60</v>
      </c>
      <c r="AT57" s="130" t="s">
        <v>60</v>
      </c>
      <c r="AU57" s="130" t="s">
        <v>60</v>
      </c>
      <c r="AV57" s="133" t="s">
        <v>60</v>
      </c>
      <c r="AW57" s="258" t="s">
        <v>60</v>
      </c>
      <c r="AX57" s="130" t="s">
        <v>60</v>
      </c>
      <c r="AY57" s="135" t="s">
        <v>60</v>
      </c>
      <c r="AZ57" s="135" t="s">
        <v>60</v>
      </c>
      <c r="BA57" s="133" t="s">
        <v>60</v>
      </c>
      <c r="BB57" s="258" t="s">
        <v>60</v>
      </c>
      <c r="BC57" s="130" t="s">
        <v>60</v>
      </c>
      <c r="BD57" s="130" t="s">
        <v>60</v>
      </c>
      <c r="BE57" s="130" t="s">
        <v>60</v>
      </c>
      <c r="BF57" s="133" t="s">
        <v>60</v>
      </c>
      <c r="BG57" s="258" t="s">
        <v>60</v>
      </c>
      <c r="BH57" s="130" t="s">
        <v>60</v>
      </c>
      <c r="BI57" s="130" t="s">
        <v>60</v>
      </c>
      <c r="BJ57" s="130" t="s">
        <v>60</v>
      </c>
      <c r="BK57" s="133" t="s">
        <v>60</v>
      </c>
      <c r="BL57" s="258" t="s">
        <v>60</v>
      </c>
      <c r="BM57" s="130" t="s">
        <v>60</v>
      </c>
      <c r="BN57" s="130" t="s">
        <v>60</v>
      </c>
      <c r="BO57" s="130" t="s">
        <v>60</v>
      </c>
      <c r="BP57" s="133" t="s">
        <v>60</v>
      </c>
      <c r="BQ57" s="258" t="s">
        <v>60</v>
      </c>
      <c r="BR57" s="130" t="s">
        <v>60</v>
      </c>
      <c r="BS57" s="130" t="s">
        <v>60</v>
      </c>
      <c r="BT57" s="130" t="s">
        <v>60</v>
      </c>
      <c r="BU57" s="133" t="s">
        <v>60</v>
      </c>
      <c r="BV57" s="258" t="s">
        <v>60</v>
      </c>
      <c r="BW57" s="130" t="s">
        <v>60</v>
      </c>
      <c r="BX57" s="130" t="s">
        <v>60</v>
      </c>
      <c r="BY57" s="130" t="s">
        <v>60</v>
      </c>
      <c r="BZ57" s="133" t="s">
        <v>60</v>
      </c>
      <c r="CA57" s="258" t="s">
        <v>60</v>
      </c>
      <c r="CB57" s="1910"/>
      <c r="CC57" s="162"/>
      <c r="CD57" s="163"/>
      <c r="CE57" s="130"/>
      <c r="CF57" s="130"/>
      <c r="CG57" s="130"/>
      <c r="CH57" s="130"/>
      <c r="CI57" s="130"/>
      <c r="CJ57" s="130"/>
      <c r="CK57" s="130"/>
      <c r="CL57" s="130"/>
      <c r="CM57" s="130"/>
      <c r="CN57" s="130"/>
      <c r="CO57" s="130"/>
      <c r="CP57" s="130"/>
      <c r="CQ57" s="130"/>
      <c r="CR57" s="130"/>
      <c r="CS57" s="130"/>
      <c r="CT57" s="133"/>
      <c r="CU57" s="1961"/>
      <c r="DB57" s="1961"/>
      <c r="DC57" s="1961"/>
      <c r="DD57" s="1961"/>
      <c r="DE57" s="1961"/>
      <c r="DF57" s="1961"/>
      <c r="DG57" s="1961"/>
      <c r="DH57" s="1961"/>
      <c r="DI57" s="259"/>
    </row>
    <row r="58" spans="1:113" ht="12" customHeight="1" x14ac:dyDescent="0.25">
      <c r="A58" s="293" t="s">
        <v>84</v>
      </c>
      <c r="B58" s="261"/>
      <c r="C58" s="71">
        <f>SUM(C54:C56)</f>
        <v>124.37300000000008</v>
      </c>
      <c r="D58" s="71">
        <f t="shared" ref="D58:Q58" si="76">SUM(D54:D56)</f>
        <v>138.98000000000002</v>
      </c>
      <c r="E58" s="70">
        <f t="shared" si="76"/>
        <v>38.26100000000001</v>
      </c>
      <c r="F58" s="70">
        <f t="shared" si="76"/>
        <v>36.642000000000003</v>
      </c>
      <c r="G58" s="70">
        <f t="shared" si="76"/>
        <v>37.154000000000003</v>
      </c>
      <c r="H58" s="70">
        <f t="shared" si="76"/>
        <v>38.317000000000029</v>
      </c>
      <c r="I58" s="111">
        <f t="shared" si="76"/>
        <v>150.374</v>
      </c>
      <c r="J58" s="70">
        <f t="shared" si="76"/>
        <v>41.025999999999982</v>
      </c>
      <c r="K58" s="70">
        <f t="shared" si="76"/>
        <v>39.92300000000003</v>
      </c>
      <c r="L58" s="70">
        <f t="shared" si="76"/>
        <v>40.839999999999989</v>
      </c>
      <c r="M58" s="70">
        <f t="shared" si="76"/>
        <v>36.438999999999965</v>
      </c>
      <c r="N58" s="111">
        <f t="shared" si="76"/>
        <v>158.22799999999995</v>
      </c>
      <c r="O58" s="112">
        <f t="shared" si="76"/>
        <v>44.915000000000028</v>
      </c>
      <c r="P58" s="70">
        <f t="shared" si="76"/>
        <v>45.939</v>
      </c>
      <c r="Q58" s="70">
        <f t="shared" si="76"/>
        <v>42.205000000000041</v>
      </c>
      <c r="R58" s="70">
        <f t="shared" ref="R58:AQ58" si="77">SUM(R54:R56)</f>
        <v>-6.4450000000000287</v>
      </c>
      <c r="S58" s="222">
        <f t="shared" si="77"/>
        <v>126.61400000000012</v>
      </c>
      <c r="T58" s="70">
        <f t="shared" si="77"/>
        <v>55.374999999999986</v>
      </c>
      <c r="U58" s="70">
        <f t="shared" si="77"/>
        <v>58.404000000000003</v>
      </c>
      <c r="V58" s="70">
        <f t="shared" si="77"/>
        <v>62.880000000000052</v>
      </c>
      <c r="W58" s="70">
        <f t="shared" si="77"/>
        <v>65.893000000000001</v>
      </c>
      <c r="X58" s="222">
        <f t="shared" si="77"/>
        <v>242.55200000000013</v>
      </c>
      <c r="Y58" s="70">
        <f t="shared" si="77"/>
        <v>65.876000000000033</v>
      </c>
      <c r="Z58" s="70">
        <f t="shared" si="77"/>
        <v>65.577000000000027</v>
      </c>
      <c r="AA58" s="70">
        <f t="shared" si="77"/>
        <v>70.987000000000009</v>
      </c>
      <c r="AB58" s="70">
        <f t="shared" si="77"/>
        <v>80.317999999999941</v>
      </c>
      <c r="AC58" s="111">
        <f t="shared" si="77"/>
        <v>282.75530390016974</v>
      </c>
      <c r="AD58" s="70">
        <f t="shared" si="77"/>
        <v>74.600999999999999</v>
      </c>
      <c r="AE58" s="70">
        <f t="shared" si="77"/>
        <v>73.330999999999989</v>
      </c>
      <c r="AF58" s="70">
        <f t="shared" si="77"/>
        <v>82.910999999999987</v>
      </c>
      <c r="AG58" s="70">
        <f t="shared" si="77"/>
        <v>98.299000000000007</v>
      </c>
      <c r="AH58" s="111">
        <f t="shared" si="77"/>
        <v>329.36782108911575</v>
      </c>
      <c r="AI58" s="223">
        <f t="shared" si="77"/>
        <v>80.510999999999996</v>
      </c>
      <c r="AJ58" s="70">
        <f t="shared" si="77"/>
        <v>84.222999999999971</v>
      </c>
      <c r="AK58" s="70">
        <f t="shared" si="77"/>
        <v>96.440999999999974</v>
      </c>
      <c r="AL58" s="70">
        <f t="shared" si="77"/>
        <v>87.222999999999999</v>
      </c>
      <c r="AM58" s="111">
        <f t="shared" si="77"/>
        <v>348.39800000000002</v>
      </c>
      <c r="AN58" s="75">
        <f t="shared" si="77"/>
        <v>115.55799999999998</v>
      </c>
      <c r="AO58" s="75">
        <f t="shared" si="77"/>
        <v>88.09899999999999</v>
      </c>
      <c r="AP58" s="75">
        <f t="shared" si="77"/>
        <v>99.015000000000043</v>
      </c>
      <c r="AQ58" s="76">
        <f t="shared" si="77"/>
        <v>97.37</v>
      </c>
      <c r="AR58" s="111">
        <f>SUM(AN58:AQ58)</f>
        <v>400.04200000000003</v>
      </c>
      <c r="AS58" s="75">
        <f>SUM(AS54:AS56)</f>
        <v>98.685999999999993</v>
      </c>
      <c r="AT58" s="75">
        <f>SUM(AT54:AT56)-AT56</f>
        <v>163.31999999999988</v>
      </c>
      <c r="AU58" s="75">
        <f>SUM(AU54:AU56)</f>
        <v>131.81400000000002</v>
      </c>
      <c r="AV58" s="76">
        <f>SUM(AV54:AV56)</f>
        <v>113.5070000000001</v>
      </c>
      <c r="AW58" s="111">
        <f>SUM(AS58:AV58)</f>
        <v>507.327</v>
      </c>
      <c r="AX58" s="294">
        <f>SUM(AX54:AX56)</f>
        <v>92.639000000000024</v>
      </c>
      <c r="AY58" s="74">
        <f>SUM(AY54:AY56)</f>
        <v>261.73599999999988</v>
      </c>
      <c r="AZ58" s="74">
        <f>SUM(AZ54:AZ56)</f>
        <v>127.57699999999998</v>
      </c>
      <c r="BA58" s="76">
        <f>SUM(BA54:BA56)</f>
        <v>109.30000000000001</v>
      </c>
      <c r="BB58" s="262">
        <f>SUM(AX58:BA58)</f>
        <v>591.25199999999995</v>
      </c>
      <c r="BC58" s="75">
        <f>SUM(BC54:BC56)</f>
        <v>108.79999999999995</v>
      </c>
      <c r="BD58" s="75">
        <f>SUM(BD54:BD56)</f>
        <v>121.00000000000006</v>
      </c>
      <c r="BE58" s="75">
        <f>SUM(BE54:BE56)</f>
        <v>120.6999999999999</v>
      </c>
      <c r="BF58" s="76">
        <f>SUM(BF54:BF56)</f>
        <v>204.6</v>
      </c>
      <c r="BG58" s="262">
        <f>SUM(BC58:BF58)</f>
        <v>555.09999999999991</v>
      </c>
      <c r="BH58" s="75">
        <f>SUM(BH54:BH56)</f>
        <v>129.422445242256</v>
      </c>
      <c r="BI58" s="75">
        <f>SUM(BI54:BI56)</f>
        <v>136.54658191269124</v>
      </c>
      <c r="BJ58" s="75">
        <f>SUM(BJ54:BJ56)</f>
        <v>149.98522797225655</v>
      </c>
      <c r="BK58" s="76">
        <f>SUM(BK54:BK56)</f>
        <v>149.70702155333231</v>
      </c>
      <c r="BL58" s="262">
        <f>SUM(BH58:BK58)</f>
        <v>565.66127668053605</v>
      </c>
      <c r="BM58" s="75">
        <f>SUM(BM54:BM56)</f>
        <v>143.66925925723274</v>
      </c>
      <c r="BN58" s="75">
        <f>SUM(BN54:BN56)</f>
        <v>151.20247705620508</v>
      </c>
      <c r="BO58" s="75">
        <f>SUM(BO54:BO56)</f>
        <v>165.35485963154932</v>
      </c>
      <c r="BP58" s="76">
        <f>SUM(BP54:BP56)</f>
        <v>165.09898582774341</v>
      </c>
      <c r="BQ58" s="262">
        <f>SUM(BM58:BP58)</f>
        <v>625.32558177273052</v>
      </c>
      <c r="BR58" s="75">
        <f>SUM(BR54:BR56)</f>
        <v>158.16895291366643</v>
      </c>
      <c r="BS58" s="75">
        <f>SUM(BS54:BS56)</f>
        <v>166.11321853571971</v>
      </c>
      <c r="BT58" s="75">
        <f>SUM(BT54:BT56)</f>
        <v>181.11816472527417</v>
      </c>
      <c r="BU58" s="76">
        <f>SUM(BU54:BU56)</f>
        <v>180.8381768431548</v>
      </c>
      <c r="BV58" s="262">
        <f>SUM(BR58:BU58)</f>
        <v>686.23851301781508</v>
      </c>
      <c r="BW58" s="75">
        <f>SUM(BW54:BW56)</f>
        <v>174.53957653527317</v>
      </c>
      <c r="BX58" s="75">
        <f>SUM(BX54:BX56)</f>
        <v>183.08119352863335</v>
      </c>
      <c r="BY58" s="75">
        <f>SUM(BY54:BY56)</f>
        <v>199.15738800451581</v>
      </c>
      <c r="BZ58" s="76">
        <f>SUM(BZ54:BZ56)</f>
        <v>199.01619951072146</v>
      </c>
      <c r="CA58" s="262">
        <f>SUM(BW58:BZ58)</f>
        <v>755.79435757914382</v>
      </c>
      <c r="CB58" s="1910"/>
      <c r="CC58" s="29"/>
      <c r="CD58" s="295" t="str">
        <f>A58</f>
        <v>Net Income to Common Stockholders</v>
      </c>
      <c r="CE58" s="70">
        <f>D58</f>
        <v>138.98000000000002</v>
      </c>
      <c r="CF58" s="70">
        <f>I58</f>
        <v>150.374</v>
      </c>
      <c r="CG58" s="70">
        <f>N58</f>
        <v>158.22799999999995</v>
      </c>
      <c r="CH58" s="70">
        <f>S58</f>
        <v>126.61400000000012</v>
      </c>
      <c r="CI58" s="70">
        <f>X58</f>
        <v>242.55200000000013</v>
      </c>
      <c r="CJ58" s="70">
        <f>AC58</f>
        <v>282.75530390016974</v>
      </c>
      <c r="CK58" s="70">
        <f>AH58</f>
        <v>329.36782108911575</v>
      </c>
      <c r="CL58" s="70">
        <f>AM58</f>
        <v>348.39800000000002</v>
      </c>
      <c r="CM58" s="70">
        <f>AR58</f>
        <v>400.04200000000003</v>
      </c>
      <c r="CN58" s="70">
        <f>AW58</f>
        <v>507.327</v>
      </c>
      <c r="CO58" s="70">
        <f>BB58</f>
        <v>591.25199999999995</v>
      </c>
      <c r="CP58" s="70">
        <f>BG58</f>
        <v>555.09999999999991</v>
      </c>
      <c r="CQ58" s="70">
        <f>BL58</f>
        <v>565.66127668053605</v>
      </c>
      <c r="CR58" s="70">
        <f>BQ58</f>
        <v>625.32558177273052</v>
      </c>
      <c r="CS58" s="70">
        <f>BV58</f>
        <v>686.23851301781508</v>
      </c>
      <c r="CT58" s="80">
        <f>CA58</f>
        <v>755.79435757914382</v>
      </c>
      <c r="CU58" s="1961"/>
      <c r="DB58" s="1961"/>
      <c r="DC58" s="1961"/>
      <c r="DD58" s="1961"/>
      <c r="DE58" s="1961"/>
      <c r="DF58" s="1961"/>
      <c r="DG58" s="1961"/>
      <c r="DH58" s="1961"/>
      <c r="DI58" s="74"/>
    </row>
    <row r="59" spans="1:113" ht="12" customHeight="1" x14ac:dyDescent="0.25">
      <c r="A59" s="296" t="s">
        <v>85</v>
      </c>
      <c r="B59" s="261"/>
      <c r="C59" s="71">
        <f>C58+C24</f>
        <v>124.37300000000008</v>
      </c>
      <c r="D59" s="71">
        <f t="shared" ref="D59:AM59" si="78">D58+D24</f>
        <v>150.71200000000002</v>
      </c>
      <c r="E59" s="74">
        <f t="shared" si="78"/>
        <v>38.26100000000001</v>
      </c>
      <c r="F59" s="74">
        <f t="shared" si="78"/>
        <v>36.642000000000003</v>
      </c>
      <c r="G59" s="74">
        <f t="shared" si="78"/>
        <v>37.154000000000003</v>
      </c>
      <c r="H59" s="74">
        <f t="shared" si="78"/>
        <v>38.317000000000029</v>
      </c>
      <c r="I59" s="71">
        <f t="shared" si="78"/>
        <v>164.178</v>
      </c>
      <c r="J59" s="74">
        <f t="shared" si="78"/>
        <v>44.191999999999979</v>
      </c>
      <c r="K59" s="74">
        <f t="shared" si="78"/>
        <v>43.534000000000027</v>
      </c>
      <c r="L59" s="74">
        <f t="shared" si="78"/>
        <v>44.079999999999991</v>
      </c>
      <c r="M59" s="74">
        <f t="shared" si="78"/>
        <v>38.984999999999964</v>
      </c>
      <c r="N59" s="71">
        <f t="shared" si="78"/>
        <v>170.79099999999994</v>
      </c>
      <c r="O59" s="138">
        <f t="shared" si="78"/>
        <v>47.748000000000033</v>
      </c>
      <c r="P59" s="74">
        <f t="shared" si="78"/>
        <v>49.698999999999998</v>
      </c>
      <c r="Q59" s="74">
        <f>Q58+Q24</f>
        <v>49.18100000000004</v>
      </c>
      <c r="R59" s="141">
        <f>R58+R24</f>
        <v>54.279999999999959</v>
      </c>
      <c r="S59" s="71">
        <f t="shared" si="78"/>
        <v>200.88400000000013</v>
      </c>
      <c r="T59" s="138">
        <f t="shared" si="78"/>
        <v>55.374999999999986</v>
      </c>
      <c r="U59" s="74">
        <f t="shared" si="78"/>
        <v>58.404000000000003</v>
      </c>
      <c r="V59" s="74">
        <f t="shared" si="78"/>
        <v>62.880000000000052</v>
      </c>
      <c r="W59" s="74">
        <f t="shared" si="78"/>
        <v>65.893000000000001</v>
      </c>
      <c r="X59" s="73">
        <f t="shared" si="78"/>
        <v>242.55200000000013</v>
      </c>
      <c r="Y59" s="74">
        <f t="shared" si="78"/>
        <v>65.876000000000033</v>
      </c>
      <c r="Z59" s="74">
        <f>Z58+Z24-Z56</f>
        <v>65.577000000000027</v>
      </c>
      <c r="AA59" s="74">
        <f t="shared" si="78"/>
        <v>70.987000000000009</v>
      </c>
      <c r="AB59" s="74">
        <f t="shared" si="78"/>
        <v>80.317999999999941</v>
      </c>
      <c r="AC59" s="71">
        <f>AC58+AC24-AC56</f>
        <v>282.75530390016974</v>
      </c>
      <c r="AD59" s="74">
        <f>AD58+AD24</f>
        <v>74.165999999999997</v>
      </c>
      <c r="AE59" s="74">
        <f>AE58+AE24</f>
        <v>73.204999999999984</v>
      </c>
      <c r="AF59" s="74">
        <f>AF58+AF24-AF56</f>
        <v>83.412999999999982</v>
      </c>
      <c r="AG59" s="74">
        <f>AG58+AG24</f>
        <v>98.23</v>
      </c>
      <c r="AH59" s="71">
        <f t="shared" si="78"/>
        <v>329.23982108911576</v>
      </c>
      <c r="AI59" s="74">
        <f>AI58+AI24</f>
        <v>80.655999999999992</v>
      </c>
      <c r="AJ59" s="74">
        <f t="shared" si="78"/>
        <v>84.095999999999975</v>
      </c>
      <c r="AK59" s="74">
        <f t="shared" si="78"/>
        <v>96.21299999999998</v>
      </c>
      <c r="AL59" s="74">
        <f>AL58+AL24</f>
        <v>88.067999999999998</v>
      </c>
      <c r="AM59" s="71">
        <f t="shared" si="78"/>
        <v>349.03300000000002</v>
      </c>
      <c r="AN59" s="75">
        <f>AN58+AN24</f>
        <v>115.54899999999998</v>
      </c>
      <c r="AO59" s="75">
        <f>AO58+AO24</f>
        <v>87.898999999999987</v>
      </c>
      <c r="AP59" s="75">
        <f>AP58+AP24</f>
        <v>99.30000000000004</v>
      </c>
      <c r="AQ59" s="76">
        <f>AQ58+AQ24</f>
        <v>97.13600000000001</v>
      </c>
      <c r="AR59" s="71">
        <f>SUM(AN59:AQ59)</f>
        <v>399.88400000000007</v>
      </c>
      <c r="AS59" s="75">
        <f>AS58+AS24</f>
        <v>99.285999999999987</v>
      </c>
      <c r="AT59" s="75">
        <f>AT58+AT24</f>
        <v>136.92399999999986</v>
      </c>
      <c r="AU59" s="75">
        <f>AU58+AU24</f>
        <v>113.90200000000002</v>
      </c>
      <c r="AV59" s="76">
        <f>AV58+AV24</f>
        <v>113.6070000000001</v>
      </c>
      <c r="AW59" s="71">
        <f>SUM(AS59:AV59)</f>
        <v>463.71899999999994</v>
      </c>
      <c r="AX59" s="75">
        <f>AX58+AX24</f>
        <v>92.851000000000028</v>
      </c>
      <c r="AY59" s="75">
        <f>AY58+AY24</f>
        <v>262.58199999999988</v>
      </c>
      <c r="AZ59" s="75">
        <f>AZ58+AZ24</f>
        <v>130.27699999999999</v>
      </c>
      <c r="BA59" s="76">
        <f>BA58+BA24</f>
        <v>131.20000000000002</v>
      </c>
      <c r="BB59" s="77">
        <f>SUM(AX59:BA59)</f>
        <v>616.90999999999985</v>
      </c>
      <c r="BC59" s="75">
        <f>BC58+BC24</f>
        <v>110.69999999999996</v>
      </c>
      <c r="BD59" s="75">
        <f>BD58+BD24</f>
        <v>124.40000000000006</v>
      </c>
      <c r="BE59" s="75">
        <f>BE58+BE24</f>
        <v>123.2999999999999</v>
      </c>
      <c r="BF59" s="76">
        <f>BF58+BF24</f>
        <v>206.29999999999998</v>
      </c>
      <c r="BG59" s="77">
        <f>SUM(BC59:BF59)</f>
        <v>564.69999999999993</v>
      </c>
      <c r="BH59" s="75">
        <f>BH58+BH24</f>
        <v>129.422445242256</v>
      </c>
      <c r="BI59" s="75">
        <f>BI58+BI24</f>
        <v>136.54658191269124</v>
      </c>
      <c r="BJ59" s="75">
        <f>BJ58+BJ24</f>
        <v>149.98522797225655</v>
      </c>
      <c r="BK59" s="76">
        <f>BK58+BK24</f>
        <v>149.70702155333231</v>
      </c>
      <c r="BL59" s="77">
        <f>SUM(BH59:BK59)</f>
        <v>565.66127668053605</v>
      </c>
      <c r="BM59" s="75">
        <f>BM58+BM24</f>
        <v>143.66925925723274</v>
      </c>
      <c r="BN59" s="75">
        <f>BN58+BN24</f>
        <v>151.20247705620508</v>
      </c>
      <c r="BO59" s="75">
        <f>BO58+BO24</f>
        <v>165.35485963154932</v>
      </c>
      <c r="BP59" s="76">
        <f>BP58+BP24</f>
        <v>165.09898582774341</v>
      </c>
      <c r="BQ59" s="77">
        <f>SUM(BM59:BP59)</f>
        <v>625.32558177273052</v>
      </c>
      <c r="BR59" s="75">
        <f>BR58+BR24</f>
        <v>158.16895291366643</v>
      </c>
      <c r="BS59" s="75">
        <f>BS58+BS24</f>
        <v>166.11321853571971</v>
      </c>
      <c r="BT59" s="75">
        <f>BT58+BT24</f>
        <v>181.11816472527417</v>
      </c>
      <c r="BU59" s="76">
        <f>BU58+BU24</f>
        <v>180.8381768431548</v>
      </c>
      <c r="BV59" s="77">
        <f>SUM(BR59:BU59)</f>
        <v>686.23851301781508</v>
      </c>
      <c r="BW59" s="75">
        <f>BW58+BW24</f>
        <v>174.53957653527317</v>
      </c>
      <c r="BX59" s="75">
        <f>BX58+BX24</f>
        <v>183.08119352863335</v>
      </c>
      <c r="BY59" s="75">
        <f>BY58+BY24</f>
        <v>199.15738800451581</v>
      </c>
      <c r="BZ59" s="76">
        <f>BZ58+BZ24</f>
        <v>199.01619951072146</v>
      </c>
      <c r="CA59" s="77">
        <f>SUM(BW59:BZ59)</f>
        <v>755.79435757914382</v>
      </c>
      <c r="CB59" s="1910"/>
      <c r="CC59" s="9"/>
      <c r="CD59" s="295" t="str">
        <f>A59</f>
        <v>Adj. Net Income (excl. ESOP &amp; extraordinary items)</v>
      </c>
      <c r="CE59" s="74">
        <f>D59</f>
        <v>150.71200000000002</v>
      </c>
      <c r="CF59" s="74">
        <f>I59</f>
        <v>164.178</v>
      </c>
      <c r="CG59" s="74">
        <f>N59</f>
        <v>170.79099999999994</v>
      </c>
      <c r="CH59" s="74">
        <f>S59</f>
        <v>200.88400000000013</v>
      </c>
      <c r="CI59" s="74">
        <f>X59</f>
        <v>242.55200000000013</v>
      </c>
      <c r="CJ59" s="74">
        <f>AC59</f>
        <v>282.75530390016974</v>
      </c>
      <c r="CK59" s="74">
        <f>AH59</f>
        <v>329.23982108911576</v>
      </c>
      <c r="CL59" s="74">
        <f>AM59</f>
        <v>349.03300000000002</v>
      </c>
      <c r="CM59" s="74">
        <f>AR59</f>
        <v>399.88400000000007</v>
      </c>
      <c r="CN59" s="74">
        <f>AW59</f>
        <v>463.71899999999994</v>
      </c>
      <c r="CO59" s="74">
        <f>BB59</f>
        <v>616.90999999999985</v>
      </c>
      <c r="CP59" s="74">
        <f>BG59</f>
        <v>564.69999999999993</v>
      </c>
      <c r="CQ59" s="74">
        <f>BL59</f>
        <v>565.66127668053605</v>
      </c>
      <c r="CR59" s="74">
        <f>BQ59</f>
        <v>625.32558177273052</v>
      </c>
      <c r="CS59" s="74">
        <f>BV59</f>
        <v>686.23851301781508</v>
      </c>
      <c r="CT59" s="141">
        <f>CA59</f>
        <v>755.79435757914382</v>
      </c>
      <c r="CU59" s="6"/>
      <c r="DB59" s="1961"/>
      <c r="DC59" s="1961"/>
      <c r="DD59" s="1961"/>
      <c r="DE59" s="1961"/>
      <c r="DF59" s="1961"/>
      <c r="DG59" s="1961"/>
      <c r="DH59" s="1961"/>
      <c r="DI59" s="74"/>
    </row>
    <row r="60" spans="1:113" ht="12" customHeight="1" x14ac:dyDescent="0.25">
      <c r="A60" s="296" t="s">
        <v>86</v>
      </c>
      <c r="B60" s="261"/>
      <c r="C60" s="71"/>
      <c r="D60" s="71"/>
      <c r="E60" s="74"/>
      <c r="F60" s="74"/>
      <c r="G60" s="74"/>
      <c r="H60" s="74"/>
      <c r="I60" s="71"/>
      <c r="J60" s="74"/>
      <c r="K60" s="74"/>
      <c r="L60" s="74"/>
      <c r="M60" s="74"/>
      <c r="N60" s="71"/>
      <c r="O60" s="74"/>
      <c r="P60" s="74"/>
      <c r="Q60" s="74"/>
      <c r="R60" s="74"/>
      <c r="S60" s="71"/>
      <c r="T60" s="74"/>
      <c r="U60" s="74"/>
      <c r="V60" s="74"/>
      <c r="W60" s="74"/>
      <c r="X60" s="138"/>
      <c r="Y60" s="74">
        <f>-Y59-Y39+Y61</f>
        <v>-3.3819999999999908</v>
      </c>
      <c r="Z60" s="74">
        <f t="shared" ref="Z60:AR60" si="79">-Z59-Z39+Z61</f>
        <v>-3.5510000000000019</v>
      </c>
      <c r="AA60" s="74">
        <f t="shared" si="79"/>
        <v>-3.5189999999999912</v>
      </c>
      <c r="AB60" s="74">
        <f t="shared" si="79"/>
        <v>-3.49985199999999</v>
      </c>
      <c r="AC60" s="71">
        <f t="shared" si="79"/>
        <v>-13.949155900169671</v>
      </c>
      <c r="AD60" s="74">
        <f t="shared" si="79"/>
        <v>-3.0741459999999989</v>
      </c>
      <c r="AE60" s="74">
        <f t="shared" si="79"/>
        <v>-4.8747999999999934</v>
      </c>
      <c r="AF60" s="74">
        <f t="shared" si="79"/>
        <v>-6.6779999999999973</v>
      </c>
      <c r="AG60" s="74">
        <f t="shared" si="79"/>
        <v>-6.9439999999999884</v>
      </c>
      <c r="AH60" s="71">
        <f t="shared" si="79"/>
        <v>-21.796767089115747</v>
      </c>
      <c r="AI60" s="74">
        <f t="shared" si="79"/>
        <v>-6.8208000000000055</v>
      </c>
      <c r="AJ60" s="74">
        <f t="shared" si="79"/>
        <v>-8.978999999999985</v>
      </c>
      <c r="AK60" s="74">
        <f t="shared" si="79"/>
        <v>-7.116999999999976</v>
      </c>
      <c r="AL60" s="74">
        <f>-AL59-AL39+AL61</f>
        <v>-7.1380000000000052</v>
      </c>
      <c r="AM60" s="71">
        <f t="shared" si="79"/>
        <v>-30.0548</v>
      </c>
      <c r="AN60" s="75">
        <f t="shared" si="79"/>
        <v>-5.6847999999999956</v>
      </c>
      <c r="AO60" s="75">
        <f t="shared" si="79"/>
        <v>-5.4750850000000071</v>
      </c>
      <c r="AP60" s="75">
        <f t="shared" si="79"/>
        <v>-5.4619950000000017</v>
      </c>
      <c r="AQ60" s="76">
        <v>-5.415</v>
      </c>
      <c r="AR60" s="71">
        <f t="shared" si="79"/>
        <v>-19.862880000000132</v>
      </c>
      <c r="AS60" s="297">
        <v>-5.3</v>
      </c>
      <c r="AT60" s="297">
        <f>-7.6+0.05</f>
        <v>-7.55</v>
      </c>
      <c r="AU60" s="297">
        <v>-4.8</v>
      </c>
      <c r="AV60" s="298">
        <v>-8.6</v>
      </c>
      <c r="AW60" s="71">
        <f>-AW59-AW39+AW61</f>
        <v>-38.541999999999916</v>
      </c>
      <c r="AX60" s="297">
        <v>-6.2</v>
      </c>
      <c r="AY60" s="150">
        <v>-6.3</v>
      </c>
      <c r="AZ60" s="150">
        <v>-5.9</v>
      </c>
      <c r="BA60" s="299">
        <f>-(5.8+7.2)</f>
        <v>-13</v>
      </c>
      <c r="BB60" s="77">
        <f>SUM(AX60:BA60)</f>
        <v>-31.4</v>
      </c>
      <c r="BC60" s="1888">
        <v>-5.8</v>
      </c>
      <c r="BD60" s="1888">
        <v>-6.3</v>
      </c>
      <c r="BE60" s="1931">
        <v>-7.1</v>
      </c>
      <c r="BF60" s="1931">
        <v>-7.3</v>
      </c>
      <c r="BG60" s="77">
        <f>-BG59-BG39+BG61</f>
        <v>-36.100000000000136</v>
      </c>
      <c r="BH60" s="75">
        <f>-BH381*BH39</f>
        <v>-6.7777499999999993</v>
      </c>
      <c r="BI60" s="75">
        <f>-BI381*BI39</f>
        <v>-6.7777499999999993</v>
      </c>
      <c r="BJ60" s="75">
        <f>-BJ381*BJ39</f>
        <v>-6.7777499999999993</v>
      </c>
      <c r="BK60" s="76">
        <f>-BK381*BK39</f>
        <v>-6.7777499999999993</v>
      </c>
      <c r="BL60" s="77">
        <f>-BL59-BL39+BL61</f>
        <v>-33.565999999999917</v>
      </c>
      <c r="BM60" s="75">
        <f>-BM381*BM39</f>
        <v>-6.7304999999999993</v>
      </c>
      <c r="BN60" s="75">
        <f>-BN381*BN39</f>
        <v>-6.7304999999999993</v>
      </c>
      <c r="BO60" s="75">
        <f>-BO381*BO39</f>
        <v>-6.7304999999999993</v>
      </c>
      <c r="BP60" s="76">
        <f>-BP381*BP39</f>
        <v>-6.7304999999999993</v>
      </c>
      <c r="BQ60" s="77">
        <f>-BQ59-BQ39+BQ61</f>
        <v>-33.33199999999988</v>
      </c>
      <c r="BR60" s="75">
        <f>-BR381*BR39</f>
        <v>-6.6149999999999993</v>
      </c>
      <c r="BS60" s="75">
        <f>-BS381*BS39</f>
        <v>-6.6149999999999993</v>
      </c>
      <c r="BT60" s="75">
        <f>-BT381*BT39</f>
        <v>-6.6149999999999993</v>
      </c>
      <c r="BU60" s="76">
        <f>-BU381*BU39</f>
        <v>-6.6149999999999993</v>
      </c>
      <c r="BV60" s="77">
        <f>-BV59-BV39+BV61</f>
        <v>-32.759999999999877</v>
      </c>
      <c r="BW60" s="75">
        <f>-BW381*BW39</f>
        <v>-6.0637499999999998</v>
      </c>
      <c r="BX60" s="75">
        <f>-BX381*BX39</f>
        <v>-6.0637499999999998</v>
      </c>
      <c r="BY60" s="75">
        <f>-BY381*BY39</f>
        <v>-6.0637499999999998</v>
      </c>
      <c r="BZ60" s="76">
        <f>-BZ381*BZ39</f>
        <v>-6.0637499999999998</v>
      </c>
      <c r="CA60" s="77">
        <f>-CA59-CA39+CA61</f>
        <v>-30.029999999999973</v>
      </c>
      <c r="CB60" s="1910"/>
      <c r="CC60" s="9"/>
      <c r="CD60" s="295" t="str">
        <f>A60</f>
        <v>Tax Effect of amortization add back</v>
      </c>
      <c r="CE60" s="74"/>
      <c r="CF60" s="74"/>
      <c r="CG60" s="74"/>
      <c r="CH60" s="74"/>
      <c r="CI60" s="74"/>
      <c r="CJ60" s="74">
        <f>AC60</f>
        <v>-13.949155900169671</v>
      </c>
      <c r="CK60" s="74">
        <f>AH60</f>
        <v>-21.796767089115747</v>
      </c>
      <c r="CL60" s="74">
        <f>AM60</f>
        <v>-30.0548</v>
      </c>
      <c r="CM60" s="74">
        <f>AR60</f>
        <v>-19.862880000000132</v>
      </c>
      <c r="CN60" s="74">
        <f>AW60</f>
        <v>-38.541999999999916</v>
      </c>
      <c r="CO60" s="74">
        <f>BB60</f>
        <v>-31.4</v>
      </c>
      <c r="CP60" s="74">
        <f>BG60</f>
        <v>-36.100000000000136</v>
      </c>
      <c r="CQ60" s="74">
        <f>BL60</f>
        <v>-33.565999999999917</v>
      </c>
      <c r="CR60" s="74">
        <f>BQ60</f>
        <v>-33.33199999999988</v>
      </c>
      <c r="CS60" s="74">
        <f>BV60</f>
        <v>-32.759999999999877</v>
      </c>
      <c r="CT60" s="141">
        <f>CA60</f>
        <v>-30.029999999999973</v>
      </c>
      <c r="CU60" s="6"/>
      <c r="DB60" s="1961"/>
      <c r="DC60" s="1961"/>
      <c r="DD60" s="1961"/>
      <c r="DE60" s="1961"/>
      <c r="DF60" s="1961"/>
      <c r="DG60" s="1961"/>
      <c r="DH60" s="1961"/>
      <c r="DI60" s="74"/>
    </row>
    <row r="61" spans="1:113" s="315" customFormat="1" ht="12" customHeight="1" x14ac:dyDescent="0.25">
      <c r="A61" s="300" t="s">
        <v>87</v>
      </c>
      <c r="B61" s="301"/>
      <c r="C61" s="302">
        <f t="shared" ref="C61:N61" si="80">C59+(C39*(1-C375))</f>
        <v>136.29260000000008</v>
      </c>
      <c r="D61" s="302">
        <f t="shared" si="80"/>
        <v>166.66366404756207</v>
      </c>
      <c r="E61" s="303">
        <f t="shared" si="80"/>
        <v>43.517080998054482</v>
      </c>
      <c r="F61" s="303">
        <f t="shared" si="80"/>
        <v>41.541117523346308</v>
      </c>
      <c r="G61" s="303">
        <f t="shared" si="80"/>
        <v>41.703811680933853</v>
      </c>
      <c r="H61" s="303">
        <f t="shared" si="80"/>
        <v>43.590163408560343</v>
      </c>
      <c r="I61" s="302">
        <f t="shared" si="80"/>
        <v>184.15617361089494</v>
      </c>
      <c r="J61" s="303">
        <f t="shared" si="80"/>
        <v>48.799534409375745</v>
      </c>
      <c r="K61" s="303">
        <f t="shared" si="80"/>
        <v>47.48544351287844</v>
      </c>
      <c r="L61" s="303">
        <f t="shared" si="80"/>
        <v>48.114529259596409</v>
      </c>
      <c r="M61" s="303">
        <f t="shared" si="80"/>
        <v>43.326660019878112</v>
      </c>
      <c r="N61" s="302">
        <f t="shared" si="80"/>
        <v>187.72616720172869</v>
      </c>
      <c r="O61" s="303">
        <f>O59+(O39-3.553)</f>
        <v>52.705000000000034</v>
      </c>
      <c r="P61" s="303">
        <f>P59+(P39-3.534)</f>
        <v>54.628999999999998</v>
      </c>
      <c r="Q61" s="303">
        <f>Q59+(Q39-3.345)</f>
        <v>53.848000000000042</v>
      </c>
      <c r="R61" s="303">
        <f>(R59+(R39-3.187))+1.172</f>
        <v>59.899999999999963</v>
      </c>
      <c r="S61" s="302">
        <f>S59+(S39-13.619)+1.172</f>
        <v>221.05800000000013</v>
      </c>
      <c r="T61" s="303">
        <f>(T59+(T39-2.995))+2.362</f>
        <v>62.045999999999985</v>
      </c>
      <c r="U61" s="303">
        <f>U59+(U39-2.878)</f>
        <v>62.546000000000006</v>
      </c>
      <c r="V61" s="303">
        <f>V59+((V39+0.544-2.525))</f>
        <v>66.513000000000048</v>
      </c>
      <c r="W61" s="303">
        <f>W59+(W39-2.835)</f>
        <v>69.974000000000004</v>
      </c>
      <c r="X61" s="302">
        <f>X59+((X39+0.544-11.233))+2.362</f>
        <v>261.07900000000012</v>
      </c>
      <c r="Y61" s="303">
        <f>Y59+(Y39-3.382)</f>
        <v>70.949000000000041</v>
      </c>
      <c r="Z61" s="303">
        <f>Z59+(Z39-3.551)</f>
        <v>70.90300000000002</v>
      </c>
      <c r="AA61" s="303">
        <f>AA59+(AA39-3.519)</f>
        <v>76.265000000000015</v>
      </c>
      <c r="AB61" s="303">
        <f>AB59+(AB39*(1-AB375))</f>
        <v>85.481147999999948</v>
      </c>
      <c r="AC61" s="302">
        <f>SUM(Y61:AB61)</f>
        <v>303.59814800000004</v>
      </c>
      <c r="AD61" s="303">
        <f>AD59+(AD39*(1-AD375))</f>
        <v>79.678854000000001</v>
      </c>
      <c r="AE61" s="303">
        <f>AE59+(AE39*(1-AE375))</f>
        <v>80.517199999999988</v>
      </c>
      <c r="AF61" s="303">
        <f>AF58+(AF39-6.176)</f>
        <v>92.176999999999992</v>
      </c>
      <c r="AG61" s="303">
        <f>AG59+(AG39-6.944)</f>
        <v>108.64500000000001</v>
      </c>
      <c r="AH61" s="302">
        <f>SUM(AD61:AG61)</f>
        <v>361.01805400000001</v>
      </c>
      <c r="AI61" s="304">
        <f>AI59+(AI39*(1-AI375))</f>
        <v>90.887199999999993</v>
      </c>
      <c r="AJ61" s="304">
        <v>92.177999999999997</v>
      </c>
      <c r="AK61" s="305">
        <v>104.354</v>
      </c>
      <c r="AL61" s="304">
        <v>95.3</v>
      </c>
      <c r="AM61" s="302">
        <f>SUM(AI61:AL61)</f>
        <v>382.7192</v>
      </c>
      <c r="AN61" s="306">
        <f>AN59+(AN39*(1-AN375))</f>
        <v>124.07619999999997</v>
      </c>
      <c r="AO61" s="306">
        <f>AO59+(AO39*(1-AO375))</f>
        <v>96.644914999999983</v>
      </c>
      <c r="AP61" s="306">
        <f>AP59+(AP39*(1-AP375))</f>
        <v>108.02500500000004</v>
      </c>
      <c r="AQ61" s="307">
        <f>AQ58+AQ39+AQ60-AQ55</f>
        <v>108.145</v>
      </c>
      <c r="AR61" s="302">
        <f>SUM(AN61:AQ61)</f>
        <v>436.89111999999994</v>
      </c>
      <c r="AS61" s="307">
        <f>AS58+AS39+AS60-AS55</f>
        <v>107.527</v>
      </c>
      <c r="AT61" s="307">
        <f>AT58+AT39+AT60-AT55+AT56</f>
        <v>128.68199999999987</v>
      </c>
      <c r="AU61" s="307">
        <f>AU58+AU39+AU60-AU55+AU56</f>
        <v>145.55700000000002</v>
      </c>
      <c r="AV61" s="307">
        <f>AV58+AV39+AV60-AV55+AV56</f>
        <v>138.54000000000011</v>
      </c>
      <c r="AW61" s="302">
        <f>SUM(AS61:AV61)</f>
        <v>520.30600000000004</v>
      </c>
      <c r="AX61" s="307">
        <f>AX58+AX39+AX60-AX55</f>
        <v>127.40100000000001</v>
      </c>
      <c r="AY61" s="307">
        <f>AY58+AY39+AY60-AY55</f>
        <v>124.24199999999985</v>
      </c>
      <c r="AZ61" s="307">
        <f>AZ58+AZ39+AZ60-AZ55</f>
        <v>144.35599999999997</v>
      </c>
      <c r="BA61" s="308">
        <f>BA58+BA39+BA60-BA55+18.8</f>
        <v>135.4</v>
      </c>
      <c r="BB61" s="309">
        <f>SUM(AX61:BA61)</f>
        <v>531.39899999999977</v>
      </c>
      <c r="BC61" s="307">
        <f>BC58+BC39+BC60-BC55</f>
        <v>125.29999999999997</v>
      </c>
      <c r="BD61" s="1936">
        <f>BD58+BD39+BD60-BD55</f>
        <v>138.60000000000005</v>
      </c>
      <c r="BE61" s="1936">
        <f>BE58+BE39+BE60-BE55</f>
        <v>141.09999999999991</v>
      </c>
      <c r="BF61" s="307">
        <f>BF58+BF39+BF60-BF55</f>
        <v>225.39999999999998</v>
      </c>
      <c r="BG61" s="309">
        <f>SUM(BC61:BF61)</f>
        <v>630.39999999999986</v>
      </c>
      <c r="BH61" s="306">
        <f>BH59+(BH39*(1-0.26))</f>
        <v>153.305945242256</v>
      </c>
      <c r="BI61" s="306">
        <f>BI59+(BI39*(1-0.26))</f>
        <v>160.43008191269124</v>
      </c>
      <c r="BJ61" s="306">
        <f>BJ59+(BJ39*(1-0.26))</f>
        <v>173.86872797225655</v>
      </c>
      <c r="BK61" s="306">
        <f>BK59+(BK39*(1-0.26))</f>
        <v>173.59052155333231</v>
      </c>
      <c r="BL61" s="309">
        <f>SUM(BH61:BK61)</f>
        <v>661.19527668053615</v>
      </c>
      <c r="BM61" s="306">
        <f>BM59+(BM39*(1-0.26))</f>
        <v>167.38625925723272</v>
      </c>
      <c r="BN61" s="306">
        <f>BN59+(BN39*(1-0.26))</f>
        <v>174.9194770562051</v>
      </c>
      <c r="BO61" s="306">
        <f>BO59+(BO39*(1-0.26))</f>
        <v>189.07185963154933</v>
      </c>
      <c r="BP61" s="306">
        <f>BP59+(BP39*(1-0.26))</f>
        <v>188.81598582774342</v>
      </c>
      <c r="BQ61" s="309">
        <f>SUM(BM61:BP61)</f>
        <v>720.19358177273057</v>
      </c>
      <c r="BR61" s="306">
        <f>BR59+(BR39*(1-0.26))</f>
        <v>181.47895291366643</v>
      </c>
      <c r="BS61" s="306">
        <f>BS59+(BS39*(1-0.26))</f>
        <v>189.42321853571971</v>
      </c>
      <c r="BT61" s="306">
        <f>BT59+(BT39*(1-0.26))</f>
        <v>204.42816472527417</v>
      </c>
      <c r="BU61" s="306">
        <f>BU59+(BU39*(1-0.26))</f>
        <v>204.1481768431548</v>
      </c>
      <c r="BV61" s="309">
        <f>SUM(BR61:BU61)</f>
        <v>779.4785130178152</v>
      </c>
      <c r="BW61" s="306">
        <f>BW59+(BW39*(1-0.26))</f>
        <v>195.90707653527318</v>
      </c>
      <c r="BX61" s="306">
        <f>BX59+(BX39*(1-0.26))</f>
        <v>204.44869352863336</v>
      </c>
      <c r="BY61" s="306">
        <f>BY59+(BY39*(1-0.26))</f>
        <v>220.52488800451582</v>
      </c>
      <c r="BZ61" s="306">
        <f>BZ59+(BZ39*(1-0.26))</f>
        <v>220.38369951072147</v>
      </c>
      <c r="CA61" s="309">
        <f>SUM(BW61:BZ61)</f>
        <v>841.26435757914385</v>
      </c>
      <c r="CB61" s="1910">
        <f>(CA61/BG61)^(1/4)-1</f>
        <v>7.4803497993801038E-2</v>
      </c>
      <c r="CC61" s="311"/>
      <c r="CD61" s="312" t="str">
        <f>A61</f>
        <v>Adjusted Net Income</v>
      </c>
      <c r="CE61" s="303">
        <f>D61</f>
        <v>166.66366404756207</v>
      </c>
      <c r="CF61" s="303">
        <f>I61</f>
        <v>184.15617361089494</v>
      </c>
      <c r="CG61" s="303">
        <f>N61</f>
        <v>187.72616720172869</v>
      </c>
      <c r="CH61" s="303">
        <f>S61</f>
        <v>221.05800000000013</v>
      </c>
      <c r="CI61" s="303">
        <f>X61</f>
        <v>261.07900000000012</v>
      </c>
      <c r="CJ61" s="303">
        <f>AC61</f>
        <v>303.59814800000004</v>
      </c>
      <c r="CK61" s="303">
        <f>AH61</f>
        <v>361.01805400000001</v>
      </c>
      <c r="CL61" s="303">
        <f>AM61</f>
        <v>382.7192</v>
      </c>
      <c r="CM61" s="303">
        <f>AR61</f>
        <v>436.89111999999994</v>
      </c>
      <c r="CN61" s="303">
        <f>AW61</f>
        <v>520.30600000000004</v>
      </c>
      <c r="CO61" s="303">
        <f>BB61</f>
        <v>531.39899999999977</v>
      </c>
      <c r="CP61" s="303">
        <f>BG61</f>
        <v>630.39999999999986</v>
      </c>
      <c r="CQ61" s="303">
        <f>BL61</f>
        <v>661.19527668053615</v>
      </c>
      <c r="CR61" s="303">
        <f>BQ61</f>
        <v>720.19358177273057</v>
      </c>
      <c r="CS61" s="303">
        <f>BV61</f>
        <v>779.4785130178152</v>
      </c>
      <c r="CT61" s="313">
        <f>CA61</f>
        <v>841.26435757914385</v>
      </c>
      <c r="CU61" s="314"/>
      <c r="CV61"/>
      <c r="CW61"/>
      <c r="CX61"/>
      <c r="CY61"/>
      <c r="CZ61"/>
      <c r="DA61"/>
      <c r="DI61" s="303"/>
    </row>
    <row r="62" spans="1:113" ht="12" customHeight="1" x14ac:dyDescent="0.25">
      <c r="A62" s="296"/>
      <c r="B62" s="261"/>
      <c r="C62" s="71"/>
      <c r="D62" s="71"/>
      <c r="E62" s="74"/>
      <c r="F62" s="74"/>
      <c r="G62" s="74"/>
      <c r="H62" s="74"/>
      <c r="I62" s="71"/>
      <c r="J62" s="74"/>
      <c r="K62" s="74"/>
      <c r="L62" s="74"/>
      <c r="M62" s="74"/>
      <c r="N62" s="71"/>
      <c r="O62" s="138"/>
      <c r="P62" s="74"/>
      <c r="Q62" s="74"/>
      <c r="R62" s="74"/>
      <c r="S62" s="73"/>
      <c r="T62" s="74"/>
      <c r="U62" s="74"/>
      <c r="V62" s="74"/>
      <c r="W62" s="141"/>
      <c r="X62" s="73"/>
      <c r="Y62" s="74"/>
      <c r="Z62" s="74"/>
      <c r="AA62" s="74"/>
      <c r="AB62" s="74"/>
      <c r="AC62" s="71"/>
      <c r="AD62" s="74"/>
      <c r="AE62" s="74"/>
      <c r="AF62" s="74"/>
      <c r="AG62" s="74"/>
      <c r="AH62" s="71"/>
      <c r="AI62" s="74"/>
      <c r="AJ62" s="74"/>
      <c r="AK62" s="74"/>
      <c r="AL62" s="74"/>
      <c r="AM62" s="71"/>
      <c r="AN62" s="75"/>
      <c r="AO62" s="75"/>
      <c r="AP62" s="75"/>
      <c r="AQ62" s="316"/>
      <c r="AR62" s="142"/>
      <c r="AS62" s="75"/>
      <c r="AT62" s="75"/>
      <c r="AU62" s="75"/>
      <c r="AV62" s="76"/>
      <c r="AW62" s="71"/>
      <c r="AX62" s="75"/>
      <c r="AY62" s="75"/>
      <c r="AZ62" s="75"/>
      <c r="BA62" s="76"/>
      <c r="BB62" s="77"/>
      <c r="BC62" s="75"/>
      <c r="BD62" s="75"/>
      <c r="BE62" s="75"/>
      <c r="BF62" s="76"/>
      <c r="BG62" s="77"/>
      <c r="BH62" s="75"/>
      <c r="BI62" s="75"/>
      <c r="BJ62" s="75"/>
      <c r="BK62" s="76"/>
      <c r="BL62" s="77"/>
      <c r="BM62" s="75"/>
      <c r="BN62" s="75"/>
      <c r="BO62" s="75"/>
      <c r="BP62" s="76"/>
      <c r="BQ62" s="77"/>
      <c r="BR62" s="75"/>
      <c r="BS62" s="75"/>
      <c r="BT62" s="75"/>
      <c r="BU62" s="76"/>
      <c r="BV62" s="77"/>
      <c r="BW62" s="75"/>
      <c r="BX62" s="75"/>
      <c r="BY62" s="75"/>
      <c r="BZ62" s="76"/>
      <c r="CA62" s="77"/>
      <c r="CB62" s="1910"/>
      <c r="CC62" s="29"/>
      <c r="CD62" s="317"/>
      <c r="CE62" s="74"/>
      <c r="CF62" s="74"/>
      <c r="CG62" s="74"/>
      <c r="CH62" s="74"/>
      <c r="CI62" s="74"/>
      <c r="CJ62" s="74"/>
      <c r="CK62" s="74"/>
      <c r="CL62" s="74"/>
      <c r="CM62" s="74"/>
      <c r="CN62" s="74"/>
      <c r="CO62" s="74"/>
      <c r="CP62" s="74"/>
      <c r="CQ62" s="74"/>
      <c r="CR62" s="74"/>
      <c r="CS62" s="74"/>
      <c r="CT62" s="141"/>
      <c r="CU62" s="6"/>
      <c r="DB62" s="1961"/>
      <c r="DC62" s="1961"/>
      <c r="DD62" s="1961"/>
      <c r="DE62" s="1961"/>
      <c r="DF62" s="1961"/>
      <c r="DG62" s="1961"/>
      <c r="DH62" s="1961"/>
      <c r="DI62" s="74"/>
    </row>
    <row r="63" spans="1:113" ht="12" hidden="1" customHeight="1" outlineLevel="1" x14ac:dyDescent="0.25">
      <c r="A63" s="318" t="s">
        <v>88</v>
      </c>
      <c r="B63" s="319"/>
      <c r="C63" s="320"/>
      <c r="D63" s="320">
        <f>(2.9459+1.34754)*50</f>
        <v>214.67200000000003</v>
      </c>
      <c r="E63" s="321"/>
      <c r="F63" s="321"/>
      <c r="G63" s="322"/>
      <c r="H63" s="266">
        <f>(2.873412+1.163066)*50</f>
        <v>201.82389999999998</v>
      </c>
      <c r="I63" s="323">
        <f>H63</f>
        <v>201.82389999999998</v>
      </c>
      <c r="J63" s="324"/>
      <c r="K63" s="322">
        <f>(2.863742+0.946518)*50</f>
        <v>190.51299999999998</v>
      </c>
      <c r="L63" s="322">
        <f>(2.863742+0.887844)*50</f>
        <v>187.57929999999999</v>
      </c>
      <c r="M63" s="266">
        <f>(2.863742+0.746139)*50</f>
        <v>180.49404999999999</v>
      </c>
      <c r="N63" s="116">
        <f>M63</f>
        <v>180.49404999999999</v>
      </c>
      <c r="O63" s="321">
        <f>(2.863742+0.713523)*50</f>
        <v>178.86324999999999</v>
      </c>
      <c r="P63" s="321">
        <f>(2.863742+0.700188)*50</f>
        <v>178.19650000000001</v>
      </c>
      <c r="Q63" s="321">
        <v>172.79640000000001</v>
      </c>
      <c r="R63" s="322">
        <f>126.373495+27.118975*2</f>
        <v>180.611445</v>
      </c>
      <c r="S63" s="118">
        <f>R63</f>
        <v>180.611445</v>
      </c>
      <c r="T63" s="322">
        <f>126.373495+27.118975*2</f>
        <v>180.611445</v>
      </c>
      <c r="U63" s="322">
        <f>124.731552+27.118975*2</f>
        <v>178.96950199999998</v>
      </c>
      <c r="V63" s="321">
        <f>125.404054+27.118975*2</f>
        <v>179.64200399999999</v>
      </c>
      <c r="W63" s="322">
        <f>143.107036+12.22548+14.77134</f>
        <v>170.10385600000001</v>
      </c>
      <c r="X63" s="118">
        <f>W63</f>
        <v>170.10385600000001</v>
      </c>
      <c r="Y63" s="322">
        <f>152.557291+14.77134</f>
        <v>167.328631</v>
      </c>
      <c r="Z63" s="322">
        <f>150.042965+14.77134</f>
        <v>164.81430500000002</v>
      </c>
      <c r="AA63" s="322">
        <v>163.540097</v>
      </c>
      <c r="AB63" s="322">
        <v>164.79105899999999</v>
      </c>
      <c r="AC63" s="289">
        <f>AC436</f>
        <v>164.79105899999999</v>
      </c>
      <c r="AD63" s="322">
        <v>166.06601000000001</v>
      </c>
      <c r="AE63" s="322">
        <v>165.83355700000001</v>
      </c>
      <c r="AF63" s="322">
        <v>166.79852399999999</v>
      </c>
      <c r="AG63" s="325">
        <v>166.79852399999999</v>
      </c>
      <c r="AH63" s="289">
        <f>AH436</f>
        <v>166.79852399999999</v>
      </c>
      <c r="AI63" s="322">
        <v>168.39530199999999</v>
      </c>
      <c r="AJ63" s="326">
        <v>167.91544500000001</v>
      </c>
      <c r="AK63" s="326">
        <v>168.22059100000001</v>
      </c>
      <c r="AL63" s="326">
        <v>167.45792700000001</v>
      </c>
      <c r="AM63" s="289">
        <f>AM436</f>
        <v>167.45792700000001</v>
      </c>
      <c r="AN63" s="322">
        <v>166.531114</v>
      </c>
      <c r="AO63" s="326">
        <v>166.475134</v>
      </c>
      <c r="AP63" s="326">
        <f>544.003038-378.440138</f>
        <v>165.56289999999996</v>
      </c>
      <c r="AQ63" s="326">
        <v>158.10845499999999</v>
      </c>
      <c r="AR63" s="289">
        <f>+AQ63</f>
        <v>158.10845499999999</v>
      </c>
      <c r="AS63" s="322">
        <v>158.46589499999999</v>
      </c>
      <c r="AT63" s="322">
        <v>168.48674</v>
      </c>
      <c r="AU63" s="321">
        <v>169.10400300000001</v>
      </c>
      <c r="AV63" s="327">
        <v>169.424981</v>
      </c>
      <c r="AW63" s="289">
        <f>+AV63</f>
        <v>169.424981</v>
      </c>
      <c r="AX63" s="328">
        <f>AX64*2-AV63</f>
        <v>167.575019</v>
      </c>
      <c r="AY63" s="328">
        <f>AY436</f>
        <v>167.71807524074987</v>
      </c>
      <c r="AZ63" s="328">
        <f>AZ436</f>
        <v>167.1040865596475</v>
      </c>
      <c r="BA63" s="329">
        <f>BA436</f>
        <v>165.43157208385594</v>
      </c>
      <c r="BB63" s="289">
        <f>+BA63</f>
        <v>165.43157208385594</v>
      </c>
      <c r="BC63" s="328">
        <v>167.575019</v>
      </c>
      <c r="BD63" s="328">
        <f>BD436</f>
        <v>165.77461601315633</v>
      </c>
      <c r="BE63" s="328">
        <f>BE436</f>
        <v>165.69648162200355</v>
      </c>
      <c r="BF63" s="329">
        <f>BF436</f>
        <v>165.78918995533687</v>
      </c>
      <c r="BG63" s="289">
        <f>+BF63</f>
        <v>165.78918995533687</v>
      </c>
      <c r="BH63" s="328">
        <f>BH436</f>
        <v>164.44853681865729</v>
      </c>
      <c r="BI63" s="328">
        <f>BI436</f>
        <v>163.13390306660142</v>
      </c>
      <c r="BJ63" s="328">
        <f>BJ436</f>
        <v>161.84478371517477</v>
      </c>
      <c r="BK63" s="329">
        <f>BK436</f>
        <v>160.58068358110793</v>
      </c>
      <c r="BL63" s="289">
        <f>+BK63</f>
        <v>160.58068358110793</v>
      </c>
      <c r="BM63" s="328">
        <f>BM436</f>
        <v>158.92792826182279</v>
      </c>
      <c r="BN63" s="328">
        <f>BN436</f>
        <v>157.30724960365518</v>
      </c>
      <c r="BO63" s="328">
        <f>BO436</f>
        <v>155.71802506304016</v>
      </c>
      <c r="BP63" s="329">
        <f>BP436</f>
        <v>154.15964417873295</v>
      </c>
      <c r="BQ63" s="289">
        <f>+BP63</f>
        <v>154.15964417873295</v>
      </c>
      <c r="BR63" s="328">
        <f>BR436</f>
        <v>152.41320321711291</v>
      </c>
      <c r="BS63" s="328">
        <f>BS436</f>
        <v>150.70065716675649</v>
      </c>
      <c r="BT63" s="328">
        <f>BT436</f>
        <v>149.02134819551546</v>
      </c>
      <c r="BU63" s="329">
        <f>BU436</f>
        <v>147.37463123844225</v>
      </c>
      <c r="BV63" s="289">
        <f>+BU63</f>
        <v>147.37463123844225</v>
      </c>
      <c r="BW63" s="328">
        <f>BW436</f>
        <v>145.75987375000435</v>
      </c>
      <c r="BX63" s="328">
        <f>BX436</f>
        <v>144.17645546110748</v>
      </c>
      <c r="BY63" s="328">
        <f>BY436</f>
        <v>142.6237681408347</v>
      </c>
      <c r="BZ63" s="329">
        <f>BZ436</f>
        <v>141.10121536280946</v>
      </c>
      <c r="CA63" s="289">
        <f>+BZ63</f>
        <v>141.10121536280946</v>
      </c>
      <c r="CB63" s="1911"/>
      <c r="CC63" s="330"/>
      <c r="CD63" s="331" t="str">
        <f t="shared" ref="CD63:CD72" si="81">A63</f>
        <v>Basic Shares Outstanding</v>
      </c>
      <c r="CE63" s="273">
        <f t="shared" ref="CE63:CE72" si="82">D63</f>
        <v>214.67200000000003</v>
      </c>
      <c r="CF63" s="273">
        <f t="shared" ref="CF63:CF72" si="83">I63</f>
        <v>201.82389999999998</v>
      </c>
      <c r="CG63" s="273">
        <f t="shared" ref="CG63:CG72" si="84">N63</f>
        <v>180.49404999999999</v>
      </c>
      <c r="CH63" s="273">
        <f t="shared" ref="CH63:CH72" si="85">S63</f>
        <v>180.611445</v>
      </c>
      <c r="CI63" s="273">
        <f t="shared" ref="CI63:CI72" si="86">X63</f>
        <v>170.10385600000001</v>
      </c>
      <c r="CJ63" s="273">
        <f t="shared" ref="CJ63:CJ71" si="87">AC63</f>
        <v>164.79105899999999</v>
      </c>
      <c r="CK63" s="273">
        <f t="shared" ref="CK63:CK72" si="88">AH63</f>
        <v>166.79852399999999</v>
      </c>
      <c r="CL63" s="273">
        <f t="shared" ref="CL63:CL72" si="89">AM63</f>
        <v>167.45792700000001</v>
      </c>
      <c r="CM63" s="273">
        <f t="shared" ref="CM63:CM71" si="90">AR63</f>
        <v>158.10845499999999</v>
      </c>
      <c r="CN63" s="273">
        <f t="shared" ref="CN63:CN71" si="91">AW63</f>
        <v>169.424981</v>
      </c>
      <c r="CO63" s="273">
        <f t="shared" ref="CO63:CO71" si="92">BB63</f>
        <v>165.43157208385594</v>
      </c>
      <c r="CP63" s="273">
        <f t="shared" ref="CP63:CP71" si="93">BG63</f>
        <v>165.78918995533687</v>
      </c>
      <c r="CQ63" s="273">
        <f t="shared" ref="CQ63:CQ71" si="94">BL63</f>
        <v>160.58068358110793</v>
      </c>
      <c r="CR63" s="273">
        <f t="shared" ref="CR63:CR71" si="95">BQ63</f>
        <v>154.15964417873295</v>
      </c>
      <c r="CS63" s="273">
        <f t="shared" ref="CS63:CS71" si="96">BV63</f>
        <v>147.37463123844225</v>
      </c>
      <c r="CT63" s="274">
        <f t="shared" ref="CT63:CT71" si="97">CA63</f>
        <v>141.10121536280946</v>
      </c>
      <c r="CU63" s="1961"/>
      <c r="DB63" s="1961"/>
      <c r="DC63" s="1961"/>
      <c r="DD63" s="1961"/>
      <c r="DE63" s="1961"/>
      <c r="DF63" s="1961"/>
      <c r="DG63" s="1961"/>
      <c r="DH63" s="1961"/>
      <c r="DI63" s="1961"/>
    </row>
    <row r="64" spans="1:113" ht="12" hidden="1" customHeight="1" outlineLevel="1" x14ac:dyDescent="0.25">
      <c r="A64" s="318" t="s">
        <v>89</v>
      </c>
      <c r="B64" s="264"/>
      <c r="C64" s="265">
        <f>4.258989*50</f>
        <v>212.94944999999998</v>
      </c>
      <c r="D64" s="265">
        <f>4.130962*50</f>
        <v>206.54810000000001</v>
      </c>
      <c r="E64" s="268">
        <f>4.09632*50</f>
        <v>204.81600000000003</v>
      </c>
      <c r="F64" s="268">
        <f>4.077259*50</f>
        <v>203.86294999999998</v>
      </c>
      <c r="G64" s="268">
        <f>4.04946*50</f>
        <v>202.47299999999998</v>
      </c>
      <c r="H64" s="332">
        <f>4.016928*50</f>
        <v>200.84640000000002</v>
      </c>
      <c r="I64" s="333">
        <f>4.016928*50</f>
        <v>200.84640000000002</v>
      </c>
      <c r="J64" s="333">
        <f>3.759913*50</f>
        <v>187.99565000000001</v>
      </c>
      <c r="K64" s="268">
        <f>3.724876*50</f>
        <v>186.24379999999999</v>
      </c>
      <c r="L64" s="268">
        <f>3.698519*50</f>
        <v>184.92595</v>
      </c>
      <c r="M64" s="268">
        <v>182.88570000000001</v>
      </c>
      <c r="N64" s="265">
        <v>182.88570000000001</v>
      </c>
      <c r="O64" s="326">
        <v>173.93799999999999</v>
      </c>
      <c r="P64" s="334">
        <v>172.88733099999999</v>
      </c>
      <c r="Q64" s="334">
        <v>172.79640000000001</v>
      </c>
      <c r="R64" s="334">
        <v>179.54563099999999</v>
      </c>
      <c r="S64" s="335">
        <v>174.76779500000001</v>
      </c>
      <c r="T64" s="334">
        <v>180.05355</v>
      </c>
      <c r="U64" s="334">
        <v>180.49210600000001</v>
      </c>
      <c r="V64" s="334">
        <v>178.68723600000001</v>
      </c>
      <c r="W64" s="334">
        <v>171.70112</v>
      </c>
      <c r="X64" s="335">
        <v>177.73350300000001</v>
      </c>
      <c r="Y64" s="334">
        <v>169.030227</v>
      </c>
      <c r="Z64" s="334">
        <v>166.96080599999999</v>
      </c>
      <c r="AA64" s="334">
        <f>164.195325</f>
        <v>164.195325</v>
      </c>
      <c r="AB64" s="334">
        <v>163.874595</v>
      </c>
      <c r="AC64" s="336">
        <f>AVERAGE(AC63,X63)</f>
        <v>167.44745749999998</v>
      </c>
      <c r="AD64" s="334">
        <v>164.83699200000001</v>
      </c>
      <c r="AE64" s="334">
        <v>165.946009</v>
      </c>
      <c r="AF64" s="337">
        <v>165.97808000000001</v>
      </c>
      <c r="AG64" s="325">
        <v>166.8</v>
      </c>
      <c r="AH64" s="336">
        <f>AVERAGE(AH63,AC63)</f>
        <v>165.79479149999997</v>
      </c>
      <c r="AI64" s="334">
        <v>168.07858899999999</v>
      </c>
      <c r="AJ64" s="334">
        <v>168.14706899999999</v>
      </c>
      <c r="AK64" s="334">
        <v>168.04409999999999</v>
      </c>
      <c r="AL64" s="334">
        <v>167.85588799999999</v>
      </c>
      <c r="AM64" s="336">
        <f>AVERAGE(AI63:AL63)</f>
        <v>167.99731625000001</v>
      </c>
      <c r="AN64" s="334">
        <v>166.98198199999999</v>
      </c>
      <c r="AO64" s="334">
        <v>166.34362999999999</v>
      </c>
      <c r="AP64" s="334">
        <v>166.18754000000001</v>
      </c>
      <c r="AQ64" s="334">
        <v>163.782061</v>
      </c>
      <c r="AR64" s="289">
        <v>165.823803</v>
      </c>
      <c r="AS64" s="334">
        <v>158.087919</v>
      </c>
      <c r="AT64" s="338">
        <v>164.14180400000001</v>
      </c>
      <c r="AU64" s="338">
        <v>168.73943700000001</v>
      </c>
      <c r="AV64" s="339">
        <v>169.392359</v>
      </c>
      <c r="AW64" s="289">
        <f>AVERAGE(AS64:AV64)</f>
        <v>165.09037975000001</v>
      </c>
      <c r="AX64" s="338">
        <v>168.5</v>
      </c>
      <c r="AY64" s="338">
        <v>168.3</v>
      </c>
      <c r="AZ64" s="338">
        <f>AVERAGE(AY63:AZ63)</f>
        <v>167.41108090019867</v>
      </c>
      <c r="BA64" s="339">
        <v>167.4</v>
      </c>
      <c r="BB64" s="289">
        <f>AVERAGE(AX64:BA64)</f>
        <v>167.90277022504966</v>
      </c>
      <c r="BC64" s="1887">
        <v>166.44299100000001</v>
      </c>
      <c r="BD64" s="1887">
        <v>164.9</v>
      </c>
      <c r="BE64" s="1932">
        <v>164.577575</v>
      </c>
      <c r="BF64" s="1932">
        <v>164.73009300000001</v>
      </c>
      <c r="BG64" s="289">
        <f>AVERAGE(BC64:BF64)</f>
        <v>165.16266475</v>
      </c>
      <c r="BH64" s="151">
        <f>AVERAGE(BG63:BH63)</f>
        <v>165.11886338699708</v>
      </c>
      <c r="BI64" s="151">
        <f>AVERAGE(BH63:BI63)</f>
        <v>163.79121994262937</v>
      </c>
      <c r="BJ64" s="151">
        <f>AVERAGE(BI63:BJ63)</f>
        <v>162.48934339088811</v>
      </c>
      <c r="BK64" s="340">
        <f>AVERAGE(BJ63:BK63)</f>
        <v>161.21273364814135</v>
      </c>
      <c r="BL64" s="289">
        <f>AVERAGE(BH64:BK64)</f>
        <v>163.15304009216396</v>
      </c>
      <c r="BM64" s="151">
        <f>AVERAGE(BL63:BM63)</f>
        <v>159.75430592146535</v>
      </c>
      <c r="BN64" s="151">
        <f>AVERAGE(BM63:BN63)</f>
        <v>158.11758893273898</v>
      </c>
      <c r="BO64" s="151">
        <f>AVERAGE(BN63:BO63)</f>
        <v>156.51263733334767</v>
      </c>
      <c r="BP64" s="340">
        <f>AVERAGE(BO63:BP63)</f>
        <v>154.93883462088655</v>
      </c>
      <c r="BQ64" s="289">
        <f>AVERAGE(BM64:BP64)</f>
        <v>157.33084170210964</v>
      </c>
      <c r="BR64" s="151">
        <f>AVERAGE(BQ63:BR63)</f>
        <v>153.28642369792294</v>
      </c>
      <c r="BS64" s="151">
        <f>AVERAGE(BR63:BS63)</f>
        <v>151.5569301919347</v>
      </c>
      <c r="BT64" s="151">
        <f>AVERAGE(BS63:BT63)</f>
        <v>149.86100268113597</v>
      </c>
      <c r="BU64" s="340">
        <f>AVERAGE(BT63:BU63)</f>
        <v>148.19798971697884</v>
      </c>
      <c r="BV64" s="289">
        <f>AVERAGE(BR64:BU64)</f>
        <v>150.72558657199312</v>
      </c>
      <c r="BW64" s="151">
        <f>AVERAGE(BV63:BW63)</f>
        <v>146.56725249422328</v>
      </c>
      <c r="BX64" s="151">
        <f>AVERAGE(BW63:BX63)</f>
        <v>144.9681646055559</v>
      </c>
      <c r="BY64" s="151">
        <f>AVERAGE(BX63:BY63)</f>
        <v>143.4001118009711</v>
      </c>
      <c r="BZ64" s="340">
        <f>AVERAGE(BY63:BZ63)</f>
        <v>141.86249175182206</v>
      </c>
      <c r="CA64" s="289">
        <f>AVERAGE(BW64:BZ64)</f>
        <v>144.1995051631431</v>
      </c>
      <c r="CB64" s="1910"/>
      <c r="CC64" s="341"/>
      <c r="CD64" s="331" t="str">
        <f t="shared" si="81"/>
        <v>Average Basic Shares Outstanding</v>
      </c>
      <c r="CE64" s="273">
        <f t="shared" si="82"/>
        <v>206.54810000000001</v>
      </c>
      <c r="CF64" s="273">
        <f t="shared" si="83"/>
        <v>200.84640000000002</v>
      </c>
      <c r="CG64" s="273">
        <f t="shared" si="84"/>
        <v>182.88570000000001</v>
      </c>
      <c r="CH64" s="273">
        <f t="shared" si="85"/>
        <v>174.76779500000001</v>
      </c>
      <c r="CI64" s="273">
        <f t="shared" si="86"/>
        <v>177.73350300000001</v>
      </c>
      <c r="CJ64" s="273">
        <f t="shared" si="87"/>
        <v>167.44745749999998</v>
      </c>
      <c r="CK64" s="273">
        <f t="shared" si="88"/>
        <v>165.79479149999997</v>
      </c>
      <c r="CL64" s="273">
        <f t="shared" si="89"/>
        <v>167.99731625000001</v>
      </c>
      <c r="CM64" s="273">
        <f t="shared" si="90"/>
        <v>165.823803</v>
      </c>
      <c r="CN64" s="273">
        <f t="shared" si="91"/>
        <v>165.09037975000001</v>
      </c>
      <c r="CO64" s="273">
        <f t="shared" si="92"/>
        <v>167.90277022504966</v>
      </c>
      <c r="CP64" s="273">
        <f t="shared" si="93"/>
        <v>165.16266475</v>
      </c>
      <c r="CQ64" s="273">
        <f t="shared" si="94"/>
        <v>163.15304009216396</v>
      </c>
      <c r="CR64" s="273">
        <f t="shared" si="95"/>
        <v>157.33084170210964</v>
      </c>
      <c r="CS64" s="273">
        <f t="shared" si="96"/>
        <v>150.72558657199312</v>
      </c>
      <c r="CT64" s="274">
        <f t="shared" si="97"/>
        <v>144.1995051631431</v>
      </c>
      <c r="CU64" s="6"/>
      <c r="DB64" s="1961"/>
      <c r="DC64" s="1961"/>
      <c r="DD64" s="1961"/>
      <c r="DE64" s="1961"/>
      <c r="DF64" s="1961"/>
      <c r="DG64" s="1961"/>
      <c r="DH64" s="1961"/>
      <c r="DI64" s="207"/>
    </row>
    <row r="65" spans="1:113" ht="12" hidden="1" customHeight="1" outlineLevel="1" x14ac:dyDescent="0.25">
      <c r="A65" s="318" t="s">
        <v>90</v>
      </c>
      <c r="B65" s="264"/>
      <c r="C65" s="265">
        <f>4.462109*50</f>
        <v>223.10544999999999</v>
      </c>
      <c r="D65" s="265">
        <f>4.302867*50</f>
        <v>215.14335</v>
      </c>
      <c r="E65" s="269">
        <f>4.269444*50</f>
        <v>213.47219999999999</v>
      </c>
      <c r="F65" s="269">
        <f>4.240053*50</f>
        <v>212.00264999999999</v>
      </c>
      <c r="G65" s="266">
        <f>4.212518*50</f>
        <v>210.6259</v>
      </c>
      <c r="H65" s="332">
        <f>4.185151*50</f>
        <v>209.25755000000001</v>
      </c>
      <c r="I65" s="333">
        <f>4.185151*50</f>
        <v>209.25755000000001</v>
      </c>
      <c r="J65" s="342">
        <f>3.926954*50</f>
        <v>196.3477</v>
      </c>
      <c r="K65" s="269">
        <f>193.8953*2-J65</f>
        <v>191.44289999999998</v>
      </c>
      <c r="L65" s="266">
        <f>(3.849873*50)*3-K65-J65</f>
        <v>189.69035</v>
      </c>
      <c r="M65" s="266">
        <f>(3.804634*50)*4-L65-K65-J65</f>
        <v>183.44584999999998</v>
      </c>
      <c r="N65" s="265">
        <f>3.804634*50</f>
        <v>190.23169999999999</v>
      </c>
      <c r="O65" s="268">
        <v>180.60445000000001</v>
      </c>
      <c r="P65" s="337">
        <v>179.824479</v>
      </c>
      <c r="Q65" s="337">
        <v>179.85085000000001</v>
      </c>
      <c r="R65" s="326">
        <v>188.47902300000001</v>
      </c>
      <c r="S65" s="343">
        <v>182.165661</v>
      </c>
      <c r="T65" s="266">
        <v>189.454756</v>
      </c>
      <c r="U65" s="266">
        <v>189.54189299999999</v>
      </c>
      <c r="V65" s="266">
        <v>187.18866700000001</v>
      </c>
      <c r="W65" s="334">
        <v>179.394531</v>
      </c>
      <c r="X65" s="335">
        <v>186.39496199999999</v>
      </c>
      <c r="Y65" s="338">
        <v>176.964192</v>
      </c>
      <c r="Z65" s="338">
        <v>174.63404600000001</v>
      </c>
      <c r="AA65" s="338">
        <v>171.169658</v>
      </c>
      <c r="AB65" s="338">
        <v>170.53254200000001</v>
      </c>
      <c r="AC65" s="344">
        <f>AB65</f>
        <v>170.53254200000001</v>
      </c>
      <c r="AD65" s="338">
        <v>171.35082</v>
      </c>
      <c r="AE65" s="338">
        <v>171.90134900000001</v>
      </c>
      <c r="AF65" s="345">
        <v>171.66054299999999</v>
      </c>
      <c r="AG65" s="325">
        <v>171.9</v>
      </c>
      <c r="AH65" s="344">
        <f>AG65</f>
        <v>171.9</v>
      </c>
      <c r="AI65" s="338">
        <v>172.76064099999999</v>
      </c>
      <c r="AJ65" s="334">
        <v>172.46768800000001</v>
      </c>
      <c r="AK65" s="334">
        <v>172.15455299999999</v>
      </c>
      <c r="AL65" s="334">
        <v>171.72255699999999</v>
      </c>
      <c r="AM65" s="344">
        <f>AL65</f>
        <v>171.72255699999999</v>
      </c>
      <c r="AN65" s="338">
        <v>170.42148900000001</v>
      </c>
      <c r="AO65" s="334">
        <f>169.503664</f>
        <v>169.50366399999999</v>
      </c>
      <c r="AP65" s="334">
        <v>169.522448</v>
      </c>
      <c r="AQ65" s="334">
        <v>167.08209099999999</v>
      </c>
      <c r="AR65" s="344">
        <v>169.13242299999999</v>
      </c>
      <c r="AS65" s="338">
        <v>161.481213</v>
      </c>
      <c r="AT65" s="151">
        <f>AT67*2-AS65</f>
        <v>173.69098699999998</v>
      </c>
      <c r="AU65" s="151">
        <f>AU67*2-AT65</f>
        <v>170.65168700000001</v>
      </c>
      <c r="AV65" s="151">
        <f>AV67*2-AU65</f>
        <v>174.48175699999999</v>
      </c>
      <c r="AW65" s="344">
        <f>AVERAGE(AS65:AV65)</f>
        <v>170.07641100000001</v>
      </c>
      <c r="AX65" s="338">
        <v>171.5</v>
      </c>
      <c r="AY65" s="338">
        <v>171.2</v>
      </c>
      <c r="AZ65" s="338">
        <v>171.7859</v>
      </c>
      <c r="BA65" s="338">
        <v>170.2</v>
      </c>
      <c r="BB65" s="344">
        <f>AVERAGE(AX65:BA65)</f>
        <v>171.17147499999999</v>
      </c>
      <c r="BC65" s="1887">
        <v>170.15086199999999</v>
      </c>
      <c r="BD65" s="1887">
        <v>168.3</v>
      </c>
      <c r="BE65" s="1932">
        <v>167.95705799999999</v>
      </c>
      <c r="BF65" s="1932">
        <v>168.33325600000001</v>
      </c>
      <c r="BG65" s="344">
        <f>AVERAGE(BC65:BF65)</f>
        <v>168.685294</v>
      </c>
      <c r="BH65" s="151">
        <f>BH63*BG65/BG63</f>
        <v>167.32122153801535</v>
      </c>
      <c r="BI65" s="151">
        <f>BI63*BH65/BH63</f>
        <v>165.98362298271985</v>
      </c>
      <c r="BJ65" s="151">
        <f>BJ63*BI65/BI63</f>
        <v>164.67198452875868</v>
      </c>
      <c r="BK65" s="151">
        <f>BK63*BJ65/BJ63</f>
        <v>163.38580234270694</v>
      </c>
      <c r="BL65" s="344">
        <f>AVERAGE(BH65:BK65)</f>
        <v>165.3406578480502</v>
      </c>
      <c r="BM65" s="151">
        <f>BM63*BL65/BL63</f>
        <v>163.63891112697311</v>
      </c>
      <c r="BN65" s="151">
        <f>BN63*BM65/BM63</f>
        <v>161.97019189172099</v>
      </c>
      <c r="BO65" s="151">
        <f>BO63*BN65/BN63</f>
        <v>160.33385914513113</v>
      </c>
      <c r="BP65" s="151">
        <f>BP63*BO65/BO63</f>
        <v>158.72928433050819</v>
      </c>
      <c r="BQ65" s="344">
        <f>AVERAGE(BM65:BP65)</f>
        <v>161.16806162358336</v>
      </c>
      <c r="BR65" s="151">
        <f>BR63*BQ65/BQ63</f>
        <v>159.34222383040583</v>
      </c>
      <c r="BS65" s="151">
        <f>BS63*BR65/BR63</f>
        <v>157.55182188152054</v>
      </c>
      <c r="BT65" s="151">
        <f>BT63*BS65/BS63</f>
        <v>155.79616803836416</v>
      </c>
      <c r="BU65" s="151">
        <f>BU63*BT65/BT63</f>
        <v>154.07458790999755</v>
      </c>
      <c r="BV65" s="344">
        <f>AVERAGE(BR65:BU65)</f>
        <v>156.69120041507202</v>
      </c>
      <c r="BW65" s="151">
        <f>BW63*BV65/BV63</f>
        <v>154.9743629436812</v>
      </c>
      <c r="BX65" s="151">
        <f>BX63*BW65/BW63</f>
        <v>153.29084583926851</v>
      </c>
      <c r="BY65" s="151">
        <f>BY63*BX65/BX63</f>
        <v>151.64000242043633</v>
      </c>
      <c r="BZ65" s="151">
        <f>BZ63*BY65/BY63</f>
        <v>150.02119855657398</v>
      </c>
      <c r="CA65" s="344">
        <f>AVERAGE(BW65:BZ65)</f>
        <v>152.48160243998998</v>
      </c>
      <c r="CB65" s="1911"/>
      <c r="CC65" s="330"/>
      <c r="CD65" s="331" t="str">
        <f t="shared" si="81"/>
        <v>Diluted Shares Outstanding</v>
      </c>
      <c r="CE65" s="273">
        <f t="shared" si="82"/>
        <v>215.14335</v>
      </c>
      <c r="CF65" s="273">
        <f t="shared" si="83"/>
        <v>209.25755000000001</v>
      </c>
      <c r="CG65" s="273">
        <f t="shared" si="84"/>
        <v>190.23169999999999</v>
      </c>
      <c r="CH65" s="273">
        <f t="shared" si="85"/>
        <v>182.165661</v>
      </c>
      <c r="CI65" s="273">
        <f t="shared" si="86"/>
        <v>186.39496199999999</v>
      </c>
      <c r="CJ65" s="273">
        <f t="shared" si="87"/>
        <v>170.53254200000001</v>
      </c>
      <c r="CK65" s="273">
        <f t="shared" si="88"/>
        <v>171.9</v>
      </c>
      <c r="CL65" s="273">
        <f t="shared" si="89"/>
        <v>171.72255699999999</v>
      </c>
      <c r="CM65" s="273">
        <f t="shared" si="90"/>
        <v>169.13242299999999</v>
      </c>
      <c r="CN65" s="273">
        <f t="shared" si="91"/>
        <v>170.07641100000001</v>
      </c>
      <c r="CO65" s="273">
        <f t="shared" si="92"/>
        <v>171.17147499999999</v>
      </c>
      <c r="CP65" s="273">
        <f t="shared" si="93"/>
        <v>168.685294</v>
      </c>
      <c r="CQ65" s="273">
        <f t="shared" si="94"/>
        <v>165.3406578480502</v>
      </c>
      <c r="CR65" s="273">
        <f t="shared" si="95"/>
        <v>161.16806162358336</v>
      </c>
      <c r="CS65" s="273">
        <f t="shared" si="96"/>
        <v>156.69120041507202</v>
      </c>
      <c r="CT65" s="274">
        <f t="shared" si="97"/>
        <v>152.48160243998998</v>
      </c>
      <c r="CU65" s="1961"/>
      <c r="DB65" s="1961"/>
      <c r="DC65" s="1961"/>
      <c r="DD65" s="1961"/>
      <c r="DE65" s="1961"/>
      <c r="DF65" s="1961"/>
      <c r="DG65" s="1961"/>
      <c r="DH65" s="1961"/>
      <c r="DI65" s="207"/>
    </row>
    <row r="66" spans="1:113" ht="12" hidden="1" customHeight="1" outlineLevel="1" x14ac:dyDescent="0.25">
      <c r="A66" s="346" t="s">
        <v>91</v>
      </c>
      <c r="B66" s="347"/>
      <c r="C66" s="348">
        <v>0</v>
      </c>
      <c r="D66" s="348">
        <v>0</v>
      </c>
      <c r="E66" s="349">
        <v>0</v>
      </c>
      <c r="F66" s="349">
        <v>0</v>
      </c>
      <c r="G66" s="349">
        <v>0</v>
      </c>
      <c r="H66" s="349">
        <v>0</v>
      </c>
      <c r="I66" s="350">
        <f>SUM(E66:H66)</f>
        <v>0</v>
      </c>
      <c r="J66" s="351">
        <v>0</v>
      </c>
      <c r="K66" s="349">
        <v>0</v>
      </c>
      <c r="L66" s="349">
        <v>0</v>
      </c>
      <c r="M66" s="349">
        <v>0</v>
      </c>
      <c r="N66" s="352">
        <f>SUM(J66:M66)</f>
        <v>0</v>
      </c>
      <c r="O66" s="349">
        <v>0</v>
      </c>
      <c r="P66" s="353">
        <v>0</v>
      </c>
      <c r="Q66" s="353">
        <v>0</v>
      </c>
      <c r="R66" s="353">
        <v>0</v>
      </c>
      <c r="S66" s="354">
        <f>SUM(O66:R66)</f>
        <v>0</v>
      </c>
      <c r="T66" s="353">
        <v>0</v>
      </c>
      <c r="U66" s="353">
        <v>0</v>
      </c>
      <c r="V66" s="353">
        <v>0</v>
      </c>
      <c r="W66" s="353">
        <v>0</v>
      </c>
      <c r="X66" s="354">
        <f>SUM(T66:W66)</f>
        <v>0</v>
      </c>
      <c r="Y66" s="353">
        <v>0</v>
      </c>
      <c r="Z66" s="353">
        <v>0</v>
      </c>
      <c r="AA66" s="353">
        <v>0</v>
      </c>
      <c r="AB66" s="353">
        <v>0</v>
      </c>
      <c r="AC66" s="355">
        <v>0</v>
      </c>
      <c r="AD66" s="353">
        <v>0</v>
      </c>
      <c r="AE66" s="353">
        <v>0</v>
      </c>
      <c r="AF66" s="353">
        <v>0</v>
      </c>
      <c r="AG66" s="353">
        <v>0</v>
      </c>
      <c r="AH66" s="355">
        <v>0</v>
      </c>
      <c r="AI66" s="353">
        <v>0</v>
      </c>
      <c r="AJ66" s="356">
        <v>0</v>
      </c>
      <c r="AK66" s="353">
        <v>0</v>
      </c>
      <c r="AL66" s="353">
        <v>0</v>
      </c>
      <c r="AM66" s="355">
        <v>0</v>
      </c>
      <c r="AN66" s="353">
        <v>0</v>
      </c>
      <c r="AO66" s="353">
        <v>0</v>
      </c>
      <c r="AP66" s="353">
        <v>0</v>
      </c>
      <c r="AQ66" s="353">
        <v>0</v>
      </c>
      <c r="AR66" s="355">
        <v>0</v>
      </c>
      <c r="AS66" s="353">
        <v>0</v>
      </c>
      <c r="AT66" s="353">
        <v>0</v>
      </c>
      <c r="AU66" s="353">
        <v>0</v>
      </c>
      <c r="AV66" s="357">
        <v>0</v>
      </c>
      <c r="AW66" s="355">
        <v>0</v>
      </c>
      <c r="AX66" s="353">
        <v>0</v>
      </c>
      <c r="AY66" s="353">
        <v>0</v>
      </c>
      <c r="AZ66" s="353">
        <v>0</v>
      </c>
      <c r="BA66" s="357">
        <v>0</v>
      </c>
      <c r="BB66" s="355">
        <v>0</v>
      </c>
      <c r="BC66" s="353">
        <v>0</v>
      </c>
      <c r="BD66" s="353">
        <v>0</v>
      </c>
      <c r="BE66" s="353">
        <v>0</v>
      </c>
      <c r="BF66" s="357">
        <v>0</v>
      </c>
      <c r="BG66" s="355">
        <v>0</v>
      </c>
      <c r="BH66" s="353">
        <v>0</v>
      </c>
      <c r="BI66" s="353">
        <v>0</v>
      </c>
      <c r="BJ66" s="353">
        <v>0</v>
      </c>
      <c r="BK66" s="357">
        <v>0</v>
      </c>
      <c r="BL66" s="355">
        <v>0</v>
      </c>
      <c r="BM66" s="353">
        <v>0</v>
      </c>
      <c r="BN66" s="353">
        <v>0</v>
      </c>
      <c r="BO66" s="353">
        <v>0</v>
      </c>
      <c r="BP66" s="357">
        <v>0</v>
      </c>
      <c r="BQ66" s="355">
        <v>0</v>
      </c>
      <c r="BR66" s="353">
        <v>0</v>
      </c>
      <c r="BS66" s="353">
        <v>0</v>
      </c>
      <c r="BT66" s="353">
        <v>0</v>
      </c>
      <c r="BU66" s="357">
        <v>0</v>
      </c>
      <c r="BV66" s="355">
        <v>0</v>
      </c>
      <c r="BW66" s="353">
        <v>0</v>
      </c>
      <c r="BX66" s="353">
        <v>0</v>
      </c>
      <c r="BY66" s="353">
        <v>0</v>
      </c>
      <c r="BZ66" s="357">
        <v>0</v>
      </c>
      <c r="CA66" s="355">
        <v>0</v>
      </c>
      <c r="CB66" s="1911"/>
      <c r="CC66" s="330"/>
      <c r="CD66" s="331" t="str">
        <f t="shared" si="81"/>
        <v>Common Dividends</v>
      </c>
      <c r="CE66" s="273">
        <f t="shared" si="82"/>
        <v>0</v>
      </c>
      <c r="CF66" s="273">
        <f t="shared" si="83"/>
        <v>0</v>
      </c>
      <c r="CG66" s="273">
        <f t="shared" si="84"/>
        <v>0</v>
      </c>
      <c r="CH66" s="273">
        <f t="shared" si="85"/>
        <v>0</v>
      </c>
      <c r="CI66" s="273">
        <f t="shared" si="86"/>
        <v>0</v>
      </c>
      <c r="CJ66" s="273">
        <f t="shared" si="87"/>
        <v>0</v>
      </c>
      <c r="CK66" s="273">
        <f t="shared" si="88"/>
        <v>0</v>
      </c>
      <c r="CL66" s="273">
        <f t="shared" si="89"/>
        <v>0</v>
      </c>
      <c r="CM66" s="273">
        <f t="shared" si="90"/>
        <v>0</v>
      </c>
      <c r="CN66" s="273">
        <f t="shared" si="91"/>
        <v>0</v>
      </c>
      <c r="CO66" s="273">
        <f t="shared" si="92"/>
        <v>0</v>
      </c>
      <c r="CP66" s="273">
        <f t="shared" si="93"/>
        <v>0</v>
      </c>
      <c r="CQ66" s="273">
        <f t="shared" si="94"/>
        <v>0</v>
      </c>
      <c r="CR66" s="273">
        <f t="shared" si="95"/>
        <v>0</v>
      </c>
      <c r="CS66" s="273">
        <f t="shared" si="96"/>
        <v>0</v>
      </c>
      <c r="CT66" s="274">
        <f t="shared" si="97"/>
        <v>0</v>
      </c>
      <c r="CU66" s="1961"/>
      <c r="DB66" s="1961"/>
      <c r="DC66" s="1961"/>
      <c r="DD66" s="1961"/>
      <c r="DE66" s="1961"/>
      <c r="DF66" s="1961"/>
      <c r="DG66" s="1961"/>
      <c r="DH66" s="1961"/>
      <c r="DI66" s="356"/>
    </row>
    <row r="67" spans="1:113" ht="12" customHeight="1" collapsed="1" x14ac:dyDescent="0.25">
      <c r="A67" s="358" t="s">
        <v>92</v>
      </c>
      <c r="B67" s="285"/>
      <c r="C67" s="116">
        <f>C65</f>
        <v>223.10544999999999</v>
      </c>
      <c r="D67" s="116">
        <f t="shared" ref="D67:L67" si="98">D65</f>
        <v>215.14335</v>
      </c>
      <c r="E67" s="273">
        <f t="shared" si="98"/>
        <v>213.47219999999999</v>
      </c>
      <c r="F67" s="273">
        <f t="shared" si="98"/>
        <v>212.00264999999999</v>
      </c>
      <c r="G67" s="273">
        <f t="shared" si="98"/>
        <v>210.6259</v>
      </c>
      <c r="H67" s="273">
        <f t="shared" si="98"/>
        <v>209.25755000000001</v>
      </c>
      <c r="I67" s="323">
        <f t="shared" si="98"/>
        <v>209.25755000000001</v>
      </c>
      <c r="J67" s="287">
        <f t="shared" si="98"/>
        <v>196.3477</v>
      </c>
      <c r="K67" s="273">
        <f t="shared" si="98"/>
        <v>191.44289999999998</v>
      </c>
      <c r="L67" s="273">
        <f t="shared" si="98"/>
        <v>189.69035</v>
      </c>
      <c r="M67" s="273">
        <f>M65</f>
        <v>183.44584999999998</v>
      </c>
      <c r="N67" s="116">
        <f>N65</f>
        <v>190.23169999999999</v>
      </c>
      <c r="O67" s="275">
        <f t="shared" ref="O67:W67" si="99">O65</f>
        <v>180.60445000000001</v>
      </c>
      <c r="P67" s="275">
        <f t="shared" si="99"/>
        <v>179.824479</v>
      </c>
      <c r="Q67" s="275">
        <f t="shared" si="99"/>
        <v>179.85085000000001</v>
      </c>
      <c r="R67" s="273">
        <f t="shared" si="99"/>
        <v>188.47902300000001</v>
      </c>
      <c r="S67" s="118">
        <f>S65</f>
        <v>182.165661</v>
      </c>
      <c r="T67" s="273">
        <f t="shared" si="99"/>
        <v>189.454756</v>
      </c>
      <c r="U67" s="273">
        <f t="shared" si="99"/>
        <v>189.54189299999999</v>
      </c>
      <c r="V67" s="273">
        <f t="shared" si="99"/>
        <v>187.18866700000001</v>
      </c>
      <c r="W67" s="273">
        <f t="shared" si="99"/>
        <v>179.394531</v>
      </c>
      <c r="X67" s="118">
        <f>X65</f>
        <v>186.39496199999999</v>
      </c>
      <c r="Y67" s="273">
        <f>Y65</f>
        <v>176.964192</v>
      </c>
      <c r="Z67" s="273">
        <f>Z65</f>
        <v>174.63404600000001</v>
      </c>
      <c r="AA67" s="273">
        <f>AA65</f>
        <v>171.169658</v>
      </c>
      <c r="AB67" s="273">
        <f>AB65</f>
        <v>170.53254200000001</v>
      </c>
      <c r="AC67" s="116">
        <f>AVERAGE(Y67:AB67)</f>
        <v>173.32510950000002</v>
      </c>
      <c r="AD67" s="273">
        <f>AD65</f>
        <v>171.35082</v>
      </c>
      <c r="AE67" s="273">
        <f>AE65</f>
        <v>171.90134900000001</v>
      </c>
      <c r="AF67" s="273">
        <f>AF65</f>
        <v>171.66054299999999</v>
      </c>
      <c r="AG67" s="273">
        <f>AG65</f>
        <v>171.9</v>
      </c>
      <c r="AH67" s="116">
        <f>AVERAGE(AD67:AG67)</f>
        <v>171.70317799999998</v>
      </c>
      <c r="AI67" s="273">
        <f>AI65</f>
        <v>172.76064099999999</v>
      </c>
      <c r="AJ67" s="273">
        <f>AJ65</f>
        <v>172.46768800000001</v>
      </c>
      <c r="AK67" s="273">
        <f>AK65</f>
        <v>172.15455299999999</v>
      </c>
      <c r="AL67" s="273">
        <f>AL65</f>
        <v>171.72255699999999</v>
      </c>
      <c r="AM67" s="116">
        <f>AVERAGE(AI65:AL65)</f>
        <v>172.27635974999998</v>
      </c>
      <c r="AN67" s="273">
        <f>AN65</f>
        <v>170.42148900000001</v>
      </c>
      <c r="AO67" s="271">
        <f>AO65</f>
        <v>169.50366399999999</v>
      </c>
      <c r="AP67" s="271">
        <f>AP65</f>
        <v>169.522448</v>
      </c>
      <c r="AQ67" s="272">
        <f>AQ65</f>
        <v>167.08209099999999</v>
      </c>
      <c r="AR67" s="116">
        <f>AR65</f>
        <v>169.13242299999999</v>
      </c>
      <c r="AS67" s="269">
        <v>161.481213</v>
      </c>
      <c r="AT67" s="269">
        <v>167.58609999999999</v>
      </c>
      <c r="AU67" s="269">
        <v>172.17133699999999</v>
      </c>
      <c r="AV67" s="270">
        <v>172.566722</v>
      </c>
      <c r="AW67" s="116">
        <f>AVERAGE(AS65:AV65)</f>
        <v>170.07641100000001</v>
      </c>
      <c r="AX67" s="271">
        <f>AX65</f>
        <v>171.5</v>
      </c>
      <c r="AY67" s="271">
        <f>AY65</f>
        <v>171.2</v>
      </c>
      <c r="AZ67" s="271">
        <f>AZ65</f>
        <v>171.7859</v>
      </c>
      <c r="BA67" s="272">
        <f>BA65</f>
        <v>170.2</v>
      </c>
      <c r="BB67" s="238">
        <f>AVERAGE(AX65:BA65)</f>
        <v>171.17147499999999</v>
      </c>
      <c r="BC67" s="271">
        <f>BC65</f>
        <v>170.15086199999999</v>
      </c>
      <c r="BD67" s="271">
        <f>BD65</f>
        <v>168.3</v>
      </c>
      <c r="BE67" s="271">
        <f>BE65</f>
        <v>167.95705799999999</v>
      </c>
      <c r="BF67" s="272">
        <f>BF65</f>
        <v>168.33325600000001</v>
      </c>
      <c r="BG67" s="238">
        <f>AVERAGE(BC65:BF65)</f>
        <v>168.685294</v>
      </c>
      <c r="BH67" s="271">
        <f>BH65</f>
        <v>167.32122153801535</v>
      </c>
      <c r="BI67" s="271">
        <f>BI65</f>
        <v>165.98362298271985</v>
      </c>
      <c r="BJ67" s="271">
        <f>BJ65</f>
        <v>164.67198452875868</v>
      </c>
      <c r="BK67" s="272">
        <f>BK65</f>
        <v>163.38580234270694</v>
      </c>
      <c r="BL67" s="238">
        <f>AVERAGE(BH65:BK65)</f>
        <v>165.3406578480502</v>
      </c>
      <c r="BM67" s="271">
        <f>BM65</f>
        <v>163.63891112697311</v>
      </c>
      <c r="BN67" s="271">
        <f>BN65</f>
        <v>161.97019189172099</v>
      </c>
      <c r="BO67" s="271">
        <f>BO65</f>
        <v>160.33385914513113</v>
      </c>
      <c r="BP67" s="272">
        <f>BP65</f>
        <v>158.72928433050819</v>
      </c>
      <c r="BQ67" s="238">
        <f>AVERAGE(BM65:BP65)</f>
        <v>161.16806162358336</v>
      </c>
      <c r="BR67" s="271">
        <f>BR65</f>
        <v>159.34222383040583</v>
      </c>
      <c r="BS67" s="271">
        <f>BS65</f>
        <v>157.55182188152054</v>
      </c>
      <c r="BT67" s="271">
        <f>BT65</f>
        <v>155.79616803836416</v>
      </c>
      <c r="BU67" s="272">
        <f>BU65</f>
        <v>154.07458790999755</v>
      </c>
      <c r="BV67" s="238">
        <f>AVERAGE(BR65:BU65)</f>
        <v>156.69120041507202</v>
      </c>
      <c r="BW67" s="271">
        <f>BW65</f>
        <v>154.9743629436812</v>
      </c>
      <c r="BX67" s="271">
        <f>BX65</f>
        <v>153.29084583926851</v>
      </c>
      <c r="BY67" s="271">
        <f>BY65</f>
        <v>151.64000242043633</v>
      </c>
      <c r="BZ67" s="272">
        <f>BZ65</f>
        <v>150.02119855657398</v>
      </c>
      <c r="CA67" s="238">
        <f>AVERAGE(BW65:BZ65)</f>
        <v>152.48160243998998</v>
      </c>
      <c r="CB67" s="1910"/>
      <c r="CC67" s="29"/>
      <c r="CD67" s="331" t="str">
        <f t="shared" si="81"/>
        <v>Avg. Diluted Shares Outstanding</v>
      </c>
      <c r="CE67" s="273">
        <f t="shared" si="82"/>
        <v>215.14335</v>
      </c>
      <c r="CF67" s="273">
        <f t="shared" si="83"/>
        <v>209.25755000000001</v>
      </c>
      <c r="CG67" s="273">
        <f t="shared" si="84"/>
        <v>190.23169999999999</v>
      </c>
      <c r="CH67" s="273">
        <f t="shared" si="85"/>
        <v>182.165661</v>
      </c>
      <c r="CI67" s="273">
        <f t="shared" si="86"/>
        <v>186.39496199999999</v>
      </c>
      <c r="CJ67" s="273">
        <f t="shared" si="87"/>
        <v>173.32510950000002</v>
      </c>
      <c r="CK67" s="273">
        <f t="shared" si="88"/>
        <v>171.70317799999998</v>
      </c>
      <c r="CL67" s="273">
        <f t="shared" si="89"/>
        <v>172.27635974999998</v>
      </c>
      <c r="CM67" s="273">
        <f t="shared" si="90"/>
        <v>169.13242299999999</v>
      </c>
      <c r="CN67" s="273">
        <f t="shared" si="91"/>
        <v>170.07641100000001</v>
      </c>
      <c r="CO67" s="273">
        <f t="shared" si="92"/>
        <v>171.17147499999999</v>
      </c>
      <c r="CP67" s="273">
        <f t="shared" si="93"/>
        <v>168.685294</v>
      </c>
      <c r="CQ67" s="273">
        <f t="shared" si="94"/>
        <v>165.3406578480502</v>
      </c>
      <c r="CR67" s="273">
        <f t="shared" si="95"/>
        <v>161.16806162358336</v>
      </c>
      <c r="CS67" s="273">
        <f t="shared" si="96"/>
        <v>156.69120041507202</v>
      </c>
      <c r="CT67" s="274">
        <f t="shared" si="97"/>
        <v>152.48160243998998</v>
      </c>
      <c r="CU67" s="1961"/>
      <c r="DB67" s="1961"/>
      <c r="DC67" s="1961"/>
      <c r="DD67" s="1961"/>
      <c r="DE67" s="1961"/>
      <c r="DF67" s="1961"/>
      <c r="DG67" s="1961"/>
      <c r="DH67" s="1961"/>
      <c r="DI67" s="275"/>
    </row>
    <row r="68" spans="1:113" ht="12" customHeight="1" x14ac:dyDescent="0.25">
      <c r="A68" s="359" t="s">
        <v>93</v>
      </c>
      <c r="B68" s="360"/>
      <c r="C68" s="361">
        <f t="shared" ref="C68:BG68" si="100">C54/C67</f>
        <v>0.5689999952937056</v>
      </c>
      <c r="D68" s="361">
        <f t="shared" si="100"/>
        <v>0.65437765099409317</v>
      </c>
      <c r="E68" s="362">
        <f t="shared" si="100"/>
        <v>0.18208928375685457</v>
      </c>
      <c r="F68" s="362">
        <f t="shared" si="100"/>
        <v>0.17610157231525175</v>
      </c>
      <c r="G68" s="362">
        <f t="shared" si="100"/>
        <v>0.18598852277901248</v>
      </c>
      <c r="H68" s="362">
        <f t="shared" si="100"/>
        <v>0.18916402299463045</v>
      </c>
      <c r="I68" s="363">
        <f t="shared" si="100"/>
        <v>0.74053719925517614</v>
      </c>
      <c r="J68" s="363">
        <f t="shared" si="100"/>
        <v>0.20894566119185495</v>
      </c>
      <c r="K68" s="362">
        <f t="shared" si="100"/>
        <v>0.2085373758964163</v>
      </c>
      <c r="L68" s="362">
        <f t="shared" si="100"/>
        <v>0.21529824790770849</v>
      </c>
      <c r="M68" s="362">
        <f t="shared" si="100"/>
        <v>0.19863627331989231</v>
      </c>
      <c r="N68" s="364">
        <f t="shared" si="100"/>
        <v>0.83176463228788877</v>
      </c>
      <c r="O68" s="362">
        <f t="shared" si="100"/>
        <v>0.248692654029289</v>
      </c>
      <c r="P68" s="362">
        <f t="shared" si="100"/>
        <v>0.25546577560221934</v>
      </c>
      <c r="Q68" s="362">
        <f t="shared" si="100"/>
        <v>0.23466666963208702</v>
      </c>
      <c r="R68" s="362">
        <f t="shared" si="100"/>
        <v>-3.4194786758842806E-2</v>
      </c>
      <c r="S68" s="365">
        <f t="shared" si="100"/>
        <v>0.69504866781670838</v>
      </c>
      <c r="T68" s="362">
        <f t="shared" si="100"/>
        <v>0.29228614350541815</v>
      </c>
      <c r="U68" s="362">
        <f t="shared" si="100"/>
        <v>0.30813240849082374</v>
      </c>
      <c r="V68" s="362">
        <f t="shared" si="100"/>
        <v>0.33591777220145519</v>
      </c>
      <c r="W68" s="362">
        <f t="shared" si="100"/>
        <v>0.36730774139374406</v>
      </c>
      <c r="X68" s="365">
        <f t="shared" si="100"/>
        <v>1.3012798060496944</v>
      </c>
      <c r="Y68" s="362">
        <f t="shared" si="100"/>
        <v>0.37225610026236289</v>
      </c>
      <c r="Z68" s="362">
        <f t="shared" si="100"/>
        <v>0.35624783039156077</v>
      </c>
      <c r="AA68" s="362">
        <f t="shared" si="100"/>
        <v>0.41471719245942529</v>
      </c>
      <c r="AB68" s="362">
        <f t="shared" si="100"/>
        <v>0.47098342086520906</v>
      </c>
      <c r="AC68" s="366">
        <f t="shared" si="100"/>
        <v>1.6119493863649901</v>
      </c>
      <c r="AD68" s="362">
        <f>AD54/AD67</f>
        <v>0.43536996204628609</v>
      </c>
      <c r="AE68" s="362">
        <f>AE54/AE67</f>
        <v>0.42658769361955379</v>
      </c>
      <c r="AF68" s="362">
        <f>AF54/AF67</f>
        <v>0.48299392831350879</v>
      </c>
      <c r="AG68" s="362">
        <f>AG54/AG67</f>
        <v>0.57183827806864462</v>
      </c>
      <c r="AH68" s="366">
        <f t="shared" si="100"/>
        <v>1.9182395161556987</v>
      </c>
      <c r="AI68" s="362">
        <f>AI54/AI67</f>
        <v>0.45985589970113622</v>
      </c>
      <c r="AJ68" s="362">
        <f t="shared" si="100"/>
        <v>0.47323647082229087</v>
      </c>
      <c r="AK68" s="362">
        <f t="shared" si="100"/>
        <v>0.55121400129336096</v>
      </c>
      <c r="AL68" s="362">
        <f t="shared" si="100"/>
        <v>0.50299157844475839</v>
      </c>
      <c r="AM68" s="366">
        <f t="shared" si="100"/>
        <v>1.9871095517503241</v>
      </c>
      <c r="AN68" s="362">
        <f t="shared" si="100"/>
        <v>0.49548328966894528</v>
      </c>
      <c r="AO68" s="362">
        <f t="shared" si="100"/>
        <v>0.51974687697606348</v>
      </c>
      <c r="AP68" s="362">
        <f t="shared" si="100"/>
        <v>0.58408193822212884</v>
      </c>
      <c r="AQ68" s="367">
        <f t="shared" si="100"/>
        <v>0.59437848428650564</v>
      </c>
      <c r="AR68" s="366">
        <f t="shared" si="100"/>
        <v>2.1927492873439176</v>
      </c>
      <c r="AS68" s="362">
        <f t="shared" si="100"/>
        <v>0.61112991515613646</v>
      </c>
      <c r="AT68" s="362">
        <f t="shared" si="100"/>
        <v>0.97454383149915114</v>
      </c>
      <c r="AU68" s="362">
        <f t="shared" si="100"/>
        <v>0.76559781841038976</v>
      </c>
      <c r="AV68" s="367">
        <f t="shared" si="100"/>
        <v>0.65775717753971186</v>
      </c>
      <c r="AW68" s="366">
        <f t="shared" si="100"/>
        <v>2.9829357111727854</v>
      </c>
      <c r="AX68" s="362">
        <f t="shared" si="100"/>
        <v>0.63982507288629753</v>
      </c>
      <c r="AY68" s="362">
        <f>AY54/AY67</f>
        <v>0.62345794392523313</v>
      </c>
      <c r="AZ68" s="362">
        <f t="shared" si="100"/>
        <v>0.74265117218584287</v>
      </c>
      <c r="BA68" s="367">
        <f t="shared" si="100"/>
        <v>0.63160987074030561</v>
      </c>
      <c r="BB68" s="366">
        <f t="shared" si="100"/>
        <v>2.6379570544683331</v>
      </c>
      <c r="BC68" s="362">
        <f t="shared" si="100"/>
        <v>0.63943255250743281</v>
      </c>
      <c r="BD68" s="362">
        <f t="shared" si="100"/>
        <v>0.7189542483660134</v>
      </c>
      <c r="BE68" s="362">
        <f t="shared" si="100"/>
        <v>0.71863606946485037</v>
      </c>
      <c r="BF68" s="367">
        <f t="shared" si="100"/>
        <v>1.2154461029376156</v>
      </c>
      <c r="BG68" s="366">
        <f t="shared" si="100"/>
        <v>3.2907432938404217</v>
      </c>
      <c r="BH68" s="362">
        <f t="shared" ref="BH68:CA68" si="101">BH54/BH67</f>
        <v>0.77349689449195924</v>
      </c>
      <c r="BI68" s="362">
        <f t="shared" si="101"/>
        <v>0.82265093060962269</v>
      </c>
      <c r="BJ68" s="362">
        <f t="shared" si="101"/>
        <v>0.9108120510083656</v>
      </c>
      <c r="BK68" s="367">
        <f t="shared" si="101"/>
        <v>0.91627925686784617</v>
      </c>
      <c r="BL68" s="366">
        <f t="shared" si="101"/>
        <v>3.4211868033111656</v>
      </c>
      <c r="BM68" s="362">
        <f t="shared" si="101"/>
        <v>0.87796513841231061</v>
      </c>
      <c r="BN68" s="362">
        <f t="shared" si="101"/>
        <v>0.93352039217985094</v>
      </c>
      <c r="BO68" s="362">
        <f t="shared" si="101"/>
        <v>1.0313159086495465</v>
      </c>
      <c r="BP68" s="367">
        <f t="shared" si="101"/>
        <v>1.0401293404937941</v>
      </c>
      <c r="BQ68" s="366">
        <f t="shared" si="101"/>
        <v>3.8799596860152845</v>
      </c>
      <c r="BR68" s="362">
        <f t="shared" si="101"/>
        <v>0.99263678585289383</v>
      </c>
      <c r="BS68" s="362">
        <f t="shared" si="101"/>
        <v>1.0543401945592059</v>
      </c>
      <c r="BT68" s="362">
        <f t="shared" si="101"/>
        <v>1.1625328594774846</v>
      </c>
      <c r="BU68" s="367">
        <f t="shared" si="101"/>
        <v>1.1737054065579664</v>
      </c>
      <c r="BV68" s="366">
        <f t="shared" si="101"/>
        <v>4.3795599957111966</v>
      </c>
      <c r="BW68" s="362">
        <f t="shared" si="101"/>
        <v>1.1262480659378618</v>
      </c>
      <c r="BX68" s="362">
        <f t="shared" si="101"/>
        <v>1.1943387260097786</v>
      </c>
      <c r="BY68" s="362">
        <f t="shared" si="101"/>
        <v>1.313356534065022</v>
      </c>
      <c r="BZ68" s="367">
        <f t="shared" si="101"/>
        <v>1.3265871851815072</v>
      </c>
      <c r="CA68" s="366">
        <f t="shared" si="101"/>
        <v>4.9566265404155301</v>
      </c>
      <c r="CB68" s="1910"/>
      <c r="CC68" s="29"/>
      <c r="CD68" s="369" t="str">
        <f t="shared" si="81"/>
        <v>Diluted GAAP EPS (Continuing Ops.)</v>
      </c>
      <c r="CE68" s="362">
        <f t="shared" si="82"/>
        <v>0.65437765099409317</v>
      </c>
      <c r="CF68" s="362">
        <f t="shared" si="83"/>
        <v>0.74053719925517614</v>
      </c>
      <c r="CG68" s="362">
        <f t="shared" si="84"/>
        <v>0.83176463228788877</v>
      </c>
      <c r="CH68" s="362">
        <f t="shared" si="85"/>
        <v>0.69504866781670838</v>
      </c>
      <c r="CI68" s="362">
        <f t="shared" si="86"/>
        <v>1.3012798060496944</v>
      </c>
      <c r="CJ68" s="362">
        <f t="shared" si="87"/>
        <v>1.6119493863649901</v>
      </c>
      <c r="CK68" s="362">
        <f t="shared" si="88"/>
        <v>1.9182395161556987</v>
      </c>
      <c r="CL68" s="362">
        <f t="shared" si="89"/>
        <v>1.9871095517503241</v>
      </c>
      <c r="CM68" s="362">
        <f t="shared" si="90"/>
        <v>2.1927492873439176</v>
      </c>
      <c r="CN68" s="362">
        <f t="shared" si="91"/>
        <v>2.9829357111727854</v>
      </c>
      <c r="CO68" s="362">
        <f t="shared" si="92"/>
        <v>2.6379570544683331</v>
      </c>
      <c r="CP68" s="362">
        <f t="shared" si="93"/>
        <v>3.2907432938404217</v>
      </c>
      <c r="CQ68" s="362">
        <f t="shared" si="94"/>
        <v>3.4211868033111656</v>
      </c>
      <c r="CR68" s="362">
        <f t="shared" si="95"/>
        <v>3.8799596860152845</v>
      </c>
      <c r="CS68" s="362">
        <f t="shared" si="96"/>
        <v>4.3795599957111966</v>
      </c>
      <c r="CT68" s="367">
        <f t="shared" si="97"/>
        <v>4.9566265404155301</v>
      </c>
      <c r="CU68" s="1961"/>
      <c r="DB68" s="1961"/>
      <c r="DC68" s="1961"/>
      <c r="DD68" s="1961"/>
      <c r="DE68" s="1961"/>
      <c r="DF68" s="1961"/>
      <c r="DG68" s="1961"/>
      <c r="DH68" s="1961"/>
      <c r="DI68" s="1961"/>
    </row>
    <row r="69" spans="1:113" ht="12" customHeight="1" x14ac:dyDescent="0.25">
      <c r="A69" s="359" t="s">
        <v>94</v>
      </c>
      <c r="B69" s="360"/>
      <c r="C69" s="361">
        <f>C58/C67</f>
        <v>0.55746284996623829</v>
      </c>
      <c r="D69" s="361">
        <f>D58/D67-0.01</f>
        <v>0.63598789597726357</v>
      </c>
      <c r="E69" s="362">
        <f t="shared" ref="E69:BG69" si="102">E58/E67</f>
        <v>0.17923176882048347</v>
      </c>
      <c r="F69" s="362">
        <f t="shared" si="102"/>
        <v>0.17283746217323229</v>
      </c>
      <c r="G69" s="362">
        <f t="shared" si="102"/>
        <v>0.17639805930799585</v>
      </c>
      <c r="H69" s="362">
        <f t="shared" si="102"/>
        <v>0.18310928327317236</v>
      </c>
      <c r="I69" s="363">
        <f t="shared" si="102"/>
        <v>0.7186072856152621</v>
      </c>
      <c r="J69" s="363">
        <f t="shared" si="102"/>
        <v>0.20894566119185495</v>
      </c>
      <c r="K69" s="362">
        <f t="shared" si="102"/>
        <v>0.2085373758964163</v>
      </c>
      <c r="L69" s="362">
        <f t="shared" si="102"/>
        <v>0.21529824790770849</v>
      </c>
      <c r="M69" s="362">
        <f t="shared" si="102"/>
        <v>0.19863627331989231</v>
      </c>
      <c r="N69" s="364">
        <f t="shared" si="102"/>
        <v>0.83176463228788877</v>
      </c>
      <c r="O69" s="362">
        <f t="shared" si="102"/>
        <v>0.248692654029289</v>
      </c>
      <c r="P69" s="370">
        <f t="shared" si="102"/>
        <v>0.25546577560221934</v>
      </c>
      <c r="Q69" s="362">
        <f>Q58/Q67</f>
        <v>0.23466666963208702</v>
      </c>
      <c r="R69" s="362">
        <f>R58/R67</f>
        <v>-3.4194786758842806E-2</v>
      </c>
      <c r="S69" s="365">
        <f t="shared" si="102"/>
        <v>0.69504866781670838</v>
      </c>
      <c r="T69" s="362">
        <f>T58/T67</f>
        <v>0.29228614350541815</v>
      </c>
      <c r="U69" s="362">
        <f t="shared" si="102"/>
        <v>0.30813240849082374</v>
      </c>
      <c r="V69" s="362">
        <f t="shared" si="102"/>
        <v>0.33591777220145519</v>
      </c>
      <c r="W69" s="362">
        <f t="shared" si="102"/>
        <v>0.36730774139374406</v>
      </c>
      <c r="X69" s="365">
        <f t="shared" si="102"/>
        <v>1.3012798060496944</v>
      </c>
      <c r="Y69" s="362">
        <f t="shared" si="102"/>
        <v>0.37225610026236289</v>
      </c>
      <c r="Z69" s="362">
        <f t="shared" si="102"/>
        <v>0.37551096995141497</v>
      </c>
      <c r="AA69" s="362">
        <f t="shared" si="102"/>
        <v>0.41471719245942529</v>
      </c>
      <c r="AB69" s="362">
        <f t="shared" si="102"/>
        <v>0.47098342086520906</v>
      </c>
      <c r="AC69" s="366">
        <f t="shared" si="102"/>
        <v>1.6313579995180658</v>
      </c>
      <c r="AD69" s="362">
        <f t="shared" si="102"/>
        <v>0.43536996204628609</v>
      </c>
      <c r="AE69" s="362">
        <f t="shared" si="102"/>
        <v>0.42658769361955379</v>
      </c>
      <c r="AF69" s="362">
        <f t="shared" si="102"/>
        <v>0.48299392831350879</v>
      </c>
      <c r="AG69" s="362">
        <f t="shared" si="102"/>
        <v>0.57183827806864462</v>
      </c>
      <c r="AH69" s="366">
        <f t="shared" si="102"/>
        <v>1.9182395161556987</v>
      </c>
      <c r="AI69" s="362">
        <f>AI58/AI67</f>
        <v>0.46602628662393075</v>
      </c>
      <c r="AJ69" s="362">
        <f t="shared" si="102"/>
        <v>0.48834074936981797</v>
      </c>
      <c r="AK69" s="362">
        <f t="shared" si="102"/>
        <v>0.56020011274404102</v>
      </c>
      <c r="AL69" s="362">
        <f t="shared" si="102"/>
        <v>0.50792977651736226</v>
      </c>
      <c r="AM69" s="366">
        <f t="shared" si="102"/>
        <v>2.0223204188060402</v>
      </c>
      <c r="AN69" s="362">
        <f t="shared" si="102"/>
        <v>0.67807176593792096</v>
      </c>
      <c r="AO69" s="362">
        <f t="shared" si="102"/>
        <v>0.51974687697606348</v>
      </c>
      <c r="AP69" s="362">
        <f t="shared" si="102"/>
        <v>0.58408193822212884</v>
      </c>
      <c r="AQ69" s="367">
        <f t="shared" si="102"/>
        <v>0.58276742538492654</v>
      </c>
      <c r="AR69" s="366">
        <f t="shared" si="102"/>
        <v>2.3652590845931418</v>
      </c>
      <c r="AS69" s="362">
        <f t="shared" si="102"/>
        <v>0.61112991515613646</v>
      </c>
      <c r="AT69" s="362">
        <f t="shared" si="102"/>
        <v>0.97454383149915114</v>
      </c>
      <c r="AU69" s="362">
        <f t="shared" si="102"/>
        <v>0.76559781841038976</v>
      </c>
      <c r="AV69" s="367">
        <f t="shared" si="102"/>
        <v>0.65775717753971186</v>
      </c>
      <c r="AW69" s="366">
        <f t="shared" si="102"/>
        <v>2.9829357111727854</v>
      </c>
      <c r="AX69" s="362">
        <f t="shared" si="102"/>
        <v>0.54016909620991271</v>
      </c>
      <c r="AY69" s="362">
        <f>AY58/AY67</f>
        <v>1.528831775700934</v>
      </c>
      <c r="AZ69" s="362">
        <f t="shared" si="102"/>
        <v>0.74265117218584287</v>
      </c>
      <c r="BA69" s="367">
        <f t="shared" si="102"/>
        <v>0.64218566392479448</v>
      </c>
      <c r="BB69" s="366">
        <f t="shared" si="102"/>
        <v>3.4541502899358671</v>
      </c>
      <c r="BC69" s="362">
        <f t="shared" si="102"/>
        <v>0.63943255250743281</v>
      </c>
      <c r="BD69" s="362">
        <f t="shared" si="102"/>
        <v>0.7189542483660134</v>
      </c>
      <c r="BE69" s="362">
        <f t="shared" si="102"/>
        <v>0.71863606946485037</v>
      </c>
      <c r="BF69" s="367">
        <f t="shared" si="102"/>
        <v>1.2154461029376156</v>
      </c>
      <c r="BG69" s="366">
        <f t="shared" si="102"/>
        <v>3.2907432938404217</v>
      </c>
      <c r="BH69" s="362">
        <f t="shared" ref="BH69:CA69" si="103">BH58/BH67</f>
        <v>0.77349689449195924</v>
      </c>
      <c r="BI69" s="362">
        <f t="shared" si="103"/>
        <v>0.82265093060962269</v>
      </c>
      <c r="BJ69" s="362">
        <f t="shared" si="103"/>
        <v>0.9108120510083656</v>
      </c>
      <c r="BK69" s="367">
        <f t="shared" si="103"/>
        <v>0.91627925686784617</v>
      </c>
      <c r="BL69" s="366">
        <f t="shared" si="103"/>
        <v>3.4211868033111656</v>
      </c>
      <c r="BM69" s="362">
        <f t="shared" si="103"/>
        <v>0.87796513841231061</v>
      </c>
      <c r="BN69" s="362">
        <f t="shared" si="103"/>
        <v>0.93352039217985094</v>
      </c>
      <c r="BO69" s="362">
        <f t="shared" si="103"/>
        <v>1.0313159086495465</v>
      </c>
      <c r="BP69" s="367">
        <f t="shared" si="103"/>
        <v>1.0401293404937941</v>
      </c>
      <c r="BQ69" s="366">
        <f t="shared" si="103"/>
        <v>3.8799596860152845</v>
      </c>
      <c r="BR69" s="362">
        <f t="shared" si="103"/>
        <v>0.99263678585289383</v>
      </c>
      <c r="BS69" s="362">
        <f t="shared" si="103"/>
        <v>1.0543401945592059</v>
      </c>
      <c r="BT69" s="362">
        <f t="shared" si="103"/>
        <v>1.1625328594774846</v>
      </c>
      <c r="BU69" s="367">
        <f t="shared" si="103"/>
        <v>1.1737054065579664</v>
      </c>
      <c r="BV69" s="366">
        <f t="shared" si="103"/>
        <v>4.3795599957111966</v>
      </c>
      <c r="BW69" s="362">
        <f t="shared" si="103"/>
        <v>1.1262480659378618</v>
      </c>
      <c r="BX69" s="362">
        <f t="shared" si="103"/>
        <v>1.1943387260097786</v>
      </c>
      <c r="BY69" s="362">
        <f t="shared" si="103"/>
        <v>1.313356534065022</v>
      </c>
      <c r="BZ69" s="367">
        <f t="shared" si="103"/>
        <v>1.3265871851815072</v>
      </c>
      <c r="CA69" s="366">
        <f t="shared" si="103"/>
        <v>4.9566265404155301</v>
      </c>
      <c r="CB69" s="1910"/>
      <c r="CC69" s="29"/>
      <c r="CD69" s="369" t="str">
        <f t="shared" si="81"/>
        <v>Diluted GAAP EPS Reported</v>
      </c>
      <c r="CE69" s="362">
        <f t="shared" si="82"/>
        <v>0.63598789597726357</v>
      </c>
      <c r="CF69" s="362">
        <f t="shared" si="83"/>
        <v>0.7186072856152621</v>
      </c>
      <c r="CG69" s="362">
        <f t="shared" si="84"/>
        <v>0.83176463228788877</v>
      </c>
      <c r="CH69" s="362">
        <f t="shared" si="85"/>
        <v>0.69504866781670838</v>
      </c>
      <c r="CI69" s="362">
        <f t="shared" si="86"/>
        <v>1.3012798060496944</v>
      </c>
      <c r="CJ69" s="362">
        <f t="shared" si="87"/>
        <v>1.6313579995180658</v>
      </c>
      <c r="CK69" s="362">
        <f t="shared" si="88"/>
        <v>1.9182395161556987</v>
      </c>
      <c r="CL69" s="362">
        <f t="shared" si="89"/>
        <v>2.0223204188060402</v>
      </c>
      <c r="CM69" s="362">
        <f t="shared" si="90"/>
        <v>2.3652590845931418</v>
      </c>
      <c r="CN69" s="362">
        <f t="shared" si="91"/>
        <v>2.9829357111727854</v>
      </c>
      <c r="CO69" s="362">
        <f t="shared" si="92"/>
        <v>3.4541502899358671</v>
      </c>
      <c r="CP69" s="362">
        <f t="shared" si="93"/>
        <v>3.2907432938404217</v>
      </c>
      <c r="CQ69" s="362">
        <f t="shared" si="94"/>
        <v>3.4211868033111656</v>
      </c>
      <c r="CR69" s="362">
        <f t="shared" si="95"/>
        <v>3.8799596860152845</v>
      </c>
      <c r="CS69" s="362">
        <f t="shared" si="96"/>
        <v>4.3795599957111966</v>
      </c>
      <c r="CT69" s="367">
        <f t="shared" si="97"/>
        <v>4.9566265404155301</v>
      </c>
      <c r="CU69" s="1961"/>
      <c r="DB69" s="1961"/>
      <c r="DC69" s="1961"/>
      <c r="DD69" s="1961"/>
      <c r="DE69" s="1961"/>
      <c r="DF69" s="1961"/>
      <c r="DG69" s="1961"/>
      <c r="DH69" s="1961"/>
      <c r="DI69" s="1961"/>
    </row>
    <row r="70" spans="1:113" s="6" customFormat="1" ht="12" customHeight="1" x14ac:dyDescent="0.25">
      <c r="A70" s="296" t="s">
        <v>95</v>
      </c>
      <c r="B70" s="370"/>
      <c r="C70" s="361">
        <f t="shared" ref="C70:AO70" si="104">C59/C67</f>
        <v>0.55746284996623829</v>
      </c>
      <c r="D70" s="361">
        <f t="shared" si="104"/>
        <v>0.70051897955479459</v>
      </c>
      <c r="E70" s="370">
        <f t="shared" si="104"/>
        <v>0.17923176882048347</v>
      </c>
      <c r="F70" s="370">
        <f t="shared" si="104"/>
        <v>0.17283746217323229</v>
      </c>
      <c r="G70" s="370">
        <f t="shared" si="104"/>
        <v>0.17639805930799585</v>
      </c>
      <c r="H70" s="370">
        <f t="shared" si="104"/>
        <v>0.18310928327317236</v>
      </c>
      <c r="I70" s="371">
        <f t="shared" si="104"/>
        <v>0.78457384213855119</v>
      </c>
      <c r="J70" s="371">
        <f t="shared" si="104"/>
        <v>0.22507011795911019</v>
      </c>
      <c r="K70" s="370">
        <f t="shared" si="104"/>
        <v>0.22739939689588923</v>
      </c>
      <c r="L70" s="370">
        <f t="shared" si="104"/>
        <v>0.23237871615503894</v>
      </c>
      <c r="M70" s="370">
        <f t="shared" si="104"/>
        <v>0.21251502827673655</v>
      </c>
      <c r="N70" s="361">
        <f t="shared" si="104"/>
        <v>0.89780515024572638</v>
      </c>
      <c r="O70" s="370">
        <f t="shared" si="104"/>
        <v>0.26437886774107744</v>
      </c>
      <c r="P70" s="370">
        <f t="shared" si="104"/>
        <v>0.2763750534764513</v>
      </c>
      <c r="Q70" s="370">
        <f t="shared" si="104"/>
        <v>0.27345436510308424</v>
      </c>
      <c r="R70" s="370">
        <f t="shared" si="104"/>
        <v>0.2879896082653185</v>
      </c>
      <c r="S70" s="372">
        <f>S59/S67</f>
        <v>1.1027544867525836</v>
      </c>
      <c r="T70" s="370">
        <f t="shared" si="104"/>
        <v>0.29228614350541815</v>
      </c>
      <c r="U70" s="370">
        <f t="shared" si="104"/>
        <v>0.30813240849082374</v>
      </c>
      <c r="V70" s="370">
        <f t="shared" si="104"/>
        <v>0.33591777220145519</v>
      </c>
      <c r="W70" s="370">
        <f t="shared" si="104"/>
        <v>0.36730774139374406</v>
      </c>
      <c r="X70" s="372">
        <f t="shared" si="104"/>
        <v>1.3012798060496944</v>
      </c>
      <c r="Y70" s="370">
        <f t="shared" si="104"/>
        <v>0.37225610026236289</v>
      </c>
      <c r="Z70" s="370">
        <f t="shared" si="104"/>
        <v>0.37551096995141497</v>
      </c>
      <c r="AA70" s="370">
        <f t="shared" si="104"/>
        <v>0.41471719245942529</v>
      </c>
      <c r="AB70" s="370">
        <f t="shared" si="104"/>
        <v>0.47098342086520906</v>
      </c>
      <c r="AC70" s="368">
        <f t="shared" si="104"/>
        <v>1.6313579995180658</v>
      </c>
      <c r="AD70" s="370">
        <f t="shared" si="104"/>
        <v>0.43283131064094116</v>
      </c>
      <c r="AE70" s="370">
        <f t="shared" si="104"/>
        <v>0.425854715078472</v>
      </c>
      <c r="AF70" s="370">
        <f t="shared" si="104"/>
        <v>0.48591830447606116</v>
      </c>
      <c r="AG70" s="370">
        <f t="shared" si="104"/>
        <v>0.57143688190808606</v>
      </c>
      <c r="AH70" s="368">
        <f t="shared" si="104"/>
        <v>1.9174940436403327</v>
      </c>
      <c r="AI70" s="370">
        <f>AI59/AI67</f>
        <v>0.46686559816596185</v>
      </c>
      <c r="AJ70" s="370">
        <f t="shared" si="104"/>
        <v>0.48760437955195396</v>
      </c>
      <c r="AK70" s="370">
        <f t="shared" si="104"/>
        <v>0.55887572139901509</v>
      </c>
      <c r="AL70" s="370">
        <f t="shared" si="104"/>
        <v>0.51285050454961489</v>
      </c>
      <c r="AM70" s="368">
        <f t="shared" si="104"/>
        <v>2.0260063569168842</v>
      </c>
      <c r="AN70" s="370">
        <f t="shared" si="104"/>
        <v>0.6780189556963675</v>
      </c>
      <c r="AO70" s="370">
        <f t="shared" si="104"/>
        <v>0.51856696147877956</v>
      </c>
      <c r="AP70" s="370">
        <f>AP59/AP67</f>
        <v>0.58576313149984738</v>
      </c>
      <c r="AQ70" s="370">
        <f>AQ59/AQ67</f>
        <v>0.58136691621844749</v>
      </c>
      <c r="AR70" s="368">
        <f>SUM(AN70:AQ70)</f>
        <v>2.363715964893442</v>
      </c>
      <c r="AS70" s="370">
        <f>AS59/AS67</f>
        <v>0.61484551766402684</v>
      </c>
      <c r="AT70" s="370">
        <f>AT59/AT67</f>
        <v>0.8170367351468879</v>
      </c>
      <c r="AU70" s="370">
        <f>AU59/AU67</f>
        <v>0.66156191840457168</v>
      </c>
      <c r="AV70" s="370">
        <f>AV59/AV67</f>
        <v>0.65833666354281273</v>
      </c>
      <c r="AW70" s="368">
        <f>SUM(AS70:AV70)</f>
        <v>2.751780834758299</v>
      </c>
      <c r="AX70" s="370">
        <f>AX59/AX67</f>
        <v>0.54140524781341126</v>
      </c>
      <c r="AY70" s="370">
        <f>AY59/AY67</f>
        <v>1.5337733644859808</v>
      </c>
      <c r="AZ70" s="370">
        <f>AZ59/AZ67</f>
        <v>0.75836841091148921</v>
      </c>
      <c r="BA70" s="370">
        <f>BA59/BA67</f>
        <v>0.77085781433607536</v>
      </c>
      <c r="BB70" s="368">
        <f>SUM(AX70:BA70)</f>
        <v>3.6044048375469564</v>
      </c>
      <c r="BC70" s="370">
        <f>BC59/BC67</f>
        <v>0.6505991136265884</v>
      </c>
      <c r="BD70" s="370">
        <f>BD59/BD67</f>
        <v>0.73915626856803363</v>
      </c>
      <c r="BE70" s="370">
        <f>BE59/BE67</f>
        <v>0.73411621677726635</v>
      </c>
      <c r="BF70" s="370">
        <f>BF59/BF67</f>
        <v>1.2255451174781529</v>
      </c>
      <c r="BG70" s="368">
        <f>SUM(BC70:BF70)</f>
        <v>3.3494167164500412</v>
      </c>
      <c r="BH70" s="370">
        <f>BH59/BH67</f>
        <v>0.77349689449195924</v>
      </c>
      <c r="BI70" s="370">
        <f>BI59/BI67</f>
        <v>0.82265093060962269</v>
      </c>
      <c r="BJ70" s="370">
        <f>BJ59/BJ67</f>
        <v>0.9108120510083656</v>
      </c>
      <c r="BK70" s="370">
        <f>BK59/BK67</f>
        <v>0.91627925686784617</v>
      </c>
      <c r="BL70" s="368">
        <f>SUM(BH70:BK70)</f>
        <v>3.4232391329777938</v>
      </c>
      <c r="BM70" s="370">
        <f>BM59/BM67</f>
        <v>0.87796513841231061</v>
      </c>
      <c r="BN70" s="370">
        <f>BN59/BN67</f>
        <v>0.93352039217985094</v>
      </c>
      <c r="BO70" s="370">
        <f>BO59/BO67</f>
        <v>1.0313159086495465</v>
      </c>
      <c r="BP70" s="370">
        <f>BP59/BP67</f>
        <v>1.0401293404937941</v>
      </c>
      <c r="BQ70" s="368">
        <f>SUM(BM70:BP70)</f>
        <v>3.8829307797355019</v>
      </c>
      <c r="BR70" s="370">
        <f>BR59/BR67</f>
        <v>0.99263678585289383</v>
      </c>
      <c r="BS70" s="370">
        <f>BS59/BS67</f>
        <v>1.0543401945592059</v>
      </c>
      <c r="BT70" s="370">
        <f>BT59/BT67</f>
        <v>1.1625328594774846</v>
      </c>
      <c r="BU70" s="370">
        <f>BU59/BU67</f>
        <v>1.1737054065579664</v>
      </c>
      <c r="BV70" s="368">
        <f>SUM(BR70:BU70)</f>
        <v>4.3832152464475502</v>
      </c>
      <c r="BW70" s="370">
        <f>BW59/BW67</f>
        <v>1.1262480659378618</v>
      </c>
      <c r="BX70" s="370">
        <f>BX59/BX67</f>
        <v>1.1943387260097786</v>
      </c>
      <c r="BY70" s="370">
        <f>BY59/BY67</f>
        <v>1.313356534065022</v>
      </c>
      <c r="BZ70" s="370">
        <f>BZ59/BZ67</f>
        <v>1.3265871851815072</v>
      </c>
      <c r="CA70" s="368">
        <f>SUM(BW70:BZ70)</f>
        <v>4.96053051119417</v>
      </c>
      <c r="CB70" s="1910"/>
      <c r="CC70" s="9"/>
      <c r="CD70" s="317" t="str">
        <f t="shared" si="81"/>
        <v>Adj. EPS (excl. ESOP &amp; extraordinary items)</v>
      </c>
      <c r="CE70" s="370">
        <f t="shared" si="82"/>
        <v>0.70051897955479459</v>
      </c>
      <c r="CF70" s="370">
        <f t="shared" si="83"/>
        <v>0.78457384213855119</v>
      </c>
      <c r="CG70" s="370">
        <f t="shared" si="84"/>
        <v>0.89780515024572638</v>
      </c>
      <c r="CH70" s="370">
        <f t="shared" si="85"/>
        <v>1.1027544867525836</v>
      </c>
      <c r="CI70" s="370">
        <f t="shared" si="86"/>
        <v>1.3012798060496944</v>
      </c>
      <c r="CJ70" s="370">
        <f t="shared" si="87"/>
        <v>1.6313579995180658</v>
      </c>
      <c r="CK70" s="370">
        <f t="shared" si="88"/>
        <v>1.9174940436403327</v>
      </c>
      <c r="CL70" s="370">
        <f t="shared" si="89"/>
        <v>2.0260063569168842</v>
      </c>
      <c r="CM70" s="370">
        <f t="shared" si="90"/>
        <v>2.363715964893442</v>
      </c>
      <c r="CN70" s="370">
        <f t="shared" si="91"/>
        <v>2.751780834758299</v>
      </c>
      <c r="CO70" s="370">
        <f t="shared" si="92"/>
        <v>3.6044048375469564</v>
      </c>
      <c r="CP70" s="370">
        <f t="shared" si="93"/>
        <v>3.3494167164500412</v>
      </c>
      <c r="CQ70" s="370">
        <f t="shared" si="94"/>
        <v>3.4232391329777938</v>
      </c>
      <c r="CR70" s="370">
        <f t="shared" si="95"/>
        <v>3.8829307797355019</v>
      </c>
      <c r="CS70" s="370">
        <f t="shared" si="96"/>
        <v>4.3832152464475502</v>
      </c>
      <c r="CT70" s="373">
        <f t="shared" si="97"/>
        <v>4.96053051119417</v>
      </c>
      <c r="CV70"/>
      <c r="CW70"/>
      <c r="CX70"/>
      <c r="CY70"/>
      <c r="CZ70"/>
      <c r="DA70"/>
    </row>
    <row r="71" spans="1:113" ht="12" customHeight="1" x14ac:dyDescent="0.25">
      <c r="A71" s="374" t="s">
        <v>96</v>
      </c>
      <c r="B71" s="375"/>
      <c r="C71" s="376">
        <f t="shared" ref="C71:H71" si="105">C61/C65</f>
        <v>0.61088870755958713</v>
      </c>
      <c r="D71" s="377">
        <f>D61/D67</f>
        <v>0.77466333050759906</v>
      </c>
      <c r="E71" s="378">
        <f t="shared" si="105"/>
        <v>0.20385362121182282</v>
      </c>
      <c r="F71" s="378">
        <f t="shared" si="105"/>
        <v>0.19594621823522634</v>
      </c>
      <c r="G71" s="378">
        <f t="shared" si="105"/>
        <v>0.19799944679611506</v>
      </c>
      <c r="H71" s="378">
        <f t="shared" si="105"/>
        <v>0.20830867707550021</v>
      </c>
      <c r="I71" s="379">
        <f t="shared" ref="I71:AM71" si="106">I61/I67</f>
        <v>0.88004554010545821</v>
      </c>
      <c r="J71" s="379">
        <f t="shared" si="106"/>
        <v>0.2485363180183712</v>
      </c>
      <c r="K71" s="378">
        <f t="shared" si="106"/>
        <v>0.24803972104934915</v>
      </c>
      <c r="L71" s="378">
        <f t="shared" si="106"/>
        <v>0.25364774359684827</v>
      </c>
      <c r="M71" s="378">
        <f t="shared" si="106"/>
        <v>0.23618228496244595</v>
      </c>
      <c r="N71" s="376">
        <f t="shared" si="106"/>
        <v>0.98682904690295414</v>
      </c>
      <c r="O71" s="378">
        <f t="shared" si="106"/>
        <v>0.29182558901511024</v>
      </c>
      <c r="P71" s="378">
        <f t="shared" si="106"/>
        <v>0.30379067579559066</v>
      </c>
      <c r="Q71" s="378">
        <f t="shared" si="106"/>
        <v>0.29940364474229642</v>
      </c>
      <c r="R71" s="378">
        <f t="shared" si="106"/>
        <v>0.31780725009382055</v>
      </c>
      <c r="S71" s="376">
        <f t="shared" si="106"/>
        <v>1.2134998373815367</v>
      </c>
      <c r="T71" s="378">
        <f t="shared" si="106"/>
        <v>0.3274977166580077</v>
      </c>
      <c r="U71" s="378">
        <f t="shared" si="106"/>
        <v>0.32998509727873199</v>
      </c>
      <c r="V71" s="378">
        <f t="shared" si="106"/>
        <v>0.3553259984483999</v>
      </c>
      <c r="W71" s="378">
        <f t="shared" si="106"/>
        <v>0.39005648394041625</v>
      </c>
      <c r="X71" s="380">
        <f t="shared" si="106"/>
        <v>1.4006762693511003</v>
      </c>
      <c r="Y71" s="378">
        <f t="shared" si="106"/>
        <v>0.40092291665423502</v>
      </c>
      <c r="Z71" s="378">
        <f t="shared" si="106"/>
        <v>0.40600903216775963</v>
      </c>
      <c r="AA71" s="378">
        <f t="shared" si="106"/>
        <v>0.44555209662217127</v>
      </c>
      <c r="AB71" s="378">
        <f t="shared" si="106"/>
        <v>0.50126003516677742</v>
      </c>
      <c r="AC71" s="381">
        <f t="shared" si="106"/>
        <v>1.7516108824382424</v>
      </c>
      <c r="AD71" s="378">
        <f t="shared" si="106"/>
        <v>0.46500421766292105</v>
      </c>
      <c r="AE71" s="378">
        <f t="shared" si="106"/>
        <v>0.468391903079248</v>
      </c>
      <c r="AF71" s="378">
        <f t="shared" si="106"/>
        <v>0.53697255285974477</v>
      </c>
      <c r="AG71" s="378">
        <f t="shared" si="106"/>
        <v>0.63202443280977316</v>
      </c>
      <c r="AH71" s="381">
        <f t="shared" si="106"/>
        <v>2.1025706000619282</v>
      </c>
      <c r="AI71" s="378">
        <f>(AI61-AI55)/AI67</f>
        <v>0.51991703364888531</v>
      </c>
      <c r="AJ71" s="378">
        <f t="shared" si="106"/>
        <v>0.53446533126831264</v>
      </c>
      <c r="AK71" s="378">
        <f t="shared" si="106"/>
        <v>0.60616462464399656</v>
      </c>
      <c r="AL71" s="378">
        <f t="shared" si="106"/>
        <v>0.55496494848955691</v>
      </c>
      <c r="AM71" s="381">
        <f t="shared" si="106"/>
        <v>2.2215421811523393</v>
      </c>
      <c r="AN71" s="378">
        <f t="shared" ref="AN71:AZ71" si="107">(AN61-AN55)/AN67</f>
        <v>0.54546642295796377</v>
      </c>
      <c r="AO71" s="378">
        <f t="shared" si="107"/>
        <v>0.57016416471091735</v>
      </c>
      <c r="AP71" s="378">
        <f t="shared" si="107"/>
        <v>0.6372312709877811</v>
      </c>
      <c r="AQ71" s="377">
        <f>(AQ61)/AQ67</f>
        <v>0.64725668294395478</v>
      </c>
      <c r="AR71" s="381">
        <f>SUM(AN71:AQ71)</f>
        <v>2.4001185416006168</v>
      </c>
      <c r="AS71" s="378">
        <f t="shared" si="107"/>
        <v>0.66587931810990297</v>
      </c>
      <c r="AT71" s="378">
        <f>(AT61-AT55)/AT67</f>
        <v>0.76785604534027518</v>
      </c>
      <c r="AU71" s="378">
        <f t="shared" si="107"/>
        <v>0.84541946723687245</v>
      </c>
      <c r="AV71" s="377">
        <f t="shared" si="107"/>
        <v>0.80281990869595421</v>
      </c>
      <c r="AW71" s="381">
        <f>SUM(AS71:AV71)</f>
        <v>3.0819747393830053</v>
      </c>
      <c r="AX71" s="378">
        <f>(AX61)/AX67</f>
        <v>0.74286297376093302</v>
      </c>
      <c r="AY71" s="378">
        <f>(AY61)/AY67</f>
        <v>0.72571261682242905</v>
      </c>
      <c r="AZ71" s="378">
        <f t="shared" si="107"/>
        <v>0.84032507906644238</v>
      </c>
      <c r="BA71" s="382">
        <f>(BA61)/BA67</f>
        <v>0.79553466509988258</v>
      </c>
      <c r="BB71" s="381">
        <f>SUM(AX71:BA71)</f>
        <v>3.1044353347496871</v>
      </c>
      <c r="BC71" s="378">
        <f>(BC61-BC55)/BC67</f>
        <v>0.73640532012115212</v>
      </c>
      <c r="BD71" s="378">
        <f>(BD61-BD55)/BD67</f>
        <v>0.82352941176470618</v>
      </c>
      <c r="BE71" s="378">
        <f>(BE61-BE55)/BE67</f>
        <v>0.84009568683919145</v>
      </c>
      <c r="BF71" s="377">
        <f>(BF61-BF55)/BF67</f>
        <v>1.3390105161394845</v>
      </c>
      <c r="BG71" s="381">
        <f>SUM(BC71:BF71)</f>
        <v>3.7390409348645344</v>
      </c>
      <c r="BH71" s="378">
        <f>(BH61-BH55)/BH67</f>
        <v>0.91623730590219798</v>
      </c>
      <c r="BI71" s="378">
        <f>(BI61-BI55)/BI67</f>
        <v>0.96654163241992386</v>
      </c>
      <c r="BJ71" s="378">
        <f>(BJ61-BJ55)/BJ67</f>
        <v>1.0558488650623612</v>
      </c>
      <c r="BK71" s="377">
        <f>(BK61-BK55)/BK67</f>
        <v>1.0624578088444958</v>
      </c>
      <c r="BL71" s="381">
        <f>SUM(BH71:BK71)</f>
        <v>4.0010856122289784</v>
      </c>
      <c r="BM71" s="378">
        <f>(BM61-BM55)/BM67</f>
        <v>1.0229001042872494</v>
      </c>
      <c r="BN71" s="378">
        <f>(BN61-BN55)/BN67</f>
        <v>1.0799485696302742</v>
      </c>
      <c r="BO71" s="378">
        <f>(BO61-BO55)/BO67</f>
        <v>1.1792385004617465</v>
      </c>
      <c r="BP71" s="377">
        <f>(BP61-BP55)/BP67</f>
        <v>1.1895472635949664</v>
      </c>
      <c r="BQ71" s="381">
        <f>SUM(BM71:BP71)</f>
        <v>4.4716344379742363</v>
      </c>
      <c r="BR71" s="378">
        <f>(BR61-BR55)/BR67</f>
        <v>1.1389256943396346</v>
      </c>
      <c r="BS71" s="378">
        <f>(BS61-BS55)/BS67</f>
        <v>1.2022915144590747</v>
      </c>
      <c r="BT71" s="378">
        <f>(BT61-BT55)/BT67</f>
        <v>1.3121514302902149</v>
      </c>
      <c r="BU71" s="377">
        <f>(BU61-BU55)/BU67</f>
        <v>1.3249957673903219</v>
      </c>
      <c r="BV71" s="381">
        <f>SUM(BR71:BU71)</f>
        <v>4.9783644064792458</v>
      </c>
      <c r="BW71" s="378">
        <f>(BW61-BW55)/BW67</f>
        <v>1.2641257096599081</v>
      </c>
      <c r="BX71" s="378">
        <f>(BX61-BX55)/BX67</f>
        <v>1.3337306113047733</v>
      </c>
      <c r="BY71" s="378">
        <f>(BY61-BY55)/BY67</f>
        <v>1.4542659224779593</v>
      </c>
      <c r="BZ71" s="377">
        <f>(BZ61-BZ55)/BZ67</f>
        <v>1.4690170564636127</v>
      </c>
      <c r="CA71" s="381">
        <f>SUM(BW71:BZ71)</f>
        <v>5.5211392999062534</v>
      </c>
      <c r="CB71" s="1910">
        <f>(CA71/BG71)^(1/4)-1</f>
        <v>0.1023439457027322</v>
      </c>
      <c r="CC71" s="383"/>
      <c r="CD71" s="384" t="str">
        <f t="shared" si="81"/>
        <v>Adjusted, Cont EPS</v>
      </c>
      <c r="CE71" s="378">
        <f t="shared" si="82"/>
        <v>0.77466333050759906</v>
      </c>
      <c r="CF71" s="378">
        <f t="shared" si="83"/>
        <v>0.88004554010545821</v>
      </c>
      <c r="CG71" s="378">
        <f t="shared" si="84"/>
        <v>0.98682904690295414</v>
      </c>
      <c r="CH71" s="378">
        <f t="shared" si="85"/>
        <v>1.2134998373815367</v>
      </c>
      <c r="CI71" s="378">
        <f t="shared" si="86"/>
        <v>1.4006762693511003</v>
      </c>
      <c r="CJ71" s="378">
        <f t="shared" si="87"/>
        <v>1.7516108824382424</v>
      </c>
      <c r="CK71" s="378">
        <f t="shared" si="88"/>
        <v>2.1025706000619282</v>
      </c>
      <c r="CL71" s="378">
        <f t="shared" si="89"/>
        <v>2.2215421811523393</v>
      </c>
      <c r="CM71" s="378">
        <f t="shared" si="90"/>
        <v>2.4001185416006168</v>
      </c>
      <c r="CN71" s="378">
        <f t="shared" si="91"/>
        <v>3.0819747393830053</v>
      </c>
      <c r="CO71" s="378">
        <f t="shared" si="92"/>
        <v>3.1044353347496871</v>
      </c>
      <c r="CP71" s="378">
        <f t="shared" si="93"/>
        <v>3.7390409348645344</v>
      </c>
      <c r="CQ71" s="378">
        <f t="shared" si="94"/>
        <v>4.0010856122289784</v>
      </c>
      <c r="CR71" s="378">
        <f t="shared" si="95"/>
        <v>4.4716344379742363</v>
      </c>
      <c r="CS71" s="378">
        <f t="shared" si="96"/>
        <v>4.9783644064792458</v>
      </c>
      <c r="CT71" s="377">
        <f t="shared" si="97"/>
        <v>5.5211392999062534</v>
      </c>
      <c r="CU71" s="1961"/>
      <c r="DB71" s="1961"/>
      <c r="DC71" s="1961"/>
      <c r="DD71" s="1961"/>
      <c r="DE71" s="1961"/>
      <c r="DF71" s="1961"/>
      <c r="DG71" s="1961"/>
      <c r="DH71" s="1961"/>
      <c r="DI71" s="1961"/>
    </row>
    <row r="72" spans="1:113" ht="12" customHeight="1" x14ac:dyDescent="0.25">
      <c r="A72" s="385" t="s">
        <v>97</v>
      </c>
      <c r="B72" s="360"/>
      <c r="C72" s="370"/>
      <c r="D72" s="370"/>
      <c r="E72" s="362"/>
      <c r="F72" s="362"/>
      <c r="G72" s="362"/>
      <c r="H72" s="362"/>
      <c r="I72" s="362"/>
      <c r="J72" s="362"/>
      <c r="K72" s="362"/>
      <c r="L72" s="362"/>
      <c r="M72" s="362"/>
      <c r="N72" s="362"/>
      <c r="O72" s="362"/>
      <c r="P72" s="362"/>
      <c r="Q72" s="362"/>
      <c r="R72" s="362"/>
      <c r="S72" s="362"/>
      <c r="T72" s="362"/>
      <c r="U72" s="362"/>
      <c r="V72" s="362"/>
      <c r="W72" s="362"/>
      <c r="X72" s="362"/>
      <c r="Y72" s="362"/>
      <c r="Z72" s="362"/>
      <c r="AA72" s="362"/>
      <c r="AB72" s="362"/>
      <c r="AC72" s="362"/>
      <c r="AD72" s="370">
        <v>0.44</v>
      </c>
      <c r="AE72" s="370">
        <v>0.45</v>
      </c>
      <c r="AF72" s="370">
        <v>0.52</v>
      </c>
      <c r="AG72" s="370">
        <v>0.62</v>
      </c>
      <c r="AH72" s="370">
        <f>SUM(AD72:AG72)</f>
        <v>2.0300000000000002</v>
      </c>
      <c r="AI72" s="370">
        <v>0.52</v>
      </c>
      <c r="AJ72" s="370">
        <v>0.53</v>
      </c>
      <c r="AK72" s="362">
        <v>0.61</v>
      </c>
      <c r="AL72" s="362">
        <v>0.55000000000000004</v>
      </c>
      <c r="AM72" s="362">
        <f>SUM(AI72:AL72)</f>
        <v>2.21</v>
      </c>
      <c r="AN72" s="362"/>
      <c r="AO72" s="362"/>
      <c r="AP72" s="362"/>
      <c r="AQ72" s="386"/>
      <c r="AR72" s="95"/>
      <c r="AS72" s="362"/>
      <c r="AT72" s="362"/>
      <c r="AU72" s="362"/>
      <c r="AV72" s="362"/>
      <c r="AW72" s="387"/>
      <c r="AX72" s="362"/>
      <c r="AY72" s="362"/>
      <c r="AZ72" s="362"/>
      <c r="BA72" s="362"/>
      <c r="BB72" s="388"/>
      <c r="BC72" s="362"/>
      <c r="BD72" s="362"/>
      <c r="BE72" s="362"/>
      <c r="BF72" s="362"/>
      <c r="BG72" s="388"/>
      <c r="BH72" s="362"/>
      <c r="BI72" s="362"/>
      <c r="BJ72" s="362"/>
      <c r="BK72" s="362"/>
      <c r="BL72" s="388"/>
      <c r="BM72" s="362"/>
      <c r="BN72" s="362"/>
      <c r="BO72" s="362"/>
      <c r="BP72" s="362"/>
      <c r="BQ72" s="388"/>
      <c r="BR72" s="362"/>
      <c r="BS72" s="362"/>
      <c r="BT72" s="362"/>
      <c r="BU72" s="362"/>
      <c r="BV72" s="388"/>
      <c r="BW72" s="362"/>
      <c r="BX72" s="362"/>
      <c r="BY72" s="362"/>
      <c r="BZ72" s="362"/>
      <c r="CA72" s="388"/>
      <c r="CB72" s="1910"/>
      <c r="CC72" s="29"/>
      <c r="CD72" s="385" t="str">
        <f t="shared" si="81"/>
        <v>Restated Adj EPS, Continuing</v>
      </c>
      <c r="CE72" s="362">
        <f t="shared" si="82"/>
        <v>0</v>
      </c>
      <c r="CF72" s="362">
        <f t="shared" si="83"/>
        <v>0</v>
      </c>
      <c r="CG72" s="362">
        <f t="shared" si="84"/>
        <v>0</v>
      </c>
      <c r="CH72" s="362">
        <f t="shared" si="85"/>
        <v>0</v>
      </c>
      <c r="CI72" s="362">
        <f t="shared" si="86"/>
        <v>0</v>
      </c>
      <c r="CJ72" s="362"/>
      <c r="CK72" s="362">
        <f t="shared" si="88"/>
        <v>2.0300000000000002</v>
      </c>
      <c r="CL72" s="362">
        <f t="shared" si="89"/>
        <v>2.21</v>
      </c>
      <c r="CM72" s="389">
        <f t="shared" ref="CM72:CT72" si="108">+CM71</f>
        <v>2.4001185416006168</v>
      </c>
      <c r="CN72" s="389">
        <f t="shared" si="108"/>
        <v>3.0819747393830053</v>
      </c>
      <c r="CO72" s="389">
        <f t="shared" si="108"/>
        <v>3.1044353347496871</v>
      </c>
      <c r="CP72" s="389">
        <f t="shared" si="108"/>
        <v>3.7390409348645344</v>
      </c>
      <c r="CQ72" s="389">
        <f t="shared" si="108"/>
        <v>4.0010856122289784</v>
      </c>
      <c r="CR72" s="389">
        <f t="shared" si="108"/>
        <v>4.4716344379742363</v>
      </c>
      <c r="CS72" s="389">
        <f t="shared" si="108"/>
        <v>4.9783644064792458</v>
      </c>
      <c r="CT72" s="390">
        <f t="shared" si="108"/>
        <v>5.5211392999062534</v>
      </c>
      <c r="CU72" s="1961"/>
      <c r="DB72" s="1961"/>
      <c r="DC72" s="1961"/>
      <c r="DD72" s="1961"/>
      <c r="DE72" s="1961"/>
      <c r="DF72" s="1961"/>
      <c r="DG72" s="1961"/>
      <c r="DH72" s="1961"/>
      <c r="DI72" s="95"/>
    </row>
    <row r="73" spans="1:113" ht="12.75" hidden="1" customHeight="1" outlineLevel="1" x14ac:dyDescent="0.25">
      <c r="A73" s="38" t="s">
        <v>98</v>
      </c>
      <c r="B73" s="391"/>
      <c r="C73" s="38"/>
      <c r="D73" s="392"/>
      <c r="E73" s="392"/>
      <c r="F73" s="392"/>
      <c r="G73" s="392"/>
      <c r="H73" s="392"/>
      <c r="I73" s="392"/>
      <c r="J73" s="393"/>
      <c r="K73" s="392"/>
      <c r="L73" s="392"/>
      <c r="M73" s="392"/>
      <c r="N73" s="392"/>
      <c r="O73" s="392"/>
      <c r="P73" s="392"/>
      <c r="Q73" s="392"/>
      <c r="R73" s="392"/>
      <c r="S73" s="392"/>
      <c r="T73" s="392"/>
      <c r="U73" s="392"/>
      <c r="V73" s="392"/>
      <c r="W73" s="392"/>
      <c r="X73" s="392"/>
      <c r="Y73" s="392"/>
      <c r="Z73" s="392"/>
      <c r="AA73" s="392"/>
      <c r="AB73" s="392"/>
      <c r="AC73" s="392"/>
      <c r="AD73" s="392"/>
      <c r="AE73" s="392"/>
      <c r="AF73" s="392"/>
      <c r="AG73" s="392"/>
      <c r="AH73" s="392"/>
      <c r="AI73" s="392"/>
      <c r="AJ73" s="392"/>
      <c r="AK73" s="392"/>
      <c r="AL73" s="392"/>
      <c r="AM73" s="392"/>
      <c r="AN73" s="392"/>
      <c r="AO73" s="392"/>
      <c r="AP73" s="392"/>
      <c r="AQ73" s="392"/>
      <c r="AR73" s="29"/>
      <c r="AS73" s="392"/>
      <c r="AT73" s="392"/>
      <c r="AU73" s="392"/>
      <c r="AV73" s="392"/>
      <c r="AW73" s="29"/>
      <c r="AX73" s="392"/>
      <c r="AY73" s="392"/>
      <c r="AZ73" s="392"/>
      <c r="BA73" s="392"/>
      <c r="BB73" s="394"/>
      <c r="BC73" s="392"/>
      <c r="BD73" s="392"/>
      <c r="BE73" s="392"/>
      <c r="BF73" s="392"/>
      <c r="BG73" s="394"/>
      <c r="BH73" s="392"/>
      <c r="BI73" s="392"/>
      <c r="BJ73" s="392"/>
      <c r="BK73" s="392"/>
      <c r="BL73" s="394"/>
      <c r="BM73" s="392"/>
      <c r="BN73" s="392"/>
      <c r="BO73" s="392"/>
      <c r="BP73" s="392"/>
      <c r="BQ73" s="394"/>
      <c r="BR73" s="392"/>
      <c r="BS73" s="392"/>
      <c r="BT73" s="392"/>
      <c r="BU73" s="392"/>
      <c r="BV73" s="394"/>
      <c r="BW73" s="392"/>
      <c r="BX73" s="392"/>
      <c r="BY73" s="392"/>
      <c r="BZ73" s="392"/>
      <c r="CA73" s="394"/>
      <c r="CB73" s="1910"/>
      <c r="CC73" s="392"/>
      <c r="CD73" s="38"/>
      <c r="CE73" s="392"/>
      <c r="CF73" s="392"/>
      <c r="CG73" s="392"/>
      <c r="CH73" s="392"/>
      <c r="CI73" s="392"/>
      <c r="CJ73" s="392"/>
      <c r="CK73" s="392"/>
      <c r="CL73" s="392"/>
      <c r="CM73" s="392"/>
      <c r="CN73" s="392"/>
      <c r="CO73" s="392"/>
      <c r="CP73" s="392"/>
      <c r="CQ73" s="392"/>
      <c r="CR73" s="392"/>
      <c r="CS73" s="392"/>
      <c r="CT73" s="395"/>
      <c r="CU73" s="29"/>
      <c r="DB73" s="1961"/>
      <c r="DC73" s="1961"/>
      <c r="DD73" s="1961"/>
      <c r="DE73" s="1961"/>
      <c r="DF73" s="1961"/>
      <c r="DG73" s="1961"/>
      <c r="DH73" s="1961"/>
      <c r="DI73" s="396"/>
    </row>
    <row r="74" spans="1:113" ht="12.75" hidden="1" customHeight="1" outlineLevel="1" x14ac:dyDescent="0.25">
      <c r="A74" s="397" t="s">
        <v>99</v>
      </c>
      <c r="B74" s="398"/>
      <c r="C74" s="399">
        <f>C$1</f>
        <v>2005</v>
      </c>
      <c r="D74" s="400">
        <f t="shared" ref="D74:AL74" si="109">D$1</f>
        <v>2006</v>
      </c>
      <c r="E74" s="401" t="str">
        <f t="shared" si="109"/>
        <v>1Q07</v>
      </c>
      <c r="F74" s="401" t="str">
        <f t="shared" si="109"/>
        <v>2Q07</v>
      </c>
      <c r="G74" s="401" t="str">
        <f t="shared" si="109"/>
        <v>3Q07</v>
      </c>
      <c r="H74" s="401" t="str">
        <f t="shared" si="109"/>
        <v>4Q07</v>
      </c>
      <c r="I74" s="399">
        <f t="shared" si="109"/>
        <v>2007</v>
      </c>
      <c r="J74" s="399" t="str">
        <f t="shared" si="109"/>
        <v>1Q08</v>
      </c>
      <c r="K74" s="401" t="str">
        <f t="shared" si="109"/>
        <v>2Q08</v>
      </c>
      <c r="L74" s="401" t="str">
        <f t="shared" si="109"/>
        <v>3Q08</v>
      </c>
      <c r="M74" s="401" t="str">
        <f t="shared" si="109"/>
        <v>4Q08</v>
      </c>
      <c r="N74" s="400">
        <f t="shared" si="109"/>
        <v>2008</v>
      </c>
      <c r="O74" s="401" t="str">
        <f t="shared" si="109"/>
        <v>1Q09</v>
      </c>
      <c r="P74" s="401" t="str">
        <f t="shared" si="109"/>
        <v>2Q09</v>
      </c>
      <c r="Q74" s="401" t="str">
        <f t="shared" si="109"/>
        <v>3Q09</v>
      </c>
      <c r="R74" s="401" t="str">
        <f t="shared" si="109"/>
        <v>4Q09</v>
      </c>
      <c r="S74" s="400">
        <f t="shared" si="109"/>
        <v>2009</v>
      </c>
      <c r="T74" s="401" t="str">
        <f t="shared" si="109"/>
        <v>1Q10</v>
      </c>
      <c r="U74" s="401" t="str">
        <f t="shared" si="109"/>
        <v>2Q10</v>
      </c>
      <c r="V74" s="401" t="str">
        <f t="shared" si="109"/>
        <v>3Q10</v>
      </c>
      <c r="W74" s="401" t="str">
        <f t="shared" si="109"/>
        <v>4Q10</v>
      </c>
      <c r="X74" s="400">
        <f t="shared" si="109"/>
        <v>2010</v>
      </c>
      <c r="Y74" s="401" t="str">
        <f t="shared" si="109"/>
        <v>1Q11</v>
      </c>
      <c r="Z74" s="401" t="str">
        <f t="shared" si="109"/>
        <v>2Q11</v>
      </c>
      <c r="AA74" s="401" t="str">
        <f t="shared" si="109"/>
        <v>3Q11</v>
      </c>
      <c r="AB74" s="401" t="str">
        <f t="shared" si="109"/>
        <v>4Q11</v>
      </c>
      <c r="AC74" s="400">
        <f t="shared" si="109"/>
        <v>2011</v>
      </c>
      <c r="AD74" s="401" t="str">
        <f t="shared" si="109"/>
        <v>1Q12</v>
      </c>
      <c r="AE74" s="401" t="str">
        <f t="shared" si="109"/>
        <v>2Q12</v>
      </c>
      <c r="AF74" s="401" t="str">
        <f t="shared" si="109"/>
        <v>3Q12</v>
      </c>
      <c r="AG74" s="401" t="str">
        <f t="shared" si="109"/>
        <v>4Q12</v>
      </c>
      <c r="AH74" s="400">
        <f t="shared" si="109"/>
        <v>2012</v>
      </c>
      <c r="AI74" s="401" t="str">
        <f t="shared" si="109"/>
        <v>1Q13</v>
      </c>
      <c r="AJ74" s="401" t="str">
        <f t="shared" si="109"/>
        <v>2Q13</v>
      </c>
      <c r="AK74" s="401" t="str">
        <f t="shared" si="109"/>
        <v>3Q13</v>
      </c>
      <c r="AL74" s="401" t="str">
        <f t="shared" si="109"/>
        <v>4Q13</v>
      </c>
      <c r="AM74" s="400"/>
      <c r="AN74" s="402"/>
      <c r="AO74" s="402"/>
      <c r="AP74" s="402"/>
      <c r="AQ74" s="402"/>
      <c r="AR74" s="29"/>
      <c r="AS74" s="402"/>
      <c r="AT74" s="402"/>
      <c r="AU74" s="402"/>
      <c r="AV74" s="402"/>
      <c r="AW74" s="29"/>
      <c r="AX74" s="402"/>
      <c r="AY74" s="402"/>
      <c r="AZ74" s="402"/>
      <c r="BA74" s="402"/>
      <c r="BB74" s="403"/>
      <c r="BC74" s="402"/>
      <c r="BD74" s="402"/>
      <c r="BE74" s="402"/>
      <c r="BF74" s="402"/>
      <c r="BG74" s="403"/>
      <c r="BH74" s="402"/>
      <c r="BI74" s="402"/>
      <c r="BJ74" s="402"/>
      <c r="BK74" s="402"/>
      <c r="BL74" s="403"/>
      <c r="BM74" s="402"/>
      <c r="BN74" s="402"/>
      <c r="BO74" s="402"/>
      <c r="BP74" s="402"/>
      <c r="BQ74" s="403"/>
      <c r="BR74" s="402"/>
      <c r="BS74" s="402"/>
      <c r="BT74" s="402"/>
      <c r="BU74" s="402"/>
      <c r="BV74" s="403"/>
      <c r="BW74" s="402"/>
      <c r="BX74" s="402"/>
      <c r="BY74" s="402"/>
      <c r="BZ74" s="402"/>
      <c r="CA74" s="403"/>
      <c r="CB74" s="1910"/>
      <c r="CC74" s="402"/>
      <c r="CD74" s="383"/>
      <c r="CE74" s="401"/>
      <c r="CF74" s="401"/>
      <c r="CG74" s="401"/>
      <c r="CH74" s="401"/>
      <c r="CI74" s="401"/>
      <c r="CJ74" s="401"/>
      <c r="CK74" s="401"/>
      <c r="CL74" s="401"/>
      <c r="CM74" s="401"/>
      <c r="CN74" s="401"/>
      <c r="CO74" s="401"/>
      <c r="CP74" s="401"/>
      <c r="CQ74" s="401"/>
      <c r="CR74" s="401"/>
      <c r="CS74" s="401"/>
      <c r="CT74" s="404"/>
      <c r="CU74" s="29"/>
      <c r="DB74" s="1961"/>
      <c r="DC74" s="1961"/>
      <c r="DD74" s="1961"/>
      <c r="DE74" s="1961"/>
      <c r="DF74" s="1961"/>
      <c r="DG74" s="1961"/>
      <c r="DH74" s="1961"/>
      <c r="DI74" s="9"/>
    </row>
    <row r="75" spans="1:113" ht="12.75" hidden="1" customHeight="1" outlineLevel="1" x14ac:dyDescent="0.25">
      <c r="A75" s="405" t="s">
        <v>100</v>
      </c>
      <c r="B75" s="406"/>
      <c r="C75" s="407"/>
      <c r="D75" s="408"/>
      <c r="E75" s="409"/>
      <c r="F75" s="409"/>
      <c r="G75" s="409"/>
      <c r="H75" s="409"/>
      <c r="I75" s="407"/>
      <c r="J75" s="407"/>
      <c r="K75" s="409"/>
      <c r="L75" s="409"/>
      <c r="M75" s="409"/>
      <c r="N75" s="408"/>
      <c r="O75" s="409"/>
      <c r="P75" s="409"/>
      <c r="Q75" s="409"/>
      <c r="R75" s="409"/>
      <c r="S75" s="408"/>
      <c r="T75" s="409"/>
      <c r="U75" s="402"/>
      <c r="V75" s="402"/>
      <c r="W75" s="402"/>
      <c r="X75" s="408"/>
      <c r="Y75" s="402"/>
      <c r="Z75" s="402"/>
      <c r="AA75" s="402"/>
      <c r="AB75" s="402"/>
      <c r="AC75" s="410"/>
      <c r="AD75" s="402"/>
      <c r="AE75" s="402"/>
      <c r="AF75" s="402"/>
      <c r="AG75" s="402"/>
      <c r="AH75" s="410"/>
      <c r="AI75" s="402"/>
      <c r="AJ75" s="402"/>
      <c r="AK75" s="402"/>
      <c r="AL75" s="402"/>
      <c r="AM75" s="410"/>
      <c r="AN75" s="402"/>
      <c r="AO75" s="402"/>
      <c r="AP75" s="402"/>
      <c r="AQ75" s="402"/>
      <c r="AR75" s="29"/>
      <c r="AS75" s="402"/>
      <c r="AT75" s="402"/>
      <c r="AU75" s="402"/>
      <c r="AV75" s="402"/>
      <c r="AW75" s="29"/>
      <c r="AX75" s="402"/>
      <c r="AY75" s="402"/>
      <c r="AZ75" s="402"/>
      <c r="BA75" s="402"/>
      <c r="BB75" s="403"/>
      <c r="BC75" s="402"/>
      <c r="BD75" s="402"/>
      <c r="BE75" s="402"/>
      <c r="BF75" s="402"/>
      <c r="BG75" s="403"/>
      <c r="BH75" s="402"/>
      <c r="BI75" s="402"/>
      <c r="BJ75" s="402"/>
      <c r="BK75" s="402"/>
      <c r="BL75" s="403"/>
      <c r="BM75" s="402"/>
      <c r="BN75" s="402"/>
      <c r="BO75" s="402"/>
      <c r="BP75" s="402"/>
      <c r="BQ75" s="403"/>
      <c r="BR75" s="402"/>
      <c r="BS75" s="402"/>
      <c r="BT75" s="402"/>
      <c r="BU75" s="402"/>
      <c r="BV75" s="403"/>
      <c r="BW75" s="402"/>
      <c r="BX75" s="402"/>
      <c r="BY75" s="402"/>
      <c r="BZ75" s="402"/>
      <c r="CA75" s="403"/>
      <c r="CB75" s="1910"/>
      <c r="CC75" s="409"/>
      <c r="CD75" s="405"/>
      <c r="CE75" s="402"/>
      <c r="CF75" s="402"/>
      <c r="CG75" s="402"/>
      <c r="CH75" s="402"/>
      <c r="CI75" s="402"/>
      <c r="CJ75" s="402"/>
      <c r="CK75" s="402"/>
      <c r="CL75" s="402"/>
      <c r="CM75" s="402"/>
      <c r="CN75" s="402"/>
      <c r="CO75" s="402"/>
      <c r="CP75" s="402"/>
      <c r="CQ75" s="402"/>
      <c r="CR75" s="402"/>
      <c r="CS75" s="402"/>
      <c r="CT75" s="411"/>
      <c r="CU75" s="29"/>
      <c r="DB75" s="1961"/>
      <c r="DC75" s="1961"/>
      <c r="DD75" s="1961"/>
      <c r="DE75" s="1961"/>
      <c r="DF75" s="1961"/>
      <c r="DG75" s="1961"/>
      <c r="DH75" s="1961"/>
      <c r="DI75" s="412"/>
    </row>
    <row r="76" spans="1:113" ht="12.75" hidden="1" customHeight="1" outlineLevel="1" x14ac:dyDescent="0.25">
      <c r="A76" s="405"/>
      <c r="B76" s="406"/>
      <c r="C76" s="407"/>
      <c r="D76" s="408"/>
      <c r="E76" s="409"/>
      <c r="F76" s="409"/>
      <c r="G76" s="409"/>
      <c r="H76" s="409"/>
      <c r="I76" s="407"/>
      <c r="J76" s="407"/>
      <c r="K76" s="409"/>
      <c r="L76" s="409"/>
      <c r="M76" s="409"/>
      <c r="N76" s="408"/>
      <c r="O76" s="409"/>
      <c r="P76" s="409"/>
      <c r="Q76" s="409"/>
      <c r="R76" s="409"/>
      <c r="S76" s="408"/>
      <c r="T76" s="409"/>
      <c r="U76" s="402"/>
      <c r="V76" s="402"/>
      <c r="W76" s="402"/>
      <c r="X76" s="408"/>
      <c r="Y76" s="402"/>
      <c r="Z76" s="402"/>
      <c r="AA76" s="402"/>
      <c r="AB76" s="402"/>
      <c r="AC76" s="410"/>
      <c r="AD76" s="402"/>
      <c r="AE76" s="402"/>
      <c r="AF76" s="402"/>
      <c r="AG76" s="402"/>
      <c r="AH76" s="410"/>
      <c r="AI76" s="402"/>
      <c r="AJ76" s="402"/>
      <c r="AK76" s="402"/>
      <c r="AL76" s="402"/>
      <c r="AM76" s="410"/>
      <c r="AN76" s="402"/>
      <c r="AO76" s="402"/>
      <c r="AP76" s="402"/>
      <c r="AQ76" s="402"/>
      <c r="AR76" s="29"/>
      <c r="AS76" s="402"/>
      <c r="AT76" s="402"/>
      <c r="AU76" s="402"/>
      <c r="AV76" s="402"/>
      <c r="AW76" s="29"/>
      <c r="AX76" s="402"/>
      <c r="AY76" s="402"/>
      <c r="AZ76" s="402"/>
      <c r="BA76" s="402"/>
      <c r="BB76" s="403"/>
      <c r="BC76" s="402"/>
      <c r="BD76" s="402"/>
      <c r="BE76" s="402"/>
      <c r="BF76" s="402"/>
      <c r="BG76" s="403"/>
      <c r="BH76" s="402"/>
      <c r="BI76" s="402"/>
      <c r="BJ76" s="402"/>
      <c r="BK76" s="402"/>
      <c r="BL76" s="403"/>
      <c r="BM76" s="402"/>
      <c r="BN76" s="402"/>
      <c r="BO76" s="402"/>
      <c r="BP76" s="402"/>
      <c r="BQ76" s="403"/>
      <c r="BR76" s="402"/>
      <c r="BS76" s="402"/>
      <c r="BT76" s="402"/>
      <c r="BU76" s="402"/>
      <c r="BV76" s="403"/>
      <c r="BW76" s="402"/>
      <c r="BX76" s="402"/>
      <c r="BY76" s="402"/>
      <c r="BZ76" s="402"/>
      <c r="CA76" s="403"/>
      <c r="CB76" s="1910"/>
      <c r="CC76" s="409"/>
      <c r="CD76" s="405"/>
      <c r="CE76" s="402"/>
      <c r="CF76" s="402"/>
      <c r="CG76" s="402"/>
      <c r="CH76" s="402"/>
      <c r="CI76" s="402"/>
      <c r="CJ76" s="402"/>
      <c r="CK76" s="402"/>
      <c r="CL76" s="402"/>
      <c r="CM76" s="402"/>
      <c r="CN76" s="402"/>
      <c r="CO76" s="402"/>
      <c r="CP76" s="402"/>
      <c r="CQ76" s="402"/>
      <c r="CR76" s="402"/>
      <c r="CS76" s="402"/>
      <c r="CT76" s="411"/>
      <c r="CU76" s="29"/>
      <c r="DB76" s="1961"/>
      <c r="DC76" s="1961"/>
      <c r="DD76" s="1961"/>
      <c r="DE76" s="1961"/>
      <c r="DF76" s="1961"/>
      <c r="DG76" s="1961"/>
      <c r="DH76" s="1961"/>
      <c r="DI76" s="412"/>
    </row>
    <row r="77" spans="1:113" ht="12.75" hidden="1" customHeight="1" outlineLevel="1" x14ac:dyDescent="0.25">
      <c r="A77" s="413" t="s">
        <v>101</v>
      </c>
      <c r="B77" s="406"/>
      <c r="C77" s="414"/>
      <c r="D77" s="415"/>
      <c r="E77" s="416"/>
      <c r="F77" s="416"/>
      <c r="G77" s="417"/>
      <c r="H77" s="417"/>
      <c r="I77" s="418"/>
      <c r="J77" s="418"/>
      <c r="K77" s="417"/>
      <c r="L77" s="417"/>
      <c r="M77" s="417"/>
      <c r="N77" s="419"/>
      <c r="O77" s="417"/>
      <c r="P77" s="417"/>
      <c r="Q77" s="417"/>
      <c r="R77" s="417"/>
      <c r="S77" s="419"/>
      <c r="T77" s="417"/>
      <c r="U77" s="417"/>
      <c r="V77" s="402"/>
      <c r="W77" s="402"/>
      <c r="X77" s="408"/>
      <c r="Y77" s="402"/>
      <c r="Z77" s="402"/>
      <c r="AA77" s="402"/>
      <c r="AB77" s="402"/>
      <c r="AC77" s="410"/>
      <c r="AD77" s="402"/>
      <c r="AE77" s="402"/>
      <c r="AF77" s="402"/>
      <c r="AG77" s="402"/>
      <c r="AH77" s="410"/>
      <c r="AI77" s="402"/>
      <c r="AJ77" s="402"/>
      <c r="AK77" s="402"/>
      <c r="AL77" s="402"/>
      <c r="AM77" s="410"/>
      <c r="AN77" s="402"/>
      <c r="AO77" s="402"/>
      <c r="AP77" s="402"/>
      <c r="AQ77" s="402"/>
      <c r="AR77" s="29"/>
      <c r="AS77" s="402"/>
      <c r="AT77" s="402"/>
      <c r="AU77" s="402"/>
      <c r="AV77" s="402"/>
      <c r="AW77" s="29"/>
      <c r="AX77" s="402"/>
      <c r="AY77" s="402"/>
      <c r="AZ77" s="402"/>
      <c r="BA77" s="402"/>
      <c r="BB77" s="403"/>
      <c r="BC77" s="402"/>
      <c r="BD77" s="402"/>
      <c r="BE77" s="402"/>
      <c r="BF77" s="402"/>
      <c r="BG77" s="403"/>
      <c r="BH77" s="402"/>
      <c r="BI77" s="402"/>
      <c r="BJ77" s="402"/>
      <c r="BK77" s="402"/>
      <c r="BL77" s="403"/>
      <c r="BM77" s="402"/>
      <c r="BN77" s="402"/>
      <c r="BO77" s="402"/>
      <c r="BP77" s="402"/>
      <c r="BQ77" s="403"/>
      <c r="BR77" s="402"/>
      <c r="BS77" s="402"/>
      <c r="BT77" s="402"/>
      <c r="BU77" s="402"/>
      <c r="BV77" s="403"/>
      <c r="BW77" s="402"/>
      <c r="BX77" s="402"/>
      <c r="BY77" s="402"/>
      <c r="BZ77" s="402"/>
      <c r="CA77" s="403"/>
      <c r="CB77" s="1910"/>
      <c r="CC77" s="420"/>
      <c r="CD77" s="413"/>
      <c r="CE77" s="402"/>
      <c r="CF77" s="402"/>
      <c r="CG77" s="402"/>
      <c r="CH77" s="402"/>
      <c r="CI77" s="402"/>
      <c r="CJ77" s="402"/>
      <c r="CK77" s="402"/>
      <c r="CL77" s="402"/>
      <c r="CM77" s="402"/>
      <c r="CN77" s="402"/>
      <c r="CO77" s="402"/>
      <c r="CP77" s="402"/>
      <c r="CQ77" s="402"/>
      <c r="CR77" s="402"/>
      <c r="CS77" s="402"/>
      <c r="CT77" s="411"/>
      <c r="CU77" s="29"/>
      <c r="DB77" s="1961"/>
      <c r="DC77" s="1961"/>
      <c r="DD77" s="1961"/>
      <c r="DE77" s="1961"/>
      <c r="DF77" s="1961"/>
      <c r="DG77" s="1961"/>
      <c r="DH77" s="1961"/>
      <c r="DI77" s="9"/>
    </row>
    <row r="78" spans="1:113" ht="12.75" hidden="1" customHeight="1" outlineLevel="1" x14ac:dyDescent="0.25">
      <c r="A78" s="46" t="s">
        <v>102</v>
      </c>
      <c r="B78" s="406"/>
      <c r="C78" s="418"/>
      <c r="D78" s="421"/>
      <c r="E78" s="422"/>
      <c r="F78" s="422"/>
      <c r="G78" s="422"/>
      <c r="H78" s="422"/>
      <c r="I78" s="423"/>
      <c r="J78" s="423"/>
      <c r="K78" s="422"/>
      <c r="L78" s="422"/>
      <c r="M78" s="422"/>
      <c r="N78" s="421"/>
      <c r="O78" s="422"/>
      <c r="P78" s="422"/>
      <c r="Q78" s="422"/>
      <c r="R78" s="422"/>
      <c r="S78" s="424"/>
      <c r="T78" s="422"/>
      <c r="U78" s="425"/>
      <c r="V78" s="402"/>
      <c r="W78" s="402"/>
      <c r="X78" s="408"/>
      <c r="Y78" s="402"/>
      <c r="Z78" s="402"/>
      <c r="AA78" s="402"/>
      <c r="AB78" s="402"/>
      <c r="AC78" s="410"/>
      <c r="AD78" s="402"/>
      <c r="AE78" s="402"/>
      <c r="AF78" s="402"/>
      <c r="AG78" s="402"/>
      <c r="AH78" s="410"/>
      <c r="AI78" s="402"/>
      <c r="AJ78" s="402"/>
      <c r="AK78" s="402"/>
      <c r="AL78" s="402"/>
      <c r="AM78" s="410"/>
      <c r="AN78" s="402"/>
      <c r="AO78" s="402"/>
      <c r="AP78" s="402"/>
      <c r="AQ78" s="402"/>
      <c r="AR78" s="29"/>
      <c r="AS78" s="402"/>
      <c r="AT78" s="402"/>
      <c r="AU78" s="402"/>
      <c r="AV78" s="402"/>
      <c r="AW78" s="29"/>
      <c r="AX78" s="402"/>
      <c r="AY78" s="402"/>
      <c r="AZ78" s="402"/>
      <c r="BA78" s="402"/>
      <c r="BB78" s="403"/>
      <c r="BC78" s="402"/>
      <c r="BD78" s="402"/>
      <c r="BE78" s="402"/>
      <c r="BF78" s="402"/>
      <c r="BG78" s="403"/>
      <c r="BH78" s="402"/>
      <c r="BI78" s="402"/>
      <c r="BJ78" s="402"/>
      <c r="BK78" s="402"/>
      <c r="BL78" s="403"/>
      <c r="BM78" s="402"/>
      <c r="BN78" s="402"/>
      <c r="BO78" s="402"/>
      <c r="BP78" s="402"/>
      <c r="BQ78" s="403"/>
      <c r="BR78" s="402"/>
      <c r="BS78" s="402"/>
      <c r="BT78" s="402"/>
      <c r="BU78" s="402"/>
      <c r="BV78" s="403"/>
      <c r="BW78" s="402"/>
      <c r="BX78" s="402"/>
      <c r="BY78" s="402"/>
      <c r="BZ78" s="402"/>
      <c r="CA78" s="403"/>
      <c r="CB78" s="1910"/>
      <c r="CC78" s="95"/>
      <c r="CD78" s="46"/>
      <c r="CE78" s="402"/>
      <c r="CF78" s="402"/>
      <c r="CG78" s="402"/>
      <c r="CH78" s="402"/>
      <c r="CI78" s="402"/>
      <c r="CJ78" s="402"/>
      <c r="CK78" s="402"/>
      <c r="CL78" s="402"/>
      <c r="CM78" s="402"/>
      <c r="CN78" s="402"/>
      <c r="CO78" s="402"/>
      <c r="CP78" s="402"/>
      <c r="CQ78" s="402"/>
      <c r="CR78" s="402"/>
      <c r="CS78" s="402"/>
      <c r="CT78" s="411"/>
      <c r="CU78" s="29"/>
      <c r="DB78" s="1961"/>
      <c r="DC78" s="1961"/>
      <c r="DD78" s="1961"/>
      <c r="DE78" s="1961"/>
      <c r="DF78" s="1961"/>
      <c r="DG78" s="1961"/>
      <c r="DH78" s="1961"/>
      <c r="DI78" s="426"/>
    </row>
    <row r="79" spans="1:113" ht="12.75" hidden="1" customHeight="1" outlineLevel="1" x14ac:dyDescent="0.25">
      <c r="A79" s="46" t="s">
        <v>103</v>
      </c>
      <c r="B79" s="406"/>
      <c r="C79" s="418"/>
      <c r="D79" s="421"/>
      <c r="E79" s="422"/>
      <c r="F79" s="422"/>
      <c r="G79" s="422"/>
      <c r="H79" s="422"/>
      <c r="I79" s="423"/>
      <c r="J79" s="423"/>
      <c r="K79" s="422"/>
      <c r="L79" s="422"/>
      <c r="M79" s="422"/>
      <c r="N79" s="421"/>
      <c r="O79" s="422"/>
      <c r="P79" s="422"/>
      <c r="Q79" s="422"/>
      <c r="R79" s="409"/>
      <c r="S79" s="408"/>
      <c r="T79" s="422"/>
      <c r="U79" s="402"/>
      <c r="V79" s="402"/>
      <c r="W79" s="402"/>
      <c r="X79" s="408"/>
      <c r="Y79" s="402"/>
      <c r="Z79" s="402"/>
      <c r="AA79" s="402"/>
      <c r="AB79" s="98"/>
      <c r="AC79" s="410"/>
      <c r="AD79" s="402"/>
      <c r="AE79" s="402"/>
      <c r="AF79" s="402"/>
      <c r="AG79" s="98"/>
      <c r="AH79" s="410"/>
      <c r="AI79" s="402"/>
      <c r="AJ79" s="402"/>
      <c r="AK79" s="402"/>
      <c r="AL79" s="402"/>
      <c r="AM79" s="410"/>
      <c r="AN79" s="402"/>
      <c r="AO79" s="402"/>
      <c r="AP79" s="402"/>
      <c r="AQ79" s="402"/>
      <c r="AR79" s="29"/>
      <c r="AS79" s="402"/>
      <c r="AT79" s="402"/>
      <c r="AU79" s="402"/>
      <c r="AV79" s="402"/>
      <c r="AW79" s="29"/>
      <c r="AX79" s="402"/>
      <c r="AY79" s="402"/>
      <c r="AZ79" s="402"/>
      <c r="BA79" s="402"/>
      <c r="BB79" s="403"/>
      <c r="BC79" s="402"/>
      <c r="BD79" s="402"/>
      <c r="BE79" s="402"/>
      <c r="BF79" s="402"/>
      <c r="BG79" s="403"/>
      <c r="BH79" s="402"/>
      <c r="BI79" s="402"/>
      <c r="BJ79" s="402"/>
      <c r="BK79" s="402"/>
      <c r="BL79" s="403"/>
      <c r="BM79" s="402"/>
      <c r="BN79" s="402"/>
      <c r="BO79" s="402"/>
      <c r="BP79" s="402"/>
      <c r="BQ79" s="403"/>
      <c r="BR79" s="402"/>
      <c r="BS79" s="402"/>
      <c r="BT79" s="402"/>
      <c r="BU79" s="402"/>
      <c r="BV79" s="403"/>
      <c r="BW79" s="402"/>
      <c r="BX79" s="402"/>
      <c r="BY79" s="402"/>
      <c r="BZ79" s="402"/>
      <c r="CA79" s="403"/>
      <c r="CB79" s="1910"/>
      <c r="CC79" s="409"/>
      <c r="CD79" s="46"/>
      <c r="CE79" s="402"/>
      <c r="CF79" s="402"/>
      <c r="CG79" s="402"/>
      <c r="CH79" s="402"/>
      <c r="CI79" s="402"/>
      <c r="CJ79" s="402"/>
      <c r="CK79" s="402"/>
      <c r="CL79" s="402"/>
      <c r="CM79" s="402"/>
      <c r="CN79" s="402"/>
      <c r="CO79" s="402"/>
      <c r="CP79" s="402"/>
      <c r="CQ79" s="402"/>
      <c r="CR79" s="402"/>
      <c r="CS79" s="402"/>
      <c r="CT79" s="411"/>
      <c r="CU79" s="29"/>
      <c r="DB79" s="1961"/>
      <c r="DC79" s="1961"/>
      <c r="DD79" s="1961"/>
      <c r="DE79" s="1961"/>
      <c r="DF79" s="1961"/>
      <c r="DG79" s="1961"/>
      <c r="DH79" s="1961"/>
      <c r="DI79" s="9"/>
    </row>
    <row r="80" spans="1:113" ht="12.75" hidden="1" customHeight="1" outlineLevel="1" x14ac:dyDescent="0.25">
      <c r="A80" s="427" t="s">
        <v>67</v>
      </c>
      <c r="B80" s="406"/>
      <c r="C80" s="418"/>
      <c r="D80" s="419"/>
      <c r="E80" s="417"/>
      <c r="F80" s="417"/>
      <c r="G80" s="417"/>
      <c r="H80" s="417"/>
      <c r="I80" s="418"/>
      <c r="J80" s="418"/>
      <c r="K80" s="417"/>
      <c r="L80" s="417"/>
      <c r="M80" s="417"/>
      <c r="N80" s="419"/>
      <c r="O80" s="417"/>
      <c r="P80" s="417"/>
      <c r="Q80" s="417"/>
      <c r="R80" s="417"/>
      <c r="S80" s="419"/>
      <c r="T80" s="417"/>
      <c r="U80" s="417"/>
      <c r="V80" s="417"/>
      <c r="W80" s="417"/>
      <c r="X80" s="419"/>
      <c r="Y80" s="417"/>
      <c r="Z80" s="417"/>
      <c r="AA80" s="417"/>
      <c r="AB80" s="417"/>
      <c r="AC80" s="419"/>
      <c r="AD80" s="417"/>
      <c r="AE80" s="417"/>
      <c r="AF80" s="417"/>
      <c r="AG80" s="417"/>
      <c r="AH80" s="419"/>
      <c r="AI80" s="417"/>
      <c r="AJ80" s="417"/>
      <c r="AK80" s="417"/>
      <c r="AL80" s="417"/>
      <c r="AM80" s="419"/>
      <c r="AN80" s="417"/>
      <c r="AO80" s="417"/>
      <c r="AP80" s="417"/>
      <c r="AQ80" s="417"/>
      <c r="AR80" s="29"/>
      <c r="AS80" s="417"/>
      <c r="AT80" s="417"/>
      <c r="AU80" s="417"/>
      <c r="AV80" s="417"/>
      <c r="AW80" s="29"/>
      <c r="AX80" s="417"/>
      <c r="AY80" s="417"/>
      <c r="AZ80" s="417"/>
      <c r="BA80" s="417"/>
      <c r="BB80" s="403"/>
      <c r="BC80" s="417"/>
      <c r="BD80" s="417"/>
      <c r="BE80" s="417"/>
      <c r="BF80" s="417"/>
      <c r="BG80" s="403"/>
      <c r="BH80" s="417"/>
      <c r="BI80" s="417"/>
      <c r="BJ80" s="417"/>
      <c r="BK80" s="417"/>
      <c r="BL80" s="403"/>
      <c r="BM80" s="417"/>
      <c r="BN80" s="417"/>
      <c r="BO80" s="417"/>
      <c r="BP80" s="417"/>
      <c r="BQ80" s="403"/>
      <c r="BR80" s="417"/>
      <c r="BS80" s="417"/>
      <c r="BT80" s="417"/>
      <c r="BU80" s="417"/>
      <c r="BV80" s="403"/>
      <c r="BW80" s="417"/>
      <c r="BX80" s="417"/>
      <c r="BY80" s="417"/>
      <c r="BZ80" s="417"/>
      <c r="CA80" s="403"/>
      <c r="CB80" s="1910"/>
      <c r="CC80" s="420"/>
      <c r="CD80" s="427"/>
      <c r="CE80" s="417"/>
      <c r="CF80" s="417"/>
      <c r="CG80" s="417"/>
      <c r="CH80" s="417"/>
      <c r="CI80" s="417"/>
      <c r="CJ80" s="417"/>
      <c r="CK80" s="417"/>
      <c r="CL80" s="417"/>
      <c r="CM80" s="417"/>
      <c r="CN80" s="417"/>
      <c r="CO80" s="417"/>
      <c r="CP80" s="417"/>
      <c r="CQ80" s="417"/>
      <c r="CR80" s="417"/>
      <c r="CS80" s="417"/>
      <c r="CT80" s="428"/>
      <c r="CU80" s="29"/>
      <c r="DB80" s="1961"/>
      <c r="DC80" s="1961"/>
      <c r="DD80" s="1961"/>
      <c r="DE80" s="1961"/>
      <c r="DF80" s="1961"/>
      <c r="DG80" s="1961"/>
      <c r="DH80" s="1961"/>
      <c r="DI80" s="9"/>
    </row>
    <row r="81" spans="1:113" ht="12.75" hidden="1" customHeight="1" outlineLevel="1" x14ac:dyDescent="0.25">
      <c r="A81" s="46" t="s">
        <v>68</v>
      </c>
      <c r="B81" s="406"/>
      <c r="C81" s="407"/>
      <c r="D81" s="421"/>
      <c r="E81" s="422"/>
      <c r="F81" s="422"/>
      <c r="G81" s="422"/>
      <c r="H81" s="422"/>
      <c r="I81" s="423"/>
      <c r="J81" s="423"/>
      <c r="K81" s="422"/>
      <c r="L81" s="422"/>
      <c r="M81" s="422"/>
      <c r="N81" s="421"/>
      <c r="O81" s="422"/>
      <c r="P81" s="422"/>
      <c r="Q81" s="422"/>
      <c r="R81" s="422"/>
      <c r="S81" s="421"/>
      <c r="T81" s="422"/>
      <c r="U81" s="422"/>
      <c r="V81" s="422"/>
      <c r="W81" s="422"/>
      <c r="X81" s="421"/>
      <c r="Y81" s="422"/>
      <c r="Z81" s="422"/>
      <c r="AA81" s="422"/>
      <c r="AB81" s="422"/>
      <c r="AC81" s="421"/>
      <c r="AD81" s="422"/>
      <c r="AE81" s="422"/>
      <c r="AF81" s="422"/>
      <c r="AG81" s="422"/>
      <c r="AH81" s="421"/>
      <c r="AI81" s="422"/>
      <c r="AJ81" s="422"/>
      <c r="AK81" s="422"/>
      <c r="AL81" s="422"/>
      <c r="AM81" s="421"/>
      <c r="AN81" s="422"/>
      <c r="AO81" s="422"/>
      <c r="AP81" s="422"/>
      <c r="AQ81" s="422"/>
      <c r="AR81" s="29"/>
      <c r="AS81" s="422"/>
      <c r="AT81" s="422"/>
      <c r="AU81" s="422"/>
      <c r="AV81" s="422"/>
      <c r="AW81" s="29"/>
      <c r="AX81" s="422"/>
      <c r="AY81" s="422"/>
      <c r="AZ81" s="422"/>
      <c r="BA81" s="422"/>
      <c r="BB81" s="403"/>
      <c r="BC81" s="422"/>
      <c r="BD81" s="422"/>
      <c r="BE81" s="422"/>
      <c r="BF81" s="422"/>
      <c r="BG81" s="403"/>
      <c r="BH81" s="422"/>
      <c r="BI81" s="422"/>
      <c r="BJ81" s="422"/>
      <c r="BK81" s="422"/>
      <c r="BL81" s="403"/>
      <c r="BM81" s="422"/>
      <c r="BN81" s="422"/>
      <c r="BO81" s="422"/>
      <c r="BP81" s="422"/>
      <c r="BQ81" s="403"/>
      <c r="BR81" s="422"/>
      <c r="BS81" s="422"/>
      <c r="BT81" s="422"/>
      <c r="BU81" s="422"/>
      <c r="BV81" s="403"/>
      <c r="BW81" s="422"/>
      <c r="BX81" s="422"/>
      <c r="BY81" s="422"/>
      <c r="BZ81" s="422"/>
      <c r="CA81" s="403"/>
      <c r="CB81" s="1910"/>
      <c r="CC81" s="95"/>
      <c r="CD81" s="46"/>
      <c r="CE81" s="422"/>
      <c r="CF81" s="422"/>
      <c r="CG81" s="422"/>
      <c r="CH81" s="422"/>
      <c r="CI81" s="422"/>
      <c r="CJ81" s="422"/>
      <c r="CK81" s="422"/>
      <c r="CL81" s="422"/>
      <c r="CM81" s="422"/>
      <c r="CN81" s="422"/>
      <c r="CO81" s="422"/>
      <c r="CP81" s="422"/>
      <c r="CQ81" s="422"/>
      <c r="CR81" s="422"/>
      <c r="CS81" s="422"/>
      <c r="CT81" s="429"/>
      <c r="CU81" s="29"/>
      <c r="DB81" s="1961"/>
      <c r="DC81" s="1961"/>
      <c r="DD81" s="1961"/>
      <c r="DE81" s="1961"/>
      <c r="DF81" s="1961"/>
      <c r="DG81" s="1961"/>
      <c r="DH81" s="1961"/>
      <c r="DI81" s="426"/>
    </row>
    <row r="82" spans="1:113" ht="12.75" hidden="1" customHeight="1" outlineLevel="1" x14ac:dyDescent="0.25">
      <c r="A82" s="46" t="s">
        <v>104</v>
      </c>
      <c r="B82" s="406"/>
      <c r="C82" s="407"/>
      <c r="D82" s="421"/>
      <c r="E82" s="422"/>
      <c r="F82" s="422"/>
      <c r="G82" s="422"/>
      <c r="H82" s="422"/>
      <c r="I82" s="423"/>
      <c r="J82" s="423"/>
      <c r="K82" s="422"/>
      <c r="L82" s="422"/>
      <c r="M82" s="422"/>
      <c r="N82" s="421"/>
      <c r="O82" s="422"/>
      <c r="P82" s="422"/>
      <c r="Q82" s="422"/>
      <c r="R82" s="422"/>
      <c r="S82" s="421"/>
      <c r="T82" s="422"/>
      <c r="U82" s="422"/>
      <c r="V82" s="422"/>
      <c r="W82" s="422"/>
      <c r="X82" s="421"/>
      <c r="Y82" s="422"/>
      <c r="Z82" s="422"/>
      <c r="AA82" s="422"/>
      <c r="AB82" s="422"/>
      <c r="AC82" s="421"/>
      <c r="AD82" s="422"/>
      <c r="AE82" s="422"/>
      <c r="AF82" s="422"/>
      <c r="AG82" s="422"/>
      <c r="AH82" s="421"/>
      <c r="AI82" s="422"/>
      <c r="AJ82" s="422"/>
      <c r="AK82" s="422"/>
      <c r="AL82" s="422"/>
      <c r="AM82" s="421"/>
      <c r="AN82" s="422"/>
      <c r="AO82" s="422"/>
      <c r="AP82" s="422"/>
      <c r="AQ82" s="422"/>
      <c r="AR82" s="29"/>
      <c r="AS82" s="422"/>
      <c r="AT82" s="422"/>
      <c r="AU82" s="422"/>
      <c r="AV82" s="422"/>
      <c r="AW82" s="29"/>
      <c r="AX82" s="422"/>
      <c r="AY82" s="422"/>
      <c r="AZ82" s="422"/>
      <c r="BA82" s="422"/>
      <c r="BB82" s="403"/>
      <c r="BC82" s="422"/>
      <c r="BD82" s="422"/>
      <c r="BE82" s="422"/>
      <c r="BF82" s="422"/>
      <c r="BG82" s="403"/>
      <c r="BH82" s="422"/>
      <c r="BI82" s="422"/>
      <c r="BJ82" s="422"/>
      <c r="BK82" s="422"/>
      <c r="BL82" s="403"/>
      <c r="BM82" s="422"/>
      <c r="BN82" s="422"/>
      <c r="BO82" s="422"/>
      <c r="BP82" s="422"/>
      <c r="BQ82" s="403"/>
      <c r="BR82" s="422"/>
      <c r="BS82" s="422"/>
      <c r="BT82" s="422"/>
      <c r="BU82" s="422"/>
      <c r="BV82" s="403"/>
      <c r="BW82" s="422"/>
      <c r="BX82" s="422"/>
      <c r="BY82" s="422"/>
      <c r="BZ82" s="422"/>
      <c r="CA82" s="403"/>
      <c r="CB82" s="1910"/>
      <c r="CC82" s="95"/>
      <c r="CD82" s="46"/>
      <c r="CE82" s="422"/>
      <c r="CF82" s="422"/>
      <c r="CG82" s="422"/>
      <c r="CH82" s="422"/>
      <c r="CI82" s="422"/>
      <c r="CJ82" s="422"/>
      <c r="CK82" s="422"/>
      <c r="CL82" s="422"/>
      <c r="CM82" s="422"/>
      <c r="CN82" s="422"/>
      <c r="CO82" s="422"/>
      <c r="CP82" s="422"/>
      <c r="CQ82" s="422"/>
      <c r="CR82" s="422"/>
      <c r="CS82" s="422"/>
      <c r="CT82" s="429"/>
      <c r="CU82" s="29"/>
      <c r="DB82" s="1961"/>
      <c r="DC82" s="1961"/>
      <c r="DD82" s="1961"/>
      <c r="DE82" s="1961"/>
      <c r="DF82" s="1961"/>
      <c r="DG82" s="1961"/>
      <c r="DH82" s="1961"/>
      <c r="DI82" s="426"/>
    </row>
    <row r="83" spans="1:113" ht="12.75" hidden="1" customHeight="1" outlineLevel="1" x14ac:dyDescent="0.25">
      <c r="A83" s="46" t="s">
        <v>105</v>
      </c>
      <c r="B83" s="406"/>
      <c r="C83" s="407"/>
      <c r="D83" s="419"/>
      <c r="E83" s="417"/>
      <c r="F83" s="417"/>
      <c r="G83" s="417"/>
      <c r="H83" s="417"/>
      <c r="I83" s="418"/>
      <c r="J83" s="418"/>
      <c r="K83" s="417"/>
      <c r="L83" s="417"/>
      <c r="M83" s="417"/>
      <c r="N83" s="419"/>
      <c r="O83" s="417"/>
      <c r="P83" s="417"/>
      <c r="Q83" s="417"/>
      <c r="R83" s="417"/>
      <c r="S83" s="419"/>
      <c r="T83" s="417"/>
      <c r="U83" s="417"/>
      <c r="V83" s="417"/>
      <c r="W83" s="417"/>
      <c r="X83" s="419"/>
      <c r="Y83" s="417"/>
      <c r="Z83" s="417"/>
      <c r="AA83" s="417"/>
      <c r="AB83" s="417"/>
      <c r="AC83" s="419"/>
      <c r="AD83" s="417"/>
      <c r="AE83" s="417"/>
      <c r="AF83" s="417"/>
      <c r="AG83" s="417"/>
      <c r="AH83" s="419"/>
      <c r="AI83" s="417"/>
      <c r="AJ83" s="417"/>
      <c r="AK83" s="417"/>
      <c r="AL83" s="417"/>
      <c r="AM83" s="419"/>
      <c r="AN83" s="417"/>
      <c r="AO83" s="417"/>
      <c r="AP83" s="417"/>
      <c r="AQ83" s="417"/>
      <c r="AR83" s="29"/>
      <c r="AS83" s="417"/>
      <c r="AT83" s="417"/>
      <c r="AU83" s="417"/>
      <c r="AV83" s="417"/>
      <c r="AW83" s="29"/>
      <c r="AX83" s="417"/>
      <c r="AY83" s="417"/>
      <c r="AZ83" s="417"/>
      <c r="BA83" s="417"/>
      <c r="BB83" s="403"/>
      <c r="BC83" s="417"/>
      <c r="BD83" s="417"/>
      <c r="BE83" s="417"/>
      <c r="BF83" s="417"/>
      <c r="BG83" s="403"/>
      <c r="BH83" s="417"/>
      <c r="BI83" s="417"/>
      <c r="BJ83" s="417"/>
      <c r="BK83" s="417"/>
      <c r="BL83" s="403"/>
      <c r="BM83" s="417"/>
      <c r="BN83" s="417"/>
      <c r="BO83" s="417"/>
      <c r="BP83" s="417"/>
      <c r="BQ83" s="403"/>
      <c r="BR83" s="417"/>
      <c r="BS83" s="417"/>
      <c r="BT83" s="417"/>
      <c r="BU83" s="417"/>
      <c r="BV83" s="403"/>
      <c r="BW83" s="417"/>
      <c r="BX83" s="417"/>
      <c r="BY83" s="417"/>
      <c r="BZ83" s="417"/>
      <c r="CA83" s="403"/>
      <c r="CB83" s="1910"/>
      <c r="CC83" s="420"/>
      <c r="CD83" s="46"/>
      <c r="CE83" s="417"/>
      <c r="CF83" s="417"/>
      <c r="CG83" s="417"/>
      <c r="CH83" s="417"/>
      <c r="CI83" s="417"/>
      <c r="CJ83" s="417"/>
      <c r="CK83" s="417"/>
      <c r="CL83" s="417"/>
      <c r="CM83" s="417"/>
      <c r="CN83" s="417"/>
      <c r="CO83" s="417"/>
      <c r="CP83" s="417"/>
      <c r="CQ83" s="417"/>
      <c r="CR83" s="417"/>
      <c r="CS83" s="417"/>
      <c r="CT83" s="428"/>
      <c r="CU83" s="29"/>
      <c r="DB83" s="1961"/>
      <c r="DC83" s="1961"/>
      <c r="DD83" s="1961"/>
      <c r="DE83" s="1961"/>
      <c r="DF83" s="1961"/>
      <c r="DG83" s="1961"/>
      <c r="DH83" s="1961"/>
      <c r="DI83" s="9"/>
    </row>
    <row r="84" spans="1:113" ht="12.75" hidden="1" customHeight="1" outlineLevel="1" x14ac:dyDescent="0.25">
      <c r="A84" s="46"/>
      <c r="B84" s="406"/>
      <c r="C84" s="407"/>
      <c r="D84" s="421"/>
      <c r="E84" s="422"/>
      <c r="F84" s="422"/>
      <c r="G84" s="422"/>
      <c r="H84" s="422"/>
      <c r="I84" s="423"/>
      <c r="J84" s="423"/>
      <c r="K84" s="422"/>
      <c r="L84" s="422"/>
      <c r="M84" s="422"/>
      <c r="N84" s="421"/>
      <c r="O84" s="422"/>
      <c r="P84" s="422"/>
      <c r="Q84" s="422"/>
      <c r="R84" s="422"/>
      <c r="S84" s="421"/>
      <c r="T84" s="422"/>
      <c r="U84" s="422"/>
      <c r="V84" s="422"/>
      <c r="W84" s="422"/>
      <c r="X84" s="421"/>
      <c r="Y84" s="422"/>
      <c r="Z84" s="422"/>
      <c r="AA84" s="422"/>
      <c r="AB84" s="422"/>
      <c r="AC84" s="421"/>
      <c r="AD84" s="422"/>
      <c r="AE84" s="422"/>
      <c r="AF84" s="422"/>
      <c r="AG84" s="422"/>
      <c r="AH84" s="421"/>
      <c r="AI84" s="422"/>
      <c r="AJ84" s="422"/>
      <c r="AK84" s="422"/>
      <c r="AL84" s="422"/>
      <c r="AM84" s="421"/>
      <c r="AN84" s="422"/>
      <c r="AO84" s="422"/>
      <c r="AP84" s="422"/>
      <c r="AQ84" s="422"/>
      <c r="AR84" s="29"/>
      <c r="AS84" s="422"/>
      <c r="AT84" s="422"/>
      <c r="AU84" s="422"/>
      <c r="AV84" s="422"/>
      <c r="AW84" s="29"/>
      <c r="AX84" s="422"/>
      <c r="AY84" s="422"/>
      <c r="AZ84" s="422"/>
      <c r="BA84" s="422"/>
      <c r="BB84" s="403"/>
      <c r="BC84" s="422"/>
      <c r="BD84" s="422"/>
      <c r="BE84" s="422"/>
      <c r="BF84" s="422"/>
      <c r="BG84" s="403"/>
      <c r="BH84" s="422"/>
      <c r="BI84" s="422"/>
      <c r="BJ84" s="422"/>
      <c r="BK84" s="422"/>
      <c r="BL84" s="403"/>
      <c r="BM84" s="422"/>
      <c r="BN84" s="422"/>
      <c r="BO84" s="422"/>
      <c r="BP84" s="422"/>
      <c r="BQ84" s="403"/>
      <c r="BR84" s="422"/>
      <c r="BS84" s="422"/>
      <c r="BT84" s="422"/>
      <c r="BU84" s="422"/>
      <c r="BV84" s="403"/>
      <c r="BW84" s="422"/>
      <c r="BX84" s="422"/>
      <c r="BY84" s="422"/>
      <c r="BZ84" s="422"/>
      <c r="CA84" s="403"/>
      <c r="CB84" s="1910"/>
      <c r="CC84" s="430"/>
      <c r="CD84" s="46"/>
      <c r="CE84" s="422"/>
      <c r="CF84" s="422"/>
      <c r="CG84" s="422"/>
      <c r="CH84" s="422"/>
      <c r="CI84" s="422"/>
      <c r="CJ84" s="422"/>
      <c r="CK84" s="422"/>
      <c r="CL84" s="422"/>
      <c r="CM84" s="422"/>
      <c r="CN84" s="422"/>
      <c r="CO84" s="422"/>
      <c r="CP84" s="422"/>
      <c r="CQ84" s="422"/>
      <c r="CR84" s="422"/>
      <c r="CS84" s="422"/>
      <c r="CT84" s="429"/>
      <c r="CU84" s="29"/>
      <c r="DB84" s="1961"/>
      <c r="DC84" s="1961"/>
      <c r="DD84" s="1961"/>
      <c r="DE84" s="1961"/>
      <c r="DF84" s="1961"/>
      <c r="DG84" s="1961"/>
      <c r="DH84" s="1961"/>
      <c r="DI84" s="9"/>
    </row>
    <row r="85" spans="1:113" ht="12.75" hidden="1" customHeight="1" outlineLevel="1" x14ac:dyDescent="0.25">
      <c r="A85" s="46" t="s">
        <v>106</v>
      </c>
      <c r="B85" s="406"/>
      <c r="C85" s="407"/>
      <c r="D85" s="421"/>
      <c r="E85" s="422"/>
      <c r="F85" s="422"/>
      <c r="G85" s="422"/>
      <c r="H85" s="422"/>
      <c r="I85" s="423"/>
      <c r="J85" s="423"/>
      <c r="K85" s="422"/>
      <c r="L85" s="422"/>
      <c r="M85" s="422"/>
      <c r="N85" s="421"/>
      <c r="O85" s="422"/>
      <c r="P85" s="422"/>
      <c r="Q85" s="422"/>
      <c r="R85" s="422"/>
      <c r="S85" s="421"/>
      <c r="T85" s="422"/>
      <c r="U85" s="422"/>
      <c r="V85" s="422"/>
      <c r="W85" s="422"/>
      <c r="X85" s="421"/>
      <c r="Y85" s="422"/>
      <c r="Z85" s="422"/>
      <c r="AA85" s="422"/>
      <c r="AB85" s="422"/>
      <c r="AC85" s="421"/>
      <c r="AD85" s="422"/>
      <c r="AE85" s="422"/>
      <c r="AF85" s="422"/>
      <c r="AG85" s="422"/>
      <c r="AH85" s="421"/>
      <c r="AI85" s="422"/>
      <c r="AJ85" s="422"/>
      <c r="AK85" s="422"/>
      <c r="AL85" s="422"/>
      <c r="AM85" s="421"/>
      <c r="AN85" s="422"/>
      <c r="AO85" s="422"/>
      <c r="AP85" s="422"/>
      <c r="AQ85" s="422"/>
      <c r="AR85" s="29"/>
      <c r="AS85" s="422"/>
      <c r="AT85" s="422"/>
      <c r="AU85" s="422"/>
      <c r="AV85" s="422"/>
      <c r="AW85" s="29"/>
      <c r="AX85" s="422"/>
      <c r="AY85" s="422"/>
      <c r="AZ85" s="422"/>
      <c r="BA85" s="422"/>
      <c r="BB85" s="403"/>
      <c r="BC85" s="422"/>
      <c r="BD85" s="422"/>
      <c r="BE85" s="422"/>
      <c r="BF85" s="422"/>
      <c r="BG85" s="403"/>
      <c r="BH85" s="422"/>
      <c r="BI85" s="422"/>
      <c r="BJ85" s="422"/>
      <c r="BK85" s="422"/>
      <c r="BL85" s="403"/>
      <c r="BM85" s="422"/>
      <c r="BN85" s="422"/>
      <c r="BO85" s="422"/>
      <c r="BP85" s="422"/>
      <c r="BQ85" s="403"/>
      <c r="BR85" s="422"/>
      <c r="BS85" s="422"/>
      <c r="BT85" s="422"/>
      <c r="BU85" s="422"/>
      <c r="BV85" s="403"/>
      <c r="BW85" s="422"/>
      <c r="BX85" s="422"/>
      <c r="BY85" s="422"/>
      <c r="BZ85" s="422"/>
      <c r="CA85" s="403"/>
      <c r="CB85" s="1910"/>
      <c r="CC85" s="430"/>
      <c r="CD85" s="46"/>
      <c r="CE85" s="422"/>
      <c r="CF85" s="422"/>
      <c r="CG85" s="422"/>
      <c r="CH85" s="422"/>
      <c r="CI85" s="422"/>
      <c r="CJ85" s="422"/>
      <c r="CK85" s="422"/>
      <c r="CL85" s="422"/>
      <c r="CM85" s="422"/>
      <c r="CN85" s="422"/>
      <c r="CO85" s="422"/>
      <c r="CP85" s="422"/>
      <c r="CQ85" s="422"/>
      <c r="CR85" s="422"/>
      <c r="CS85" s="422"/>
      <c r="CT85" s="429"/>
      <c r="CU85" s="29"/>
      <c r="DB85" s="1961"/>
      <c r="DC85" s="1961"/>
      <c r="DD85" s="1961"/>
      <c r="DE85" s="1961"/>
      <c r="DF85" s="1961"/>
      <c r="DG85" s="1961"/>
      <c r="DH85" s="1961"/>
      <c r="DI85" s="9"/>
    </row>
    <row r="86" spans="1:113" ht="12.75" hidden="1" customHeight="1" outlineLevel="1" x14ac:dyDescent="0.25">
      <c r="A86" s="46" t="s">
        <v>50</v>
      </c>
      <c r="B86" s="406"/>
      <c r="C86" s="407"/>
      <c r="D86" s="421"/>
      <c r="E86" s="422"/>
      <c r="F86" s="422"/>
      <c r="G86" s="422"/>
      <c r="H86" s="422"/>
      <c r="I86" s="423"/>
      <c r="J86" s="423"/>
      <c r="K86" s="422"/>
      <c r="L86" s="422"/>
      <c r="M86" s="422"/>
      <c r="N86" s="421"/>
      <c r="O86" s="422"/>
      <c r="P86" s="422"/>
      <c r="Q86" s="422"/>
      <c r="R86" s="422"/>
      <c r="S86" s="421"/>
      <c r="T86" s="422"/>
      <c r="U86" s="422"/>
      <c r="V86" s="422"/>
      <c r="W86" s="422"/>
      <c r="X86" s="421"/>
      <c r="Y86" s="422"/>
      <c r="Z86" s="422"/>
      <c r="AA86" s="422"/>
      <c r="AB86" s="422"/>
      <c r="AC86" s="421"/>
      <c r="AD86" s="422"/>
      <c r="AE86" s="422"/>
      <c r="AF86" s="422"/>
      <c r="AG86" s="422"/>
      <c r="AH86" s="421"/>
      <c r="AI86" s="422"/>
      <c r="AJ86" s="422"/>
      <c r="AK86" s="422"/>
      <c r="AL86" s="422"/>
      <c r="AM86" s="421"/>
      <c r="AN86" s="422"/>
      <c r="AO86" s="422"/>
      <c r="AP86" s="422"/>
      <c r="AQ86" s="422"/>
      <c r="AR86" s="29"/>
      <c r="AS86" s="422"/>
      <c r="AT86" s="422"/>
      <c r="AU86" s="422"/>
      <c r="AV86" s="422"/>
      <c r="AW86" s="29"/>
      <c r="AX86" s="422"/>
      <c r="AY86" s="422"/>
      <c r="AZ86" s="422"/>
      <c r="BA86" s="422"/>
      <c r="BB86" s="403"/>
      <c r="BC86" s="422"/>
      <c r="BD86" s="422"/>
      <c r="BE86" s="422"/>
      <c r="BF86" s="422"/>
      <c r="BG86" s="403"/>
      <c r="BH86" s="422"/>
      <c r="BI86" s="422"/>
      <c r="BJ86" s="422"/>
      <c r="BK86" s="422"/>
      <c r="BL86" s="403"/>
      <c r="BM86" s="422"/>
      <c r="BN86" s="422"/>
      <c r="BO86" s="422"/>
      <c r="BP86" s="422"/>
      <c r="BQ86" s="403"/>
      <c r="BR86" s="422"/>
      <c r="BS86" s="422"/>
      <c r="BT86" s="422"/>
      <c r="BU86" s="422"/>
      <c r="BV86" s="403"/>
      <c r="BW86" s="422"/>
      <c r="BX86" s="422"/>
      <c r="BY86" s="422"/>
      <c r="BZ86" s="422"/>
      <c r="CA86" s="403"/>
      <c r="CB86" s="1910"/>
      <c r="CC86" s="95"/>
      <c r="CD86" s="46"/>
      <c r="CE86" s="422"/>
      <c r="CF86" s="422"/>
      <c r="CG86" s="422"/>
      <c r="CH86" s="422"/>
      <c r="CI86" s="422"/>
      <c r="CJ86" s="422"/>
      <c r="CK86" s="422"/>
      <c r="CL86" s="422"/>
      <c r="CM86" s="422"/>
      <c r="CN86" s="422"/>
      <c r="CO86" s="422"/>
      <c r="CP86" s="422"/>
      <c r="CQ86" s="422"/>
      <c r="CR86" s="422"/>
      <c r="CS86" s="422"/>
      <c r="CT86" s="429"/>
      <c r="CU86" s="29"/>
      <c r="DB86" s="1961"/>
      <c r="DC86" s="1961"/>
      <c r="DD86" s="1961"/>
      <c r="DE86" s="1961"/>
      <c r="DF86" s="1961"/>
      <c r="DG86" s="1961"/>
      <c r="DH86" s="1961"/>
      <c r="DI86" s="426"/>
    </row>
    <row r="87" spans="1:113" ht="12.75" hidden="1" customHeight="1" outlineLevel="1" x14ac:dyDescent="0.25">
      <c r="A87" s="46" t="s">
        <v>103</v>
      </c>
      <c r="B87" s="406"/>
      <c r="C87" s="407"/>
      <c r="D87" s="421"/>
      <c r="E87" s="422"/>
      <c r="F87" s="422"/>
      <c r="G87" s="422"/>
      <c r="H87" s="422"/>
      <c r="I87" s="423"/>
      <c r="J87" s="423"/>
      <c r="K87" s="422"/>
      <c r="L87" s="422"/>
      <c r="M87" s="422"/>
      <c r="N87" s="421"/>
      <c r="O87" s="422"/>
      <c r="P87" s="422"/>
      <c r="Q87" s="422"/>
      <c r="R87" s="422"/>
      <c r="S87" s="421"/>
      <c r="T87" s="422"/>
      <c r="U87" s="422"/>
      <c r="V87" s="422"/>
      <c r="W87" s="422"/>
      <c r="X87" s="421"/>
      <c r="Y87" s="422"/>
      <c r="Z87" s="422"/>
      <c r="AA87" s="422"/>
      <c r="AB87" s="422"/>
      <c r="AC87" s="421"/>
      <c r="AD87" s="422"/>
      <c r="AE87" s="422"/>
      <c r="AF87" s="422"/>
      <c r="AG87" s="422"/>
      <c r="AH87" s="421"/>
      <c r="AI87" s="422"/>
      <c r="AJ87" s="422"/>
      <c r="AK87" s="422"/>
      <c r="AL87" s="422"/>
      <c r="AM87" s="421"/>
      <c r="AN87" s="422"/>
      <c r="AO87" s="422"/>
      <c r="AP87" s="422"/>
      <c r="AQ87" s="422"/>
      <c r="AR87" s="29"/>
      <c r="AS87" s="422"/>
      <c r="AT87" s="422"/>
      <c r="AU87" s="422"/>
      <c r="AV87" s="422"/>
      <c r="AW87" s="29"/>
      <c r="AX87" s="422"/>
      <c r="AY87" s="422"/>
      <c r="AZ87" s="422"/>
      <c r="BA87" s="422"/>
      <c r="BB87" s="403"/>
      <c r="BC87" s="422"/>
      <c r="BD87" s="422"/>
      <c r="BE87" s="422"/>
      <c r="BF87" s="422"/>
      <c r="BG87" s="403"/>
      <c r="BH87" s="422"/>
      <c r="BI87" s="422"/>
      <c r="BJ87" s="422"/>
      <c r="BK87" s="422"/>
      <c r="BL87" s="403"/>
      <c r="BM87" s="422"/>
      <c r="BN87" s="422"/>
      <c r="BO87" s="422"/>
      <c r="BP87" s="422"/>
      <c r="BQ87" s="403"/>
      <c r="BR87" s="422"/>
      <c r="BS87" s="422"/>
      <c r="BT87" s="422"/>
      <c r="BU87" s="422"/>
      <c r="BV87" s="403"/>
      <c r="BW87" s="422"/>
      <c r="BX87" s="422"/>
      <c r="BY87" s="422"/>
      <c r="BZ87" s="422"/>
      <c r="CA87" s="403"/>
      <c r="CB87" s="1910"/>
      <c r="CC87" s="95"/>
      <c r="CD87" s="46"/>
      <c r="CE87" s="422"/>
      <c r="CF87" s="422"/>
      <c r="CG87" s="422"/>
      <c r="CH87" s="422"/>
      <c r="CI87" s="422"/>
      <c r="CJ87" s="422"/>
      <c r="CK87" s="422"/>
      <c r="CL87" s="422"/>
      <c r="CM87" s="422"/>
      <c r="CN87" s="422"/>
      <c r="CO87" s="422"/>
      <c r="CP87" s="422"/>
      <c r="CQ87" s="422"/>
      <c r="CR87" s="422"/>
      <c r="CS87" s="422"/>
      <c r="CT87" s="429"/>
      <c r="CU87" s="29"/>
      <c r="DB87" s="1961"/>
      <c r="DC87" s="1961"/>
      <c r="DD87" s="1961"/>
      <c r="DE87" s="1961"/>
      <c r="DF87" s="1961"/>
      <c r="DG87" s="1961"/>
      <c r="DH87" s="1961"/>
      <c r="DI87" s="426"/>
    </row>
    <row r="88" spans="1:113" ht="12.75" hidden="1" customHeight="1" outlineLevel="1" x14ac:dyDescent="0.25">
      <c r="A88" s="46" t="s">
        <v>107</v>
      </c>
      <c r="B88" s="406"/>
      <c r="C88" s="407"/>
      <c r="D88" s="421"/>
      <c r="E88" s="422"/>
      <c r="F88" s="422"/>
      <c r="G88" s="422"/>
      <c r="H88" s="422"/>
      <c r="I88" s="423"/>
      <c r="J88" s="418"/>
      <c r="K88" s="417"/>
      <c r="L88" s="417"/>
      <c r="M88" s="417"/>
      <c r="N88" s="419"/>
      <c r="O88" s="417"/>
      <c r="P88" s="417"/>
      <c r="Q88" s="417"/>
      <c r="R88" s="417"/>
      <c r="S88" s="419"/>
      <c r="T88" s="417"/>
      <c r="U88" s="417"/>
      <c r="V88" s="417"/>
      <c r="W88" s="417"/>
      <c r="X88" s="419"/>
      <c r="Y88" s="417"/>
      <c r="Z88" s="417"/>
      <c r="AA88" s="417"/>
      <c r="AB88" s="417"/>
      <c r="AC88" s="419"/>
      <c r="AD88" s="417"/>
      <c r="AE88" s="417"/>
      <c r="AF88" s="417"/>
      <c r="AG88" s="417"/>
      <c r="AH88" s="419"/>
      <c r="AI88" s="417"/>
      <c r="AJ88" s="417"/>
      <c r="AK88" s="417"/>
      <c r="AL88" s="417"/>
      <c r="AM88" s="419"/>
      <c r="AN88" s="417"/>
      <c r="AO88" s="417"/>
      <c r="AP88" s="417"/>
      <c r="AQ88" s="417"/>
      <c r="AR88" s="29"/>
      <c r="AS88" s="417"/>
      <c r="AT88" s="417"/>
      <c r="AU88" s="417"/>
      <c r="AV88" s="417"/>
      <c r="AW88" s="29"/>
      <c r="AX88" s="417"/>
      <c r="AY88" s="417"/>
      <c r="AZ88" s="417"/>
      <c r="BA88" s="417"/>
      <c r="BB88" s="403"/>
      <c r="BC88" s="417"/>
      <c r="BD88" s="417"/>
      <c r="BE88" s="417"/>
      <c r="BF88" s="417"/>
      <c r="BG88" s="403"/>
      <c r="BH88" s="417"/>
      <c r="BI88" s="417"/>
      <c r="BJ88" s="417"/>
      <c r="BK88" s="417"/>
      <c r="BL88" s="403"/>
      <c r="BM88" s="417"/>
      <c r="BN88" s="417"/>
      <c r="BO88" s="417"/>
      <c r="BP88" s="417"/>
      <c r="BQ88" s="403"/>
      <c r="BR88" s="417"/>
      <c r="BS88" s="417"/>
      <c r="BT88" s="417"/>
      <c r="BU88" s="417"/>
      <c r="BV88" s="403"/>
      <c r="BW88" s="417"/>
      <c r="BX88" s="417"/>
      <c r="BY88" s="417"/>
      <c r="BZ88" s="417"/>
      <c r="CA88" s="403"/>
      <c r="CB88" s="1910"/>
      <c r="CC88" s="420"/>
      <c r="CD88" s="46"/>
      <c r="CE88" s="417"/>
      <c r="CF88" s="417"/>
      <c r="CG88" s="417"/>
      <c r="CH88" s="417"/>
      <c r="CI88" s="417"/>
      <c r="CJ88" s="417"/>
      <c r="CK88" s="417"/>
      <c r="CL88" s="417"/>
      <c r="CM88" s="417"/>
      <c r="CN88" s="417"/>
      <c r="CO88" s="417"/>
      <c r="CP88" s="417"/>
      <c r="CQ88" s="417"/>
      <c r="CR88" s="417"/>
      <c r="CS88" s="417"/>
      <c r="CT88" s="428"/>
      <c r="CU88" s="29"/>
      <c r="DB88" s="1961"/>
      <c r="DC88" s="1961"/>
      <c r="DD88" s="1961"/>
      <c r="DE88" s="1961"/>
      <c r="DF88" s="1961"/>
      <c r="DG88" s="1961"/>
      <c r="DH88" s="1961"/>
      <c r="DI88" s="9"/>
    </row>
    <row r="89" spans="1:113" ht="12.75" hidden="1" customHeight="1" outlineLevel="1" x14ac:dyDescent="0.25">
      <c r="A89" s="46" t="s">
        <v>103</v>
      </c>
      <c r="B89" s="406"/>
      <c r="C89" s="407"/>
      <c r="D89" s="421"/>
      <c r="E89" s="422"/>
      <c r="F89" s="422"/>
      <c r="G89" s="422"/>
      <c r="H89" s="422"/>
      <c r="I89" s="423"/>
      <c r="J89" s="418"/>
      <c r="K89" s="417"/>
      <c r="L89" s="417"/>
      <c r="M89" s="417"/>
      <c r="N89" s="419"/>
      <c r="O89" s="417"/>
      <c r="P89" s="417"/>
      <c r="Q89" s="417"/>
      <c r="R89" s="417"/>
      <c r="S89" s="419"/>
      <c r="T89" s="417"/>
      <c r="U89" s="417"/>
      <c r="V89" s="417"/>
      <c r="W89" s="417"/>
      <c r="X89" s="419"/>
      <c r="Y89" s="417"/>
      <c r="Z89" s="417"/>
      <c r="AA89" s="417"/>
      <c r="AB89" s="417"/>
      <c r="AC89" s="419"/>
      <c r="AD89" s="417"/>
      <c r="AE89" s="417"/>
      <c r="AF89" s="417"/>
      <c r="AG89" s="417"/>
      <c r="AH89" s="419"/>
      <c r="AI89" s="417"/>
      <c r="AJ89" s="417"/>
      <c r="AK89" s="417"/>
      <c r="AL89" s="417"/>
      <c r="AM89" s="419"/>
      <c r="AN89" s="417"/>
      <c r="AO89" s="417"/>
      <c r="AP89" s="417"/>
      <c r="AQ89" s="417"/>
      <c r="AR89" s="29"/>
      <c r="AS89" s="417"/>
      <c r="AT89" s="417"/>
      <c r="AU89" s="417"/>
      <c r="AV89" s="417"/>
      <c r="AW89" s="29"/>
      <c r="AX89" s="417"/>
      <c r="AY89" s="417"/>
      <c r="AZ89" s="417"/>
      <c r="BA89" s="417"/>
      <c r="BB89" s="403"/>
      <c r="BC89" s="417"/>
      <c r="BD89" s="417"/>
      <c r="BE89" s="417"/>
      <c r="BF89" s="417"/>
      <c r="BG89" s="403"/>
      <c r="BH89" s="417"/>
      <c r="BI89" s="417"/>
      <c r="BJ89" s="417"/>
      <c r="BK89" s="417"/>
      <c r="BL89" s="403"/>
      <c r="BM89" s="417"/>
      <c r="BN89" s="417"/>
      <c r="BO89" s="417"/>
      <c r="BP89" s="417"/>
      <c r="BQ89" s="403"/>
      <c r="BR89" s="417"/>
      <c r="BS89" s="417"/>
      <c r="BT89" s="417"/>
      <c r="BU89" s="417"/>
      <c r="BV89" s="403"/>
      <c r="BW89" s="417"/>
      <c r="BX89" s="417"/>
      <c r="BY89" s="417"/>
      <c r="BZ89" s="417"/>
      <c r="CA89" s="403"/>
      <c r="CB89" s="1910"/>
      <c r="CC89" s="420"/>
      <c r="CD89" s="46"/>
      <c r="CE89" s="417"/>
      <c r="CF89" s="417"/>
      <c r="CG89" s="417"/>
      <c r="CH89" s="417"/>
      <c r="CI89" s="417"/>
      <c r="CJ89" s="417"/>
      <c r="CK89" s="417"/>
      <c r="CL89" s="417"/>
      <c r="CM89" s="417"/>
      <c r="CN89" s="417"/>
      <c r="CO89" s="417"/>
      <c r="CP89" s="417"/>
      <c r="CQ89" s="417"/>
      <c r="CR89" s="417"/>
      <c r="CS89" s="417"/>
      <c r="CT89" s="428"/>
      <c r="CU89" s="29"/>
      <c r="DB89" s="1961"/>
      <c r="DC89" s="1961"/>
      <c r="DD89" s="1961"/>
      <c r="DE89" s="1961"/>
      <c r="DF89" s="1961"/>
      <c r="DG89" s="1961"/>
      <c r="DH89" s="1961"/>
      <c r="DI89" s="9"/>
    </row>
    <row r="90" spans="1:113" ht="12.75" hidden="1" customHeight="1" outlineLevel="1" x14ac:dyDescent="0.25">
      <c r="A90" s="431" t="s">
        <v>108</v>
      </c>
      <c r="B90" s="406"/>
      <c r="C90" s="407"/>
      <c r="D90" s="421"/>
      <c r="E90" s="422"/>
      <c r="F90" s="422"/>
      <c r="G90" s="422"/>
      <c r="H90" s="422"/>
      <c r="I90" s="423"/>
      <c r="J90" s="423"/>
      <c r="K90" s="422"/>
      <c r="L90" s="422"/>
      <c r="M90" s="422"/>
      <c r="N90" s="421"/>
      <c r="O90" s="422"/>
      <c r="P90" s="422"/>
      <c r="Q90" s="422"/>
      <c r="R90" s="422"/>
      <c r="S90" s="421"/>
      <c r="T90" s="422"/>
      <c r="U90" s="422"/>
      <c r="V90" s="422"/>
      <c r="W90" s="422"/>
      <c r="X90" s="421"/>
      <c r="Y90" s="422"/>
      <c r="Z90" s="422"/>
      <c r="AA90" s="422"/>
      <c r="AB90" s="422"/>
      <c r="AC90" s="421"/>
      <c r="AD90" s="422"/>
      <c r="AE90" s="422"/>
      <c r="AF90" s="422"/>
      <c r="AG90" s="422"/>
      <c r="AH90" s="421"/>
      <c r="AI90" s="422"/>
      <c r="AJ90" s="422"/>
      <c r="AK90" s="422"/>
      <c r="AL90" s="422"/>
      <c r="AM90" s="421"/>
      <c r="AN90" s="422"/>
      <c r="AO90" s="422"/>
      <c r="AP90" s="422"/>
      <c r="AQ90" s="422"/>
      <c r="AR90" s="29"/>
      <c r="AS90" s="422"/>
      <c r="AT90" s="422"/>
      <c r="AU90" s="422"/>
      <c r="AV90" s="422"/>
      <c r="AW90" s="29"/>
      <c r="AX90" s="422"/>
      <c r="AY90" s="422"/>
      <c r="AZ90" s="422"/>
      <c r="BA90" s="422"/>
      <c r="BB90" s="403"/>
      <c r="BC90" s="422"/>
      <c r="BD90" s="422"/>
      <c r="BE90" s="422"/>
      <c r="BF90" s="422"/>
      <c r="BG90" s="403"/>
      <c r="BH90" s="422"/>
      <c r="BI90" s="422"/>
      <c r="BJ90" s="422"/>
      <c r="BK90" s="422"/>
      <c r="BL90" s="403"/>
      <c r="BM90" s="422"/>
      <c r="BN90" s="422"/>
      <c r="BO90" s="422"/>
      <c r="BP90" s="422"/>
      <c r="BQ90" s="403"/>
      <c r="BR90" s="422"/>
      <c r="BS90" s="422"/>
      <c r="BT90" s="422"/>
      <c r="BU90" s="422"/>
      <c r="BV90" s="403"/>
      <c r="BW90" s="422"/>
      <c r="BX90" s="422"/>
      <c r="BY90" s="422"/>
      <c r="BZ90" s="422"/>
      <c r="CA90" s="403"/>
      <c r="CB90" s="1910"/>
      <c r="CC90" s="430"/>
      <c r="CD90" s="431"/>
      <c r="CE90" s="422"/>
      <c r="CF90" s="422"/>
      <c r="CG90" s="422"/>
      <c r="CH90" s="422"/>
      <c r="CI90" s="422"/>
      <c r="CJ90" s="422"/>
      <c r="CK90" s="422"/>
      <c r="CL90" s="422"/>
      <c r="CM90" s="422"/>
      <c r="CN90" s="422"/>
      <c r="CO90" s="422"/>
      <c r="CP90" s="422"/>
      <c r="CQ90" s="422"/>
      <c r="CR90" s="422"/>
      <c r="CS90" s="422"/>
      <c r="CT90" s="429"/>
      <c r="CU90" s="29"/>
      <c r="DB90" s="1961"/>
      <c r="DC90" s="1961"/>
      <c r="DD90" s="1961"/>
      <c r="DE90" s="1961"/>
      <c r="DF90" s="1961"/>
      <c r="DG90" s="1961"/>
      <c r="DH90" s="1961"/>
      <c r="DI90" s="9"/>
    </row>
    <row r="91" spans="1:113" ht="12.75" hidden="1" customHeight="1" outlineLevel="1" x14ac:dyDescent="0.25">
      <c r="A91" s="46" t="s">
        <v>103</v>
      </c>
      <c r="B91" s="406"/>
      <c r="C91" s="407"/>
      <c r="D91" s="421"/>
      <c r="E91" s="422"/>
      <c r="F91" s="422"/>
      <c r="G91" s="422"/>
      <c r="H91" s="422"/>
      <c r="I91" s="423"/>
      <c r="J91" s="423"/>
      <c r="K91" s="422"/>
      <c r="L91" s="422"/>
      <c r="M91" s="422"/>
      <c r="N91" s="421"/>
      <c r="O91" s="422"/>
      <c r="P91" s="422"/>
      <c r="Q91" s="422"/>
      <c r="R91" s="422"/>
      <c r="S91" s="421"/>
      <c r="T91" s="422"/>
      <c r="U91" s="422"/>
      <c r="V91" s="422"/>
      <c r="W91" s="422"/>
      <c r="X91" s="421"/>
      <c r="Y91" s="422"/>
      <c r="Z91" s="422"/>
      <c r="AA91" s="422"/>
      <c r="AB91" s="422"/>
      <c r="AC91" s="421"/>
      <c r="AD91" s="422"/>
      <c r="AE91" s="422"/>
      <c r="AF91" s="422"/>
      <c r="AG91" s="422"/>
      <c r="AH91" s="421"/>
      <c r="AI91" s="422"/>
      <c r="AJ91" s="422"/>
      <c r="AK91" s="422"/>
      <c r="AL91" s="422"/>
      <c r="AM91" s="421"/>
      <c r="AN91" s="422"/>
      <c r="AO91" s="422"/>
      <c r="AP91" s="422"/>
      <c r="AQ91" s="422"/>
      <c r="AR91" s="29"/>
      <c r="AS91" s="422"/>
      <c r="AT91" s="422"/>
      <c r="AU91" s="422"/>
      <c r="AV91" s="422"/>
      <c r="AW91" s="29"/>
      <c r="AX91" s="422"/>
      <c r="AY91" s="422"/>
      <c r="AZ91" s="422"/>
      <c r="BA91" s="422"/>
      <c r="BB91" s="403"/>
      <c r="BC91" s="422"/>
      <c r="BD91" s="422"/>
      <c r="BE91" s="422"/>
      <c r="BF91" s="422"/>
      <c r="BG91" s="403"/>
      <c r="BH91" s="422"/>
      <c r="BI91" s="422"/>
      <c r="BJ91" s="422"/>
      <c r="BK91" s="422"/>
      <c r="BL91" s="403"/>
      <c r="BM91" s="422"/>
      <c r="BN91" s="422"/>
      <c r="BO91" s="422"/>
      <c r="BP91" s="422"/>
      <c r="BQ91" s="403"/>
      <c r="BR91" s="422"/>
      <c r="BS91" s="422"/>
      <c r="BT91" s="422"/>
      <c r="BU91" s="422"/>
      <c r="BV91" s="403"/>
      <c r="BW91" s="422"/>
      <c r="BX91" s="422"/>
      <c r="BY91" s="422"/>
      <c r="BZ91" s="422"/>
      <c r="CA91" s="403"/>
      <c r="CB91" s="1910"/>
      <c r="CC91" s="430"/>
      <c r="CD91" s="46"/>
      <c r="CE91" s="422"/>
      <c r="CF91" s="422"/>
      <c r="CG91" s="422"/>
      <c r="CH91" s="422"/>
      <c r="CI91" s="422"/>
      <c r="CJ91" s="422"/>
      <c r="CK91" s="422"/>
      <c r="CL91" s="422"/>
      <c r="CM91" s="422"/>
      <c r="CN91" s="422"/>
      <c r="CO91" s="422"/>
      <c r="CP91" s="422"/>
      <c r="CQ91" s="422"/>
      <c r="CR91" s="422"/>
      <c r="CS91" s="422"/>
      <c r="CT91" s="429"/>
      <c r="CU91" s="29"/>
      <c r="DB91" s="1961"/>
      <c r="DC91" s="1961"/>
      <c r="DD91" s="1961"/>
      <c r="DE91" s="1961"/>
      <c r="DF91" s="1961"/>
      <c r="DG91" s="1961"/>
      <c r="DH91" s="1961"/>
      <c r="DI91" s="9"/>
    </row>
    <row r="92" spans="1:113" ht="12.75" hidden="1" customHeight="1" outlineLevel="1" x14ac:dyDescent="0.25">
      <c r="A92" s="46" t="s">
        <v>109</v>
      </c>
      <c r="B92" s="406"/>
      <c r="C92" s="407"/>
      <c r="D92" s="421"/>
      <c r="E92" s="422"/>
      <c r="F92" s="422"/>
      <c r="G92" s="422"/>
      <c r="H92" s="422"/>
      <c r="I92" s="423"/>
      <c r="J92" s="423"/>
      <c r="K92" s="422"/>
      <c r="L92" s="422"/>
      <c r="M92" s="422"/>
      <c r="N92" s="421"/>
      <c r="O92" s="422"/>
      <c r="P92" s="422"/>
      <c r="Q92" s="422"/>
      <c r="R92" s="422"/>
      <c r="S92" s="421"/>
      <c r="T92" s="422"/>
      <c r="U92" s="422"/>
      <c r="V92" s="422"/>
      <c r="W92" s="422"/>
      <c r="X92" s="421"/>
      <c r="Y92" s="422"/>
      <c r="Z92" s="422"/>
      <c r="AA92" s="422"/>
      <c r="AB92" s="422"/>
      <c r="AC92" s="421"/>
      <c r="AD92" s="422"/>
      <c r="AE92" s="422"/>
      <c r="AF92" s="422"/>
      <c r="AG92" s="422"/>
      <c r="AH92" s="421"/>
      <c r="AI92" s="422"/>
      <c r="AJ92" s="422"/>
      <c r="AK92" s="422"/>
      <c r="AL92" s="422"/>
      <c r="AM92" s="421"/>
      <c r="AN92" s="422"/>
      <c r="AO92" s="422"/>
      <c r="AP92" s="422"/>
      <c r="AQ92" s="422"/>
      <c r="AR92" s="29"/>
      <c r="AS92" s="422"/>
      <c r="AT92" s="422"/>
      <c r="AU92" s="422"/>
      <c r="AV92" s="422"/>
      <c r="AW92" s="29"/>
      <c r="AX92" s="422"/>
      <c r="AY92" s="422"/>
      <c r="AZ92" s="422"/>
      <c r="BA92" s="422"/>
      <c r="BB92" s="403"/>
      <c r="BC92" s="422"/>
      <c r="BD92" s="422"/>
      <c r="BE92" s="422"/>
      <c r="BF92" s="422"/>
      <c r="BG92" s="403"/>
      <c r="BH92" s="422"/>
      <c r="BI92" s="422"/>
      <c r="BJ92" s="422"/>
      <c r="BK92" s="422"/>
      <c r="BL92" s="403"/>
      <c r="BM92" s="422"/>
      <c r="BN92" s="422"/>
      <c r="BO92" s="422"/>
      <c r="BP92" s="422"/>
      <c r="BQ92" s="403"/>
      <c r="BR92" s="422"/>
      <c r="BS92" s="422"/>
      <c r="BT92" s="422"/>
      <c r="BU92" s="422"/>
      <c r="BV92" s="403"/>
      <c r="BW92" s="422"/>
      <c r="BX92" s="422"/>
      <c r="BY92" s="422"/>
      <c r="BZ92" s="422"/>
      <c r="CA92" s="403"/>
      <c r="CB92" s="1910"/>
      <c r="CC92" s="430"/>
      <c r="CD92" s="46"/>
      <c r="CE92" s="422"/>
      <c r="CF92" s="422"/>
      <c r="CG92" s="422"/>
      <c r="CH92" s="422"/>
      <c r="CI92" s="422"/>
      <c r="CJ92" s="422"/>
      <c r="CK92" s="422"/>
      <c r="CL92" s="422"/>
      <c r="CM92" s="422"/>
      <c r="CN92" s="422"/>
      <c r="CO92" s="422"/>
      <c r="CP92" s="422"/>
      <c r="CQ92" s="422"/>
      <c r="CR92" s="422"/>
      <c r="CS92" s="422"/>
      <c r="CT92" s="429"/>
      <c r="CU92" s="29"/>
      <c r="DB92" s="1961"/>
      <c r="DC92" s="1961"/>
      <c r="DD92" s="1961"/>
      <c r="DE92" s="1961"/>
      <c r="DF92" s="1961"/>
      <c r="DG92" s="1961"/>
      <c r="DH92" s="1961"/>
      <c r="DI92" s="9"/>
    </row>
    <row r="93" spans="1:113" ht="12.75" hidden="1" customHeight="1" outlineLevel="1" x14ac:dyDescent="0.25">
      <c r="A93" s="46" t="s">
        <v>103</v>
      </c>
      <c r="B93" s="406"/>
      <c r="C93" s="407"/>
      <c r="D93" s="421"/>
      <c r="E93" s="422"/>
      <c r="F93" s="422"/>
      <c r="G93" s="422"/>
      <c r="H93" s="422"/>
      <c r="I93" s="423"/>
      <c r="J93" s="423"/>
      <c r="K93" s="422"/>
      <c r="L93" s="422"/>
      <c r="M93" s="422"/>
      <c r="N93" s="421"/>
      <c r="O93" s="432"/>
      <c r="P93" s="432"/>
      <c r="Q93" s="432"/>
      <c r="R93" s="432"/>
      <c r="S93" s="433"/>
      <c r="T93" s="432"/>
      <c r="U93" s="432"/>
      <c r="V93" s="422"/>
      <c r="W93" s="422"/>
      <c r="X93" s="421"/>
      <c r="Y93" s="422"/>
      <c r="Z93" s="422"/>
      <c r="AA93" s="422"/>
      <c r="AB93" s="422"/>
      <c r="AC93" s="421"/>
      <c r="AD93" s="422"/>
      <c r="AE93" s="422"/>
      <c r="AF93" s="422"/>
      <c r="AG93" s="422"/>
      <c r="AH93" s="421"/>
      <c r="AI93" s="422"/>
      <c r="AJ93" s="422"/>
      <c r="AK93" s="422"/>
      <c r="AL93" s="422"/>
      <c r="AM93" s="421"/>
      <c r="AN93" s="422"/>
      <c r="AO93" s="422"/>
      <c r="AP93" s="422"/>
      <c r="AQ93" s="422"/>
      <c r="AR93" s="29"/>
      <c r="AS93" s="422"/>
      <c r="AT93" s="422"/>
      <c r="AU93" s="422"/>
      <c r="AV93" s="422"/>
      <c r="AW93" s="29"/>
      <c r="AX93" s="422"/>
      <c r="AY93" s="422"/>
      <c r="AZ93" s="422"/>
      <c r="BA93" s="422"/>
      <c r="BB93" s="403"/>
      <c r="BC93" s="422"/>
      <c r="BD93" s="422"/>
      <c r="BE93" s="422"/>
      <c r="BF93" s="422"/>
      <c r="BG93" s="403"/>
      <c r="BH93" s="422"/>
      <c r="BI93" s="422"/>
      <c r="BJ93" s="422"/>
      <c r="BK93" s="422"/>
      <c r="BL93" s="403"/>
      <c r="BM93" s="422"/>
      <c r="BN93" s="422"/>
      <c r="BO93" s="422"/>
      <c r="BP93" s="422"/>
      <c r="BQ93" s="403"/>
      <c r="BR93" s="422"/>
      <c r="BS93" s="422"/>
      <c r="BT93" s="422"/>
      <c r="BU93" s="422"/>
      <c r="BV93" s="403"/>
      <c r="BW93" s="422"/>
      <c r="BX93" s="422"/>
      <c r="BY93" s="422"/>
      <c r="BZ93" s="422"/>
      <c r="CA93" s="403"/>
      <c r="CB93" s="1910"/>
      <c r="CC93" s="95"/>
      <c r="CD93" s="46"/>
      <c r="CE93" s="422"/>
      <c r="CF93" s="422"/>
      <c r="CG93" s="422"/>
      <c r="CH93" s="422"/>
      <c r="CI93" s="422"/>
      <c r="CJ93" s="422"/>
      <c r="CK93" s="422"/>
      <c r="CL93" s="422"/>
      <c r="CM93" s="422"/>
      <c r="CN93" s="422"/>
      <c r="CO93" s="422"/>
      <c r="CP93" s="422"/>
      <c r="CQ93" s="422"/>
      <c r="CR93" s="422"/>
      <c r="CS93" s="422"/>
      <c r="CT93" s="429"/>
      <c r="CU93" s="29"/>
      <c r="DB93" s="1961"/>
      <c r="DC93" s="1961"/>
      <c r="DD93" s="1961"/>
      <c r="DE93" s="1961"/>
      <c r="DF93" s="1961"/>
      <c r="DG93" s="1961"/>
      <c r="DH93" s="1961"/>
      <c r="DI93" s="426"/>
    </row>
    <row r="94" spans="1:113" ht="12.75" hidden="1" customHeight="1" outlineLevel="1" x14ac:dyDescent="0.25">
      <c r="A94" s="427" t="s">
        <v>67</v>
      </c>
      <c r="B94" s="406"/>
      <c r="C94" s="434"/>
      <c r="D94" s="435"/>
      <c r="E94" s="436"/>
      <c r="F94" s="436"/>
      <c r="G94" s="437"/>
      <c r="H94" s="437"/>
      <c r="I94" s="418"/>
      <c r="J94" s="438"/>
      <c r="K94" s="437"/>
      <c r="L94" s="437"/>
      <c r="M94" s="437"/>
      <c r="N94" s="419"/>
      <c r="O94" s="437"/>
      <c r="P94" s="437"/>
      <c r="Q94" s="437"/>
      <c r="R94" s="437"/>
      <c r="S94" s="419"/>
      <c r="T94" s="437"/>
      <c r="U94" s="437"/>
      <c r="V94" s="437"/>
      <c r="W94" s="437"/>
      <c r="X94" s="410"/>
      <c r="Y94" s="402"/>
      <c r="Z94" s="402"/>
      <c r="AA94" s="402"/>
      <c r="AB94" s="402"/>
      <c r="AC94" s="410"/>
      <c r="AD94" s="402"/>
      <c r="AE94" s="402"/>
      <c r="AF94" s="402"/>
      <c r="AG94" s="402"/>
      <c r="AH94" s="410"/>
      <c r="AI94" s="402"/>
      <c r="AJ94" s="402"/>
      <c r="AK94" s="402"/>
      <c r="AL94" s="402"/>
      <c r="AM94" s="410"/>
      <c r="AN94" s="402"/>
      <c r="AO94" s="402"/>
      <c r="AP94" s="402"/>
      <c r="AQ94" s="402"/>
      <c r="AR94" s="29"/>
      <c r="AS94" s="402"/>
      <c r="AT94" s="402"/>
      <c r="AU94" s="402"/>
      <c r="AV94" s="402"/>
      <c r="AW94" s="29"/>
      <c r="AX94" s="402"/>
      <c r="AY94" s="402"/>
      <c r="AZ94" s="402"/>
      <c r="BA94" s="402"/>
      <c r="BB94" s="403"/>
      <c r="BC94" s="402"/>
      <c r="BD94" s="402"/>
      <c r="BE94" s="402"/>
      <c r="BF94" s="402"/>
      <c r="BG94" s="403"/>
      <c r="BH94" s="402"/>
      <c r="BI94" s="402"/>
      <c r="BJ94" s="402"/>
      <c r="BK94" s="402"/>
      <c r="BL94" s="403"/>
      <c r="BM94" s="402"/>
      <c r="BN94" s="402"/>
      <c r="BO94" s="402"/>
      <c r="BP94" s="402"/>
      <c r="BQ94" s="403"/>
      <c r="BR94" s="402"/>
      <c r="BS94" s="402"/>
      <c r="BT94" s="402"/>
      <c r="BU94" s="402"/>
      <c r="BV94" s="403"/>
      <c r="BW94" s="402"/>
      <c r="BX94" s="402"/>
      <c r="BY94" s="402"/>
      <c r="BZ94" s="402"/>
      <c r="CA94" s="403"/>
      <c r="CB94" s="1910"/>
      <c r="CC94" s="420"/>
      <c r="CD94" s="427"/>
      <c r="CE94" s="402"/>
      <c r="CF94" s="402"/>
      <c r="CG94" s="402"/>
      <c r="CH94" s="402"/>
      <c r="CI94" s="402"/>
      <c r="CJ94" s="402"/>
      <c r="CK94" s="402"/>
      <c r="CL94" s="402"/>
      <c r="CM94" s="402"/>
      <c r="CN94" s="402"/>
      <c r="CO94" s="402"/>
      <c r="CP94" s="402"/>
      <c r="CQ94" s="402"/>
      <c r="CR94" s="402"/>
      <c r="CS94" s="402"/>
      <c r="CT94" s="411"/>
      <c r="CU94" s="29"/>
      <c r="DB94" s="1961"/>
      <c r="DC94" s="1961"/>
      <c r="DD94" s="1961"/>
      <c r="DE94" s="1961"/>
      <c r="DF94" s="1961"/>
      <c r="DG94" s="1961"/>
      <c r="DH94" s="1961"/>
      <c r="DI94" s="9"/>
    </row>
    <row r="95" spans="1:113" ht="12.75" hidden="1" customHeight="1" outlineLevel="1" x14ac:dyDescent="0.25">
      <c r="A95" s="46" t="s">
        <v>68</v>
      </c>
      <c r="B95" s="406"/>
      <c r="C95" s="407"/>
      <c r="D95" s="421"/>
      <c r="E95" s="422"/>
      <c r="F95" s="422"/>
      <c r="G95" s="422"/>
      <c r="H95" s="422"/>
      <c r="I95" s="423"/>
      <c r="J95" s="423"/>
      <c r="K95" s="422"/>
      <c r="L95" s="422"/>
      <c r="M95" s="422"/>
      <c r="N95" s="421"/>
      <c r="O95" s="422"/>
      <c r="P95" s="422"/>
      <c r="Q95" s="422"/>
      <c r="R95" s="422"/>
      <c r="S95" s="421"/>
      <c r="T95" s="422"/>
      <c r="U95" s="422"/>
      <c r="V95" s="422"/>
      <c r="W95" s="422"/>
      <c r="X95" s="410"/>
      <c r="Y95" s="402"/>
      <c r="Z95" s="402"/>
      <c r="AA95" s="402"/>
      <c r="AB95" s="402"/>
      <c r="AC95" s="410"/>
      <c r="AD95" s="402"/>
      <c r="AE95" s="402"/>
      <c r="AF95" s="402"/>
      <c r="AG95" s="402"/>
      <c r="AH95" s="410"/>
      <c r="AI95" s="402"/>
      <c r="AJ95" s="402"/>
      <c r="AK95" s="402"/>
      <c r="AL95" s="402"/>
      <c r="AM95" s="410"/>
      <c r="AN95" s="402"/>
      <c r="AO95" s="402"/>
      <c r="AP95" s="402"/>
      <c r="AQ95" s="402"/>
      <c r="AR95" s="29"/>
      <c r="AS95" s="402"/>
      <c r="AT95" s="402"/>
      <c r="AU95" s="402"/>
      <c r="AV95" s="402"/>
      <c r="AW95" s="29"/>
      <c r="AX95" s="402"/>
      <c r="AY95" s="402"/>
      <c r="AZ95" s="402"/>
      <c r="BA95" s="402"/>
      <c r="BB95" s="403"/>
      <c r="BC95" s="402"/>
      <c r="BD95" s="402"/>
      <c r="BE95" s="402"/>
      <c r="BF95" s="402"/>
      <c r="BG95" s="403"/>
      <c r="BH95" s="402"/>
      <c r="BI95" s="402"/>
      <c r="BJ95" s="402"/>
      <c r="BK95" s="402"/>
      <c r="BL95" s="403"/>
      <c r="BM95" s="402"/>
      <c r="BN95" s="402"/>
      <c r="BO95" s="402"/>
      <c r="BP95" s="402"/>
      <c r="BQ95" s="403"/>
      <c r="BR95" s="402"/>
      <c r="BS95" s="402"/>
      <c r="BT95" s="402"/>
      <c r="BU95" s="402"/>
      <c r="BV95" s="403"/>
      <c r="BW95" s="402"/>
      <c r="BX95" s="402"/>
      <c r="BY95" s="402"/>
      <c r="BZ95" s="402"/>
      <c r="CA95" s="403"/>
      <c r="CB95" s="1910"/>
      <c r="CC95" s="95"/>
      <c r="CD95" s="46"/>
      <c r="CE95" s="402"/>
      <c r="CF95" s="402"/>
      <c r="CG95" s="402"/>
      <c r="CH95" s="402"/>
      <c r="CI95" s="402"/>
      <c r="CJ95" s="402"/>
      <c r="CK95" s="402"/>
      <c r="CL95" s="402"/>
      <c r="CM95" s="402"/>
      <c r="CN95" s="402"/>
      <c r="CO95" s="402"/>
      <c r="CP95" s="402"/>
      <c r="CQ95" s="402"/>
      <c r="CR95" s="402"/>
      <c r="CS95" s="402"/>
      <c r="CT95" s="411"/>
      <c r="CU95" s="29"/>
      <c r="DB95" s="1961"/>
      <c r="DC95" s="1961"/>
      <c r="DD95" s="1961"/>
      <c r="DE95" s="1961"/>
      <c r="DF95" s="1961"/>
      <c r="DG95" s="1961"/>
      <c r="DH95" s="1961"/>
      <c r="DI95" s="426"/>
    </row>
    <row r="96" spans="1:113" ht="12.75" hidden="1" customHeight="1" outlineLevel="1" x14ac:dyDescent="0.25">
      <c r="A96" s="439"/>
      <c r="B96" s="406"/>
      <c r="C96" s="440"/>
      <c r="D96" s="421"/>
      <c r="E96" s="422"/>
      <c r="F96" s="422"/>
      <c r="G96" s="422"/>
      <c r="H96" s="422"/>
      <c r="I96" s="423"/>
      <c r="J96" s="423"/>
      <c r="K96" s="422"/>
      <c r="L96" s="422"/>
      <c r="M96" s="422"/>
      <c r="N96" s="421"/>
      <c r="O96" s="422"/>
      <c r="P96" s="422"/>
      <c r="Q96" s="422"/>
      <c r="R96" s="92"/>
      <c r="S96" s="441"/>
      <c r="T96" s="422"/>
      <c r="U96" s="92"/>
      <c r="V96" s="92"/>
      <c r="W96" s="92"/>
      <c r="X96" s="441"/>
      <c r="Y96" s="92"/>
      <c r="Z96" s="92"/>
      <c r="AA96" s="92"/>
      <c r="AB96" s="92"/>
      <c r="AC96" s="441"/>
      <c r="AD96" s="92"/>
      <c r="AE96" s="92"/>
      <c r="AF96" s="92"/>
      <c r="AG96" s="92"/>
      <c r="AH96" s="441"/>
      <c r="AI96" s="92"/>
      <c r="AJ96" s="92"/>
      <c r="AK96" s="92"/>
      <c r="AL96" s="92"/>
      <c r="AM96" s="441"/>
      <c r="AN96" s="92"/>
      <c r="AO96" s="92"/>
      <c r="AP96" s="92"/>
      <c r="AQ96" s="92"/>
      <c r="AR96" s="29"/>
      <c r="AS96" s="92"/>
      <c r="AT96" s="92"/>
      <c r="AU96" s="92"/>
      <c r="AV96" s="92"/>
      <c r="AW96" s="29"/>
      <c r="AX96" s="92"/>
      <c r="AY96" s="92"/>
      <c r="AZ96" s="92"/>
      <c r="BA96" s="92"/>
      <c r="BB96" s="403"/>
      <c r="BC96" s="92"/>
      <c r="BD96" s="92"/>
      <c r="BE96" s="92"/>
      <c r="BF96" s="92"/>
      <c r="BG96" s="403"/>
      <c r="BH96" s="92"/>
      <c r="BI96" s="92"/>
      <c r="BJ96" s="92"/>
      <c r="BK96" s="92"/>
      <c r="BL96" s="403"/>
      <c r="BM96" s="92"/>
      <c r="BN96" s="92"/>
      <c r="BO96" s="92"/>
      <c r="BP96" s="92"/>
      <c r="BQ96" s="403"/>
      <c r="BR96" s="92"/>
      <c r="BS96" s="92"/>
      <c r="BT96" s="92"/>
      <c r="BU96" s="92"/>
      <c r="BV96" s="403"/>
      <c r="BW96" s="92"/>
      <c r="BX96" s="92"/>
      <c r="BY96" s="92"/>
      <c r="BZ96" s="92"/>
      <c r="CA96" s="403"/>
      <c r="CB96" s="1910"/>
      <c r="CC96" s="95"/>
      <c r="CD96" s="439"/>
      <c r="CE96" s="92"/>
      <c r="CF96" s="92"/>
      <c r="CG96" s="92"/>
      <c r="CH96" s="92"/>
      <c r="CI96" s="92"/>
      <c r="CJ96" s="92"/>
      <c r="CK96" s="92"/>
      <c r="CL96" s="92"/>
      <c r="CM96" s="92"/>
      <c r="CN96" s="92"/>
      <c r="CO96" s="92"/>
      <c r="CP96" s="92"/>
      <c r="CQ96" s="92"/>
      <c r="CR96" s="92"/>
      <c r="CS96" s="92"/>
      <c r="CT96" s="442"/>
      <c r="CU96" s="29"/>
      <c r="DB96" s="1961"/>
      <c r="DC96" s="1961"/>
      <c r="DD96" s="1961"/>
      <c r="DE96" s="1961"/>
      <c r="DF96" s="1961"/>
      <c r="DG96" s="1961"/>
      <c r="DH96" s="1961"/>
      <c r="DI96" s="426"/>
    </row>
    <row r="97" spans="1:113" ht="12.75" hidden="1" customHeight="1" outlineLevel="1" x14ac:dyDescent="0.25">
      <c r="A97" s="443" t="s">
        <v>110</v>
      </c>
      <c r="B97" s="444"/>
      <c r="C97" s="445"/>
      <c r="D97" s="446"/>
      <c r="E97" s="447"/>
      <c r="F97" s="447"/>
      <c r="G97" s="447"/>
      <c r="H97" s="447"/>
      <c r="I97" s="445"/>
      <c r="J97" s="445"/>
      <c r="K97" s="447"/>
      <c r="L97" s="447"/>
      <c r="M97" s="447"/>
      <c r="N97" s="446"/>
      <c r="O97" s="447"/>
      <c r="P97" s="447"/>
      <c r="Q97" s="447"/>
      <c r="R97" s="447"/>
      <c r="S97" s="446"/>
      <c r="T97" s="447"/>
      <c r="U97" s="447"/>
      <c r="V97" s="447"/>
      <c r="W97" s="447"/>
      <c r="X97" s="446"/>
      <c r="Y97" s="447"/>
      <c r="Z97" s="447"/>
      <c r="AA97" s="447"/>
      <c r="AB97" s="447"/>
      <c r="AC97" s="446"/>
      <c r="AD97" s="447"/>
      <c r="AE97" s="447"/>
      <c r="AF97" s="447"/>
      <c r="AG97" s="447"/>
      <c r="AH97" s="446"/>
      <c r="AI97" s="447"/>
      <c r="AJ97" s="447"/>
      <c r="AK97" s="447"/>
      <c r="AL97" s="447"/>
      <c r="AM97" s="446"/>
      <c r="AN97" s="447"/>
      <c r="AO97" s="447"/>
      <c r="AP97" s="447"/>
      <c r="AQ97" s="447"/>
      <c r="AR97" s="29"/>
      <c r="AS97" s="447"/>
      <c r="AT97" s="447"/>
      <c r="AU97" s="447"/>
      <c r="AV97" s="447"/>
      <c r="AW97" s="29"/>
      <c r="AX97" s="447"/>
      <c r="AY97" s="447"/>
      <c r="AZ97" s="447"/>
      <c r="BA97" s="447"/>
      <c r="BB97" s="403"/>
      <c r="BC97" s="447"/>
      <c r="BD97" s="447"/>
      <c r="BE97" s="447"/>
      <c r="BF97" s="447"/>
      <c r="BG97" s="403"/>
      <c r="BH97" s="447"/>
      <c r="BI97" s="447"/>
      <c r="BJ97" s="447"/>
      <c r="BK97" s="447"/>
      <c r="BL97" s="403"/>
      <c r="BM97" s="447"/>
      <c r="BN97" s="447"/>
      <c r="BO97" s="447"/>
      <c r="BP97" s="447"/>
      <c r="BQ97" s="403"/>
      <c r="BR97" s="447"/>
      <c r="BS97" s="447"/>
      <c r="BT97" s="447"/>
      <c r="BU97" s="447"/>
      <c r="BV97" s="403"/>
      <c r="BW97" s="447"/>
      <c r="BX97" s="447"/>
      <c r="BY97" s="447"/>
      <c r="BZ97" s="447"/>
      <c r="CA97" s="403"/>
      <c r="CB97" s="1910"/>
      <c r="CC97" s="241"/>
      <c r="CD97" s="443"/>
      <c r="CE97" s="447"/>
      <c r="CF97" s="447"/>
      <c r="CG97" s="447"/>
      <c r="CH97" s="447"/>
      <c r="CI97" s="447"/>
      <c r="CJ97" s="447"/>
      <c r="CK97" s="447"/>
      <c r="CL97" s="447"/>
      <c r="CM97" s="447"/>
      <c r="CN97" s="447"/>
      <c r="CO97" s="447"/>
      <c r="CP97" s="447"/>
      <c r="CQ97" s="447"/>
      <c r="CR97" s="447"/>
      <c r="CS97" s="447"/>
      <c r="CT97" s="448"/>
      <c r="CU97" s="29"/>
      <c r="DB97" s="1961"/>
      <c r="DC97" s="1961"/>
      <c r="DD97" s="1961"/>
      <c r="DE97" s="1961"/>
      <c r="DF97" s="1961"/>
      <c r="DG97" s="1961"/>
      <c r="DH97" s="1961"/>
      <c r="DI97" s="9"/>
    </row>
    <row r="98" spans="1:113" ht="12.75" hidden="1" customHeight="1" outlineLevel="1" x14ac:dyDescent="0.25">
      <c r="A98" s="93" t="s">
        <v>59</v>
      </c>
      <c r="B98" s="449"/>
      <c r="C98" s="450"/>
      <c r="D98" s="451"/>
      <c r="E98" s="21"/>
      <c r="F98" s="21"/>
      <c r="G98" s="21"/>
      <c r="H98" s="21"/>
      <c r="I98" s="450"/>
      <c r="J98" s="450"/>
      <c r="K98" s="21"/>
      <c r="L98" s="21"/>
      <c r="M98" s="21"/>
      <c r="N98" s="451"/>
      <c r="O98" s="21"/>
      <c r="P98" s="21"/>
      <c r="Q98" s="21"/>
      <c r="R98" s="21"/>
      <c r="S98" s="451"/>
      <c r="T98" s="21"/>
      <c r="U98" s="21"/>
      <c r="V98" s="21"/>
      <c r="W98" s="21"/>
      <c r="X98" s="451"/>
      <c r="Y98" s="21"/>
      <c r="Z98" s="21"/>
      <c r="AA98" s="21"/>
      <c r="AB98" s="21"/>
      <c r="AC98" s="451"/>
      <c r="AD98" s="21"/>
      <c r="AE98" s="21"/>
      <c r="AF98" s="21"/>
      <c r="AG98" s="21"/>
      <c r="AH98" s="451"/>
      <c r="AI98" s="21"/>
      <c r="AJ98" s="21"/>
      <c r="AK98" s="21"/>
      <c r="AL98" s="21"/>
      <c r="AM98" s="451"/>
      <c r="AN98" s="21"/>
      <c r="AO98" s="21"/>
      <c r="AP98" s="21"/>
      <c r="AQ98" s="21"/>
      <c r="AR98" s="29"/>
      <c r="AS98" s="21"/>
      <c r="AT98" s="21"/>
      <c r="AU98" s="21"/>
      <c r="AV98" s="21"/>
      <c r="AW98" s="29"/>
      <c r="AX98" s="21"/>
      <c r="AY98" s="21"/>
      <c r="AZ98" s="21"/>
      <c r="BA98" s="21"/>
      <c r="BB98" s="403"/>
      <c r="BC98" s="21"/>
      <c r="BD98" s="21"/>
      <c r="BE98" s="21"/>
      <c r="BF98" s="21"/>
      <c r="BG98" s="403"/>
      <c r="BH98" s="21"/>
      <c r="BI98" s="21"/>
      <c r="BJ98" s="21"/>
      <c r="BK98" s="21"/>
      <c r="BL98" s="403"/>
      <c r="BM98" s="21"/>
      <c r="BN98" s="21"/>
      <c r="BO98" s="21"/>
      <c r="BP98" s="21"/>
      <c r="BQ98" s="403"/>
      <c r="BR98" s="21"/>
      <c r="BS98" s="21"/>
      <c r="BT98" s="21"/>
      <c r="BU98" s="21"/>
      <c r="BV98" s="403"/>
      <c r="BW98" s="21"/>
      <c r="BX98" s="21"/>
      <c r="BY98" s="21"/>
      <c r="BZ98" s="21"/>
      <c r="CA98" s="403"/>
      <c r="CB98" s="1910"/>
      <c r="CC98" s="95"/>
      <c r="CD98" s="93"/>
      <c r="CE98" s="21"/>
      <c r="CF98" s="21"/>
      <c r="CG98" s="21"/>
      <c r="CH98" s="21"/>
      <c r="CI98" s="21"/>
      <c r="CJ98" s="21"/>
      <c r="CK98" s="21"/>
      <c r="CL98" s="21"/>
      <c r="CM98" s="21"/>
      <c r="CN98" s="21"/>
      <c r="CO98" s="21"/>
      <c r="CP98" s="21"/>
      <c r="CQ98" s="21"/>
      <c r="CR98" s="21"/>
      <c r="CS98" s="21"/>
      <c r="CT98" s="452"/>
      <c r="CU98" s="29"/>
      <c r="DB98" s="1961"/>
      <c r="DC98" s="1961"/>
      <c r="DD98" s="1961"/>
      <c r="DE98" s="1961"/>
      <c r="DF98" s="1961"/>
      <c r="DG98" s="1961"/>
      <c r="DH98" s="1961"/>
      <c r="DI98" s="426"/>
    </row>
    <row r="99" spans="1:113" ht="12.75" hidden="1" customHeight="1" outlineLevel="1" x14ac:dyDescent="0.25">
      <c r="A99" s="453"/>
      <c r="B99" s="449"/>
      <c r="C99" s="454"/>
      <c r="D99" s="110"/>
      <c r="E99" s="29"/>
      <c r="F99" s="29"/>
      <c r="G99" s="29"/>
      <c r="H99" s="29"/>
      <c r="I99" s="79"/>
      <c r="J99" s="79"/>
      <c r="K99" s="29"/>
      <c r="L99" s="29"/>
      <c r="M99" s="29"/>
      <c r="N99" s="110"/>
      <c r="O99" s="29"/>
      <c r="P99" s="29"/>
      <c r="Q99" s="29"/>
      <c r="R99" s="29"/>
      <c r="S99" s="110"/>
      <c r="T99" s="29"/>
      <c r="U99" s="29"/>
      <c r="V99" s="29"/>
      <c r="W99" s="29"/>
      <c r="X99" s="110"/>
      <c r="Y99" s="29"/>
      <c r="Z99" s="29"/>
      <c r="AA99" s="29"/>
      <c r="AB99" s="29"/>
      <c r="AC99" s="110"/>
      <c r="AD99" s="29"/>
      <c r="AE99" s="29"/>
      <c r="AF99" s="29"/>
      <c r="AG99" s="29"/>
      <c r="AH99" s="110"/>
      <c r="AI99" s="29"/>
      <c r="AJ99" s="29"/>
      <c r="AK99" s="29"/>
      <c r="AL99" s="29"/>
      <c r="AM99" s="110"/>
      <c r="AN99" s="29"/>
      <c r="AO99" s="29"/>
      <c r="AP99" s="29"/>
      <c r="AQ99" s="29"/>
      <c r="AR99" s="29"/>
      <c r="AS99" s="29"/>
      <c r="AT99" s="29"/>
      <c r="AU99" s="29"/>
      <c r="AV99" s="29"/>
      <c r="AW99" s="29"/>
      <c r="AX99" s="29"/>
      <c r="AY99" s="29"/>
      <c r="AZ99" s="29"/>
      <c r="BA99" s="29"/>
      <c r="BB99" s="403"/>
      <c r="BC99" s="29"/>
      <c r="BD99" s="29"/>
      <c r="BE99" s="29"/>
      <c r="BF99" s="29"/>
      <c r="BG99" s="403"/>
      <c r="BH99" s="29"/>
      <c r="BI99" s="29"/>
      <c r="BJ99" s="29"/>
      <c r="BK99" s="29"/>
      <c r="BL99" s="403"/>
      <c r="BM99" s="29"/>
      <c r="BN99" s="29"/>
      <c r="BO99" s="29"/>
      <c r="BP99" s="29"/>
      <c r="BQ99" s="403"/>
      <c r="BR99" s="29"/>
      <c r="BS99" s="29"/>
      <c r="BT99" s="29"/>
      <c r="BU99" s="29"/>
      <c r="BV99" s="403"/>
      <c r="BW99" s="29"/>
      <c r="BX99" s="29"/>
      <c r="BY99" s="29"/>
      <c r="BZ99" s="29"/>
      <c r="CA99" s="403"/>
      <c r="CB99" s="1910"/>
      <c r="CC99" s="29"/>
      <c r="CD99" s="453"/>
      <c r="CE99" s="29"/>
      <c r="CF99" s="29"/>
      <c r="CG99" s="29"/>
      <c r="CH99" s="29"/>
      <c r="CI99" s="29"/>
      <c r="CJ99" s="29"/>
      <c r="CK99" s="29"/>
      <c r="CL99" s="29"/>
      <c r="CM99" s="29"/>
      <c r="CN99" s="29"/>
      <c r="CO99" s="29"/>
      <c r="CP99" s="29"/>
      <c r="CQ99" s="29"/>
      <c r="CR99" s="29"/>
      <c r="CS99" s="29"/>
      <c r="CT99" s="455"/>
      <c r="CU99" s="29"/>
      <c r="DB99" s="1961"/>
      <c r="DC99" s="1961"/>
      <c r="DD99" s="1961"/>
      <c r="DE99" s="1961"/>
      <c r="DF99" s="1961"/>
      <c r="DG99" s="1961"/>
      <c r="DH99" s="1961"/>
      <c r="DI99" s="9"/>
    </row>
    <row r="100" spans="1:113" ht="12.75" hidden="1" customHeight="1" outlineLevel="1" x14ac:dyDescent="0.25">
      <c r="A100" s="46" t="s">
        <v>111</v>
      </c>
      <c r="B100" s="456"/>
      <c r="C100" s="457"/>
      <c r="D100" s="458"/>
      <c r="E100" s="78"/>
      <c r="F100" s="78"/>
      <c r="G100" s="78"/>
      <c r="H100" s="78"/>
      <c r="I100" s="457"/>
      <c r="J100" s="457"/>
      <c r="K100" s="78"/>
      <c r="L100" s="78"/>
      <c r="M100" s="78"/>
      <c r="N100" s="458"/>
      <c r="O100" s="78"/>
      <c r="P100" s="78"/>
      <c r="Q100" s="78"/>
      <c r="R100" s="78"/>
      <c r="S100" s="458"/>
      <c r="T100" s="78"/>
      <c r="U100" s="78"/>
      <c r="V100" s="78"/>
      <c r="W100" s="78"/>
      <c r="X100" s="458"/>
      <c r="Y100" s="78"/>
      <c r="Z100" s="78"/>
      <c r="AA100" s="78"/>
      <c r="AB100" s="78"/>
      <c r="AC100" s="458"/>
      <c r="AD100" s="78"/>
      <c r="AE100" s="78"/>
      <c r="AF100" s="78"/>
      <c r="AG100" s="78"/>
      <c r="AH100" s="458"/>
      <c r="AI100" s="78"/>
      <c r="AJ100" s="78"/>
      <c r="AK100" s="78"/>
      <c r="AL100" s="78"/>
      <c r="AM100" s="458"/>
      <c r="AN100" s="78"/>
      <c r="AO100" s="78"/>
      <c r="AP100" s="78"/>
      <c r="AQ100" s="78"/>
      <c r="AR100" s="29"/>
      <c r="AS100" s="78"/>
      <c r="AT100" s="78"/>
      <c r="AU100" s="78"/>
      <c r="AV100" s="78"/>
      <c r="AW100" s="29"/>
      <c r="AX100" s="78"/>
      <c r="AY100" s="78"/>
      <c r="AZ100" s="78"/>
      <c r="BA100" s="78"/>
      <c r="BB100" s="403"/>
      <c r="BC100" s="78"/>
      <c r="BD100" s="78"/>
      <c r="BE100" s="78"/>
      <c r="BF100" s="78"/>
      <c r="BG100" s="403"/>
      <c r="BH100" s="78"/>
      <c r="BI100" s="78"/>
      <c r="BJ100" s="78"/>
      <c r="BK100" s="78"/>
      <c r="BL100" s="403"/>
      <c r="BM100" s="78"/>
      <c r="BN100" s="78"/>
      <c r="BO100" s="78"/>
      <c r="BP100" s="78"/>
      <c r="BQ100" s="403"/>
      <c r="BR100" s="78"/>
      <c r="BS100" s="78"/>
      <c r="BT100" s="78"/>
      <c r="BU100" s="78"/>
      <c r="BV100" s="403"/>
      <c r="BW100" s="78"/>
      <c r="BX100" s="78"/>
      <c r="BY100" s="78"/>
      <c r="BZ100" s="78"/>
      <c r="CA100" s="403"/>
      <c r="CB100" s="1910"/>
      <c r="CC100" s="241"/>
      <c r="CD100" s="46"/>
      <c r="CE100" s="78"/>
      <c r="CF100" s="78"/>
      <c r="CG100" s="78"/>
      <c r="CH100" s="78"/>
      <c r="CI100" s="78"/>
      <c r="CJ100" s="78"/>
      <c r="CK100" s="78"/>
      <c r="CL100" s="78"/>
      <c r="CM100" s="78"/>
      <c r="CN100" s="78"/>
      <c r="CO100" s="78"/>
      <c r="CP100" s="78"/>
      <c r="CQ100" s="78"/>
      <c r="CR100" s="78"/>
      <c r="CS100" s="78"/>
      <c r="CT100" s="459"/>
      <c r="CU100" s="29"/>
      <c r="DB100" s="1961"/>
      <c r="DC100" s="1961"/>
      <c r="DD100" s="1961"/>
      <c r="DE100" s="1961"/>
      <c r="DF100" s="1961"/>
      <c r="DG100" s="1961"/>
      <c r="DH100" s="1961"/>
      <c r="DI100" s="9"/>
    </row>
    <row r="101" spans="1:113" ht="12.75" hidden="1" customHeight="1" outlineLevel="1" x14ac:dyDescent="0.25">
      <c r="A101" s="460" t="s">
        <v>112</v>
      </c>
      <c r="B101" s="461"/>
      <c r="C101" s="462"/>
      <c r="D101" s="463"/>
      <c r="E101" s="464"/>
      <c r="F101" s="464"/>
      <c r="G101" s="464"/>
      <c r="H101" s="464"/>
      <c r="I101" s="462"/>
      <c r="J101" s="462"/>
      <c r="K101" s="464"/>
      <c r="L101" s="464"/>
      <c r="M101" s="464"/>
      <c r="N101" s="463"/>
      <c r="O101" s="464"/>
      <c r="P101" s="464"/>
      <c r="Q101" s="464"/>
      <c r="R101" s="464"/>
      <c r="S101" s="463"/>
      <c r="T101" s="464"/>
      <c r="U101" s="464"/>
      <c r="V101" s="464"/>
      <c r="W101" s="464"/>
      <c r="X101" s="463"/>
      <c r="Y101" s="464"/>
      <c r="Z101" s="464"/>
      <c r="AA101" s="464"/>
      <c r="AB101" s="464"/>
      <c r="AC101" s="463"/>
      <c r="AD101" s="464"/>
      <c r="AE101" s="464"/>
      <c r="AF101" s="464"/>
      <c r="AG101" s="464"/>
      <c r="AH101" s="463"/>
      <c r="AI101" s="464"/>
      <c r="AJ101" s="464"/>
      <c r="AK101" s="464"/>
      <c r="AL101" s="464"/>
      <c r="AM101" s="463"/>
      <c r="AN101" s="464"/>
      <c r="AO101" s="464"/>
      <c r="AP101" s="464"/>
      <c r="AQ101" s="464"/>
      <c r="AR101" s="29"/>
      <c r="AS101" s="464"/>
      <c r="AT101" s="464"/>
      <c r="AU101" s="464"/>
      <c r="AV101" s="464"/>
      <c r="AW101" s="29"/>
      <c r="AX101" s="464"/>
      <c r="AY101" s="464"/>
      <c r="AZ101" s="464"/>
      <c r="BA101" s="464"/>
      <c r="BB101" s="403"/>
      <c r="BC101" s="464"/>
      <c r="BD101" s="464"/>
      <c r="BE101" s="464"/>
      <c r="BF101" s="464"/>
      <c r="BG101" s="403"/>
      <c r="BH101" s="464"/>
      <c r="BI101" s="464"/>
      <c r="BJ101" s="464"/>
      <c r="BK101" s="464"/>
      <c r="BL101" s="403"/>
      <c r="BM101" s="464"/>
      <c r="BN101" s="464"/>
      <c r="BO101" s="464"/>
      <c r="BP101" s="464"/>
      <c r="BQ101" s="403"/>
      <c r="BR101" s="464"/>
      <c r="BS101" s="464"/>
      <c r="BT101" s="464"/>
      <c r="BU101" s="464"/>
      <c r="BV101" s="403"/>
      <c r="BW101" s="464"/>
      <c r="BX101" s="464"/>
      <c r="BY101" s="464"/>
      <c r="BZ101" s="464"/>
      <c r="CA101" s="403"/>
      <c r="CB101" s="1910"/>
      <c r="CC101" s="465"/>
      <c r="CD101" s="460"/>
      <c r="CE101" s="464"/>
      <c r="CF101" s="464"/>
      <c r="CG101" s="464"/>
      <c r="CH101" s="464"/>
      <c r="CI101" s="464"/>
      <c r="CJ101" s="464"/>
      <c r="CK101" s="464"/>
      <c r="CL101" s="464"/>
      <c r="CM101" s="464"/>
      <c r="CN101" s="464"/>
      <c r="CO101" s="464"/>
      <c r="CP101" s="464"/>
      <c r="CQ101" s="464"/>
      <c r="CR101" s="464"/>
      <c r="CS101" s="464"/>
      <c r="CT101" s="466"/>
      <c r="CU101" s="29"/>
      <c r="DB101" s="1961"/>
      <c r="DC101" s="1961"/>
      <c r="DD101" s="1961"/>
      <c r="DE101" s="1961"/>
      <c r="DF101" s="1961"/>
      <c r="DG101" s="1961"/>
      <c r="DH101" s="1961"/>
      <c r="DI101" s="9"/>
    </row>
    <row r="102" spans="1:113" ht="12.75" hidden="1" customHeight="1" outlineLevel="1" x14ac:dyDescent="0.25">
      <c r="A102" s="460"/>
      <c r="B102" s="461"/>
      <c r="C102" s="454"/>
      <c r="D102" s="110"/>
      <c r="E102" s="29"/>
      <c r="F102" s="29"/>
      <c r="G102" s="29"/>
      <c r="H102" s="29"/>
      <c r="I102" s="79"/>
      <c r="J102" s="79"/>
      <c r="K102" s="29"/>
      <c r="L102" s="29"/>
      <c r="M102" s="29"/>
      <c r="N102" s="110"/>
      <c r="O102" s="29"/>
      <c r="P102" s="29"/>
      <c r="Q102" s="29"/>
      <c r="R102" s="29"/>
      <c r="S102" s="110"/>
      <c r="T102" s="29"/>
      <c r="U102" s="29"/>
      <c r="V102" s="29"/>
      <c r="W102" s="29"/>
      <c r="X102" s="110"/>
      <c r="Y102" s="29"/>
      <c r="Z102" s="29"/>
      <c r="AA102" s="29"/>
      <c r="AB102" s="29"/>
      <c r="AC102" s="110"/>
      <c r="AD102" s="29"/>
      <c r="AE102" s="29"/>
      <c r="AF102" s="29"/>
      <c r="AG102" s="29"/>
      <c r="AH102" s="110"/>
      <c r="AI102" s="29"/>
      <c r="AJ102" s="29"/>
      <c r="AK102" s="29"/>
      <c r="AL102" s="29"/>
      <c r="AM102" s="110"/>
      <c r="AN102" s="29"/>
      <c r="AO102" s="29"/>
      <c r="AP102" s="29"/>
      <c r="AQ102" s="29"/>
      <c r="AR102" s="29"/>
      <c r="AS102" s="29"/>
      <c r="AT102" s="29"/>
      <c r="AU102" s="29"/>
      <c r="AV102" s="29"/>
      <c r="AW102" s="29"/>
      <c r="AX102" s="29"/>
      <c r="AY102" s="29"/>
      <c r="AZ102" s="29"/>
      <c r="BA102" s="29"/>
      <c r="BB102" s="403"/>
      <c r="BC102" s="29"/>
      <c r="BD102" s="29"/>
      <c r="BE102" s="29"/>
      <c r="BF102" s="29"/>
      <c r="BG102" s="403"/>
      <c r="BH102" s="29"/>
      <c r="BI102" s="29"/>
      <c r="BJ102" s="29"/>
      <c r="BK102" s="29"/>
      <c r="BL102" s="403"/>
      <c r="BM102" s="29"/>
      <c r="BN102" s="29"/>
      <c r="BO102" s="29"/>
      <c r="BP102" s="29"/>
      <c r="BQ102" s="403"/>
      <c r="BR102" s="29"/>
      <c r="BS102" s="29"/>
      <c r="BT102" s="29"/>
      <c r="BU102" s="29"/>
      <c r="BV102" s="403"/>
      <c r="BW102" s="29"/>
      <c r="BX102" s="29"/>
      <c r="BY102" s="29"/>
      <c r="BZ102" s="29"/>
      <c r="CA102" s="403"/>
      <c r="CB102" s="1910"/>
      <c r="CC102" s="29"/>
      <c r="CD102" s="460"/>
      <c r="CE102" s="29"/>
      <c r="CF102" s="29"/>
      <c r="CG102" s="29"/>
      <c r="CH102" s="29"/>
      <c r="CI102" s="29"/>
      <c r="CJ102" s="29"/>
      <c r="CK102" s="29"/>
      <c r="CL102" s="29"/>
      <c r="CM102" s="29"/>
      <c r="CN102" s="29"/>
      <c r="CO102" s="29"/>
      <c r="CP102" s="29"/>
      <c r="CQ102" s="29"/>
      <c r="CR102" s="29"/>
      <c r="CS102" s="29"/>
      <c r="CT102" s="455"/>
      <c r="CU102" s="29"/>
      <c r="DB102" s="1961"/>
      <c r="DC102" s="1961"/>
      <c r="DD102" s="1961"/>
      <c r="DE102" s="1961"/>
      <c r="DF102" s="1961"/>
      <c r="DG102" s="1961"/>
      <c r="DH102" s="1961"/>
      <c r="DI102" s="9"/>
    </row>
    <row r="103" spans="1:113" ht="12.75" hidden="1" customHeight="1" outlineLevel="1" x14ac:dyDescent="0.25">
      <c r="A103" s="46" t="s">
        <v>113</v>
      </c>
      <c r="B103" s="456"/>
      <c r="C103" s="445"/>
      <c r="D103" s="446"/>
      <c r="E103" s="447"/>
      <c r="F103" s="447"/>
      <c r="G103" s="447"/>
      <c r="H103" s="447"/>
      <c r="I103" s="445"/>
      <c r="J103" s="445"/>
      <c r="K103" s="447"/>
      <c r="L103" s="447"/>
      <c r="M103" s="447"/>
      <c r="N103" s="446"/>
      <c r="O103" s="447"/>
      <c r="P103" s="447"/>
      <c r="Q103" s="447"/>
      <c r="R103" s="447"/>
      <c r="S103" s="446"/>
      <c r="T103" s="447"/>
      <c r="U103" s="447"/>
      <c r="V103" s="447"/>
      <c r="W103" s="447"/>
      <c r="X103" s="446"/>
      <c r="Y103" s="447"/>
      <c r="Z103" s="447"/>
      <c r="AA103" s="447"/>
      <c r="AB103" s="447"/>
      <c r="AC103" s="446"/>
      <c r="AD103" s="447"/>
      <c r="AE103" s="447"/>
      <c r="AF103" s="447"/>
      <c r="AG103" s="447"/>
      <c r="AH103" s="446"/>
      <c r="AI103" s="447"/>
      <c r="AJ103" s="447"/>
      <c r="AK103" s="447"/>
      <c r="AL103" s="447"/>
      <c r="AM103" s="446"/>
      <c r="AN103" s="447"/>
      <c r="AO103" s="447"/>
      <c r="AP103" s="447"/>
      <c r="AQ103" s="447"/>
      <c r="AR103" s="29"/>
      <c r="AS103" s="447"/>
      <c r="AT103" s="447"/>
      <c r="AU103" s="447"/>
      <c r="AV103" s="447"/>
      <c r="AW103" s="29"/>
      <c r="AX103" s="447"/>
      <c r="AY103" s="447"/>
      <c r="AZ103" s="447"/>
      <c r="BA103" s="447"/>
      <c r="BB103" s="403"/>
      <c r="BC103" s="447"/>
      <c r="BD103" s="447"/>
      <c r="BE103" s="447"/>
      <c r="BF103" s="447"/>
      <c r="BG103" s="403"/>
      <c r="BH103" s="447"/>
      <c r="BI103" s="447"/>
      <c r="BJ103" s="447"/>
      <c r="BK103" s="447"/>
      <c r="BL103" s="403"/>
      <c r="BM103" s="447"/>
      <c r="BN103" s="447"/>
      <c r="BO103" s="447"/>
      <c r="BP103" s="447"/>
      <c r="BQ103" s="403"/>
      <c r="BR103" s="447"/>
      <c r="BS103" s="447"/>
      <c r="BT103" s="447"/>
      <c r="BU103" s="447"/>
      <c r="BV103" s="403"/>
      <c r="BW103" s="447"/>
      <c r="BX103" s="447"/>
      <c r="BY103" s="447"/>
      <c r="BZ103" s="447"/>
      <c r="CA103" s="403"/>
      <c r="CB103" s="1910"/>
      <c r="CC103" s="447"/>
      <c r="CD103" s="46"/>
      <c r="CE103" s="447"/>
      <c r="CF103" s="447"/>
      <c r="CG103" s="447"/>
      <c r="CH103" s="447"/>
      <c r="CI103" s="447"/>
      <c r="CJ103" s="447"/>
      <c r="CK103" s="447"/>
      <c r="CL103" s="447"/>
      <c r="CM103" s="447"/>
      <c r="CN103" s="447"/>
      <c r="CO103" s="447"/>
      <c r="CP103" s="447"/>
      <c r="CQ103" s="447"/>
      <c r="CR103" s="447"/>
      <c r="CS103" s="447"/>
      <c r="CT103" s="448"/>
      <c r="CU103" s="29"/>
      <c r="DB103" s="1961"/>
      <c r="DC103" s="1961"/>
      <c r="DD103" s="1961"/>
      <c r="DE103" s="1961"/>
      <c r="DF103" s="1961"/>
      <c r="DG103" s="1961"/>
      <c r="DH103" s="1961"/>
      <c r="DI103" s="9"/>
    </row>
    <row r="104" spans="1:113" ht="12.75" hidden="1" customHeight="1" outlineLevel="1" x14ac:dyDescent="0.25">
      <c r="A104" s="46" t="s">
        <v>114</v>
      </c>
      <c r="B104" s="456"/>
      <c r="C104" s="467"/>
      <c r="D104" s="467"/>
      <c r="E104" s="467"/>
      <c r="F104" s="468"/>
      <c r="G104" s="468"/>
      <c r="H104" s="468"/>
      <c r="I104" s="467"/>
      <c r="J104" s="467"/>
      <c r="K104" s="468"/>
      <c r="L104" s="468"/>
      <c r="M104" s="468"/>
      <c r="N104" s="469"/>
      <c r="O104" s="468"/>
      <c r="P104" s="468"/>
      <c r="Q104" s="468"/>
      <c r="R104" s="468"/>
      <c r="S104" s="469"/>
      <c r="T104" s="468"/>
      <c r="U104" s="468"/>
      <c r="V104" s="468"/>
      <c r="W104" s="468"/>
      <c r="X104" s="469"/>
      <c r="Y104" s="468"/>
      <c r="Z104" s="468"/>
      <c r="AA104" s="468"/>
      <c r="AB104" s="468"/>
      <c r="AC104" s="469"/>
      <c r="AD104" s="468"/>
      <c r="AE104" s="468"/>
      <c r="AF104" s="468"/>
      <c r="AG104" s="468"/>
      <c r="AH104" s="469"/>
      <c r="AI104" s="468"/>
      <c r="AJ104" s="468"/>
      <c r="AK104" s="468"/>
      <c r="AL104" s="468"/>
      <c r="AM104" s="469"/>
      <c r="AN104" s="468"/>
      <c r="AO104" s="468"/>
      <c r="AP104" s="468"/>
      <c r="AQ104" s="468"/>
      <c r="AR104" s="29"/>
      <c r="AS104" s="468"/>
      <c r="AT104" s="468"/>
      <c r="AU104" s="468"/>
      <c r="AV104" s="468"/>
      <c r="AW104" s="29"/>
      <c r="AX104" s="468"/>
      <c r="AY104" s="468"/>
      <c r="AZ104" s="468"/>
      <c r="BA104" s="468"/>
      <c r="BB104" s="403"/>
      <c r="BC104" s="468"/>
      <c r="BD104" s="468"/>
      <c r="BE104" s="468"/>
      <c r="BF104" s="468"/>
      <c r="BG104" s="403"/>
      <c r="BH104" s="468"/>
      <c r="BI104" s="468"/>
      <c r="BJ104" s="468"/>
      <c r="BK104" s="468"/>
      <c r="BL104" s="403"/>
      <c r="BM104" s="468"/>
      <c r="BN104" s="468"/>
      <c r="BO104" s="468"/>
      <c r="BP104" s="468"/>
      <c r="BQ104" s="403"/>
      <c r="BR104" s="468"/>
      <c r="BS104" s="468"/>
      <c r="BT104" s="468"/>
      <c r="BU104" s="468"/>
      <c r="BV104" s="403"/>
      <c r="BW104" s="468"/>
      <c r="BX104" s="468"/>
      <c r="BY104" s="468"/>
      <c r="BZ104" s="468"/>
      <c r="CA104" s="403"/>
      <c r="CB104" s="1910"/>
      <c r="CC104" s="468"/>
      <c r="CD104" s="46"/>
      <c r="CE104" s="468"/>
      <c r="CF104" s="468"/>
      <c r="CG104" s="468"/>
      <c r="CH104" s="468"/>
      <c r="CI104" s="468"/>
      <c r="CJ104" s="468"/>
      <c r="CK104" s="468"/>
      <c r="CL104" s="468"/>
      <c r="CM104" s="468"/>
      <c r="CN104" s="468"/>
      <c r="CO104" s="468"/>
      <c r="CP104" s="468"/>
      <c r="CQ104" s="468"/>
      <c r="CR104" s="468"/>
      <c r="CS104" s="468"/>
      <c r="CT104" s="470"/>
      <c r="CU104" s="29"/>
      <c r="DB104" s="1961"/>
      <c r="DC104" s="1961"/>
      <c r="DD104" s="1961"/>
      <c r="DE104" s="1961"/>
      <c r="DF104" s="1961"/>
      <c r="DG104" s="1961"/>
      <c r="DH104" s="1961"/>
      <c r="DI104" s="9"/>
    </row>
    <row r="105" spans="1:113" ht="12.75" hidden="1" customHeight="1" outlineLevel="1" x14ac:dyDescent="0.25">
      <c r="A105" s="471" t="s">
        <v>115</v>
      </c>
      <c r="B105" s="472"/>
      <c r="C105" s="473"/>
      <c r="D105" s="474"/>
      <c r="E105" s="475"/>
      <c r="F105" s="475"/>
      <c r="G105" s="475"/>
      <c r="H105" s="475"/>
      <c r="I105" s="473"/>
      <c r="J105" s="473"/>
      <c r="K105" s="475"/>
      <c r="L105" s="475"/>
      <c r="M105" s="475"/>
      <c r="N105" s="474"/>
      <c r="O105" s="475"/>
      <c r="P105" s="475"/>
      <c r="Q105" s="475"/>
      <c r="R105" s="475"/>
      <c r="S105" s="474"/>
      <c r="T105" s="475"/>
      <c r="U105" s="475"/>
      <c r="V105" s="475"/>
      <c r="W105" s="475"/>
      <c r="X105" s="474"/>
      <c r="Y105" s="475"/>
      <c r="Z105" s="475"/>
      <c r="AA105" s="475"/>
      <c r="AB105" s="475"/>
      <c r="AC105" s="474"/>
      <c r="AD105" s="475"/>
      <c r="AE105" s="475"/>
      <c r="AF105" s="475"/>
      <c r="AG105" s="475"/>
      <c r="AH105" s="474"/>
      <c r="AI105" s="475"/>
      <c r="AJ105" s="475"/>
      <c r="AK105" s="475"/>
      <c r="AL105" s="475"/>
      <c r="AM105" s="474"/>
      <c r="AN105" s="475"/>
      <c r="AO105" s="475"/>
      <c r="AP105" s="475"/>
      <c r="AQ105" s="475"/>
      <c r="AR105" s="29"/>
      <c r="AS105" s="475"/>
      <c r="AT105" s="475"/>
      <c r="AU105" s="475"/>
      <c r="AV105" s="475"/>
      <c r="AW105" s="29"/>
      <c r="AX105" s="475"/>
      <c r="AY105" s="475"/>
      <c r="AZ105" s="475"/>
      <c r="BA105" s="475"/>
      <c r="BB105" s="403"/>
      <c r="BC105" s="475"/>
      <c r="BD105" s="475"/>
      <c r="BE105" s="475"/>
      <c r="BF105" s="475"/>
      <c r="BG105" s="403"/>
      <c r="BH105" s="475"/>
      <c r="BI105" s="475"/>
      <c r="BJ105" s="475"/>
      <c r="BK105" s="475"/>
      <c r="BL105" s="403"/>
      <c r="BM105" s="475"/>
      <c r="BN105" s="475"/>
      <c r="BO105" s="475"/>
      <c r="BP105" s="475"/>
      <c r="BQ105" s="403"/>
      <c r="BR105" s="475"/>
      <c r="BS105" s="475"/>
      <c r="BT105" s="475"/>
      <c r="BU105" s="475"/>
      <c r="BV105" s="403"/>
      <c r="BW105" s="475"/>
      <c r="BX105" s="475"/>
      <c r="BY105" s="475"/>
      <c r="BZ105" s="475"/>
      <c r="CA105" s="403"/>
      <c r="CB105" s="1910"/>
      <c r="CC105" s="475"/>
      <c r="CD105" s="471"/>
      <c r="CE105" s="475"/>
      <c r="CF105" s="475"/>
      <c r="CG105" s="475"/>
      <c r="CH105" s="475"/>
      <c r="CI105" s="475"/>
      <c r="CJ105" s="475"/>
      <c r="CK105" s="475"/>
      <c r="CL105" s="475"/>
      <c r="CM105" s="475"/>
      <c r="CN105" s="475"/>
      <c r="CO105" s="475"/>
      <c r="CP105" s="475"/>
      <c r="CQ105" s="475"/>
      <c r="CR105" s="475"/>
      <c r="CS105" s="475"/>
      <c r="CT105" s="476"/>
      <c r="CU105" s="29"/>
      <c r="DB105" s="1961"/>
      <c r="DC105" s="1961"/>
      <c r="DD105" s="1961"/>
      <c r="DE105" s="1961"/>
      <c r="DF105" s="1961"/>
      <c r="DG105" s="1961"/>
      <c r="DH105" s="1961"/>
      <c r="DI105" s="9"/>
    </row>
    <row r="106" spans="1:113" ht="12.75" hidden="1" customHeight="1" outlineLevel="1" x14ac:dyDescent="0.25">
      <c r="A106" s="471" t="s">
        <v>116</v>
      </c>
      <c r="B106" s="472"/>
      <c r="C106" s="473"/>
      <c r="D106" s="474"/>
      <c r="E106" s="475"/>
      <c r="F106" s="475"/>
      <c r="G106" s="475"/>
      <c r="H106" s="475"/>
      <c r="I106" s="473"/>
      <c r="J106" s="473"/>
      <c r="K106" s="475"/>
      <c r="L106" s="475"/>
      <c r="M106" s="475"/>
      <c r="N106" s="474"/>
      <c r="O106" s="475"/>
      <c r="P106" s="475"/>
      <c r="Q106" s="475"/>
      <c r="R106" s="475"/>
      <c r="S106" s="474"/>
      <c r="T106" s="475"/>
      <c r="U106" s="475"/>
      <c r="V106" s="475"/>
      <c r="W106" s="475"/>
      <c r="X106" s="474"/>
      <c r="Y106" s="475"/>
      <c r="Z106" s="475"/>
      <c r="AA106" s="475"/>
      <c r="AB106" s="475"/>
      <c r="AC106" s="474"/>
      <c r="AD106" s="475"/>
      <c r="AE106" s="475"/>
      <c r="AF106" s="475"/>
      <c r="AG106" s="475"/>
      <c r="AH106" s="474"/>
      <c r="AI106" s="475"/>
      <c r="AJ106" s="475"/>
      <c r="AK106" s="475"/>
      <c r="AL106" s="475"/>
      <c r="AM106" s="474"/>
      <c r="AN106" s="475"/>
      <c r="AO106" s="475"/>
      <c r="AP106" s="475"/>
      <c r="AQ106" s="475"/>
      <c r="AR106" s="29"/>
      <c r="AS106" s="475"/>
      <c r="AT106" s="475"/>
      <c r="AU106" s="475"/>
      <c r="AV106" s="475"/>
      <c r="AW106" s="29"/>
      <c r="AX106" s="475"/>
      <c r="AY106" s="475"/>
      <c r="AZ106" s="475"/>
      <c r="BA106" s="475"/>
      <c r="BB106" s="403"/>
      <c r="BC106" s="475"/>
      <c r="BD106" s="475"/>
      <c r="BE106" s="475"/>
      <c r="BF106" s="475"/>
      <c r="BG106" s="403"/>
      <c r="BH106" s="475"/>
      <c r="BI106" s="475"/>
      <c r="BJ106" s="475"/>
      <c r="BK106" s="475"/>
      <c r="BL106" s="403"/>
      <c r="BM106" s="475"/>
      <c r="BN106" s="475"/>
      <c r="BO106" s="475"/>
      <c r="BP106" s="475"/>
      <c r="BQ106" s="403"/>
      <c r="BR106" s="475"/>
      <c r="BS106" s="475"/>
      <c r="BT106" s="475"/>
      <c r="BU106" s="475"/>
      <c r="BV106" s="403"/>
      <c r="BW106" s="475"/>
      <c r="BX106" s="475"/>
      <c r="BY106" s="475"/>
      <c r="BZ106" s="475"/>
      <c r="CA106" s="403"/>
      <c r="CB106" s="1910"/>
      <c r="CC106" s="475"/>
      <c r="CD106" s="471"/>
      <c r="CE106" s="475"/>
      <c r="CF106" s="475"/>
      <c r="CG106" s="475"/>
      <c r="CH106" s="475"/>
      <c r="CI106" s="475"/>
      <c r="CJ106" s="475"/>
      <c r="CK106" s="475"/>
      <c r="CL106" s="475"/>
      <c r="CM106" s="475"/>
      <c r="CN106" s="475"/>
      <c r="CO106" s="475"/>
      <c r="CP106" s="475"/>
      <c r="CQ106" s="475"/>
      <c r="CR106" s="475"/>
      <c r="CS106" s="475"/>
      <c r="CT106" s="476"/>
      <c r="CU106" s="29"/>
      <c r="DB106" s="1961"/>
      <c r="DC106" s="1961"/>
      <c r="DD106" s="1961"/>
      <c r="DE106" s="1961"/>
      <c r="DF106" s="1961"/>
      <c r="DG106" s="1961"/>
      <c r="DH106" s="1961"/>
      <c r="DI106" s="9"/>
    </row>
    <row r="107" spans="1:113" ht="12.75" hidden="1" customHeight="1" outlineLevel="1" x14ac:dyDescent="0.25">
      <c r="A107" s="471" t="s">
        <v>117</v>
      </c>
      <c r="B107" s="472"/>
      <c r="C107" s="477"/>
      <c r="D107" s="478"/>
      <c r="E107" s="475"/>
      <c r="F107" s="475"/>
      <c r="G107" s="475"/>
      <c r="H107" s="475"/>
      <c r="I107" s="477"/>
      <c r="J107" s="473"/>
      <c r="K107" s="475"/>
      <c r="L107" s="475"/>
      <c r="M107" s="475"/>
      <c r="N107" s="478"/>
      <c r="O107" s="475"/>
      <c r="P107" s="475"/>
      <c r="Q107" s="475"/>
      <c r="R107" s="475"/>
      <c r="S107" s="478"/>
      <c r="T107" s="475"/>
      <c r="U107" s="475"/>
      <c r="V107" s="475"/>
      <c r="W107" s="475"/>
      <c r="X107" s="478"/>
      <c r="Y107" s="475"/>
      <c r="Z107" s="475"/>
      <c r="AA107" s="475"/>
      <c r="AB107" s="475"/>
      <c r="AC107" s="478"/>
      <c r="AD107" s="475"/>
      <c r="AE107" s="475"/>
      <c r="AF107" s="475"/>
      <c r="AG107" s="475"/>
      <c r="AH107" s="478"/>
      <c r="AI107" s="475"/>
      <c r="AJ107" s="475"/>
      <c r="AK107" s="475"/>
      <c r="AL107" s="475"/>
      <c r="AM107" s="478"/>
      <c r="AN107" s="475"/>
      <c r="AO107" s="475"/>
      <c r="AP107" s="475"/>
      <c r="AQ107" s="475"/>
      <c r="AR107" s="29"/>
      <c r="AS107" s="475"/>
      <c r="AT107" s="475"/>
      <c r="AU107" s="475"/>
      <c r="AV107" s="475"/>
      <c r="AW107" s="29"/>
      <c r="AX107" s="475"/>
      <c r="AY107" s="475"/>
      <c r="AZ107" s="475"/>
      <c r="BA107" s="475"/>
      <c r="BB107" s="403"/>
      <c r="BC107" s="475"/>
      <c r="BD107" s="475"/>
      <c r="BE107" s="475"/>
      <c r="BF107" s="475"/>
      <c r="BG107" s="403"/>
      <c r="BH107" s="475"/>
      <c r="BI107" s="475"/>
      <c r="BJ107" s="475"/>
      <c r="BK107" s="475"/>
      <c r="BL107" s="403"/>
      <c r="BM107" s="475"/>
      <c r="BN107" s="475"/>
      <c r="BO107" s="475"/>
      <c r="BP107" s="475"/>
      <c r="BQ107" s="403"/>
      <c r="BR107" s="475"/>
      <c r="BS107" s="475"/>
      <c r="BT107" s="475"/>
      <c r="BU107" s="475"/>
      <c r="BV107" s="403"/>
      <c r="BW107" s="475"/>
      <c r="BX107" s="475"/>
      <c r="BY107" s="475"/>
      <c r="BZ107" s="475"/>
      <c r="CA107" s="403"/>
      <c r="CB107" s="1910"/>
      <c r="CC107" s="475"/>
      <c r="CD107" s="471"/>
      <c r="CE107" s="475"/>
      <c r="CF107" s="475"/>
      <c r="CG107" s="475"/>
      <c r="CH107" s="475"/>
      <c r="CI107" s="475"/>
      <c r="CJ107" s="475"/>
      <c r="CK107" s="475"/>
      <c r="CL107" s="475"/>
      <c r="CM107" s="475"/>
      <c r="CN107" s="475"/>
      <c r="CO107" s="475"/>
      <c r="CP107" s="475"/>
      <c r="CQ107" s="475"/>
      <c r="CR107" s="475"/>
      <c r="CS107" s="475"/>
      <c r="CT107" s="476"/>
      <c r="CU107" s="29"/>
      <c r="DB107" s="1961"/>
      <c r="DC107" s="1961"/>
      <c r="DD107" s="1961"/>
      <c r="DE107" s="1961"/>
      <c r="DF107" s="1961"/>
      <c r="DG107" s="1961"/>
      <c r="DH107" s="1961"/>
      <c r="DI107" s="9"/>
    </row>
    <row r="108" spans="1:113" ht="12.75" hidden="1" customHeight="1" outlineLevel="1" x14ac:dyDescent="0.25">
      <c r="A108" s="56" t="s">
        <v>118</v>
      </c>
      <c r="B108" s="479"/>
      <c r="C108" s="56"/>
      <c r="D108" s="29"/>
      <c r="E108" s="29"/>
      <c r="F108" s="29"/>
      <c r="G108" s="29"/>
      <c r="H108" s="29"/>
      <c r="I108" s="29"/>
      <c r="J108" s="7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403"/>
      <c r="BC108" s="29"/>
      <c r="BD108" s="29"/>
      <c r="BE108" s="29"/>
      <c r="BF108" s="29"/>
      <c r="BG108" s="403"/>
      <c r="BH108" s="29"/>
      <c r="BI108" s="29"/>
      <c r="BJ108" s="29"/>
      <c r="BK108" s="29"/>
      <c r="BL108" s="403"/>
      <c r="BM108" s="29"/>
      <c r="BN108" s="29"/>
      <c r="BO108" s="29"/>
      <c r="BP108" s="29"/>
      <c r="BQ108" s="403"/>
      <c r="BR108" s="29"/>
      <c r="BS108" s="29"/>
      <c r="BT108" s="29"/>
      <c r="BU108" s="29"/>
      <c r="BV108" s="403"/>
      <c r="BW108" s="29"/>
      <c r="BX108" s="29"/>
      <c r="BY108" s="29"/>
      <c r="BZ108" s="29"/>
      <c r="CA108" s="403"/>
      <c r="CB108" s="1910"/>
      <c r="CC108" s="480"/>
      <c r="CD108" s="56"/>
      <c r="CE108" s="29"/>
      <c r="CF108" s="29"/>
      <c r="CG108" s="29"/>
      <c r="CH108" s="29"/>
      <c r="CI108" s="29"/>
      <c r="CJ108" s="29"/>
      <c r="CK108" s="29"/>
      <c r="CL108" s="29"/>
      <c r="CM108" s="29"/>
      <c r="CN108" s="29"/>
      <c r="CO108" s="29"/>
      <c r="CP108" s="29"/>
      <c r="CQ108" s="29"/>
      <c r="CR108" s="29"/>
      <c r="CS108" s="29"/>
      <c r="CT108" s="455"/>
      <c r="CU108" s="29"/>
      <c r="DB108" s="1961"/>
      <c r="DC108" s="1961"/>
      <c r="DD108" s="1961"/>
      <c r="DE108" s="1961"/>
      <c r="DF108" s="1961"/>
      <c r="DG108" s="1961"/>
      <c r="DH108" s="1961"/>
      <c r="DI108" s="1961"/>
    </row>
    <row r="109" spans="1:113" ht="12.75" hidden="1" customHeight="1" outlineLevel="1" x14ac:dyDescent="0.25">
      <c r="A109" s="29"/>
      <c r="B109" s="481"/>
      <c r="C109" s="29"/>
      <c r="D109" s="29"/>
      <c r="E109" s="29"/>
      <c r="F109" s="29"/>
      <c r="G109" s="29"/>
      <c r="H109" s="29"/>
      <c r="I109" s="29"/>
      <c r="J109" s="79"/>
      <c r="K109" s="29"/>
      <c r="L109" s="480"/>
      <c r="M109" s="482"/>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403"/>
      <c r="BC109" s="29"/>
      <c r="BD109" s="29"/>
      <c r="BE109" s="29"/>
      <c r="BF109" s="29"/>
      <c r="BG109" s="403"/>
      <c r="BH109" s="29"/>
      <c r="BI109" s="29"/>
      <c r="BJ109" s="29"/>
      <c r="BK109" s="29"/>
      <c r="BL109" s="403"/>
      <c r="BM109" s="29"/>
      <c r="BN109" s="29"/>
      <c r="BO109" s="29"/>
      <c r="BP109" s="29"/>
      <c r="BQ109" s="403"/>
      <c r="BR109" s="29"/>
      <c r="BS109" s="29"/>
      <c r="BT109" s="29"/>
      <c r="BU109" s="29"/>
      <c r="BV109" s="403"/>
      <c r="BW109" s="29"/>
      <c r="BX109" s="29"/>
      <c r="BY109" s="29"/>
      <c r="BZ109" s="29"/>
      <c r="CA109" s="403"/>
      <c r="CB109" s="1910"/>
      <c r="CC109" s="29"/>
      <c r="CD109" s="29"/>
      <c r="CE109" s="29"/>
      <c r="CF109" s="29"/>
      <c r="CG109" s="29"/>
      <c r="CH109" s="29"/>
      <c r="CI109" s="29"/>
      <c r="CJ109" s="29"/>
      <c r="CK109" s="29"/>
      <c r="CL109" s="29"/>
      <c r="CM109" s="29"/>
      <c r="CN109" s="29"/>
      <c r="CO109" s="29"/>
      <c r="CP109" s="29"/>
      <c r="CQ109" s="29"/>
      <c r="CR109" s="29"/>
      <c r="CS109" s="29"/>
      <c r="CT109" s="455"/>
      <c r="CU109" s="29"/>
      <c r="DB109" s="1961"/>
      <c r="DC109" s="1961"/>
      <c r="DD109" s="1961"/>
      <c r="DE109" s="1961"/>
      <c r="DF109" s="1961"/>
      <c r="DG109" s="1961"/>
      <c r="DH109" s="1961"/>
      <c r="DI109" s="9"/>
    </row>
    <row r="110" spans="1:113" ht="5.0999999999999996" customHeight="1" collapsed="1" x14ac:dyDescent="0.25">
      <c r="A110" s="29"/>
      <c r="B110" s="481"/>
      <c r="C110" s="29"/>
      <c r="D110" s="29"/>
      <c r="E110" s="29"/>
      <c r="F110" s="29"/>
      <c r="G110" s="29"/>
      <c r="H110" s="29"/>
      <c r="I110" s="29"/>
      <c r="J110" s="29"/>
      <c r="K110" s="29"/>
      <c r="L110" s="29"/>
      <c r="M110" s="29"/>
      <c r="N110" s="29"/>
      <c r="O110" s="29"/>
      <c r="P110" s="29"/>
      <c r="Q110" s="29"/>
      <c r="R110" s="29"/>
      <c r="S110" s="29"/>
      <c r="T110" s="29"/>
      <c r="U110" s="29"/>
      <c r="V110" s="29"/>
      <c r="W110" s="29"/>
      <c r="X110" s="29"/>
      <c r="Y110" s="483"/>
      <c r="Z110" s="29"/>
      <c r="AA110" s="29"/>
      <c r="AB110" s="29"/>
      <c r="AC110" s="29"/>
      <c r="AD110" s="483"/>
      <c r="AE110" s="29"/>
      <c r="AF110" s="29"/>
      <c r="AG110" s="29"/>
      <c r="AH110" s="29"/>
      <c r="AI110" s="29"/>
      <c r="AJ110" s="29"/>
      <c r="AK110" s="29"/>
      <c r="AL110" s="29"/>
      <c r="AM110" s="29"/>
      <c r="AN110" s="482"/>
      <c r="AO110" s="29"/>
      <c r="AP110" s="29"/>
      <c r="AQ110" s="29"/>
      <c r="AR110" s="9"/>
      <c r="AS110" s="482"/>
      <c r="AT110" s="484"/>
      <c r="AU110" s="29"/>
      <c r="AV110" s="29"/>
      <c r="AW110" s="9"/>
      <c r="AX110" s="485"/>
      <c r="AY110" s="29"/>
      <c r="AZ110" s="29"/>
      <c r="BA110" s="29"/>
      <c r="BB110" s="486"/>
      <c r="BC110" s="29"/>
      <c r="BD110" s="29"/>
      <c r="BE110" s="29"/>
      <c r="BF110" s="29"/>
      <c r="BG110" s="486"/>
      <c r="BH110" s="29"/>
      <c r="BI110" s="29"/>
      <c r="BJ110" s="29"/>
      <c r="BK110" s="29"/>
      <c r="BL110" s="486"/>
      <c r="BM110" s="29"/>
      <c r="BN110" s="29"/>
      <c r="BO110" s="29"/>
      <c r="BP110" s="29"/>
      <c r="BQ110" s="486"/>
      <c r="BR110" s="29"/>
      <c r="BS110" s="29"/>
      <c r="BT110" s="29"/>
      <c r="BU110" s="29"/>
      <c r="BV110" s="486"/>
      <c r="BW110" s="29"/>
      <c r="BX110" s="29"/>
      <c r="BY110" s="29"/>
      <c r="BZ110" s="29"/>
      <c r="CA110" s="486"/>
      <c r="CB110" s="1910"/>
      <c r="CC110" s="487"/>
      <c r="CD110" s="29"/>
      <c r="CE110" s="29"/>
      <c r="CF110" s="29"/>
      <c r="CG110" s="29"/>
      <c r="CH110" s="29"/>
      <c r="CI110" s="29"/>
      <c r="CJ110" s="29"/>
      <c r="CK110" s="29"/>
      <c r="CL110" s="29"/>
      <c r="CM110" s="29"/>
      <c r="CN110" s="29"/>
      <c r="CO110" s="29"/>
      <c r="CP110" s="29"/>
      <c r="CQ110" s="29"/>
      <c r="CR110" s="29"/>
      <c r="CS110" s="29"/>
      <c r="CT110" s="455"/>
      <c r="CU110" s="1961"/>
      <c r="DB110" s="1961"/>
      <c r="DC110" s="1961"/>
      <c r="DD110" s="1961"/>
      <c r="DE110" s="1961"/>
      <c r="DF110" s="1961"/>
      <c r="DG110" s="1961"/>
      <c r="DH110" s="1961"/>
      <c r="DI110" s="9"/>
    </row>
    <row r="111" spans="1:113" x14ac:dyDescent="0.25">
      <c r="A111" s="397" t="s">
        <v>99</v>
      </c>
      <c r="B111" s="488"/>
      <c r="C111" s="400">
        <f>+C$1</f>
        <v>2005</v>
      </c>
      <c r="D111" s="400">
        <f t="shared" ref="D111:BV111" si="110">+D$1</f>
        <v>2006</v>
      </c>
      <c r="E111" s="401" t="str">
        <f t="shared" si="110"/>
        <v>1Q07</v>
      </c>
      <c r="F111" s="401" t="str">
        <f t="shared" si="110"/>
        <v>2Q07</v>
      </c>
      <c r="G111" s="401" t="str">
        <f t="shared" si="110"/>
        <v>3Q07</v>
      </c>
      <c r="H111" s="401" t="str">
        <f t="shared" si="110"/>
        <v>4Q07</v>
      </c>
      <c r="I111" s="399">
        <f t="shared" si="110"/>
        <v>2007</v>
      </c>
      <c r="J111" s="399" t="str">
        <f t="shared" si="110"/>
        <v>1Q08</v>
      </c>
      <c r="K111" s="401" t="str">
        <f t="shared" si="110"/>
        <v>2Q08</v>
      </c>
      <c r="L111" s="401" t="str">
        <f t="shared" si="110"/>
        <v>3Q08</v>
      </c>
      <c r="M111" s="401" t="str">
        <f t="shared" si="110"/>
        <v>4Q08</v>
      </c>
      <c r="N111" s="400">
        <f t="shared" si="110"/>
        <v>2008</v>
      </c>
      <c r="O111" s="401" t="str">
        <f t="shared" si="110"/>
        <v>1Q09</v>
      </c>
      <c r="P111" s="401" t="str">
        <f t="shared" si="110"/>
        <v>2Q09</v>
      </c>
      <c r="Q111" s="401" t="str">
        <f t="shared" si="110"/>
        <v>3Q09</v>
      </c>
      <c r="R111" s="401" t="str">
        <f t="shared" si="110"/>
        <v>4Q09</v>
      </c>
      <c r="S111" s="400">
        <f t="shared" si="110"/>
        <v>2009</v>
      </c>
      <c r="T111" s="401" t="str">
        <f t="shared" si="110"/>
        <v>1Q10</v>
      </c>
      <c r="U111" s="401" t="str">
        <f t="shared" si="110"/>
        <v>2Q10</v>
      </c>
      <c r="V111" s="401" t="str">
        <f t="shared" si="110"/>
        <v>3Q10</v>
      </c>
      <c r="W111" s="401" t="str">
        <f t="shared" si="110"/>
        <v>4Q10</v>
      </c>
      <c r="X111" s="400">
        <f t="shared" si="110"/>
        <v>2010</v>
      </c>
      <c r="Y111" s="401" t="str">
        <f t="shared" si="110"/>
        <v>1Q11</v>
      </c>
      <c r="Z111" s="401" t="str">
        <f t="shared" si="110"/>
        <v>2Q11</v>
      </c>
      <c r="AA111" s="401" t="str">
        <f t="shared" si="110"/>
        <v>3Q11</v>
      </c>
      <c r="AB111" s="401" t="str">
        <f t="shared" si="110"/>
        <v>4Q11</v>
      </c>
      <c r="AC111" s="400">
        <f t="shared" si="110"/>
        <v>2011</v>
      </c>
      <c r="AD111" s="401" t="str">
        <f t="shared" si="110"/>
        <v>1Q12</v>
      </c>
      <c r="AE111" s="401" t="str">
        <f t="shared" si="110"/>
        <v>2Q12</v>
      </c>
      <c r="AF111" s="401" t="str">
        <f t="shared" si="110"/>
        <v>3Q12</v>
      </c>
      <c r="AG111" s="401" t="str">
        <f t="shared" si="110"/>
        <v>4Q12</v>
      </c>
      <c r="AH111" s="400">
        <f t="shared" si="110"/>
        <v>2012</v>
      </c>
      <c r="AI111" s="401" t="str">
        <f t="shared" si="110"/>
        <v>1Q13</v>
      </c>
      <c r="AJ111" s="401" t="str">
        <f t="shared" si="110"/>
        <v>2Q13</v>
      </c>
      <c r="AK111" s="401" t="str">
        <f t="shared" si="110"/>
        <v>3Q13</v>
      </c>
      <c r="AL111" s="401" t="str">
        <f t="shared" si="110"/>
        <v>4Q13</v>
      </c>
      <c r="AM111" s="400">
        <f t="shared" si="110"/>
        <v>2013</v>
      </c>
      <c r="AN111" s="401" t="str">
        <f>AN11</f>
        <v>1Q14</v>
      </c>
      <c r="AO111" s="401" t="str">
        <f>AO11</f>
        <v>2Q14</v>
      </c>
      <c r="AP111" s="401" t="str">
        <f>AP11</f>
        <v>3Q14</v>
      </c>
      <c r="AQ111" s="401" t="str">
        <f>AQ11</f>
        <v>4Q14</v>
      </c>
      <c r="AR111" s="489">
        <f t="shared" si="110"/>
        <v>2014</v>
      </c>
      <c r="AS111" s="401" t="str">
        <f>AS11</f>
        <v>1Q15</v>
      </c>
      <c r="AT111" s="401" t="str">
        <f>AT11</f>
        <v>2Q15</v>
      </c>
      <c r="AU111" s="401" t="str">
        <f>AU11</f>
        <v>3Q15</v>
      </c>
      <c r="AV111" s="401" t="str">
        <f>AV11</f>
        <v>4Q15</v>
      </c>
      <c r="AW111" s="489">
        <f t="shared" si="110"/>
        <v>2015</v>
      </c>
      <c r="AX111" s="401" t="str">
        <f>AX11</f>
        <v>1Q16</v>
      </c>
      <c r="AY111" s="401" t="str">
        <f>AY11</f>
        <v>2Q16</v>
      </c>
      <c r="AZ111" s="401" t="str">
        <f>AZ11</f>
        <v>3Q16</v>
      </c>
      <c r="BA111" s="401" t="str">
        <f>BA11</f>
        <v>4Q16</v>
      </c>
      <c r="BB111" s="489">
        <f t="shared" si="110"/>
        <v>2016</v>
      </c>
      <c r="BC111" s="401" t="str">
        <f>BC11</f>
        <v>1Q17</v>
      </c>
      <c r="BD111" s="401" t="str">
        <f>BD11</f>
        <v>2Q17</v>
      </c>
      <c r="BE111" s="401" t="str">
        <f>BE11</f>
        <v>3Q17</v>
      </c>
      <c r="BF111" s="401" t="str">
        <f>BF11</f>
        <v>4Q17</v>
      </c>
      <c r="BG111" s="489">
        <f t="shared" si="110"/>
        <v>2017</v>
      </c>
      <c r="BH111" s="401" t="str">
        <f>BH11</f>
        <v>1Q18E</v>
      </c>
      <c r="BI111" s="401" t="str">
        <f>BI11</f>
        <v>2Q18E</v>
      </c>
      <c r="BJ111" s="401" t="str">
        <f>BJ11</f>
        <v>3Q18E</v>
      </c>
      <c r="BK111" s="401" t="str">
        <f>BK11</f>
        <v>4Q18E</v>
      </c>
      <c r="BL111" s="489" t="str">
        <f t="shared" si="110"/>
        <v>2018E</v>
      </c>
      <c r="BM111" s="401" t="str">
        <f>BM11</f>
        <v>1Q19E</v>
      </c>
      <c r="BN111" s="401" t="str">
        <f>BN11</f>
        <v>2Q19E</v>
      </c>
      <c r="BO111" s="401" t="str">
        <f>BO11</f>
        <v>3Q19E</v>
      </c>
      <c r="BP111" s="401" t="str">
        <f>BP11</f>
        <v>4Q19E</v>
      </c>
      <c r="BQ111" s="489" t="str">
        <f t="shared" si="110"/>
        <v>2019E</v>
      </c>
      <c r="BR111" s="401" t="str">
        <f>BR11</f>
        <v>1Q20E</v>
      </c>
      <c r="BS111" s="401" t="str">
        <f>BS11</f>
        <v>2Q20E</v>
      </c>
      <c r="BT111" s="401" t="str">
        <f>BT11</f>
        <v>3Q20E</v>
      </c>
      <c r="BU111" s="401" t="str">
        <f>BU11</f>
        <v>4Q20E</v>
      </c>
      <c r="BV111" s="489" t="str">
        <f t="shared" si="110"/>
        <v>2020E</v>
      </c>
      <c r="BW111" s="401" t="str">
        <f>BW11</f>
        <v>1Q21E</v>
      </c>
      <c r="BX111" s="401" t="str">
        <f>BX11</f>
        <v>2Q21E</v>
      </c>
      <c r="BY111" s="401" t="str">
        <f>BY11</f>
        <v>3Q21E</v>
      </c>
      <c r="BZ111" s="401" t="str">
        <f>BZ11</f>
        <v>4Q21E</v>
      </c>
      <c r="CA111" s="489" t="str">
        <f>+CA$1</f>
        <v>2021E</v>
      </c>
      <c r="CB111" s="1910"/>
      <c r="CC111" s="490"/>
      <c r="CD111" s="397" t="str">
        <f t="shared" ref="CD111:CD132" si="111">A111</f>
        <v>Fiscal Year Ending December 31</v>
      </c>
      <c r="CE111" s="60">
        <f>D111</f>
        <v>2006</v>
      </c>
      <c r="CF111" s="60">
        <f>I111</f>
        <v>2007</v>
      </c>
      <c r="CG111" s="60">
        <f>N111</f>
        <v>2008</v>
      </c>
      <c r="CH111" s="60">
        <f>S111</f>
        <v>2009</v>
      </c>
      <c r="CI111" s="60">
        <f>X111</f>
        <v>2010</v>
      </c>
      <c r="CJ111" s="60">
        <f>AC111</f>
        <v>2011</v>
      </c>
      <c r="CK111" s="60">
        <f>AH111</f>
        <v>2012</v>
      </c>
      <c r="CL111" s="60">
        <f>AM111</f>
        <v>2013</v>
      </c>
      <c r="CM111" s="60">
        <f>AR111</f>
        <v>2014</v>
      </c>
      <c r="CN111" s="60">
        <f>AW111</f>
        <v>2015</v>
      </c>
      <c r="CO111" s="60">
        <f>BB111</f>
        <v>2016</v>
      </c>
      <c r="CP111" s="60">
        <f>BG111</f>
        <v>2017</v>
      </c>
      <c r="CQ111" s="60" t="str">
        <f>BL111</f>
        <v>2018E</v>
      </c>
      <c r="CR111" s="60" t="str">
        <f>BQ111</f>
        <v>2019E</v>
      </c>
      <c r="CS111" s="60" t="str">
        <f>BV111</f>
        <v>2020E</v>
      </c>
      <c r="CT111" s="62" t="str">
        <f>CA111</f>
        <v>2021E</v>
      </c>
      <c r="CU111" s="1961"/>
      <c r="DB111" s="1961"/>
      <c r="DC111" s="1961"/>
      <c r="DD111" s="1961"/>
      <c r="DE111" s="1961"/>
      <c r="DF111" s="1961"/>
      <c r="DG111" s="1961"/>
      <c r="DH111" s="1961"/>
      <c r="DI111" s="491"/>
    </row>
    <row r="112" spans="1:113" x14ac:dyDescent="0.25">
      <c r="A112" s="492" t="s">
        <v>119</v>
      </c>
      <c r="B112" s="317"/>
      <c r="C112" s="296"/>
      <c r="D112" s="493"/>
      <c r="E112" s="494"/>
      <c r="F112" s="494"/>
      <c r="G112" s="494"/>
      <c r="H112" s="491"/>
      <c r="I112" s="495"/>
      <c r="J112" s="495"/>
      <c r="K112" s="491"/>
      <c r="L112" s="491"/>
      <c r="M112" s="491"/>
      <c r="N112" s="496"/>
      <c r="O112" s="491"/>
      <c r="P112" s="491"/>
      <c r="Q112" s="491"/>
      <c r="R112" s="491"/>
      <c r="S112" s="497"/>
      <c r="T112" s="491"/>
      <c r="U112" s="491"/>
      <c r="V112" s="491"/>
      <c r="W112" s="491"/>
      <c r="X112" s="497"/>
      <c r="Y112" s="491"/>
      <c r="Z112" s="491"/>
      <c r="AA112" s="491"/>
      <c r="AB112" s="491"/>
      <c r="AC112" s="497"/>
      <c r="AD112" s="491"/>
      <c r="AE112" s="491"/>
      <c r="AF112" s="491"/>
      <c r="AG112" s="491"/>
      <c r="AH112" s="497"/>
      <c r="AI112" s="498"/>
      <c r="AJ112" s="491"/>
      <c r="AK112" s="491"/>
      <c r="AL112" s="491"/>
      <c r="AM112" s="497"/>
      <c r="AN112" s="491"/>
      <c r="AO112" s="491"/>
      <c r="AP112" s="491"/>
      <c r="AQ112" s="491"/>
      <c r="AR112" s="497"/>
      <c r="AS112" s="499"/>
      <c r="AT112" s="491"/>
      <c r="AU112" s="491"/>
      <c r="AV112" s="491"/>
      <c r="AW112" s="497"/>
      <c r="AX112" s="491"/>
      <c r="AY112" s="491"/>
      <c r="AZ112" s="491"/>
      <c r="BA112" s="491"/>
      <c r="BB112" s="497"/>
      <c r="BC112" s="491"/>
      <c r="BD112" s="491"/>
      <c r="BE112" s="491"/>
      <c r="BF112" s="491"/>
      <c r="BG112" s="497"/>
      <c r="BH112" s="491"/>
      <c r="BI112" s="491"/>
      <c r="BJ112" s="491"/>
      <c r="BK112" s="491"/>
      <c r="BL112" s="497"/>
      <c r="BM112" s="491"/>
      <c r="BN112" s="491"/>
      <c r="BO112" s="491"/>
      <c r="BP112" s="491"/>
      <c r="BQ112" s="497"/>
      <c r="BR112" s="491"/>
      <c r="BS112" s="491"/>
      <c r="BT112" s="491"/>
      <c r="BU112" s="491"/>
      <c r="BV112" s="497"/>
      <c r="BW112" s="491"/>
      <c r="BX112" s="491"/>
      <c r="BY112" s="491"/>
      <c r="BZ112" s="491"/>
      <c r="CA112" s="497"/>
      <c r="CB112" s="1910"/>
      <c r="CC112" s="217"/>
      <c r="CD112" s="492" t="str">
        <f t="shared" si="111"/>
        <v>Cash Flows From Operations</v>
      </c>
      <c r="CE112" s="491"/>
      <c r="CF112" s="491"/>
      <c r="CG112" s="491"/>
      <c r="CH112" s="491"/>
      <c r="CI112" s="491"/>
      <c r="CJ112" s="491"/>
      <c r="CK112" s="491"/>
      <c r="CL112" s="491"/>
      <c r="CM112" s="491"/>
      <c r="CN112" s="491"/>
      <c r="CO112" s="491"/>
      <c r="CP112" s="491"/>
      <c r="CQ112" s="491"/>
      <c r="CR112" s="491"/>
      <c r="CS112" s="491"/>
      <c r="CT112" s="500"/>
      <c r="CU112" s="6"/>
      <c r="DB112" s="1961"/>
      <c r="DC112" s="1961"/>
      <c r="DD112" s="1961"/>
      <c r="DE112" s="1961"/>
      <c r="DF112" s="1961"/>
      <c r="DG112" s="1961"/>
      <c r="DH112" s="1961"/>
      <c r="DI112" s="491"/>
    </row>
    <row r="113" spans="1:113" ht="12" customHeight="1" x14ac:dyDescent="0.25">
      <c r="A113" s="501" t="s">
        <v>120</v>
      </c>
      <c r="B113" s="502"/>
      <c r="C113" s="503">
        <f t="shared" ref="C113:H113" si="112">C58</f>
        <v>124.37300000000008</v>
      </c>
      <c r="D113" s="503">
        <f t="shared" si="112"/>
        <v>138.98000000000002</v>
      </c>
      <c r="E113" s="504">
        <f t="shared" si="112"/>
        <v>38.26100000000001</v>
      </c>
      <c r="F113" s="504">
        <f t="shared" si="112"/>
        <v>36.642000000000003</v>
      </c>
      <c r="G113" s="504">
        <f t="shared" si="112"/>
        <v>37.154000000000003</v>
      </c>
      <c r="H113" s="504">
        <f t="shared" si="112"/>
        <v>38.317000000000029</v>
      </c>
      <c r="I113" s="502">
        <f t="shared" ref="I113:I124" si="113">SUM(E113:H113)</f>
        <v>150.37400000000005</v>
      </c>
      <c r="J113" s="502">
        <f>J58</f>
        <v>41.025999999999982</v>
      </c>
      <c r="K113" s="504">
        <f>K58</f>
        <v>39.92300000000003</v>
      </c>
      <c r="L113" s="504">
        <f>L58</f>
        <v>40.839999999999989</v>
      </c>
      <c r="M113" s="504">
        <f>M58</f>
        <v>36.438999999999965</v>
      </c>
      <c r="N113" s="503">
        <f t="shared" ref="N113:N124" si="114">SUM(J113:M113)</f>
        <v>158.22799999999995</v>
      </c>
      <c r="O113" s="502">
        <f>O58</f>
        <v>44.915000000000028</v>
      </c>
      <c r="P113" s="504">
        <f>P58</f>
        <v>45.939</v>
      </c>
      <c r="Q113" s="504">
        <f>Q58</f>
        <v>42.205000000000041</v>
      </c>
      <c r="R113" s="504">
        <f>R58</f>
        <v>-6.4450000000000287</v>
      </c>
      <c r="S113" s="503">
        <f t="shared" ref="S113:S122" si="115">SUM(O113:R113)</f>
        <v>126.61400000000006</v>
      </c>
      <c r="T113" s="502">
        <f>T58</f>
        <v>55.374999999999986</v>
      </c>
      <c r="U113" s="504">
        <f>U58</f>
        <v>58.404000000000003</v>
      </c>
      <c r="V113" s="504">
        <f>V58</f>
        <v>62.880000000000052</v>
      </c>
      <c r="W113" s="189">
        <f>W58</f>
        <v>65.893000000000001</v>
      </c>
      <c r="X113" s="190">
        <f t="shared" ref="X113:X122" si="116">SUM(T113:W113)</f>
        <v>242.55200000000005</v>
      </c>
      <c r="Y113" s="189">
        <f>Y58</f>
        <v>65.876000000000033</v>
      </c>
      <c r="Z113" s="189">
        <f>Z58</f>
        <v>65.577000000000027</v>
      </c>
      <c r="AA113" s="189">
        <f>AA58</f>
        <v>70.987000000000009</v>
      </c>
      <c r="AB113" s="189">
        <f>AB58</f>
        <v>80.317999999999941</v>
      </c>
      <c r="AC113" s="190">
        <f t="shared" ref="AC113:AC122" si="117">SUM(Y113:AB113)</f>
        <v>282.75799999999998</v>
      </c>
      <c r="AD113" s="189">
        <f>AD58</f>
        <v>74.600999999999999</v>
      </c>
      <c r="AE113" s="189">
        <f>AE58</f>
        <v>73.330999999999989</v>
      </c>
      <c r="AF113" s="189">
        <f>AF58</f>
        <v>82.910999999999987</v>
      </c>
      <c r="AG113" s="189">
        <f>329.142-SUM(AD113:AF113)</f>
        <v>98.299000000000035</v>
      </c>
      <c r="AH113" s="190">
        <f t="shared" ref="AH113:AH122" si="118">SUM(AD113:AG113)</f>
        <v>329.142</v>
      </c>
      <c r="AI113" s="505">
        <f>AI58</f>
        <v>80.510999999999996</v>
      </c>
      <c r="AJ113" s="189">
        <f>AJ58</f>
        <v>84.222999999999971</v>
      </c>
      <c r="AK113" s="189">
        <f>AK58</f>
        <v>96.440999999999974</v>
      </c>
      <c r="AL113" s="189">
        <f>AL58</f>
        <v>87.222999999999999</v>
      </c>
      <c r="AM113" s="190">
        <f t="shared" ref="AM113:AM132" si="119">SUM(AI113:AL113)</f>
        <v>348.39799999999997</v>
      </c>
      <c r="AN113" s="505">
        <f>AN58</f>
        <v>115.55799999999998</v>
      </c>
      <c r="AO113" s="189">
        <f>AO58</f>
        <v>88.09899999999999</v>
      </c>
      <c r="AP113" s="189">
        <f>AP58</f>
        <v>99.015000000000043</v>
      </c>
      <c r="AQ113" s="189">
        <f>AQ58</f>
        <v>97.37</v>
      </c>
      <c r="AR113" s="190">
        <f t="shared" ref="AR113:AR132" si="120">SUM(AN113:AQ113)</f>
        <v>400.04200000000003</v>
      </c>
      <c r="AS113" s="189">
        <f>AS58</f>
        <v>98.685999999999993</v>
      </c>
      <c r="AT113" s="189">
        <f>AT58</f>
        <v>163.31999999999988</v>
      </c>
      <c r="AU113" s="189">
        <f>AU58</f>
        <v>131.81400000000002</v>
      </c>
      <c r="AV113" s="189">
        <f>AV58</f>
        <v>113.5070000000001</v>
      </c>
      <c r="AW113" s="190">
        <f t="shared" ref="AW113:AW132" si="121">SUM(AS113:AV113)</f>
        <v>507.327</v>
      </c>
      <c r="AX113" s="189">
        <f>AX58</f>
        <v>92.639000000000024</v>
      </c>
      <c r="AY113" s="189">
        <f>AY58</f>
        <v>261.73599999999988</v>
      </c>
      <c r="AZ113" s="189">
        <f>AZ58</f>
        <v>127.57699999999998</v>
      </c>
      <c r="BA113" s="189">
        <f>BA58</f>
        <v>109.30000000000001</v>
      </c>
      <c r="BB113" s="506">
        <f t="shared" ref="BB113:BB132" si="122">SUM(AX113:BA113)</f>
        <v>591.25199999999995</v>
      </c>
      <c r="BC113" s="189">
        <f>BC58</f>
        <v>108.79999999999995</v>
      </c>
      <c r="BD113" s="189">
        <f>BD58</f>
        <v>121.00000000000006</v>
      </c>
      <c r="BE113" s="1942">
        <f>BE58</f>
        <v>120.6999999999999</v>
      </c>
      <c r="BF113" s="189">
        <f>BF58</f>
        <v>204.6</v>
      </c>
      <c r="BG113" s="506">
        <f t="shared" ref="BG113:BG124" si="123">SUM(BC113:BF113)</f>
        <v>555.09999999999991</v>
      </c>
      <c r="BH113" s="189">
        <f>BH58</f>
        <v>129.422445242256</v>
      </c>
      <c r="BI113" s="189">
        <f>BI58</f>
        <v>136.54658191269124</v>
      </c>
      <c r="BJ113" s="189">
        <f>BJ58</f>
        <v>149.98522797225655</v>
      </c>
      <c r="BK113" s="189">
        <f>BK58</f>
        <v>149.70702155333231</v>
      </c>
      <c r="BL113" s="506">
        <f t="shared" ref="BL113:BL124" si="124">SUM(BH113:BK113)</f>
        <v>565.66127668053605</v>
      </c>
      <c r="BM113" s="189">
        <f>BM58</f>
        <v>143.66925925723274</v>
      </c>
      <c r="BN113" s="189">
        <f>BN58</f>
        <v>151.20247705620508</v>
      </c>
      <c r="BO113" s="189">
        <f>BO58</f>
        <v>165.35485963154932</v>
      </c>
      <c r="BP113" s="189">
        <f>BP58</f>
        <v>165.09898582774341</v>
      </c>
      <c r="BQ113" s="506">
        <f t="shared" ref="BQ113:BQ124" si="125">SUM(BM113:BP113)</f>
        <v>625.32558177273052</v>
      </c>
      <c r="BR113" s="189">
        <f>BR58</f>
        <v>158.16895291366643</v>
      </c>
      <c r="BS113" s="189">
        <f>BS58</f>
        <v>166.11321853571971</v>
      </c>
      <c r="BT113" s="189">
        <f>BT58</f>
        <v>181.11816472527417</v>
      </c>
      <c r="BU113" s="189">
        <f>BU58</f>
        <v>180.8381768431548</v>
      </c>
      <c r="BV113" s="506">
        <f t="shared" ref="BV113:BV124" si="126">SUM(BR113:BU113)</f>
        <v>686.23851301781508</v>
      </c>
      <c r="BW113" s="189">
        <f>BW58</f>
        <v>174.53957653527317</v>
      </c>
      <c r="BX113" s="189">
        <f>BX58</f>
        <v>183.08119352863335</v>
      </c>
      <c r="BY113" s="189">
        <f>BY58</f>
        <v>199.15738800451581</v>
      </c>
      <c r="BZ113" s="189">
        <f>BZ58</f>
        <v>199.01619951072146</v>
      </c>
      <c r="CA113" s="506">
        <f t="shared" ref="CA113:CA124" si="127">SUM(BW113:BZ113)</f>
        <v>755.79435757914382</v>
      </c>
      <c r="CB113" s="1910" t="s">
        <v>51</v>
      </c>
      <c r="CC113" s="507"/>
      <c r="CD113" s="501" t="str">
        <f t="shared" si="111"/>
        <v>Net income (loss) to Common Stockholders</v>
      </c>
      <c r="CE113" s="504">
        <f t="shared" ref="CE113:CE132" si="128">D113</f>
        <v>138.98000000000002</v>
      </c>
      <c r="CF113" s="504">
        <f t="shared" ref="CF113:CF132" si="129">I113</f>
        <v>150.37400000000005</v>
      </c>
      <c r="CG113" s="504">
        <f t="shared" ref="CG113:CG132" si="130">N113</f>
        <v>158.22799999999995</v>
      </c>
      <c r="CH113" s="504">
        <f t="shared" ref="CH113:CH132" si="131">S113</f>
        <v>126.61400000000006</v>
      </c>
      <c r="CI113" s="504">
        <f t="shared" ref="CI113:CI132" si="132">X113</f>
        <v>242.55200000000005</v>
      </c>
      <c r="CJ113" s="504">
        <f t="shared" ref="CJ113:CJ132" si="133">AC113</f>
        <v>282.75799999999998</v>
      </c>
      <c r="CK113" s="504">
        <f t="shared" ref="CK113:CK132" si="134">AH113</f>
        <v>329.142</v>
      </c>
      <c r="CL113" s="504">
        <f t="shared" ref="CL113:CL132" si="135">AM113</f>
        <v>348.39799999999997</v>
      </c>
      <c r="CM113" s="504">
        <f t="shared" ref="CM113:CM132" si="136">AR113</f>
        <v>400.04200000000003</v>
      </c>
      <c r="CN113" s="504">
        <f t="shared" ref="CN113:CN132" si="137">AW113</f>
        <v>507.327</v>
      </c>
      <c r="CO113" s="504">
        <f t="shared" ref="CO113:CO132" si="138">BB113</f>
        <v>591.25199999999995</v>
      </c>
      <c r="CP113" s="504">
        <f t="shared" ref="CP113:CP132" si="139">BG113</f>
        <v>555.09999999999991</v>
      </c>
      <c r="CQ113" s="504">
        <f t="shared" ref="CQ113:CQ132" si="140">BL113</f>
        <v>565.66127668053605</v>
      </c>
      <c r="CR113" s="504">
        <f t="shared" ref="CR113:CR132" si="141">BQ113</f>
        <v>625.32558177273052</v>
      </c>
      <c r="CS113" s="504">
        <f t="shared" ref="CS113:CS132" si="142">BV113</f>
        <v>686.23851301781508</v>
      </c>
      <c r="CT113" s="508">
        <f t="shared" ref="CT113:CT132" si="143">CA113</f>
        <v>755.79435757914382</v>
      </c>
      <c r="CU113" s="6"/>
      <c r="DB113" s="1961"/>
      <c r="DC113" s="1961"/>
      <c r="DD113" s="1961"/>
      <c r="DE113" s="1961"/>
      <c r="DF113" s="1961"/>
      <c r="DG113" s="1961"/>
      <c r="DH113" s="1961"/>
      <c r="DI113" s="189"/>
    </row>
    <row r="114" spans="1:113" ht="12" customHeight="1" x14ac:dyDescent="0.25">
      <c r="A114" s="218" t="s">
        <v>121</v>
      </c>
      <c r="B114" s="333"/>
      <c r="C114" s="265">
        <v>22.123000000000001</v>
      </c>
      <c r="D114" s="265">
        <v>28.119</v>
      </c>
      <c r="E114" s="268">
        <v>7.6050000000000004</v>
      </c>
      <c r="F114" s="268">
        <f>15.546-E114</f>
        <v>7.9409999999999989</v>
      </c>
      <c r="G114" s="268">
        <f>23.373-SUM(E114:F114)</f>
        <v>7.8270000000000017</v>
      </c>
      <c r="H114" s="268">
        <f>31.843-SUM(E114:G114)</f>
        <v>8.4699999999999989</v>
      </c>
      <c r="I114" s="509">
        <f t="shared" si="113"/>
        <v>31.843</v>
      </c>
      <c r="J114" s="333">
        <v>7.907</v>
      </c>
      <c r="K114" s="268">
        <f>16.424-J114</f>
        <v>8.5169999999999995</v>
      </c>
      <c r="L114" s="268">
        <f>25.478-SUM(J114:K114)</f>
        <v>9.054000000000002</v>
      </c>
      <c r="M114" s="268">
        <f>35.317-SUM(J114:L114)</f>
        <v>9.8389999999999986</v>
      </c>
      <c r="N114" s="510">
        <f t="shared" si="114"/>
        <v>35.317</v>
      </c>
      <c r="O114" s="333">
        <v>9.1950000000000003</v>
      </c>
      <c r="P114" s="268">
        <f>18.913-O114</f>
        <v>9.718</v>
      </c>
      <c r="Q114" s="268">
        <f>28.534-SUM(O114:P114)</f>
        <v>9.6209999999999987</v>
      </c>
      <c r="R114" s="268">
        <f>38.578-SUM(O114:Q114)</f>
        <v>10.044000000000004</v>
      </c>
      <c r="S114" s="510">
        <f t="shared" si="115"/>
        <v>38.578000000000003</v>
      </c>
      <c r="T114" s="333">
        <v>9.9290000000000003</v>
      </c>
      <c r="U114" s="268">
        <f>U38</f>
        <v>9.9439999999999991</v>
      </c>
      <c r="V114" s="268">
        <f>V38</f>
        <v>10.035</v>
      </c>
      <c r="W114" s="268">
        <f>40.728-SUM(T114:V114)</f>
        <v>10.820000000000004</v>
      </c>
      <c r="X114" s="510">
        <f t="shared" si="116"/>
        <v>40.728000000000002</v>
      </c>
      <c r="Y114" s="511">
        <f t="shared" ref="Y114:AB115" si="144">Y38</f>
        <v>11.305</v>
      </c>
      <c r="Z114" s="511">
        <f t="shared" si="144"/>
        <v>10.855</v>
      </c>
      <c r="AA114" s="511">
        <f>AA38</f>
        <v>10.798</v>
      </c>
      <c r="AB114" s="511">
        <f t="shared" si="144"/>
        <v>10.869000000000002</v>
      </c>
      <c r="AC114" s="510">
        <f t="shared" si="117"/>
        <v>43.826999999999998</v>
      </c>
      <c r="AD114" s="511">
        <f t="shared" ref="AD114:AG115" si="145">AD38</f>
        <v>11.643999999999998</v>
      </c>
      <c r="AE114" s="511">
        <f t="shared" si="145"/>
        <v>13.09</v>
      </c>
      <c r="AF114" s="511">
        <f t="shared" si="145"/>
        <v>12.714</v>
      </c>
      <c r="AG114" s="511">
        <f t="shared" si="145"/>
        <v>13.176000000000004</v>
      </c>
      <c r="AH114" s="512">
        <f t="shared" si="118"/>
        <v>50.624000000000002</v>
      </c>
      <c r="AI114" s="513">
        <f>AI38</f>
        <v>14.163</v>
      </c>
      <c r="AJ114" s="511">
        <f t="shared" ref="AJ114:AL115" si="146">AJ38</f>
        <v>15.81</v>
      </c>
      <c r="AK114" s="511">
        <f t="shared" si="146"/>
        <v>16.745000000000001</v>
      </c>
      <c r="AL114" s="511">
        <f t="shared" si="146"/>
        <v>19.471</v>
      </c>
      <c r="AM114" s="122">
        <f t="shared" si="119"/>
        <v>66.189000000000007</v>
      </c>
      <c r="AN114" s="513">
        <f t="shared" ref="AN114:AP115" si="147">AN38</f>
        <v>19.780999999999999</v>
      </c>
      <c r="AO114" s="514">
        <f t="shared" si="147"/>
        <v>20.722999999999999</v>
      </c>
      <c r="AP114" s="514">
        <f t="shared" si="147"/>
        <v>21.951000000000001</v>
      </c>
      <c r="AQ114" s="511">
        <f>86.501-SUM(AN114:AP114)</f>
        <v>24.046000000000006</v>
      </c>
      <c r="AR114" s="122">
        <f t="shared" si="120"/>
        <v>86.501000000000005</v>
      </c>
      <c r="AS114" s="513">
        <v>24.442</v>
      </c>
      <c r="AT114" s="511">
        <f t="shared" ref="AT114:AV115" si="148">AT38</f>
        <v>28.628</v>
      </c>
      <c r="AU114" s="511">
        <f t="shared" si="148"/>
        <v>33.500999999999998</v>
      </c>
      <c r="AV114" s="511">
        <f t="shared" si="148"/>
        <v>34.049000000000007</v>
      </c>
      <c r="AW114" s="122">
        <f t="shared" si="121"/>
        <v>120.62</v>
      </c>
      <c r="AX114" s="268">
        <v>38.874000000000002</v>
      </c>
      <c r="AY114" s="268">
        <f>68.331-AX114</f>
        <v>29.457000000000001</v>
      </c>
      <c r="AZ114" s="268">
        <f>97.832-SUM(AX114:AY114)</f>
        <v>29.500999999999991</v>
      </c>
      <c r="BA114" s="268">
        <f>126.2-SUM(AX114:AZ114)</f>
        <v>28.368000000000009</v>
      </c>
      <c r="BB114" s="216">
        <f t="shared" si="122"/>
        <v>126.2</v>
      </c>
      <c r="BC114" s="1892">
        <v>33.799999999999997</v>
      </c>
      <c r="BD114" s="1892">
        <f>65.6-BC114</f>
        <v>31.799999999999997</v>
      </c>
      <c r="BE114" s="1943">
        <f>99.4-BD114-BC114</f>
        <v>33.800000000000011</v>
      </c>
      <c r="BF114" s="1943">
        <f>135.6-SUM(BC114:BE114)</f>
        <v>36.199999999999989</v>
      </c>
      <c r="BG114" s="216">
        <f t="shared" si="123"/>
        <v>135.6</v>
      </c>
      <c r="BH114" s="511">
        <f t="shared" ref="BH114:BK115" si="149">BH38</f>
        <v>38.635860000000001</v>
      </c>
      <c r="BI114" s="511">
        <f t="shared" si="149"/>
        <v>37.769939999999998</v>
      </c>
      <c r="BJ114" s="511">
        <f t="shared" si="149"/>
        <v>38.295079999999999</v>
      </c>
      <c r="BK114" s="511">
        <f t="shared" si="149"/>
        <v>38.739840000000008</v>
      </c>
      <c r="BL114" s="216">
        <f t="shared" si="124"/>
        <v>153.44072</v>
      </c>
      <c r="BM114" s="511">
        <f t="shared" ref="BM114:BP115" si="150">BM38</f>
        <v>38.5118621875</v>
      </c>
      <c r="BN114" s="511">
        <f t="shared" si="150"/>
        <v>37.6438471875</v>
      </c>
      <c r="BO114" s="511">
        <f t="shared" si="150"/>
        <v>38.168594374999998</v>
      </c>
      <c r="BP114" s="511">
        <f t="shared" si="150"/>
        <v>38.612655000000004</v>
      </c>
      <c r="BQ114" s="216">
        <f t="shared" si="125"/>
        <v>152.93695875</v>
      </c>
      <c r="BR114" s="511">
        <f t="shared" ref="BR114:BU115" si="151">BR38</f>
        <v>38.355624943750001</v>
      </c>
      <c r="BS114" s="511">
        <f t="shared" si="151"/>
        <v>37.484970243749999</v>
      </c>
      <c r="BT114" s="511">
        <f t="shared" si="151"/>
        <v>38.009222487500004</v>
      </c>
      <c r="BU114" s="511">
        <f t="shared" si="151"/>
        <v>38.452401900000012</v>
      </c>
      <c r="BV114" s="216">
        <f t="shared" si="126"/>
        <v>152.30221957500001</v>
      </c>
      <c r="BW114" s="511">
        <f t="shared" ref="BW114:BZ115" si="152">BW38</f>
        <v>38.738406190937496</v>
      </c>
      <c r="BX114" s="511">
        <f t="shared" si="152"/>
        <v>37.874218755937505</v>
      </c>
      <c r="BY114" s="511">
        <f t="shared" si="152"/>
        <v>38.399683611875005</v>
      </c>
      <c r="BZ114" s="511">
        <f t="shared" si="152"/>
        <v>38.84502199500001</v>
      </c>
      <c r="CA114" s="216">
        <f t="shared" si="127"/>
        <v>153.85733055375002</v>
      </c>
      <c r="CB114" s="1910" t="s">
        <v>51</v>
      </c>
      <c r="CC114" s="507"/>
      <c r="CD114" s="218" t="str">
        <f t="shared" si="111"/>
        <v xml:space="preserve">Depreciation </v>
      </c>
      <c r="CE114" s="275">
        <f t="shared" si="128"/>
        <v>28.119</v>
      </c>
      <c r="CF114" s="275">
        <f t="shared" si="129"/>
        <v>31.843</v>
      </c>
      <c r="CG114" s="275">
        <f t="shared" si="130"/>
        <v>35.317</v>
      </c>
      <c r="CH114" s="275">
        <f t="shared" si="131"/>
        <v>38.578000000000003</v>
      </c>
      <c r="CI114" s="275">
        <f t="shared" si="132"/>
        <v>40.728000000000002</v>
      </c>
      <c r="CJ114" s="275">
        <f t="shared" si="133"/>
        <v>43.826999999999998</v>
      </c>
      <c r="CK114" s="275">
        <f t="shared" si="134"/>
        <v>50.624000000000002</v>
      </c>
      <c r="CL114" s="275">
        <f t="shared" si="135"/>
        <v>66.189000000000007</v>
      </c>
      <c r="CM114" s="275">
        <f t="shared" si="136"/>
        <v>86.501000000000005</v>
      </c>
      <c r="CN114" s="275">
        <f t="shared" si="137"/>
        <v>120.62</v>
      </c>
      <c r="CO114" s="275">
        <f t="shared" si="138"/>
        <v>126.2</v>
      </c>
      <c r="CP114" s="275">
        <f t="shared" si="139"/>
        <v>135.6</v>
      </c>
      <c r="CQ114" s="275">
        <f t="shared" si="140"/>
        <v>153.44072</v>
      </c>
      <c r="CR114" s="275">
        <f t="shared" si="141"/>
        <v>152.93695875</v>
      </c>
      <c r="CS114" s="275">
        <f t="shared" si="142"/>
        <v>152.30221957500001</v>
      </c>
      <c r="CT114" s="515">
        <f t="shared" si="143"/>
        <v>153.85733055375002</v>
      </c>
      <c r="CU114" s="6"/>
      <c r="DB114" s="1961"/>
      <c r="DC114" s="1961"/>
      <c r="DD114" s="1961"/>
      <c r="DE114" s="1961"/>
      <c r="DF114" s="1961"/>
      <c r="DG114" s="1961"/>
      <c r="DH114" s="1961"/>
      <c r="DI114" s="511"/>
    </row>
    <row r="115" spans="1:113" ht="12" customHeight="1" x14ac:dyDescent="0.25">
      <c r="A115" s="501" t="s">
        <v>122</v>
      </c>
      <c r="B115" s="333"/>
      <c r="C115" s="265">
        <v>19.8</v>
      </c>
      <c r="D115" s="265">
        <v>26.853999999999999</v>
      </c>
      <c r="E115" s="268">
        <v>8.923</v>
      </c>
      <c r="F115" s="268">
        <f>17.24-E115</f>
        <v>8.3169999999999984</v>
      </c>
      <c r="G115" s="268">
        <f>24.964-SUM(E115:F115)</f>
        <v>7.7240000000000002</v>
      </c>
      <c r="H115" s="268">
        <f>33.916-SUM(E115:G115)</f>
        <v>8.9519999999999982</v>
      </c>
      <c r="I115" s="509">
        <f>SUM(E115:H115)</f>
        <v>33.915999999999997</v>
      </c>
      <c r="J115" s="333">
        <v>8.0410000000000004</v>
      </c>
      <c r="K115" s="268">
        <f>14.937-J115</f>
        <v>6.895999999999999</v>
      </c>
      <c r="L115" s="268">
        <f>21.978-SUM(J115:K115)</f>
        <v>7.0410000000000021</v>
      </c>
      <c r="M115" s="268">
        <f>29.555-SUM(J115:L115)</f>
        <v>7.5769999999999982</v>
      </c>
      <c r="N115" s="510">
        <f>SUM(J115:M115)</f>
        <v>29.555</v>
      </c>
      <c r="O115" s="333">
        <v>8.51</v>
      </c>
      <c r="P115" s="268">
        <f>16.974-O115</f>
        <v>8.4640000000000004</v>
      </c>
      <c r="Q115" s="268">
        <f>24.986-SUM(O115:P115)</f>
        <v>8.0120000000000005</v>
      </c>
      <c r="R115" s="268">
        <f>32.621-SUM(O115:Q115)</f>
        <v>7.6350000000000016</v>
      </c>
      <c r="S115" s="510">
        <f>SUM(O115:R115)</f>
        <v>32.621000000000002</v>
      </c>
      <c r="T115" s="333">
        <v>7.3040000000000003</v>
      </c>
      <c r="U115" s="268">
        <f>U39</f>
        <v>7.02</v>
      </c>
      <c r="V115" s="268">
        <f>20.482-SUM(T115:U115)</f>
        <v>6.1579999999999995</v>
      </c>
      <c r="W115" s="268">
        <f>27.398-SUM(T115:V115)</f>
        <v>6.9160000000000004</v>
      </c>
      <c r="X115" s="510">
        <f>SUM(T115:W115)</f>
        <v>27.398</v>
      </c>
      <c r="Y115" s="511">
        <f t="shared" si="144"/>
        <v>8.4550000000000001</v>
      </c>
      <c r="Z115" s="511">
        <f t="shared" si="144"/>
        <v>8.8769999999999989</v>
      </c>
      <c r="AA115" s="511">
        <f>AA39</f>
        <v>8.7970000000000006</v>
      </c>
      <c r="AB115" s="511">
        <f t="shared" si="144"/>
        <v>8.6630000000000038</v>
      </c>
      <c r="AC115" s="510">
        <f>SUM(Y115:AB115)</f>
        <v>34.792000000000002</v>
      </c>
      <c r="AD115" s="511">
        <f t="shared" si="145"/>
        <v>8.5869999999999997</v>
      </c>
      <c r="AE115" s="511">
        <f t="shared" si="145"/>
        <v>12.186999999999999</v>
      </c>
      <c r="AF115" s="511">
        <f t="shared" si="145"/>
        <v>15.442</v>
      </c>
      <c r="AG115" s="511">
        <f>53.575-SUM(AD115:AF115)</f>
        <v>17.359000000000002</v>
      </c>
      <c r="AH115" s="512">
        <f>SUM(AD115:AG115)</f>
        <v>53.575000000000003</v>
      </c>
      <c r="AI115" s="513">
        <f>AI39</f>
        <v>17.052</v>
      </c>
      <c r="AJ115" s="511">
        <f t="shared" si="146"/>
        <v>17.061</v>
      </c>
      <c r="AK115" s="511">
        <f t="shared" si="146"/>
        <v>15.258000000000001</v>
      </c>
      <c r="AL115" s="511">
        <f t="shared" si="146"/>
        <v>14.37</v>
      </c>
      <c r="AM115" s="122">
        <f t="shared" si="119"/>
        <v>63.741</v>
      </c>
      <c r="AN115" s="513">
        <f t="shared" si="147"/>
        <v>14.212</v>
      </c>
      <c r="AO115" s="514">
        <f t="shared" si="147"/>
        <v>14.221</v>
      </c>
      <c r="AP115" s="514">
        <f t="shared" si="147"/>
        <v>14.187000000000001</v>
      </c>
      <c r="AQ115" s="511">
        <f>56.982-SUM(AN115:AP115)</f>
        <v>14.361999999999995</v>
      </c>
      <c r="AR115" s="122">
        <f t="shared" si="120"/>
        <v>56.981999999999999</v>
      </c>
      <c r="AS115" s="513">
        <v>14.141</v>
      </c>
      <c r="AT115" s="511">
        <f t="shared" si="148"/>
        <v>28.811999999999998</v>
      </c>
      <c r="AU115" s="511">
        <f t="shared" si="148"/>
        <v>18.542999999999999</v>
      </c>
      <c r="AV115" s="511">
        <f t="shared" si="148"/>
        <v>33.633000000000003</v>
      </c>
      <c r="AW115" s="122">
        <f t="shared" si="121"/>
        <v>95.128999999999991</v>
      </c>
      <c r="AX115" s="268">
        <v>29.774999999999999</v>
      </c>
      <c r="AY115" s="268">
        <f>53.581-AX115</f>
        <v>23.806000000000004</v>
      </c>
      <c r="AZ115" s="268">
        <f>76.259-SUM(AX115:AY115)</f>
        <v>22.677999999999997</v>
      </c>
      <c r="BA115" s="268">
        <f>98.4-SUM(AX115:AZ115)</f>
        <v>22.141000000000005</v>
      </c>
      <c r="BB115" s="216">
        <f t="shared" si="122"/>
        <v>98.4</v>
      </c>
      <c r="BC115" s="1892">
        <v>22.3</v>
      </c>
      <c r="BD115" s="1892">
        <f>46.2-BC115</f>
        <v>23.900000000000002</v>
      </c>
      <c r="BE115" s="1943">
        <f>73.6-BD115-BC115</f>
        <v>27.399999999999988</v>
      </c>
      <c r="BF115" s="1943">
        <f>101.8-SUM(BC115:BE115)</f>
        <v>28.200000000000003</v>
      </c>
      <c r="BG115" s="216">
        <f t="shared" si="123"/>
        <v>101.8</v>
      </c>
      <c r="BH115" s="511">
        <f t="shared" si="149"/>
        <v>32.274999999999999</v>
      </c>
      <c r="BI115" s="511">
        <f t="shared" si="149"/>
        <v>32.274999999999999</v>
      </c>
      <c r="BJ115" s="511">
        <f t="shared" si="149"/>
        <v>32.274999999999999</v>
      </c>
      <c r="BK115" s="511">
        <f t="shared" si="149"/>
        <v>32.274999999999999</v>
      </c>
      <c r="BL115" s="216">
        <f t="shared" si="124"/>
        <v>129.1</v>
      </c>
      <c r="BM115" s="511">
        <f t="shared" si="150"/>
        <v>32.049999999999997</v>
      </c>
      <c r="BN115" s="511">
        <f t="shared" si="150"/>
        <v>32.049999999999997</v>
      </c>
      <c r="BO115" s="511">
        <f t="shared" si="150"/>
        <v>32.049999999999997</v>
      </c>
      <c r="BP115" s="511">
        <f t="shared" si="150"/>
        <v>32.049999999999997</v>
      </c>
      <c r="BQ115" s="216">
        <f t="shared" si="125"/>
        <v>128.19999999999999</v>
      </c>
      <c r="BR115" s="511">
        <f t="shared" si="151"/>
        <v>31.5</v>
      </c>
      <c r="BS115" s="511">
        <f t="shared" si="151"/>
        <v>31.5</v>
      </c>
      <c r="BT115" s="511">
        <f t="shared" si="151"/>
        <v>31.5</v>
      </c>
      <c r="BU115" s="511">
        <f t="shared" si="151"/>
        <v>31.5</v>
      </c>
      <c r="BV115" s="216">
        <f t="shared" si="126"/>
        <v>126</v>
      </c>
      <c r="BW115" s="511">
        <f t="shared" si="152"/>
        <v>28.875</v>
      </c>
      <c r="BX115" s="511">
        <f t="shared" si="152"/>
        <v>28.875</v>
      </c>
      <c r="BY115" s="511">
        <f t="shared" si="152"/>
        <v>28.875</v>
      </c>
      <c r="BZ115" s="511">
        <f t="shared" si="152"/>
        <v>28.875</v>
      </c>
      <c r="CA115" s="216">
        <f t="shared" si="127"/>
        <v>115.5</v>
      </c>
      <c r="CB115" s="1910" t="s">
        <v>51</v>
      </c>
      <c r="CC115" s="507"/>
      <c r="CD115" s="501" t="str">
        <f t="shared" si="111"/>
        <v>Amortization of intangible assets</v>
      </c>
      <c r="CE115" s="275">
        <f t="shared" si="128"/>
        <v>26.853999999999999</v>
      </c>
      <c r="CF115" s="275">
        <f t="shared" si="129"/>
        <v>33.915999999999997</v>
      </c>
      <c r="CG115" s="275">
        <f t="shared" si="130"/>
        <v>29.555</v>
      </c>
      <c r="CH115" s="275">
        <f t="shared" si="131"/>
        <v>32.621000000000002</v>
      </c>
      <c r="CI115" s="275">
        <f t="shared" si="132"/>
        <v>27.398</v>
      </c>
      <c r="CJ115" s="275">
        <f t="shared" si="133"/>
        <v>34.792000000000002</v>
      </c>
      <c r="CK115" s="275">
        <f t="shared" si="134"/>
        <v>53.575000000000003</v>
      </c>
      <c r="CL115" s="275">
        <f t="shared" si="135"/>
        <v>63.741</v>
      </c>
      <c r="CM115" s="275">
        <f t="shared" si="136"/>
        <v>56.981999999999999</v>
      </c>
      <c r="CN115" s="275">
        <f t="shared" si="137"/>
        <v>95.128999999999991</v>
      </c>
      <c r="CO115" s="275">
        <f t="shared" si="138"/>
        <v>98.4</v>
      </c>
      <c r="CP115" s="275">
        <f t="shared" si="139"/>
        <v>101.8</v>
      </c>
      <c r="CQ115" s="275">
        <f t="shared" si="140"/>
        <v>129.1</v>
      </c>
      <c r="CR115" s="275">
        <f t="shared" si="141"/>
        <v>128.19999999999999</v>
      </c>
      <c r="CS115" s="275">
        <f t="shared" si="142"/>
        <v>126</v>
      </c>
      <c r="CT115" s="515">
        <f t="shared" si="143"/>
        <v>115.5</v>
      </c>
      <c r="CU115" s="6"/>
      <c r="DB115" s="1961"/>
      <c r="DC115" s="1961"/>
      <c r="DD115" s="1961"/>
      <c r="DE115" s="1961"/>
      <c r="DF115" s="1961"/>
      <c r="DG115" s="1961"/>
      <c r="DH115" s="1961"/>
      <c r="DI115" s="511"/>
    </row>
    <row r="116" spans="1:113" ht="12" customHeight="1" x14ac:dyDescent="0.25">
      <c r="A116" s="501" t="s">
        <v>123</v>
      </c>
      <c r="B116" s="333"/>
      <c r="C116" s="265">
        <v>13.792999999999999</v>
      </c>
      <c r="D116" s="265">
        <v>18.779</v>
      </c>
      <c r="E116" s="268">
        <v>5.23</v>
      </c>
      <c r="F116" s="268">
        <f>10.899-E116</f>
        <v>5.6689999999999987</v>
      </c>
      <c r="G116" s="268">
        <f>16.5-SUM(E116:F116)</f>
        <v>5.6010000000000009</v>
      </c>
      <c r="H116" s="268">
        <f>22.247-SUM(E116:G116)</f>
        <v>5.7469999999999999</v>
      </c>
      <c r="I116" s="509">
        <f>SUM(E116:H116)</f>
        <v>22.247</v>
      </c>
      <c r="J116" s="333">
        <v>5.7249999999999996</v>
      </c>
      <c r="K116" s="268">
        <f>11.564-J116</f>
        <v>5.8390000000000004</v>
      </c>
      <c r="L116" s="268">
        <f>17.353-SUM(J116:K116)</f>
        <v>5.7890000000000015</v>
      </c>
      <c r="M116" s="268">
        <f>22.274-SUM(J116:L116)</f>
        <v>4.9209999999999994</v>
      </c>
      <c r="N116" s="510">
        <f>SUM(J116:M116)</f>
        <v>22.274000000000001</v>
      </c>
      <c r="O116" s="333">
        <v>5.1269999999999998</v>
      </c>
      <c r="P116" s="516">
        <f>10.738-O116</f>
        <v>5.6109999999999998</v>
      </c>
      <c r="Q116" s="516">
        <f>17.62-SUM(O116:P116)</f>
        <v>6.8820000000000014</v>
      </c>
      <c r="R116" s="516">
        <f>76.065-SUM(O116:Q116)</f>
        <v>58.444999999999993</v>
      </c>
      <c r="S116" s="510">
        <f>SUM(O116:R116)</f>
        <v>76.064999999999998</v>
      </c>
      <c r="T116" s="333">
        <v>2.85</v>
      </c>
      <c r="U116" s="516">
        <f>5.729-T116</f>
        <v>2.879</v>
      </c>
      <c r="V116" s="516">
        <f>8.651-SUM(T116:U116)</f>
        <v>2.9219999999999997</v>
      </c>
      <c r="W116" s="516">
        <f>11.573-SUM(T116:V116)</f>
        <v>2.9220000000000006</v>
      </c>
      <c r="X116" s="510">
        <f>SUM(T116:W116)</f>
        <v>11.573</v>
      </c>
      <c r="Y116" s="516">
        <v>3.1110000000000002</v>
      </c>
      <c r="Z116" s="516">
        <f>6.408-Y116</f>
        <v>3.2970000000000002</v>
      </c>
      <c r="AA116" s="516">
        <f>9.63-SUM(Y116:Z116)</f>
        <v>3.2220000000000004</v>
      </c>
      <c r="AB116" s="516">
        <f>12.615-SUM(Y116:AA116)</f>
        <v>2.9849999999999994</v>
      </c>
      <c r="AC116" s="510">
        <f>SUM(Y116:AB116)</f>
        <v>12.615</v>
      </c>
      <c r="AD116" s="516">
        <v>2.931</v>
      </c>
      <c r="AE116" s="516">
        <f>6.186-AD116</f>
        <v>3.2549999999999999</v>
      </c>
      <c r="AF116" s="516">
        <f>9.481-SUM(AD116:AE116)</f>
        <v>3.2949999999999999</v>
      </c>
      <c r="AG116" s="516">
        <f>13.111-SUM(AD116:AF116)</f>
        <v>3.6300000000000008</v>
      </c>
      <c r="AH116" s="512">
        <f>SUM(AD116:AG116)</f>
        <v>13.111000000000001</v>
      </c>
      <c r="AI116" s="517">
        <v>3.57</v>
      </c>
      <c r="AJ116" s="516">
        <f>7.357-AI116</f>
        <v>3.7870000000000004</v>
      </c>
      <c r="AK116" s="516">
        <f>11.174-SUM(AI116:AJ116)</f>
        <v>3.8169999999999993</v>
      </c>
      <c r="AL116" s="516">
        <f>14.93-SUM(AI116:AK116)</f>
        <v>3.7560000000000002</v>
      </c>
      <c r="AM116" s="122">
        <f t="shared" si="119"/>
        <v>14.93</v>
      </c>
      <c r="AN116" s="517">
        <v>3.9009999999999998</v>
      </c>
      <c r="AO116" s="516">
        <f>7.703-AN116</f>
        <v>3.8020000000000005</v>
      </c>
      <c r="AP116" s="516">
        <f>11.613-AO116-AN116</f>
        <v>3.9099999999999993</v>
      </c>
      <c r="AQ116" s="516">
        <f>15.351-SUM(AN116:AP116)</f>
        <v>3.7380000000000013</v>
      </c>
      <c r="AR116" s="122">
        <f t="shared" si="120"/>
        <v>15.351000000000001</v>
      </c>
      <c r="AS116" s="517">
        <v>3.8210000000000002</v>
      </c>
      <c r="AT116" s="516">
        <f>7.969-AS116</f>
        <v>4.1479999999999997</v>
      </c>
      <c r="AU116" s="516">
        <f>10.575-SUM(AS116:AT116)</f>
        <v>2.6059999999999999</v>
      </c>
      <c r="AV116" s="516">
        <f>14.076-SUM(AS116:AU116)</f>
        <v>3.5010000000000012</v>
      </c>
      <c r="AW116" s="122">
        <f t="shared" si="121"/>
        <v>14.076000000000001</v>
      </c>
      <c r="AX116" s="516">
        <v>4.2859999999999996</v>
      </c>
      <c r="AY116" s="516">
        <f>8.214-AX116</f>
        <v>3.9280000000000008</v>
      </c>
      <c r="AZ116" s="516">
        <f>11.386-SUM(AX116:AY116)</f>
        <v>3.1719999999999988</v>
      </c>
      <c r="BA116" s="516">
        <f>14.5-SUM(AX116:AZ116)</f>
        <v>3.1140000000000008</v>
      </c>
      <c r="BB116" s="216">
        <f t="shared" si="122"/>
        <v>14.5</v>
      </c>
      <c r="BC116" s="1882">
        <v>0</v>
      </c>
      <c r="BD116" s="1882">
        <v>0</v>
      </c>
      <c r="BE116" s="1944">
        <v>0</v>
      </c>
      <c r="BF116" s="1944">
        <v>0</v>
      </c>
      <c r="BG116" s="216">
        <f t="shared" si="123"/>
        <v>0</v>
      </c>
      <c r="BH116" s="514">
        <f>BG116</f>
        <v>0</v>
      </c>
      <c r="BI116" s="514">
        <f>BH116</f>
        <v>0</v>
      </c>
      <c r="BJ116" s="514">
        <f>BI116</f>
        <v>0</v>
      </c>
      <c r="BK116" s="514">
        <f>BJ116</f>
        <v>0</v>
      </c>
      <c r="BL116" s="216">
        <f t="shared" si="124"/>
        <v>0</v>
      </c>
      <c r="BM116" s="514">
        <f>BL116</f>
        <v>0</v>
      </c>
      <c r="BN116" s="514">
        <f>BM116</f>
        <v>0</v>
      </c>
      <c r="BO116" s="514">
        <f>BN116</f>
        <v>0</v>
      </c>
      <c r="BP116" s="514">
        <f>BO116</f>
        <v>0</v>
      </c>
      <c r="BQ116" s="216">
        <f t="shared" si="125"/>
        <v>0</v>
      </c>
      <c r="BR116" s="514">
        <f>BQ116</f>
        <v>0</v>
      </c>
      <c r="BS116" s="514">
        <f>BR116</f>
        <v>0</v>
      </c>
      <c r="BT116" s="514">
        <f>BS116</f>
        <v>0</v>
      </c>
      <c r="BU116" s="514">
        <f>BT116</f>
        <v>0</v>
      </c>
      <c r="BV116" s="216">
        <f t="shared" si="126"/>
        <v>0</v>
      </c>
      <c r="BW116" s="514">
        <f>BV116</f>
        <v>0</v>
      </c>
      <c r="BX116" s="514">
        <f>BW116</f>
        <v>0</v>
      </c>
      <c r="BY116" s="514">
        <f>BX116</f>
        <v>0</v>
      </c>
      <c r="BZ116" s="514">
        <f>BY116</f>
        <v>0</v>
      </c>
      <c r="CA116" s="216">
        <f t="shared" si="127"/>
        <v>0</v>
      </c>
      <c r="CB116" s="1910" t="s">
        <v>51</v>
      </c>
      <c r="CC116" s="507"/>
      <c r="CD116" s="501" t="str">
        <f t="shared" si="111"/>
        <v>KSOP compensation expense</v>
      </c>
      <c r="CE116" s="516">
        <f t="shared" si="128"/>
        <v>18.779</v>
      </c>
      <c r="CF116" s="516">
        <f t="shared" si="129"/>
        <v>22.247</v>
      </c>
      <c r="CG116" s="516">
        <f t="shared" si="130"/>
        <v>22.274000000000001</v>
      </c>
      <c r="CH116" s="516">
        <f t="shared" si="131"/>
        <v>76.064999999999998</v>
      </c>
      <c r="CI116" s="516">
        <f t="shared" si="132"/>
        <v>11.573</v>
      </c>
      <c r="CJ116" s="516">
        <f t="shared" si="133"/>
        <v>12.615</v>
      </c>
      <c r="CK116" s="516">
        <f t="shared" si="134"/>
        <v>13.111000000000001</v>
      </c>
      <c r="CL116" s="516">
        <f t="shared" si="135"/>
        <v>14.93</v>
      </c>
      <c r="CM116" s="516">
        <f t="shared" si="136"/>
        <v>15.351000000000001</v>
      </c>
      <c r="CN116" s="516">
        <f t="shared" si="137"/>
        <v>14.076000000000001</v>
      </c>
      <c r="CO116" s="516">
        <f t="shared" si="138"/>
        <v>14.5</v>
      </c>
      <c r="CP116" s="516">
        <f t="shared" si="139"/>
        <v>0</v>
      </c>
      <c r="CQ116" s="516">
        <f t="shared" si="140"/>
        <v>0</v>
      </c>
      <c r="CR116" s="516">
        <f t="shared" si="141"/>
        <v>0</v>
      </c>
      <c r="CS116" s="516">
        <f t="shared" si="142"/>
        <v>0</v>
      </c>
      <c r="CT116" s="518">
        <f t="shared" si="143"/>
        <v>0</v>
      </c>
      <c r="CU116" s="6"/>
      <c r="DB116" s="1961"/>
      <c r="DC116" s="1961"/>
      <c r="DD116" s="1961"/>
      <c r="DE116" s="1961"/>
      <c r="DF116" s="1961"/>
      <c r="DG116" s="1961"/>
      <c r="DH116" s="1961"/>
      <c r="DI116" s="514"/>
    </row>
    <row r="117" spans="1:113" ht="12" customHeight="1" x14ac:dyDescent="0.25">
      <c r="A117" s="519" t="s">
        <v>124</v>
      </c>
      <c r="B117" s="517"/>
      <c r="C117" s="278">
        <v>4.0940000000000003</v>
      </c>
      <c r="D117" s="278">
        <v>6.1479999999999997</v>
      </c>
      <c r="E117" s="516">
        <v>1.5209999999999999</v>
      </c>
      <c r="F117" s="516">
        <f>3.756-E117</f>
        <v>2.2349999999999999</v>
      </c>
      <c r="G117" s="516">
        <f>6.078-SUM(E117:F117)</f>
        <v>2.3220000000000005</v>
      </c>
      <c r="H117" s="516">
        <f>8.244-SUM(E117:G117)</f>
        <v>2.1659999999999995</v>
      </c>
      <c r="I117" s="509">
        <f>SUM(E117:H117)</f>
        <v>8.2439999999999998</v>
      </c>
      <c r="J117" s="517">
        <v>2.052</v>
      </c>
      <c r="K117" s="516">
        <f>4.621-J117</f>
        <v>2.5690000000000004</v>
      </c>
      <c r="L117" s="516">
        <f>7.522-SUM(J117:K117)</f>
        <v>2.9009999999999998</v>
      </c>
      <c r="M117" s="516">
        <f>9.881-SUM(J117:L117)</f>
        <v>2.359</v>
      </c>
      <c r="N117" s="510">
        <f>SUM(J117:M117)</f>
        <v>9.8810000000000002</v>
      </c>
      <c r="O117" s="517">
        <v>2.0049999999999999</v>
      </c>
      <c r="P117" s="516">
        <f>5.515-O117</f>
        <v>3.51</v>
      </c>
      <c r="Q117" s="516">
        <f>8.526-SUM(O117:P117)</f>
        <v>3.0110000000000001</v>
      </c>
      <c r="R117" s="516">
        <f>12.744-SUM(O117:Q117)</f>
        <v>4.218</v>
      </c>
      <c r="S117" s="510">
        <f>SUM(O117:R117)</f>
        <v>12.744</v>
      </c>
      <c r="T117" s="517">
        <v>3.8860000000000001</v>
      </c>
      <c r="U117" s="516">
        <f>10.284-T117</f>
        <v>6.3980000000000006</v>
      </c>
      <c r="V117" s="516">
        <f>15.99-SUM(T117:U117)</f>
        <v>5.7059999999999995</v>
      </c>
      <c r="W117" s="516">
        <f>21.298-SUM(T117:V117)</f>
        <v>5.3079999999999981</v>
      </c>
      <c r="X117" s="510">
        <f>SUM(T117:W117)</f>
        <v>21.297999999999998</v>
      </c>
      <c r="Y117" s="516">
        <v>3.8180000000000001</v>
      </c>
      <c r="Z117" s="516">
        <f>12.331-Y117</f>
        <v>8.5129999999999999</v>
      </c>
      <c r="AA117" s="516">
        <f>17.288-SUM(Y117:Z117)</f>
        <v>4.9570000000000007</v>
      </c>
      <c r="AB117" s="516">
        <f>22.656-SUM(Y117:AA117)</f>
        <v>5.3679999999999986</v>
      </c>
      <c r="AC117" s="510">
        <f>SUM(Y117:AB117)</f>
        <v>22.655999999999999</v>
      </c>
      <c r="AD117" s="516">
        <v>4.4459999999999997</v>
      </c>
      <c r="AE117" s="516">
        <f>13.653-AD117</f>
        <v>9.2070000000000007</v>
      </c>
      <c r="AF117" s="516">
        <f>19.303-SUM(AD117:AE117)</f>
        <v>5.65</v>
      </c>
      <c r="AG117" s="516">
        <f>24.696-SUM(AD117:AF117)</f>
        <v>5.3930000000000007</v>
      </c>
      <c r="AH117" s="512">
        <f>SUM(AD117:AG117)</f>
        <v>24.696000000000002</v>
      </c>
      <c r="AI117" s="517">
        <v>4.5709999999999997</v>
      </c>
      <c r="AJ117" s="516">
        <f>10.955-AI117</f>
        <v>6.3840000000000003</v>
      </c>
      <c r="AK117" s="516">
        <f>16.745-SUM(AI117:AJ117)</f>
        <v>5.7900000000000009</v>
      </c>
      <c r="AL117" s="516">
        <f>AL360</f>
        <v>4.3419999999999987</v>
      </c>
      <c r="AM117" s="122">
        <f t="shared" si="119"/>
        <v>21.087</v>
      </c>
      <c r="AN117" s="517">
        <v>4.9829999999999997</v>
      </c>
      <c r="AO117" s="516">
        <f>11.057-AN117</f>
        <v>6.0740000000000007</v>
      </c>
      <c r="AP117" s="516">
        <f>16.323-AO117-AN117</f>
        <v>5.2659999999999991</v>
      </c>
      <c r="AQ117" s="516">
        <f>20.253-SUM(AN117:AP117)</f>
        <v>3.9299999999999997</v>
      </c>
      <c r="AR117" s="122">
        <f t="shared" si="120"/>
        <v>20.253</v>
      </c>
      <c r="AS117" s="517">
        <v>4.2240000000000002</v>
      </c>
      <c r="AT117" s="516">
        <f>19.047-AS117</f>
        <v>14.823</v>
      </c>
      <c r="AU117" s="516">
        <f>25.471-SUM(AS117:AT117)</f>
        <v>6.4239999999999995</v>
      </c>
      <c r="AV117" s="516">
        <f>30.542-SUM(AS117:AU117)</f>
        <v>5.0710000000000015</v>
      </c>
      <c r="AW117" s="122">
        <f t="shared" si="121"/>
        <v>30.542000000000002</v>
      </c>
      <c r="AX117" s="516">
        <v>5.5469999999999997</v>
      </c>
      <c r="AY117" s="516">
        <f>16.468-AX117</f>
        <v>10.920999999999999</v>
      </c>
      <c r="AZ117" s="516">
        <f>23.822-SUM(AX117:AY117)</f>
        <v>7.3539999999999992</v>
      </c>
      <c r="BA117" s="516">
        <f>30-SUM(AX117:AZ117)</f>
        <v>6.1780000000000008</v>
      </c>
      <c r="BB117" s="216">
        <f t="shared" si="122"/>
        <v>30</v>
      </c>
      <c r="BC117" s="1882">
        <v>6.5</v>
      </c>
      <c r="BD117" s="1882">
        <f>15.4-BC117</f>
        <v>8.9</v>
      </c>
      <c r="BE117" s="1944">
        <f>24.2-BD117-BC117</f>
        <v>8.7999999999999989</v>
      </c>
      <c r="BF117" s="1944">
        <f>31.8-SUM(BC117:BE117)</f>
        <v>7.6000000000000014</v>
      </c>
      <c r="BG117" s="216">
        <f t="shared" si="123"/>
        <v>31.8</v>
      </c>
      <c r="BH117" s="514">
        <f>BH360</f>
        <v>8.5223099999999992</v>
      </c>
      <c r="BI117" s="514">
        <f>BI360</f>
        <v>8.7402300000000004</v>
      </c>
      <c r="BJ117" s="514">
        <f>BJ360</f>
        <v>8.9734250000000007</v>
      </c>
      <c r="BK117" s="514">
        <f>BK360</f>
        <v>9.1552349999999993</v>
      </c>
      <c r="BL117" s="216">
        <f t="shared" si="124"/>
        <v>35.391199999999998</v>
      </c>
      <c r="BM117" s="514">
        <f>BM360</f>
        <v>9.0053151749999998</v>
      </c>
      <c r="BN117" s="514">
        <f>BN360</f>
        <v>9.243707474999999</v>
      </c>
      <c r="BO117" s="514">
        <f>BO360</f>
        <v>9.4927590562499997</v>
      </c>
      <c r="BP117" s="514">
        <f>BP360</f>
        <v>9.6930806999999994</v>
      </c>
      <c r="BQ117" s="216">
        <f t="shared" si="125"/>
        <v>37.434862406250005</v>
      </c>
      <c r="BR117" s="514">
        <f>BR360</f>
        <v>9.510051636750001</v>
      </c>
      <c r="BS117" s="514">
        <f>BS360</f>
        <v>9.7625526277500008</v>
      </c>
      <c r="BT117" s="514">
        <f>BT360</f>
        <v>10.027113935437502</v>
      </c>
      <c r="BU117" s="514">
        <f>BU360</f>
        <v>10.238145438</v>
      </c>
      <c r="BV117" s="216">
        <f t="shared" si="126"/>
        <v>39.537863637937505</v>
      </c>
      <c r="BW117" s="514">
        <f>BW360</f>
        <v>10.0443304453275</v>
      </c>
      <c r="BX117" s="514">
        <f>BX360</f>
        <v>10.311822693097501</v>
      </c>
      <c r="BY117" s="514">
        <f>BY360</f>
        <v>10.592876714113126</v>
      </c>
      <c r="BZ117" s="514">
        <f>BZ360</f>
        <v>10.81522339332</v>
      </c>
      <c r="CA117" s="216">
        <f t="shared" si="127"/>
        <v>41.764253245858129</v>
      </c>
      <c r="CB117" s="1910" t="s">
        <v>51</v>
      </c>
      <c r="CC117" s="507"/>
      <c r="CD117" s="519" t="str">
        <f t="shared" si="111"/>
        <v xml:space="preserve">Stock-based Compensation </v>
      </c>
      <c r="CE117" s="126">
        <f t="shared" si="128"/>
        <v>6.1479999999999997</v>
      </c>
      <c r="CF117" s="126">
        <f t="shared" si="129"/>
        <v>8.2439999999999998</v>
      </c>
      <c r="CG117" s="126">
        <f t="shared" si="130"/>
        <v>9.8810000000000002</v>
      </c>
      <c r="CH117" s="126">
        <f t="shared" si="131"/>
        <v>12.744</v>
      </c>
      <c r="CI117" s="126">
        <f t="shared" si="132"/>
        <v>21.297999999999998</v>
      </c>
      <c r="CJ117" s="126">
        <f t="shared" si="133"/>
        <v>22.655999999999999</v>
      </c>
      <c r="CK117" s="126">
        <f t="shared" si="134"/>
        <v>24.696000000000002</v>
      </c>
      <c r="CL117" s="126">
        <f t="shared" si="135"/>
        <v>21.087</v>
      </c>
      <c r="CM117" s="126">
        <f t="shared" si="136"/>
        <v>20.253</v>
      </c>
      <c r="CN117" s="126">
        <f t="shared" si="137"/>
        <v>30.542000000000002</v>
      </c>
      <c r="CO117" s="126">
        <f t="shared" si="138"/>
        <v>30</v>
      </c>
      <c r="CP117" s="126">
        <f t="shared" si="139"/>
        <v>31.8</v>
      </c>
      <c r="CQ117" s="126">
        <f t="shared" si="140"/>
        <v>35.391199999999998</v>
      </c>
      <c r="CR117" s="126">
        <f t="shared" si="141"/>
        <v>37.434862406250005</v>
      </c>
      <c r="CS117" s="126">
        <f t="shared" si="142"/>
        <v>39.537863637937505</v>
      </c>
      <c r="CT117" s="520">
        <f t="shared" si="143"/>
        <v>41.764253245858129</v>
      </c>
      <c r="CU117" s="6"/>
      <c r="DB117" s="1961"/>
      <c r="DC117" s="1961"/>
      <c r="DD117" s="1961"/>
      <c r="DE117" s="1961"/>
      <c r="DF117" s="1961"/>
      <c r="DG117" s="1961"/>
      <c r="DH117" s="1961"/>
      <c r="DI117" s="514"/>
    </row>
    <row r="118" spans="1:113" ht="12" customHeight="1" x14ac:dyDescent="0.25">
      <c r="A118" s="519" t="s">
        <v>125</v>
      </c>
      <c r="B118" s="517"/>
      <c r="C118" s="278">
        <v>0.60099999999999998</v>
      </c>
      <c r="D118" s="278">
        <v>1.909</v>
      </c>
      <c r="E118" s="516">
        <v>0.34799999999999998</v>
      </c>
      <c r="F118" s="516">
        <f>1.387-E118</f>
        <v>1.0390000000000001</v>
      </c>
      <c r="G118" s="516">
        <f>1.85-SUM(E118:F118)</f>
        <v>0.46300000000000008</v>
      </c>
      <c r="H118" s="516">
        <f>2.182-SUM(E118:G118)</f>
        <v>0.33199999999999985</v>
      </c>
      <c r="I118" s="509">
        <f>SUM(E118:H118)</f>
        <v>2.1819999999999999</v>
      </c>
      <c r="J118" s="517">
        <v>1.175</v>
      </c>
      <c r="K118" s="516">
        <f>2.327-J118</f>
        <v>1.1519999999999999</v>
      </c>
      <c r="L118" s="516">
        <f>2.618-SUM(J118:K118)</f>
        <v>0.29099999999999993</v>
      </c>
      <c r="M118" s="516">
        <f>-0.091-SUM(J118:L118)</f>
        <v>-2.7090000000000001</v>
      </c>
      <c r="N118" s="510">
        <f>SUM(J118:M118)</f>
        <v>-9.1000000000000192E-2</v>
      </c>
      <c r="O118" s="517">
        <v>0.61</v>
      </c>
      <c r="P118" s="516">
        <f>1.385-O118</f>
        <v>0.77500000000000002</v>
      </c>
      <c r="Q118" s="516">
        <f>2.649-SUM(O118:P118)</f>
        <v>1.264</v>
      </c>
      <c r="R118" s="516">
        <f>4.039-SUM(O118:Q118)</f>
        <v>1.3899999999999997</v>
      </c>
      <c r="S118" s="510">
        <f>SUM(O118:R118)</f>
        <v>4.0389999999999997</v>
      </c>
      <c r="T118" s="517">
        <v>0.56599999999999995</v>
      </c>
      <c r="U118" s="516">
        <f>0.792-T118</f>
        <v>0.22600000000000009</v>
      </c>
      <c r="V118" s="516">
        <f>0.515-SUM(T118:U118)</f>
        <v>-0.27700000000000002</v>
      </c>
      <c r="W118" s="232">
        <f>0.789-SUM(T118:V118)</f>
        <v>0.27400000000000002</v>
      </c>
      <c r="X118" s="118">
        <f>SUM(T118:W118)</f>
        <v>0.78900000000000003</v>
      </c>
      <c r="Y118" s="232">
        <f>0.546</f>
        <v>0.54600000000000004</v>
      </c>
      <c r="Z118" s="232">
        <f>0.583-Y118</f>
        <v>3.6999999999999922E-2</v>
      </c>
      <c r="AA118" s="232">
        <f>0.627-SUM(Y118:Z118)</f>
        <v>4.4000000000000039E-2</v>
      </c>
      <c r="AB118" s="232">
        <f>0.585-SUM(Y118:AA118)</f>
        <v>-4.2000000000000037E-2</v>
      </c>
      <c r="AC118" s="116">
        <f>SUM(Y118:AB118)</f>
        <v>0.58499999999999996</v>
      </c>
      <c r="AD118" s="232">
        <v>0</v>
      </c>
      <c r="AE118" s="232">
        <v>0</v>
      </c>
      <c r="AF118" s="232">
        <f>0-SUM(AD118:AE118)</f>
        <v>0</v>
      </c>
      <c r="AG118" s="232">
        <v>0</v>
      </c>
      <c r="AH118" s="71">
        <f>SUM(AD118:AG118)</f>
        <v>0</v>
      </c>
      <c r="AI118" s="517">
        <v>0</v>
      </c>
      <c r="AJ118" s="516">
        <v>0</v>
      </c>
      <c r="AK118" s="516">
        <v>0</v>
      </c>
      <c r="AL118" s="516">
        <v>0</v>
      </c>
      <c r="AM118" s="122">
        <f t="shared" si="119"/>
        <v>0</v>
      </c>
      <c r="AN118" s="517">
        <v>0</v>
      </c>
      <c r="AO118" s="516">
        <v>0</v>
      </c>
      <c r="AP118" s="516">
        <v>0</v>
      </c>
      <c r="AQ118" s="516">
        <v>0</v>
      </c>
      <c r="AR118" s="122">
        <f t="shared" si="120"/>
        <v>0</v>
      </c>
      <c r="AS118" s="517">
        <v>0</v>
      </c>
      <c r="AT118" s="232">
        <v>0</v>
      </c>
      <c r="AU118" s="232">
        <v>0</v>
      </c>
      <c r="AV118" s="232">
        <v>0</v>
      </c>
      <c r="AW118" s="122">
        <f t="shared" si="121"/>
        <v>0</v>
      </c>
      <c r="AX118" s="232">
        <v>0</v>
      </c>
      <c r="AY118" s="232">
        <v>0</v>
      </c>
      <c r="AZ118" s="232">
        <v>0</v>
      </c>
      <c r="BA118" s="232">
        <v>0</v>
      </c>
      <c r="BB118" s="216">
        <f t="shared" si="122"/>
        <v>0</v>
      </c>
      <c r="BC118" s="1893">
        <v>0</v>
      </c>
      <c r="BD118" s="1893">
        <v>0</v>
      </c>
      <c r="BE118" s="1945">
        <v>0</v>
      </c>
      <c r="BF118" s="1945">
        <v>0</v>
      </c>
      <c r="BG118" s="216">
        <f t="shared" si="123"/>
        <v>0</v>
      </c>
      <c r="BH118" s="256">
        <v>0</v>
      </c>
      <c r="BI118" s="256">
        <v>0</v>
      </c>
      <c r="BJ118" s="256">
        <v>0</v>
      </c>
      <c r="BK118" s="256">
        <v>0</v>
      </c>
      <c r="BL118" s="216">
        <f t="shared" si="124"/>
        <v>0</v>
      </c>
      <c r="BM118" s="256">
        <v>0</v>
      </c>
      <c r="BN118" s="256">
        <v>0</v>
      </c>
      <c r="BO118" s="256">
        <v>0</v>
      </c>
      <c r="BP118" s="256">
        <v>0</v>
      </c>
      <c r="BQ118" s="216">
        <f t="shared" si="125"/>
        <v>0</v>
      </c>
      <c r="BR118" s="256">
        <v>0</v>
      </c>
      <c r="BS118" s="256">
        <v>0</v>
      </c>
      <c r="BT118" s="256">
        <v>0</v>
      </c>
      <c r="BU118" s="256">
        <v>0</v>
      </c>
      <c r="BV118" s="216">
        <f t="shared" si="126"/>
        <v>0</v>
      </c>
      <c r="BW118" s="256">
        <v>0</v>
      </c>
      <c r="BX118" s="256">
        <v>0</v>
      </c>
      <c r="BY118" s="256">
        <v>0</v>
      </c>
      <c r="BZ118" s="256">
        <v>0</v>
      </c>
      <c r="CA118" s="216">
        <f t="shared" si="127"/>
        <v>0</v>
      </c>
      <c r="CB118" s="1910" t="s">
        <v>51</v>
      </c>
      <c r="CC118" s="507"/>
      <c r="CD118" s="519" t="str">
        <f t="shared" si="111"/>
        <v>Employee Compensation Expense</v>
      </c>
      <c r="CE118" s="516">
        <f t="shared" si="128"/>
        <v>1.909</v>
      </c>
      <c r="CF118" s="516">
        <f t="shared" si="129"/>
        <v>2.1819999999999999</v>
      </c>
      <c r="CG118" s="516">
        <f t="shared" si="130"/>
        <v>-9.1000000000000192E-2</v>
      </c>
      <c r="CH118" s="516">
        <f t="shared" si="131"/>
        <v>4.0389999999999997</v>
      </c>
      <c r="CI118" s="516">
        <f t="shared" si="132"/>
        <v>0.78900000000000003</v>
      </c>
      <c r="CJ118" s="516">
        <f t="shared" si="133"/>
        <v>0.58499999999999996</v>
      </c>
      <c r="CK118" s="516">
        <f t="shared" si="134"/>
        <v>0</v>
      </c>
      <c r="CL118" s="516">
        <f t="shared" si="135"/>
        <v>0</v>
      </c>
      <c r="CM118" s="516">
        <f t="shared" si="136"/>
        <v>0</v>
      </c>
      <c r="CN118" s="516">
        <f t="shared" si="137"/>
        <v>0</v>
      </c>
      <c r="CO118" s="516">
        <f t="shared" si="138"/>
        <v>0</v>
      </c>
      <c r="CP118" s="516">
        <f t="shared" si="139"/>
        <v>0</v>
      </c>
      <c r="CQ118" s="516">
        <f t="shared" si="140"/>
        <v>0</v>
      </c>
      <c r="CR118" s="516">
        <f t="shared" si="141"/>
        <v>0</v>
      </c>
      <c r="CS118" s="516">
        <f t="shared" si="142"/>
        <v>0</v>
      </c>
      <c r="CT118" s="518">
        <f t="shared" si="143"/>
        <v>0</v>
      </c>
      <c r="CU118" s="6"/>
      <c r="DB118" s="1961"/>
      <c r="DC118" s="1961"/>
      <c r="DD118" s="1961"/>
      <c r="DE118" s="1961"/>
      <c r="DF118" s="1961"/>
      <c r="DG118" s="1961"/>
      <c r="DH118" s="1961"/>
      <c r="DI118" s="256"/>
    </row>
    <row r="119" spans="1:113" ht="12" customHeight="1" x14ac:dyDescent="0.25">
      <c r="A119" s="501" t="s">
        <v>126</v>
      </c>
      <c r="B119" s="245"/>
      <c r="C119" s="244">
        <v>-7.7759999999999998</v>
      </c>
      <c r="D119" s="244">
        <v>-11.848000000000001</v>
      </c>
      <c r="E119" s="268">
        <v>-0.38100000000000001</v>
      </c>
      <c r="F119" s="232">
        <f>0-E119</f>
        <v>0.38100000000000001</v>
      </c>
      <c r="G119" s="232">
        <f>0-SUM(E119:F119)</f>
        <v>0</v>
      </c>
      <c r="H119" s="232">
        <f>-5.698-SUM(E119:G119)</f>
        <v>-5.6980000000000004</v>
      </c>
      <c r="I119" s="509">
        <f>SUM(E119:H119)</f>
        <v>-5.6980000000000004</v>
      </c>
      <c r="J119" s="333">
        <v>0.56699999999999995</v>
      </c>
      <c r="K119" s="268">
        <f>0-J119</f>
        <v>-0.56699999999999995</v>
      </c>
      <c r="L119" s="268">
        <f>0-SUM(J119:K119)</f>
        <v>0</v>
      </c>
      <c r="M119" s="232">
        <f>19.895-SUM(J119:L119)</f>
        <v>19.895</v>
      </c>
      <c r="N119" s="510">
        <f>SUM(J119:M119)</f>
        <v>19.895</v>
      </c>
      <c r="O119" s="333">
        <v>0.76600000000000001</v>
      </c>
      <c r="P119" s="516">
        <f>-0.199-O119</f>
        <v>-0.96500000000000008</v>
      </c>
      <c r="Q119" s="516">
        <f>4.99-SUM(O119:P119)</f>
        <v>5.1890000000000001</v>
      </c>
      <c r="R119" s="516">
        <f>12.19-SUM(O119:Q119)</f>
        <v>7.1999999999999993</v>
      </c>
      <c r="S119" s="510">
        <f t="shared" si="115"/>
        <v>12.19</v>
      </c>
      <c r="T119" s="333">
        <f>0.973</f>
        <v>0.97299999999999998</v>
      </c>
      <c r="U119" s="516">
        <f>0.507-T119</f>
        <v>-0.46599999999999997</v>
      </c>
      <c r="V119" s="516">
        <f>-1.893-SUM(T119:U119)</f>
        <v>-2.4</v>
      </c>
      <c r="W119" s="232">
        <f>10.294-SUM(T119:V119)</f>
        <v>12.187000000000001</v>
      </c>
      <c r="X119" s="118">
        <f t="shared" si="116"/>
        <v>10.294</v>
      </c>
      <c r="Y119" s="232">
        <v>-0.158</v>
      </c>
      <c r="Z119" s="232">
        <f>1.66-Y119</f>
        <v>1.8179999999999998</v>
      </c>
      <c r="AA119" s="232">
        <f>-2.083-SUM(Y119:Z119)</f>
        <v>-3.7430000000000003</v>
      </c>
      <c r="AB119" s="232">
        <f>21.321-SUM(Y119:AA119)</f>
        <v>23.404000000000003</v>
      </c>
      <c r="AC119" s="116">
        <f t="shared" si="117"/>
        <v>21.321000000000005</v>
      </c>
      <c r="AD119" s="232">
        <v>-0.34899999999999998</v>
      </c>
      <c r="AE119" s="232">
        <f>-0.535-AD119</f>
        <v>-0.18600000000000005</v>
      </c>
      <c r="AF119" s="232">
        <f>-0.526-SUM(AD119:AE119)</f>
        <v>9.000000000000008E-3</v>
      </c>
      <c r="AG119" s="232">
        <f>63.261-SUM(AD119:AF119)</f>
        <v>63.787000000000006</v>
      </c>
      <c r="AH119" s="71">
        <f t="shared" si="118"/>
        <v>63.261000000000003</v>
      </c>
      <c r="AI119" s="517">
        <v>0.622</v>
      </c>
      <c r="AJ119" s="516">
        <f>1.007-AI119</f>
        <v>0.3849999999999999</v>
      </c>
      <c r="AK119" s="516">
        <f>5.888-SUM(AI119:AJ119)</f>
        <v>4.8810000000000002</v>
      </c>
      <c r="AL119" s="516">
        <f>44.14-SUM(AI119:AK119)</f>
        <v>38.252000000000002</v>
      </c>
      <c r="AM119" s="122">
        <f t="shared" si="119"/>
        <v>44.14</v>
      </c>
      <c r="AN119" s="517">
        <v>-3.64</v>
      </c>
      <c r="AO119" s="516">
        <f>-3.519-AN119</f>
        <v>0.121</v>
      </c>
      <c r="AP119" s="516">
        <f>-3.348-SUM(AN119:AO119)</f>
        <v>0.17100000000000026</v>
      </c>
      <c r="AQ119" s="516">
        <f>24.491-SUM(AN119:AP119)</f>
        <v>27.838999999999999</v>
      </c>
      <c r="AR119" s="122">
        <f t="shared" si="120"/>
        <v>24.491</v>
      </c>
      <c r="AS119" s="517">
        <v>0.50600000000000001</v>
      </c>
      <c r="AT119" s="232">
        <f>-7.39-AS119</f>
        <v>-7.8959999999999999</v>
      </c>
      <c r="AU119" s="232">
        <f>1.498-SUM(AS119:AT119)</f>
        <v>8.8879999999999999</v>
      </c>
      <c r="AV119" s="232">
        <f>-4.05-SUM(AS119:AU119)</f>
        <v>-5.548</v>
      </c>
      <c r="AW119" s="122">
        <f t="shared" si="121"/>
        <v>-4.05</v>
      </c>
      <c r="AX119" s="232">
        <v>17.806999999999999</v>
      </c>
      <c r="AY119" s="232">
        <f>6.123-AX119</f>
        <v>-11.683999999999997</v>
      </c>
      <c r="AZ119" s="232">
        <f>-1.733-SUM(AX119:AY119)</f>
        <v>-7.8560000000000016</v>
      </c>
      <c r="BA119" s="232">
        <f>14.8-SUM(AX119:AZ119)</f>
        <v>16.533000000000001</v>
      </c>
      <c r="BB119" s="216">
        <f t="shared" si="122"/>
        <v>14.8</v>
      </c>
      <c r="BC119" s="1893">
        <v>-0.7</v>
      </c>
      <c r="BD119" s="1893">
        <v>0.6</v>
      </c>
      <c r="BE119" s="1945">
        <f>-4.1-BD119-BC119</f>
        <v>-3.9999999999999991</v>
      </c>
      <c r="BF119" s="1945">
        <f>-73.6-SUM(BC119:BE119)</f>
        <v>-69.5</v>
      </c>
      <c r="BG119" s="216">
        <f t="shared" si="123"/>
        <v>-73.599999999999994</v>
      </c>
      <c r="BH119" s="256">
        <f>(BG178-BH178)+(BG188-BH188)</f>
        <v>0</v>
      </c>
      <c r="BI119" s="256">
        <f>(BH178-BI178)+(BH188-BI188)</f>
        <v>0</v>
      </c>
      <c r="BJ119" s="256">
        <f>(BI178-BJ178)+(BI188-BJ188)</f>
        <v>0</v>
      </c>
      <c r="BK119" s="256">
        <f>(BJ178-BK178)+(BJ188-BK188)</f>
        <v>0</v>
      </c>
      <c r="BL119" s="216">
        <f t="shared" si="124"/>
        <v>0</v>
      </c>
      <c r="BM119" s="256">
        <f>(BL178-BM178)+(BL188-BM188)</f>
        <v>0</v>
      </c>
      <c r="BN119" s="256">
        <f>(BM178-BN178)+(BM188-BN188)</f>
        <v>0</v>
      </c>
      <c r="BO119" s="256">
        <f>(BN178-BO178)+(BN188-BO188)</f>
        <v>0</v>
      </c>
      <c r="BP119" s="256">
        <f>(BO178-BP178)+(BO188-BP188)</f>
        <v>0</v>
      </c>
      <c r="BQ119" s="216">
        <f t="shared" si="125"/>
        <v>0</v>
      </c>
      <c r="BR119" s="256">
        <f>(BQ178-BR178)+(BQ188-BR188)</f>
        <v>0</v>
      </c>
      <c r="BS119" s="256">
        <f>(BR178-BS178)+(BR188-BS188)</f>
        <v>0</v>
      </c>
      <c r="BT119" s="256">
        <f>(BS178-BT178)+(BS188-BT188)</f>
        <v>0</v>
      </c>
      <c r="BU119" s="256">
        <f>(BT178-BU178)+(BT188-BU188)</f>
        <v>0</v>
      </c>
      <c r="BV119" s="216">
        <f t="shared" si="126"/>
        <v>0</v>
      </c>
      <c r="BW119" s="256">
        <f>(BV178-BW178)+(BV188-BW188)</f>
        <v>0</v>
      </c>
      <c r="BX119" s="256">
        <f>(BW178-BX178)+(BW188-BX188)</f>
        <v>0</v>
      </c>
      <c r="BY119" s="256">
        <f>(BX178-BY178)+(BX188-BY188)</f>
        <v>0</v>
      </c>
      <c r="BZ119" s="256">
        <f>(BY178-BZ178)+(BY188-BZ188)</f>
        <v>0</v>
      </c>
      <c r="CA119" s="216">
        <f t="shared" si="127"/>
        <v>0</v>
      </c>
      <c r="CB119" s="1910" t="s">
        <v>51</v>
      </c>
      <c r="CC119" s="507"/>
      <c r="CD119" s="501" t="str">
        <f t="shared" si="111"/>
        <v>Deferred Taxes</v>
      </c>
      <c r="CE119" s="126">
        <f t="shared" si="128"/>
        <v>-11.848000000000001</v>
      </c>
      <c r="CF119" s="126">
        <f t="shared" si="129"/>
        <v>-5.6980000000000004</v>
      </c>
      <c r="CG119" s="126">
        <f t="shared" si="130"/>
        <v>19.895</v>
      </c>
      <c r="CH119" s="126">
        <f t="shared" si="131"/>
        <v>12.19</v>
      </c>
      <c r="CI119" s="126">
        <f t="shared" si="132"/>
        <v>10.294</v>
      </c>
      <c r="CJ119" s="126">
        <f t="shared" si="133"/>
        <v>21.321000000000005</v>
      </c>
      <c r="CK119" s="126">
        <f t="shared" si="134"/>
        <v>63.261000000000003</v>
      </c>
      <c r="CL119" s="126">
        <f t="shared" si="135"/>
        <v>44.14</v>
      </c>
      <c r="CM119" s="126">
        <f t="shared" si="136"/>
        <v>24.491</v>
      </c>
      <c r="CN119" s="126">
        <f t="shared" si="137"/>
        <v>-4.05</v>
      </c>
      <c r="CO119" s="126">
        <f t="shared" si="138"/>
        <v>14.8</v>
      </c>
      <c r="CP119" s="126">
        <f t="shared" si="139"/>
        <v>-73.599999999999994</v>
      </c>
      <c r="CQ119" s="126">
        <f t="shared" si="140"/>
        <v>0</v>
      </c>
      <c r="CR119" s="126">
        <f t="shared" si="141"/>
        <v>0</v>
      </c>
      <c r="CS119" s="126">
        <f t="shared" si="142"/>
        <v>0</v>
      </c>
      <c r="CT119" s="520">
        <f t="shared" si="143"/>
        <v>0</v>
      </c>
      <c r="CU119" s="6"/>
      <c r="DB119" s="1961"/>
      <c r="DC119" s="1961"/>
      <c r="DD119" s="1961"/>
      <c r="DE119" s="1961"/>
      <c r="DF119" s="1961"/>
      <c r="DG119" s="1961"/>
      <c r="DH119" s="1961"/>
      <c r="DI119" s="256"/>
    </row>
    <row r="120" spans="1:113" ht="12" customHeight="1" x14ac:dyDescent="0.25">
      <c r="A120" s="519" t="s">
        <v>127</v>
      </c>
      <c r="B120" s="333"/>
      <c r="C120" s="265">
        <v>-27.852</v>
      </c>
      <c r="D120" s="265">
        <v>-31.963999999999999</v>
      </c>
      <c r="E120" s="268">
        <v>-8.8209999999999997</v>
      </c>
      <c r="F120" s="268">
        <f>-12.428-E120</f>
        <v>-3.6070000000000011</v>
      </c>
      <c r="G120" s="268">
        <f>-12.461-SUM(E120:F120)</f>
        <v>-3.2999999999999474E-2</v>
      </c>
      <c r="H120" s="268">
        <f>-12.798-SUM(E120:G120)</f>
        <v>-0.33699999999999974</v>
      </c>
      <c r="I120" s="509">
        <f t="shared" si="113"/>
        <v>-12.798</v>
      </c>
      <c r="J120" s="333">
        <v>-13.683999999999999</v>
      </c>
      <c r="K120" s="268">
        <f>-17.032-J120</f>
        <v>-3.3480000000000008</v>
      </c>
      <c r="L120" s="268">
        <f>-17.101-SUM(J120:K120)</f>
        <v>-6.8999999999999062E-2</v>
      </c>
      <c r="M120" s="268">
        <f>-26.099-SUM(J120:L120)</f>
        <v>-8.9980000000000011</v>
      </c>
      <c r="N120" s="510">
        <f t="shared" si="114"/>
        <v>-26.099</v>
      </c>
      <c r="O120" s="333">
        <v>-0.17100000000000001</v>
      </c>
      <c r="P120" s="516">
        <f>-0.658-O120</f>
        <v>-0.48699999999999999</v>
      </c>
      <c r="Q120" s="516">
        <f>-1.723-SUM(O120:P120)</f>
        <v>-1.0649999999999999</v>
      </c>
      <c r="R120" s="516">
        <f>-19.976-SUM(O120:Q120)</f>
        <v>-18.253</v>
      </c>
      <c r="S120" s="510">
        <f t="shared" si="115"/>
        <v>-19.975999999999999</v>
      </c>
      <c r="T120" s="333">
        <v>-0.14699999999999999</v>
      </c>
      <c r="U120" s="516">
        <f>-10.036-T120</f>
        <v>-9.8889999999999993</v>
      </c>
      <c r="V120" s="516">
        <f>-15.083-SUM(T120:U120)</f>
        <v>-5.0470000000000006</v>
      </c>
      <c r="W120" s="232">
        <f>-49.015-T120-U120-V120</f>
        <v>-33.932000000000002</v>
      </c>
      <c r="X120" s="118">
        <f t="shared" si="116"/>
        <v>-49.015000000000001</v>
      </c>
      <c r="Y120" s="232">
        <v>0</v>
      </c>
      <c r="Z120" s="232">
        <f>-5.47-Y120</f>
        <v>-5.47</v>
      </c>
      <c r="AA120" s="232">
        <f>-5.47-SUM(Y120:Z120)</f>
        <v>0</v>
      </c>
      <c r="AB120" s="232">
        <f>-53.195-SUM(Y120:AA120)</f>
        <v>-47.725000000000001</v>
      </c>
      <c r="AC120" s="116">
        <f t="shared" si="117"/>
        <v>-53.195</v>
      </c>
      <c r="AD120" s="232">
        <v>0</v>
      </c>
      <c r="AE120" s="232">
        <f>-31.624-AD120</f>
        <v>-31.623999999999999</v>
      </c>
      <c r="AF120" s="232">
        <f>-55.056-SUM(AD120:AE120)</f>
        <v>-23.431999999999999</v>
      </c>
      <c r="AG120" s="232">
        <f>-60.672-SUM(AD120:AF120)</f>
        <v>-5.6159999999999997</v>
      </c>
      <c r="AH120" s="71">
        <f t="shared" si="118"/>
        <v>-60.671999999999997</v>
      </c>
      <c r="AI120" s="517">
        <v>-36.128</v>
      </c>
      <c r="AJ120" s="516">
        <f>-63.934-AI120</f>
        <v>-27.805999999999997</v>
      </c>
      <c r="AK120" s="516">
        <f>-81.689-SUM(AI120:AJ120)</f>
        <v>-17.754999999999995</v>
      </c>
      <c r="AL120" s="516">
        <f>-109.946-SUM(AI120:AK120)</f>
        <v>-28.257000000000005</v>
      </c>
      <c r="AM120" s="122">
        <f t="shared" si="119"/>
        <v>-109.946</v>
      </c>
      <c r="AN120" s="517">
        <v>0</v>
      </c>
      <c r="AO120" s="516">
        <f>-6.094-AN120</f>
        <v>-6.0940000000000003</v>
      </c>
      <c r="AP120" s="516">
        <f>-16.665-SUM(AN120:AO120)</f>
        <v>-10.570999999999998</v>
      </c>
      <c r="AQ120" s="516">
        <f>-22.566-SUM(AN120:AP120)</f>
        <v>-5.9009999999999998</v>
      </c>
      <c r="AR120" s="122">
        <f t="shared" si="120"/>
        <v>-22.565999999999999</v>
      </c>
      <c r="AS120" s="517">
        <v>0</v>
      </c>
      <c r="AT120" s="232">
        <v>-8.4190000000000005</v>
      </c>
      <c r="AU120" s="232">
        <f>-18.214-SUM(AS120:AT120)</f>
        <v>-9.7949999999999982</v>
      </c>
      <c r="AV120" s="232">
        <f>-40.147-SUM(AS120:AU120)</f>
        <v>-21.933</v>
      </c>
      <c r="AW120" s="122">
        <f t="shared" si="121"/>
        <v>-40.146999999999998</v>
      </c>
      <c r="AX120" s="232">
        <v>0</v>
      </c>
      <c r="AY120" s="232">
        <f>-6.57-AX120</f>
        <v>-6.57</v>
      </c>
      <c r="AZ120" s="232">
        <f>-20.763-SUM(AX120:AY120)</f>
        <v>-14.193000000000001</v>
      </c>
      <c r="BA120" s="232">
        <f>-31.4-SUM(AX120:AZ120)</f>
        <v>-10.636999999999997</v>
      </c>
      <c r="BB120" s="216">
        <f t="shared" si="122"/>
        <v>-31.4</v>
      </c>
      <c r="BC120" s="1893">
        <v>0</v>
      </c>
      <c r="BD120" s="1893">
        <v>0</v>
      </c>
      <c r="BE120" s="1945">
        <v>0</v>
      </c>
      <c r="BF120" s="1945">
        <v>0</v>
      </c>
      <c r="BG120" s="216">
        <f t="shared" si="123"/>
        <v>0</v>
      </c>
      <c r="BH120" s="256">
        <v>0</v>
      </c>
      <c r="BI120" s="256">
        <v>0</v>
      </c>
      <c r="BJ120" s="256">
        <v>0</v>
      </c>
      <c r="BK120" s="256">
        <v>0</v>
      </c>
      <c r="BL120" s="216">
        <f t="shared" si="124"/>
        <v>0</v>
      </c>
      <c r="BM120" s="256">
        <v>0</v>
      </c>
      <c r="BN120" s="256">
        <v>0</v>
      </c>
      <c r="BO120" s="256">
        <v>0</v>
      </c>
      <c r="BP120" s="256">
        <v>0</v>
      </c>
      <c r="BQ120" s="216">
        <f t="shared" si="125"/>
        <v>0</v>
      </c>
      <c r="BR120" s="256">
        <v>0</v>
      </c>
      <c r="BS120" s="256">
        <v>0</v>
      </c>
      <c r="BT120" s="256">
        <v>0</v>
      </c>
      <c r="BU120" s="256">
        <v>0</v>
      </c>
      <c r="BV120" s="216">
        <f t="shared" si="126"/>
        <v>0</v>
      </c>
      <c r="BW120" s="256">
        <v>0</v>
      </c>
      <c r="BX120" s="256">
        <v>0</v>
      </c>
      <c r="BY120" s="256">
        <v>0</v>
      </c>
      <c r="BZ120" s="256">
        <v>0</v>
      </c>
      <c r="CA120" s="216">
        <f t="shared" si="127"/>
        <v>0</v>
      </c>
      <c r="CB120" s="1910" t="s">
        <v>51</v>
      </c>
      <c r="CC120" s="507"/>
      <c r="CD120" s="519" t="str">
        <f t="shared" si="111"/>
        <v>Tax benefit on stock options exercised</v>
      </c>
      <c r="CE120" s="516">
        <f t="shared" si="128"/>
        <v>-31.963999999999999</v>
      </c>
      <c r="CF120" s="516">
        <f t="shared" si="129"/>
        <v>-12.798</v>
      </c>
      <c r="CG120" s="516">
        <f t="shared" si="130"/>
        <v>-26.099</v>
      </c>
      <c r="CH120" s="516">
        <f t="shared" si="131"/>
        <v>-19.975999999999999</v>
      </c>
      <c r="CI120" s="516">
        <f t="shared" si="132"/>
        <v>-49.015000000000001</v>
      </c>
      <c r="CJ120" s="516">
        <f t="shared" si="133"/>
        <v>-53.195</v>
      </c>
      <c r="CK120" s="516">
        <f t="shared" si="134"/>
        <v>-60.671999999999997</v>
      </c>
      <c r="CL120" s="516">
        <f t="shared" si="135"/>
        <v>-109.946</v>
      </c>
      <c r="CM120" s="516">
        <f t="shared" si="136"/>
        <v>-22.565999999999999</v>
      </c>
      <c r="CN120" s="516">
        <f t="shared" si="137"/>
        <v>-40.146999999999998</v>
      </c>
      <c r="CO120" s="516">
        <f t="shared" si="138"/>
        <v>-31.4</v>
      </c>
      <c r="CP120" s="516">
        <f t="shared" si="139"/>
        <v>0</v>
      </c>
      <c r="CQ120" s="516">
        <f t="shared" si="140"/>
        <v>0</v>
      </c>
      <c r="CR120" s="516">
        <f t="shared" si="141"/>
        <v>0</v>
      </c>
      <c r="CS120" s="516">
        <f t="shared" si="142"/>
        <v>0</v>
      </c>
      <c r="CT120" s="518">
        <f t="shared" si="143"/>
        <v>0</v>
      </c>
      <c r="CU120" s="6"/>
      <c r="DB120" s="1961"/>
      <c r="DC120" s="1961"/>
      <c r="DD120" s="1961"/>
      <c r="DE120" s="1961"/>
      <c r="DF120" s="1961"/>
      <c r="DG120" s="1961"/>
      <c r="DH120" s="1961"/>
      <c r="DI120" s="256"/>
    </row>
    <row r="121" spans="1:113" ht="12" customHeight="1" x14ac:dyDescent="0.25">
      <c r="A121" s="519" t="s">
        <v>128</v>
      </c>
      <c r="B121" s="517"/>
      <c r="C121" s="278">
        <v>0</v>
      </c>
      <c r="D121" s="278">
        <v>2.3740000000000001</v>
      </c>
      <c r="E121" s="516">
        <v>1.419</v>
      </c>
      <c r="F121" s="516">
        <f>1.416-E121</f>
        <v>-3.0000000000001137E-3</v>
      </c>
      <c r="G121" s="516">
        <f>1.551-SUM(E121:F121)</f>
        <v>0.13500000000000001</v>
      </c>
      <c r="H121" s="516">
        <f>1.791-SUM(E121:G121)</f>
        <v>0.24</v>
      </c>
      <c r="I121" s="509">
        <f t="shared" si="113"/>
        <v>1.7909999999999999</v>
      </c>
      <c r="J121" s="517">
        <v>-8.9999999999999993E-3</v>
      </c>
      <c r="K121" s="516">
        <f>0-J121</f>
        <v>8.9999999999999993E-3</v>
      </c>
      <c r="L121" s="516">
        <f>0.031-SUM(J121:K121)</f>
        <v>3.1E-2</v>
      </c>
      <c r="M121" s="516">
        <f>1.082-SUM(J121:L121)</f>
        <v>1.0510000000000002</v>
      </c>
      <c r="N121" s="510">
        <f t="shared" si="114"/>
        <v>1.0820000000000001</v>
      </c>
      <c r="O121" s="333">
        <v>0.22800000000000001</v>
      </c>
      <c r="P121" s="516">
        <f>0.308-O121</f>
        <v>7.9999999999999988E-2</v>
      </c>
      <c r="Q121" s="516">
        <f>0.342-SUM(O121:P121)</f>
        <v>3.400000000000003E-2</v>
      </c>
      <c r="R121" s="516">
        <f>0.81-SUM(O121:Q121)</f>
        <v>0.46800000000000003</v>
      </c>
      <c r="S121" s="510">
        <f t="shared" si="115"/>
        <v>0.81</v>
      </c>
      <c r="T121" s="333">
        <f>0.011</f>
        <v>1.0999999999999999E-2</v>
      </c>
      <c r="U121" s="516">
        <f>0.038-T121</f>
        <v>2.7E-2</v>
      </c>
      <c r="V121" s="516">
        <f>0.081-SUM(T121:U121)</f>
        <v>4.3000000000000003E-2</v>
      </c>
      <c r="W121" s="232">
        <f>0.239-SUM(T121:V121)</f>
        <v>0.15799999999999997</v>
      </c>
      <c r="X121" s="118">
        <f t="shared" si="116"/>
        <v>0.23899999999999999</v>
      </c>
      <c r="Y121" s="232">
        <v>9.6000000000000002E-2</v>
      </c>
      <c r="Z121" s="232">
        <f>0.221-Y121</f>
        <v>0.125</v>
      </c>
      <c r="AA121" s="232">
        <f>0.635-SUM(Y121:Z121)</f>
        <v>0.41400000000000003</v>
      </c>
      <c r="AB121" s="232">
        <f>0.868-SUM(Y121:AA121)</f>
        <v>0.23299999999999998</v>
      </c>
      <c r="AC121" s="116">
        <f t="shared" si="117"/>
        <v>0.86799999999999999</v>
      </c>
      <c r="AD121" s="232">
        <f>-0.007</f>
        <v>-7.0000000000000001E-3</v>
      </c>
      <c r="AE121" s="232">
        <f>0.021-AD121</f>
        <v>2.8000000000000001E-2</v>
      </c>
      <c r="AF121" s="232">
        <f>0.088-SUM(AD121:AE121)</f>
        <v>6.699999999999999E-2</v>
      </c>
      <c r="AG121" s="232">
        <f>0.597-SUM(AD121:AF121)</f>
        <v>0.50900000000000001</v>
      </c>
      <c r="AH121" s="71">
        <f t="shared" si="118"/>
        <v>0.59699999999999998</v>
      </c>
      <c r="AI121" s="517">
        <v>0.42599999999999999</v>
      </c>
      <c r="AJ121" s="516">
        <f>0.428-AI121</f>
        <v>2.0000000000000018E-3</v>
      </c>
      <c r="AK121" s="516">
        <f>0.476-SUM(AI121:AJ121)</f>
        <v>4.7999999999999987E-2</v>
      </c>
      <c r="AL121" s="516">
        <f>0.628-SUM(AI121:AK121)</f>
        <v>0.15200000000000002</v>
      </c>
      <c r="AM121" s="122">
        <f t="shared" si="119"/>
        <v>0.628</v>
      </c>
      <c r="AN121" s="517">
        <f>-65.41+0.683</f>
        <v>-64.72699999999999</v>
      </c>
      <c r="AO121" s="516">
        <f>-65.41-AN121</f>
        <v>-0.68300000000000693</v>
      </c>
      <c r="AP121" s="516">
        <f>-65.41+0.51-SUM(AN121:AO121)</f>
        <v>0.51000000000000512</v>
      </c>
      <c r="AQ121" s="516">
        <f>-65.41-SUM(AN121:AP121)</f>
        <v>-0.51000000000000512</v>
      </c>
      <c r="AR121" s="122">
        <f t="shared" si="120"/>
        <v>-65.41</v>
      </c>
      <c r="AS121" s="517">
        <v>1.4999999999999999E-2</v>
      </c>
      <c r="AT121" s="232">
        <f>-0.003-AS121</f>
        <v>-1.7999999999999999E-2</v>
      </c>
      <c r="AU121" s="232">
        <f>-0.002-SUM(AS121:AT121)</f>
        <v>9.9999999999999915E-4</v>
      </c>
      <c r="AV121" s="232">
        <f>0.379-SUM(AS121:AU121)</f>
        <v>0.38100000000000001</v>
      </c>
      <c r="AW121" s="122">
        <f t="shared" si="121"/>
        <v>0.379</v>
      </c>
      <c r="AX121" s="232">
        <v>-9.2999999999999999E-2</v>
      </c>
      <c r="AY121" s="232">
        <f>0.811-AX121</f>
        <v>0.90400000000000003</v>
      </c>
      <c r="AZ121" s="232">
        <f>0.851-SUM(AX121:AY121)</f>
        <v>3.9999999999999925E-2</v>
      </c>
      <c r="BA121" s="232">
        <f>1-SUM(AX121:AZ121)</f>
        <v>0.14900000000000002</v>
      </c>
      <c r="BB121" s="216">
        <f t="shared" si="122"/>
        <v>1</v>
      </c>
      <c r="BC121" s="1893">
        <v>0</v>
      </c>
      <c r="BD121" s="1893">
        <v>0</v>
      </c>
      <c r="BE121" s="1945">
        <v>0</v>
      </c>
      <c r="BF121" s="1945">
        <f>0.1-SUM(BC121:BE121)</f>
        <v>0.1</v>
      </c>
      <c r="BG121" s="216">
        <f t="shared" si="123"/>
        <v>0.1</v>
      </c>
      <c r="BH121" s="256">
        <v>0</v>
      </c>
      <c r="BI121" s="256">
        <v>0</v>
      </c>
      <c r="BJ121" s="256">
        <v>0</v>
      </c>
      <c r="BK121" s="256">
        <v>0</v>
      </c>
      <c r="BL121" s="216">
        <f t="shared" si="124"/>
        <v>0</v>
      </c>
      <c r="BM121" s="256">
        <v>0</v>
      </c>
      <c r="BN121" s="256">
        <v>0</v>
      </c>
      <c r="BO121" s="256">
        <v>0</v>
      </c>
      <c r="BP121" s="256">
        <v>0</v>
      </c>
      <c r="BQ121" s="216">
        <f t="shared" si="125"/>
        <v>0</v>
      </c>
      <c r="BR121" s="256">
        <v>0</v>
      </c>
      <c r="BS121" s="256">
        <v>0</v>
      </c>
      <c r="BT121" s="256">
        <v>0</v>
      </c>
      <c r="BU121" s="256">
        <v>0</v>
      </c>
      <c r="BV121" s="216">
        <f t="shared" si="126"/>
        <v>0</v>
      </c>
      <c r="BW121" s="256">
        <v>0</v>
      </c>
      <c r="BX121" s="256">
        <v>0</v>
      </c>
      <c r="BY121" s="256">
        <v>0</v>
      </c>
      <c r="BZ121" s="256">
        <v>0</v>
      </c>
      <c r="CA121" s="216">
        <f t="shared" si="127"/>
        <v>0</v>
      </c>
      <c r="CB121" s="1910" t="s">
        <v>51</v>
      </c>
      <c r="CC121" s="507"/>
      <c r="CD121" s="519" t="str">
        <f t="shared" si="111"/>
        <v>Loss (Gain) on disposal of assets</v>
      </c>
      <c r="CE121" s="516">
        <f t="shared" si="128"/>
        <v>2.3740000000000001</v>
      </c>
      <c r="CF121" s="516">
        <f t="shared" si="129"/>
        <v>1.7909999999999999</v>
      </c>
      <c r="CG121" s="516">
        <f t="shared" si="130"/>
        <v>1.0820000000000001</v>
      </c>
      <c r="CH121" s="516">
        <f t="shared" si="131"/>
        <v>0.81</v>
      </c>
      <c r="CI121" s="516">
        <f t="shared" si="132"/>
        <v>0.23899999999999999</v>
      </c>
      <c r="CJ121" s="516">
        <f t="shared" si="133"/>
        <v>0.86799999999999999</v>
      </c>
      <c r="CK121" s="516">
        <f t="shared" si="134"/>
        <v>0.59699999999999998</v>
      </c>
      <c r="CL121" s="516">
        <f t="shared" si="135"/>
        <v>0.628</v>
      </c>
      <c r="CM121" s="516">
        <f t="shared" si="136"/>
        <v>-65.41</v>
      </c>
      <c r="CN121" s="516">
        <f t="shared" si="137"/>
        <v>0.379</v>
      </c>
      <c r="CO121" s="516">
        <f t="shared" si="138"/>
        <v>1</v>
      </c>
      <c r="CP121" s="516">
        <f t="shared" si="139"/>
        <v>0.1</v>
      </c>
      <c r="CQ121" s="516">
        <f t="shared" si="140"/>
        <v>0</v>
      </c>
      <c r="CR121" s="516">
        <f t="shared" si="141"/>
        <v>0</v>
      </c>
      <c r="CS121" s="516">
        <f t="shared" si="142"/>
        <v>0</v>
      </c>
      <c r="CT121" s="518">
        <f t="shared" si="143"/>
        <v>0</v>
      </c>
      <c r="CU121" s="6"/>
      <c r="DB121" s="1961"/>
      <c r="DC121" s="1961"/>
      <c r="DD121" s="1961"/>
      <c r="DE121" s="1961"/>
      <c r="DF121" s="1961"/>
      <c r="DG121" s="1961"/>
      <c r="DH121" s="1961"/>
      <c r="DI121" s="256"/>
    </row>
    <row r="122" spans="1:113" ht="12" customHeight="1" x14ac:dyDescent="0.25">
      <c r="A122" s="501" t="s">
        <v>129</v>
      </c>
      <c r="B122" s="333"/>
      <c r="C122" s="278">
        <v>-2.7E-2</v>
      </c>
      <c r="D122" s="265">
        <v>0.375</v>
      </c>
      <c r="E122" s="268">
        <v>-1.2E-2</v>
      </c>
      <c r="F122" s="268">
        <f>-0.592-E122</f>
        <v>-0.57999999999999996</v>
      </c>
      <c r="G122" s="268">
        <f>-0.854-SUM(E122:F122)</f>
        <v>-0.26200000000000001</v>
      </c>
      <c r="H122" s="268">
        <f>-0.857-SUM(E122:G122)</f>
        <v>-3.0000000000000027E-3</v>
      </c>
      <c r="I122" s="521">
        <f t="shared" si="113"/>
        <v>-0.85699999999999998</v>
      </c>
      <c r="J122" s="333">
        <v>1.274</v>
      </c>
      <c r="K122" s="268">
        <f>1.286-J122</f>
        <v>1.2000000000000011E-2</v>
      </c>
      <c r="L122" s="268">
        <f>1.665-SUM(J122:K122)</f>
        <v>0.379</v>
      </c>
      <c r="M122" s="268">
        <f>2.511-SUM(J122:L122)</f>
        <v>0.84600000000000009</v>
      </c>
      <c r="N122" s="522">
        <f t="shared" si="114"/>
        <v>2.5110000000000001</v>
      </c>
      <c r="O122" s="333">
        <v>0.39800000000000002</v>
      </c>
      <c r="P122" s="516">
        <f>0.365-O122</f>
        <v>-3.3000000000000029E-2</v>
      </c>
      <c r="Q122" s="516">
        <f>0.341-SUM(O122:P122)</f>
        <v>-2.3999999999999966E-2</v>
      </c>
      <c r="R122" s="516">
        <f>2.332-SUM(O122:Q122)</f>
        <v>1.9909999999999999</v>
      </c>
      <c r="S122" s="510">
        <f t="shared" si="115"/>
        <v>2.3319999999999999</v>
      </c>
      <c r="T122" s="333">
        <f>-0.032</f>
        <v>-3.2000000000000001E-2</v>
      </c>
      <c r="U122" s="516">
        <f>-0.061-T122</f>
        <v>-2.8999999999999998E-2</v>
      </c>
      <c r="V122" s="516">
        <f>-0.07-SUM(T122:U122)</f>
        <v>-9.000000000000008E-3</v>
      </c>
      <c r="W122" s="232">
        <f>-0.095-SUM(T122:V122)</f>
        <v>-2.4999999999999994E-2</v>
      </c>
      <c r="X122" s="118">
        <f t="shared" si="116"/>
        <v>-9.5000000000000001E-2</v>
      </c>
      <c r="Y122" s="232">
        <f>-0.362</f>
        <v>-0.36199999999999999</v>
      </c>
      <c r="Z122" s="232">
        <f>-0.487-Y122</f>
        <v>-0.125</v>
      </c>
      <c r="AA122" s="232">
        <f>0-SUM(Y122:Z122)</f>
        <v>0.48699999999999999</v>
      </c>
      <c r="AB122" s="232">
        <f>-0.686-SUM(Y122:AA122)</f>
        <v>-0.68600000000000005</v>
      </c>
      <c r="AC122" s="116">
        <f t="shared" si="117"/>
        <v>-0.68600000000000005</v>
      </c>
      <c r="AD122" s="232">
        <f>-0.33</f>
        <v>-0.33</v>
      </c>
      <c r="AE122" s="232">
        <f>-0.3-AD122</f>
        <v>3.0000000000000027E-2</v>
      </c>
      <c r="AF122" s="232">
        <f>0.338-SUM(AD122:AE122)</f>
        <v>0.63800000000000001</v>
      </c>
      <c r="AG122" s="232">
        <f>0.332-SUM(AD122:AF122)</f>
        <v>-6.0000000000000053E-3</v>
      </c>
      <c r="AH122" s="71">
        <f t="shared" si="118"/>
        <v>0.33200000000000002</v>
      </c>
      <c r="AI122" s="517">
        <v>0.193</v>
      </c>
      <c r="AJ122" s="516">
        <f>0.1-AI122</f>
        <v>-9.2999999999999999E-2</v>
      </c>
      <c r="AK122" s="516">
        <f>0.099-SUM(AI122:AJ122)</f>
        <v>-1.0000000000000009E-3</v>
      </c>
      <c r="AL122" s="516">
        <f>0.092-SUM(AI122:AK122)</f>
        <v>-7.0000000000000062E-3</v>
      </c>
      <c r="AM122" s="122">
        <f t="shared" si="119"/>
        <v>9.1999999999999998E-2</v>
      </c>
      <c r="AN122" s="517">
        <v>1.0999999999999999E-2</v>
      </c>
      <c r="AO122" s="516">
        <f>-0.115-AN122</f>
        <v>-0.126</v>
      </c>
      <c r="AP122" s="516">
        <f>-0.122-AO122-AN122</f>
        <v>-6.9999999999999958E-3</v>
      </c>
      <c r="AQ122" s="516">
        <f>-0.257-SUM(AN122:AP122)</f>
        <v>-0.13500000000000001</v>
      </c>
      <c r="AR122" s="122">
        <f t="shared" si="120"/>
        <v>-0.25700000000000001</v>
      </c>
      <c r="AS122" s="517">
        <v>6.0000000000000001E-3</v>
      </c>
      <c r="AT122" s="523">
        <f>-AT47</f>
        <v>-85.186999999999998</v>
      </c>
      <c r="AU122" s="232">
        <v>0</v>
      </c>
      <c r="AV122" s="232">
        <v>0</v>
      </c>
      <c r="AW122" s="122">
        <f t="shared" si="121"/>
        <v>-85.180999999999997</v>
      </c>
      <c r="AX122" s="232">
        <v>0.19</v>
      </c>
      <c r="AY122" s="232">
        <f>0.274-AX122</f>
        <v>8.4000000000000019E-2</v>
      </c>
      <c r="AZ122" s="232">
        <f>0.311-SUM(AX122:AY122)</f>
        <v>3.6999999999999977E-2</v>
      </c>
      <c r="BA122" s="232">
        <v>0.2</v>
      </c>
      <c r="BB122" s="216">
        <f t="shared" si="122"/>
        <v>0.51100000000000001</v>
      </c>
      <c r="BC122" s="1893">
        <v>0</v>
      </c>
      <c r="BD122" s="1893">
        <v>0</v>
      </c>
      <c r="BE122" s="1945">
        <f>-0.1-BD122-BC122</f>
        <v>-0.1</v>
      </c>
      <c r="BF122" s="1945">
        <f>0-SUM(BC122:BE122)</f>
        <v>0.1</v>
      </c>
      <c r="BG122" s="216">
        <f t="shared" si="123"/>
        <v>0</v>
      </c>
      <c r="BH122" s="256">
        <v>0</v>
      </c>
      <c r="BI122" s="256">
        <v>0</v>
      </c>
      <c r="BJ122" s="256">
        <v>0</v>
      </c>
      <c r="BK122" s="256">
        <v>0</v>
      </c>
      <c r="BL122" s="216">
        <f t="shared" si="124"/>
        <v>0</v>
      </c>
      <c r="BM122" s="256">
        <v>0</v>
      </c>
      <c r="BN122" s="256">
        <v>0</v>
      </c>
      <c r="BO122" s="256">
        <v>0</v>
      </c>
      <c r="BP122" s="256">
        <v>0</v>
      </c>
      <c r="BQ122" s="216">
        <f t="shared" si="125"/>
        <v>0</v>
      </c>
      <c r="BR122" s="256">
        <v>0</v>
      </c>
      <c r="BS122" s="256">
        <v>0</v>
      </c>
      <c r="BT122" s="256">
        <v>0</v>
      </c>
      <c r="BU122" s="256">
        <v>0</v>
      </c>
      <c r="BV122" s="216">
        <f t="shared" si="126"/>
        <v>0</v>
      </c>
      <c r="BW122" s="256">
        <v>0</v>
      </c>
      <c r="BX122" s="256">
        <v>0</v>
      </c>
      <c r="BY122" s="256">
        <v>0</v>
      </c>
      <c r="BZ122" s="256">
        <v>0</v>
      </c>
      <c r="CA122" s="216">
        <f t="shared" si="127"/>
        <v>0</v>
      </c>
      <c r="CB122" s="1910" t="s">
        <v>51</v>
      </c>
      <c r="CC122" s="507"/>
      <c r="CD122" s="501" t="str">
        <f t="shared" si="111"/>
        <v>Gain/Losses on Securities</v>
      </c>
      <c r="CE122" s="516">
        <f t="shared" si="128"/>
        <v>0.375</v>
      </c>
      <c r="CF122" s="516">
        <f t="shared" si="129"/>
        <v>-0.85699999999999998</v>
      </c>
      <c r="CG122" s="516">
        <f t="shared" si="130"/>
        <v>2.5110000000000001</v>
      </c>
      <c r="CH122" s="516">
        <f t="shared" si="131"/>
        <v>2.3319999999999999</v>
      </c>
      <c r="CI122" s="516">
        <f t="shared" si="132"/>
        <v>-9.5000000000000001E-2</v>
      </c>
      <c r="CJ122" s="516">
        <f t="shared" si="133"/>
        <v>-0.68600000000000005</v>
      </c>
      <c r="CK122" s="516">
        <f t="shared" si="134"/>
        <v>0.33200000000000002</v>
      </c>
      <c r="CL122" s="516">
        <f t="shared" si="135"/>
        <v>9.1999999999999998E-2</v>
      </c>
      <c r="CM122" s="516">
        <f t="shared" si="136"/>
        <v>-0.25700000000000001</v>
      </c>
      <c r="CN122" s="516">
        <f t="shared" si="137"/>
        <v>-85.180999999999997</v>
      </c>
      <c r="CO122" s="516">
        <f t="shared" si="138"/>
        <v>0.51100000000000001</v>
      </c>
      <c r="CP122" s="516">
        <f t="shared" si="139"/>
        <v>0</v>
      </c>
      <c r="CQ122" s="516">
        <f t="shared" si="140"/>
        <v>0</v>
      </c>
      <c r="CR122" s="516">
        <f t="shared" si="141"/>
        <v>0</v>
      </c>
      <c r="CS122" s="516">
        <f t="shared" si="142"/>
        <v>0</v>
      </c>
      <c r="CT122" s="518">
        <f t="shared" si="143"/>
        <v>0</v>
      </c>
      <c r="CU122" s="6"/>
      <c r="DB122" s="1961"/>
      <c r="DC122" s="1961"/>
      <c r="DD122" s="1961"/>
      <c r="DE122" s="1961"/>
      <c r="DF122" s="1961"/>
      <c r="DG122" s="1961"/>
      <c r="DH122" s="1961"/>
      <c r="DI122" s="256"/>
    </row>
    <row r="123" spans="1:113" ht="12" customHeight="1" x14ac:dyDescent="0.25">
      <c r="A123" s="501" t="s">
        <v>130</v>
      </c>
      <c r="B123" s="333"/>
      <c r="C123" s="278">
        <v>1.5</v>
      </c>
      <c r="D123" s="265">
        <v>0</v>
      </c>
      <c r="E123" s="268">
        <v>0</v>
      </c>
      <c r="F123" s="268">
        <v>0</v>
      </c>
      <c r="G123" s="268">
        <f>1.744-SUM(E123:F123)</f>
        <v>1.744</v>
      </c>
      <c r="H123" s="268">
        <f>1.744-SUM(E123:G123)</f>
        <v>0</v>
      </c>
      <c r="I123" s="521">
        <f t="shared" si="113"/>
        <v>1.744</v>
      </c>
      <c r="J123" s="333">
        <v>0</v>
      </c>
      <c r="K123" s="268">
        <f>0-J123</f>
        <v>0</v>
      </c>
      <c r="L123" s="268">
        <f>0-SUM(J123:K123)</f>
        <v>0</v>
      </c>
      <c r="M123" s="268">
        <f>0-SUM(J123:L123)</f>
        <v>0</v>
      </c>
      <c r="N123" s="522">
        <f t="shared" si="114"/>
        <v>0</v>
      </c>
      <c r="O123" s="333">
        <v>0</v>
      </c>
      <c r="P123" s="516">
        <v>0</v>
      </c>
      <c r="Q123" s="516">
        <v>0</v>
      </c>
      <c r="R123" s="516">
        <v>0</v>
      </c>
      <c r="S123" s="510">
        <f>SUM(O123:R123)</f>
        <v>0</v>
      </c>
      <c r="T123" s="333">
        <v>0</v>
      </c>
      <c r="U123" s="516">
        <f>0-T123</f>
        <v>0</v>
      </c>
      <c r="V123" s="516">
        <f>0-SUM(T123:U123)</f>
        <v>0</v>
      </c>
      <c r="W123" s="232">
        <v>0</v>
      </c>
      <c r="X123" s="118">
        <f>SUM(T123:W123)</f>
        <v>0</v>
      </c>
      <c r="Y123" s="232">
        <v>0</v>
      </c>
      <c r="Z123" s="232">
        <v>0</v>
      </c>
      <c r="AA123" s="232">
        <v>0</v>
      </c>
      <c r="AB123" s="232">
        <v>0</v>
      </c>
      <c r="AC123" s="116">
        <f>SUM(Y123:AB123)</f>
        <v>0</v>
      </c>
      <c r="AD123" s="232">
        <v>0</v>
      </c>
      <c r="AE123" s="232">
        <v>0</v>
      </c>
      <c r="AF123" s="232">
        <v>0</v>
      </c>
      <c r="AG123" s="232">
        <v>0</v>
      </c>
      <c r="AH123" s="71">
        <f>SUM(AD123:AG123)</f>
        <v>0</v>
      </c>
      <c r="AI123" s="517">
        <v>0</v>
      </c>
      <c r="AJ123" s="516">
        <v>0</v>
      </c>
      <c r="AK123" s="516">
        <v>0</v>
      </c>
      <c r="AL123" s="516">
        <v>0</v>
      </c>
      <c r="AM123" s="122">
        <f t="shared" si="119"/>
        <v>0</v>
      </c>
      <c r="AN123" s="517">
        <v>0</v>
      </c>
      <c r="AO123" s="516">
        <v>0</v>
      </c>
      <c r="AP123" s="516">
        <v>0</v>
      </c>
      <c r="AQ123" s="516">
        <v>0</v>
      </c>
      <c r="AR123" s="122">
        <f t="shared" si="120"/>
        <v>0</v>
      </c>
      <c r="AS123" s="517">
        <v>0</v>
      </c>
      <c r="AT123" s="232">
        <v>0</v>
      </c>
      <c r="AU123" s="232">
        <v>0</v>
      </c>
      <c r="AV123" s="232">
        <v>0</v>
      </c>
      <c r="AW123" s="122">
        <f t="shared" si="121"/>
        <v>0</v>
      </c>
      <c r="AX123" s="232">
        <v>0</v>
      </c>
      <c r="AY123" s="232">
        <v>0</v>
      </c>
      <c r="AZ123" s="232">
        <v>0</v>
      </c>
      <c r="BA123" s="232">
        <v>0</v>
      </c>
      <c r="BB123" s="216">
        <f t="shared" si="122"/>
        <v>0</v>
      </c>
      <c r="BC123" s="1893">
        <v>0</v>
      </c>
      <c r="BD123" s="1893">
        <v>0</v>
      </c>
      <c r="BE123" s="1945">
        <v>0</v>
      </c>
      <c r="BF123" s="1945">
        <v>0</v>
      </c>
      <c r="BG123" s="216">
        <f t="shared" si="123"/>
        <v>0</v>
      </c>
      <c r="BH123" s="256">
        <v>0</v>
      </c>
      <c r="BI123" s="256">
        <v>0</v>
      </c>
      <c r="BJ123" s="256">
        <v>0</v>
      </c>
      <c r="BK123" s="256">
        <v>0</v>
      </c>
      <c r="BL123" s="216">
        <f t="shared" si="124"/>
        <v>0</v>
      </c>
      <c r="BM123" s="256">
        <v>0</v>
      </c>
      <c r="BN123" s="256">
        <v>0</v>
      </c>
      <c r="BO123" s="256">
        <v>0</v>
      </c>
      <c r="BP123" s="256">
        <v>0</v>
      </c>
      <c r="BQ123" s="216">
        <f t="shared" si="125"/>
        <v>0</v>
      </c>
      <c r="BR123" s="256">
        <v>0</v>
      </c>
      <c r="BS123" s="256">
        <v>0</v>
      </c>
      <c r="BT123" s="256">
        <v>0</v>
      </c>
      <c r="BU123" s="256">
        <v>0</v>
      </c>
      <c r="BV123" s="216">
        <f t="shared" si="126"/>
        <v>0</v>
      </c>
      <c r="BW123" s="256">
        <v>0</v>
      </c>
      <c r="BX123" s="256">
        <v>0</v>
      </c>
      <c r="BY123" s="256">
        <v>0</v>
      </c>
      <c r="BZ123" s="256">
        <v>0</v>
      </c>
      <c r="CA123" s="216">
        <f t="shared" si="127"/>
        <v>0</v>
      </c>
      <c r="CB123" s="1910" t="s">
        <v>51</v>
      </c>
      <c r="CC123" s="507"/>
      <c r="CD123" s="501" t="str">
        <f t="shared" si="111"/>
        <v>Goodwill Impairment</v>
      </c>
      <c r="CE123" s="516">
        <f t="shared" si="128"/>
        <v>0</v>
      </c>
      <c r="CF123" s="516">
        <f t="shared" si="129"/>
        <v>1.744</v>
      </c>
      <c r="CG123" s="516">
        <f t="shared" si="130"/>
        <v>0</v>
      </c>
      <c r="CH123" s="516">
        <f t="shared" si="131"/>
        <v>0</v>
      </c>
      <c r="CI123" s="516">
        <f t="shared" si="132"/>
        <v>0</v>
      </c>
      <c r="CJ123" s="516">
        <f t="shared" si="133"/>
        <v>0</v>
      </c>
      <c r="CK123" s="516">
        <f t="shared" si="134"/>
        <v>0</v>
      </c>
      <c r="CL123" s="516">
        <f t="shared" si="135"/>
        <v>0</v>
      </c>
      <c r="CM123" s="516">
        <f t="shared" si="136"/>
        <v>0</v>
      </c>
      <c r="CN123" s="516">
        <f t="shared" si="137"/>
        <v>0</v>
      </c>
      <c r="CO123" s="516">
        <f t="shared" si="138"/>
        <v>0</v>
      </c>
      <c r="CP123" s="516">
        <f t="shared" si="139"/>
        <v>0</v>
      </c>
      <c r="CQ123" s="516">
        <f t="shared" si="140"/>
        <v>0</v>
      </c>
      <c r="CR123" s="516">
        <f t="shared" si="141"/>
        <v>0</v>
      </c>
      <c r="CS123" s="516">
        <f t="shared" si="142"/>
        <v>0</v>
      </c>
      <c r="CT123" s="518">
        <f t="shared" si="143"/>
        <v>0</v>
      </c>
      <c r="CU123" s="6"/>
      <c r="DB123" s="1961"/>
      <c r="DC123" s="1961"/>
      <c r="DD123" s="1961"/>
      <c r="DE123" s="1961"/>
      <c r="DF123" s="1961"/>
      <c r="DG123" s="1961"/>
      <c r="DH123" s="1961"/>
      <c r="DI123" s="256"/>
    </row>
    <row r="124" spans="1:113" ht="12" customHeight="1" x14ac:dyDescent="0.25">
      <c r="A124" s="501" t="s">
        <v>131</v>
      </c>
      <c r="B124" s="333"/>
      <c r="C124" s="278">
        <f>0.185-1.516</f>
        <v>-1.331</v>
      </c>
      <c r="D124" s="265">
        <f>2.148+9.027+0.216-2.19</f>
        <v>9.2009999999999987</v>
      </c>
      <c r="E124" s="268">
        <f>0.014+0.275-0.584</f>
        <v>-0.29499999999999993</v>
      </c>
      <c r="F124" s="268">
        <f>1.006+2.426-1.129+0.291-E124</f>
        <v>2.8890000000000002</v>
      </c>
      <c r="G124" s="268">
        <f>-1.763+3.673+0.483+0.283+2.366-SUM(E124:F124)</f>
        <v>2.4479999999999995</v>
      </c>
      <c r="H124" s="268">
        <f>3.286+3.605+0.298-2.454-SUM(E124:G124)</f>
        <v>-0.30700000000000038</v>
      </c>
      <c r="I124" s="521">
        <f t="shared" si="113"/>
        <v>4.7349999999999994</v>
      </c>
      <c r="J124" s="333">
        <f>0.014+0.3-0.458</f>
        <v>-0.14400000000000002</v>
      </c>
      <c r="K124" s="268">
        <f>1.093+0.55-0.98+0.03-J124</f>
        <v>0.83700000000000008</v>
      </c>
      <c r="L124" s="268">
        <f>0.282-1.142+0.55+0.266-SUM(J124:K124)</f>
        <v>-0.73699999999999988</v>
      </c>
      <c r="M124" s="268">
        <f>1.536+0.3+0.284-1.05+2.318-SUM(J124:L124)</f>
        <v>3.4319999999999995</v>
      </c>
      <c r="N124" s="522">
        <f t="shared" si="114"/>
        <v>3.3879999999999999</v>
      </c>
      <c r="O124" s="333">
        <f>0.015+0.349</f>
        <v>0.36399999999999999</v>
      </c>
      <c r="P124" s="516">
        <f>0.509+0.03+0.196-O124</f>
        <v>0.37100000000000011</v>
      </c>
      <c r="Q124" s="516">
        <f>0.692+0.207+0.196-SUM(O124:P124)</f>
        <v>0.35999999999999988</v>
      </c>
      <c r="R124" s="516">
        <f>0.785+0.916+0.222+0.196-SUM(O124:Q124)</f>
        <v>1.0240000000000002</v>
      </c>
      <c r="S124" s="510">
        <f>SUM(O124:R124)</f>
        <v>2.1190000000000002</v>
      </c>
      <c r="T124" s="333">
        <f>0.395+0.105+0.015</f>
        <v>0.51500000000000001</v>
      </c>
      <c r="U124" s="516">
        <f>0.789+0.526+0.03-T124-0.2</f>
        <v>0.62999999999999989</v>
      </c>
      <c r="V124" s="516">
        <f>1.156+0.562+-0.544+0.183-SUM(T124:U124)</f>
        <v>0.21199999999999997</v>
      </c>
      <c r="W124" s="516">
        <f>1.463+0.648+-0.544+0.198-SUM(T124:V124)</f>
        <v>0.40800000000000014</v>
      </c>
      <c r="X124" s="522">
        <f>SUM(T124:W124)</f>
        <v>1.7650000000000001</v>
      </c>
      <c r="Y124" s="516">
        <f>0.309+0.151+0.015</f>
        <v>0.47499999999999998</v>
      </c>
      <c r="Z124" s="516">
        <f>0.729+0.025+-3.364+0.03+0.557-Y124</f>
        <v>-2.4980000000000002</v>
      </c>
      <c r="AA124" s="516">
        <f>1.155+0.051+0.852+-3.364+-0.401+0.133-SUM(Y124:Z124)</f>
        <v>0.44900000000000007</v>
      </c>
      <c r="AB124" s="516">
        <f>1.655+1.278+-3.364+0.132-SUM(Y124:AA124)</f>
        <v>1.2749999999999999</v>
      </c>
      <c r="AC124" s="522">
        <f>SUM(Y124:AB124)</f>
        <v>-0.29900000000000015</v>
      </c>
      <c r="AD124" s="516">
        <f>0.355+0.545+0.01</f>
        <v>0.91</v>
      </c>
      <c r="AE124" s="516">
        <f>1.096+0.461+-0.018-AD124</f>
        <v>0.62900000000000011</v>
      </c>
      <c r="AF124" s="516">
        <f>1.649+0.576+0.215-AE124-AD124</f>
        <v>0.90099999999999991</v>
      </c>
      <c r="AG124" s="516">
        <f>2.337+1.065+0.265-SUM(AD124:AF124)</f>
        <v>1.2270000000000003</v>
      </c>
      <c r="AH124" s="524">
        <f>SUM(AD124:AG124)</f>
        <v>3.6670000000000003</v>
      </c>
      <c r="AI124" s="517">
        <f>0.688+0.298-0.007+15.214-AI114+17.207-AI115</f>
        <v>2.1850000000000023</v>
      </c>
      <c r="AJ124" s="516">
        <f>(1.368+0.633+0.028)-AI124+1.2</f>
        <v>1.043999999999998</v>
      </c>
      <c r="AK124" s="516">
        <f>2.048+1.188+0.448-SUM(AI124:AJ124)+1.2</f>
        <v>1.6549999999999996</v>
      </c>
      <c r="AL124" s="516">
        <f>2.713+2.482+0.448+70.279-AM114+64.299-AM115-SUM(AI124:AK124)</f>
        <v>5.4069999999999974</v>
      </c>
      <c r="AM124" s="122">
        <f t="shared" si="119"/>
        <v>10.290999999999997</v>
      </c>
      <c r="AN124" s="517">
        <f>0.661-0.227+20.776-AN114+14.323-AN115</f>
        <v>1.5400000000000027</v>
      </c>
      <c r="AO124" s="516">
        <f>0.735+0.347+1.322+(41.499-SUM(AN114:AO114)+28.544-SUM(AN115:AO115)-AN124)</f>
        <v>1.9700000000000024</v>
      </c>
      <c r="AP124" s="516">
        <f>1.989+0.953+42.731-SUM(AN115:AP115)+63.45-SUM(AN114:AP114)-SUM(AN124:AO124)</f>
        <v>0.5379999999999967</v>
      </c>
      <c r="AQ124" s="516">
        <f>2.638+1.814+1.048-SUM(AN124:AP124)</f>
        <v>1.4519999999999982</v>
      </c>
      <c r="AR124" s="122">
        <f t="shared" si="120"/>
        <v>5.5</v>
      </c>
      <c r="AS124" s="517">
        <f>1.195+0.125</f>
        <v>1.32</v>
      </c>
      <c r="AT124" s="516">
        <f>10.634-AS124-0.014-0.003+0.456</f>
        <v>9.7530000000000001</v>
      </c>
      <c r="AU124" s="516">
        <f>1.151+0.019-15.602+11.77-SUM(AS124:AT124)-0.006</f>
        <v>-13.741000000000001</v>
      </c>
      <c r="AV124" s="516">
        <f>1.305-15.602+12.899+0.547+0.2-SUM(AS124:AU124)</f>
        <v>2.0169999999999995</v>
      </c>
      <c r="AW124" s="122">
        <f t="shared" si="121"/>
        <v>-0.65100000000000158</v>
      </c>
      <c r="AX124" s="516">
        <f>1.128+0.518</f>
        <v>1.6459999999999999</v>
      </c>
      <c r="AY124" s="516">
        <f>2.472+1.327-269.385-AX124</f>
        <v>-267.23200000000003</v>
      </c>
      <c r="AZ124" s="516">
        <f>-1.464-269.385-AY124+1.483-AX124+3.999</f>
        <v>0.2190000000000385</v>
      </c>
      <c r="BA124" s="516">
        <f>+-265.9-1.5-SUM(AX124:AZ124)+2.4+5</f>
        <v>5.3669999999999849</v>
      </c>
      <c r="BB124" s="216">
        <f t="shared" si="122"/>
        <v>-260</v>
      </c>
      <c r="BC124" s="1882">
        <f>1.1+0.8</f>
        <v>1.9000000000000001</v>
      </c>
      <c r="BD124" s="1882">
        <f>2.1+0.8-BC124</f>
        <v>1.0000000000000002</v>
      </c>
      <c r="BE124" s="1944">
        <f>3.1+1.4-BD124-BC124</f>
        <v>1.5999999999999999</v>
      </c>
      <c r="BF124" s="1944">
        <f>4.2-SUM(BC124:BE124)+2</f>
        <v>1.7000000000000002</v>
      </c>
      <c r="BG124" s="216">
        <f t="shared" si="123"/>
        <v>6.2</v>
      </c>
      <c r="BH124" s="126">
        <f>(BH199-BG199)+(BH207-BG207)+(BH208-BG208)</f>
        <v>0</v>
      </c>
      <c r="BI124" s="126">
        <f>(BI199-BH199)+(BI207-BH207)+(BI208-BH208)</f>
        <v>0</v>
      </c>
      <c r="BJ124" s="126">
        <f>(BJ199-BI199)+(BJ207-BI207)+(BJ208-BI208)</f>
        <v>0</v>
      </c>
      <c r="BK124" s="126">
        <f>(BK199-BJ199)+(BK207-BJ207)+(BK208-BJ208)</f>
        <v>0</v>
      </c>
      <c r="BL124" s="216">
        <f t="shared" si="124"/>
        <v>0</v>
      </c>
      <c r="BM124" s="126">
        <f>(BM199-BL199)+(BM207-BL207)+(BM208-BL208)</f>
        <v>0</v>
      </c>
      <c r="BN124" s="126">
        <f>(BN199-BM199)+(BN207-BM207)+(BN208-BM208)</f>
        <v>0</v>
      </c>
      <c r="BO124" s="126">
        <f>(BO199-BN199)+(BO207-BN207)+(BO208-BN208)</f>
        <v>0</v>
      </c>
      <c r="BP124" s="126">
        <f>(BP199-BO199)+(BP207-BO207)+(BP208-BO208)</f>
        <v>0</v>
      </c>
      <c r="BQ124" s="216">
        <f t="shared" si="125"/>
        <v>0</v>
      </c>
      <c r="BR124" s="126">
        <f>(BR199-BQ199)+(BR207-BQ207)+(BR208-BQ208)</f>
        <v>0</v>
      </c>
      <c r="BS124" s="126">
        <f>(BS199-BR199)+(BS207-BR207)+(BS208-BR208)</f>
        <v>0</v>
      </c>
      <c r="BT124" s="126">
        <f>(BT199-BS199)+(BT207-BS207)+(BT208-BS208)</f>
        <v>0</v>
      </c>
      <c r="BU124" s="126">
        <f>(BU199-BT199)+(BU207-BT207)+(BU208-BT208)</f>
        <v>0</v>
      </c>
      <c r="BV124" s="216">
        <f t="shared" si="126"/>
        <v>0</v>
      </c>
      <c r="BW124" s="126">
        <f>(BW199-BV199)+(BW207-BV207)+(BW208-BV208)</f>
        <v>0</v>
      </c>
      <c r="BX124" s="126">
        <f>(BX199-BW199)+(BX207-BW207)+(BX208-BW208)</f>
        <v>0</v>
      </c>
      <c r="BY124" s="126">
        <f>(BY199-BX199)+(BY207-BX207)+(BY208-BX208)</f>
        <v>0</v>
      </c>
      <c r="BZ124" s="126">
        <f>(BZ199-BY199)+(BZ207-BY207)+(BZ208-BY208)</f>
        <v>0</v>
      </c>
      <c r="CA124" s="216">
        <f t="shared" si="127"/>
        <v>0</v>
      </c>
      <c r="CB124" s="1910" t="s">
        <v>51</v>
      </c>
      <c r="CC124" s="507"/>
      <c r="CD124" s="501" t="str">
        <f t="shared" si="111"/>
        <v>Other</v>
      </c>
      <c r="CE124" s="126">
        <f t="shared" si="128"/>
        <v>9.2009999999999987</v>
      </c>
      <c r="CF124" s="126">
        <f t="shared" si="129"/>
        <v>4.7349999999999994</v>
      </c>
      <c r="CG124" s="126">
        <f t="shared" si="130"/>
        <v>3.3879999999999999</v>
      </c>
      <c r="CH124" s="126">
        <f t="shared" si="131"/>
        <v>2.1190000000000002</v>
      </c>
      <c r="CI124" s="126">
        <f t="shared" si="132"/>
        <v>1.7650000000000001</v>
      </c>
      <c r="CJ124" s="126">
        <f t="shared" si="133"/>
        <v>-0.29900000000000015</v>
      </c>
      <c r="CK124" s="126">
        <f t="shared" si="134"/>
        <v>3.6670000000000003</v>
      </c>
      <c r="CL124" s="126">
        <f t="shared" si="135"/>
        <v>10.290999999999997</v>
      </c>
      <c r="CM124" s="126">
        <f t="shared" si="136"/>
        <v>5.5</v>
      </c>
      <c r="CN124" s="126">
        <f t="shared" si="137"/>
        <v>-0.65100000000000158</v>
      </c>
      <c r="CO124" s="126">
        <f t="shared" si="138"/>
        <v>-260</v>
      </c>
      <c r="CP124" s="126">
        <f t="shared" si="139"/>
        <v>6.2</v>
      </c>
      <c r="CQ124" s="126">
        <f t="shared" si="140"/>
        <v>0</v>
      </c>
      <c r="CR124" s="126">
        <f t="shared" si="141"/>
        <v>0</v>
      </c>
      <c r="CS124" s="126">
        <f t="shared" si="142"/>
        <v>0</v>
      </c>
      <c r="CT124" s="520">
        <f t="shared" si="143"/>
        <v>0</v>
      </c>
      <c r="CU124" s="6"/>
      <c r="DB124" s="1961"/>
      <c r="DC124" s="1961"/>
      <c r="DD124" s="1961"/>
      <c r="DE124" s="1961"/>
      <c r="DF124" s="1961"/>
      <c r="DG124" s="1961"/>
      <c r="DH124" s="1961"/>
      <c r="DI124" s="126"/>
    </row>
    <row r="125" spans="1:113" x14ac:dyDescent="0.25">
      <c r="A125" s="525" t="s">
        <v>132</v>
      </c>
      <c r="B125" s="517"/>
      <c r="C125" s="278"/>
      <c r="D125" s="278"/>
      <c r="E125" s="516"/>
      <c r="F125" s="516"/>
      <c r="G125" s="516"/>
      <c r="H125" s="516"/>
      <c r="I125" s="521"/>
      <c r="J125" s="517"/>
      <c r="K125" s="516"/>
      <c r="L125" s="516"/>
      <c r="M125" s="516"/>
      <c r="N125" s="522"/>
      <c r="O125" s="517"/>
      <c r="P125" s="516"/>
      <c r="Q125" s="516"/>
      <c r="R125" s="516"/>
      <c r="S125" s="522"/>
      <c r="T125" s="517"/>
      <c r="U125" s="516"/>
      <c r="V125" s="516"/>
      <c r="W125" s="516"/>
      <c r="X125" s="522"/>
      <c r="Y125" s="517"/>
      <c r="Z125" s="516"/>
      <c r="AA125" s="516"/>
      <c r="AB125" s="516"/>
      <c r="AC125" s="522"/>
      <c r="AD125" s="516"/>
      <c r="AE125" s="516"/>
      <c r="AF125" s="516"/>
      <c r="AG125" s="516"/>
      <c r="AH125" s="524"/>
      <c r="AI125" s="526"/>
      <c r="AJ125" s="516"/>
      <c r="AK125" s="516"/>
      <c r="AL125" s="516"/>
      <c r="AM125" s="522"/>
      <c r="AN125" s="526"/>
      <c r="AO125" s="527"/>
      <c r="AP125" s="527"/>
      <c r="AQ125" s="527"/>
      <c r="AR125" s="522"/>
      <c r="AS125" s="526"/>
      <c r="AT125" s="516"/>
      <c r="AU125" s="516"/>
      <c r="AV125" s="516"/>
      <c r="AW125" s="522"/>
      <c r="AX125" s="516"/>
      <c r="AY125" s="516"/>
      <c r="AZ125" s="516"/>
      <c r="BA125" s="516"/>
      <c r="BB125" s="522"/>
      <c r="BC125" s="516"/>
      <c r="BD125" s="516"/>
      <c r="BE125" s="516"/>
      <c r="BF125" s="516"/>
      <c r="BG125" s="522"/>
      <c r="BH125" s="516"/>
      <c r="BI125" s="516"/>
      <c r="BJ125" s="516"/>
      <c r="BK125" s="516"/>
      <c r="BL125" s="522"/>
      <c r="BM125" s="516"/>
      <c r="BN125" s="516"/>
      <c r="BO125" s="516"/>
      <c r="BP125" s="516"/>
      <c r="BQ125" s="522"/>
      <c r="BR125" s="516"/>
      <c r="BS125" s="516"/>
      <c r="BT125" s="516"/>
      <c r="BU125" s="516"/>
      <c r="BV125" s="522"/>
      <c r="BW125" s="516"/>
      <c r="BX125" s="516"/>
      <c r="BY125" s="516"/>
      <c r="BZ125" s="516"/>
      <c r="CA125" s="522"/>
      <c r="CB125" s="1910" t="s">
        <v>51</v>
      </c>
      <c r="CC125" s="507"/>
      <c r="CD125" s="525" t="str">
        <f t="shared" si="111"/>
        <v>Net Changes in Operating Assets and Liabilities</v>
      </c>
      <c r="CE125" s="516">
        <f t="shared" si="128"/>
        <v>0</v>
      </c>
      <c r="CF125" s="516">
        <f t="shared" si="129"/>
        <v>0</v>
      </c>
      <c r="CG125" s="516">
        <f t="shared" si="130"/>
        <v>0</v>
      </c>
      <c r="CH125" s="516">
        <f t="shared" si="131"/>
        <v>0</v>
      </c>
      <c r="CI125" s="516">
        <f t="shared" si="132"/>
        <v>0</v>
      </c>
      <c r="CJ125" s="516">
        <f t="shared" si="133"/>
        <v>0</v>
      </c>
      <c r="CK125" s="516">
        <f t="shared" si="134"/>
        <v>0</v>
      </c>
      <c r="CL125" s="516">
        <f t="shared" si="135"/>
        <v>0</v>
      </c>
      <c r="CM125" s="516">
        <f t="shared" si="136"/>
        <v>0</v>
      </c>
      <c r="CN125" s="516">
        <f t="shared" si="137"/>
        <v>0</v>
      </c>
      <c r="CO125" s="516">
        <f t="shared" si="138"/>
        <v>0</v>
      </c>
      <c r="CP125" s="516">
        <f t="shared" si="139"/>
        <v>0</v>
      </c>
      <c r="CQ125" s="516">
        <f t="shared" si="140"/>
        <v>0</v>
      </c>
      <c r="CR125" s="516">
        <f t="shared" si="141"/>
        <v>0</v>
      </c>
      <c r="CS125" s="516">
        <f t="shared" si="142"/>
        <v>0</v>
      </c>
      <c r="CT125" s="518">
        <f t="shared" si="143"/>
        <v>0</v>
      </c>
      <c r="CU125" s="6"/>
      <c r="DB125" s="1961"/>
      <c r="DC125" s="1961"/>
      <c r="DD125" s="1961"/>
      <c r="DE125" s="1961"/>
      <c r="DF125" s="1961"/>
      <c r="DG125" s="1961"/>
      <c r="DH125" s="1961"/>
      <c r="DI125" s="528"/>
    </row>
    <row r="126" spans="1:113" ht="12" customHeight="1" x14ac:dyDescent="0.25">
      <c r="A126" s="529" t="s">
        <v>133</v>
      </c>
      <c r="B126" s="517"/>
      <c r="C126" s="278">
        <v>-12.263</v>
      </c>
      <c r="D126" s="278">
        <v>-6.1349999999999998</v>
      </c>
      <c r="E126" s="516">
        <v>-18.812000000000001</v>
      </c>
      <c r="F126" s="516">
        <f>-4.17-E126</f>
        <v>14.642000000000001</v>
      </c>
      <c r="G126" s="516">
        <f>5.128-SUM(E126:F126)</f>
        <v>9.298</v>
      </c>
      <c r="H126" s="516">
        <f>3.908-SUM(E126:G126)</f>
        <v>-1.2200000000000002</v>
      </c>
      <c r="I126" s="509">
        <f t="shared" ref="I126:I132" si="153">SUM(E126:H126)</f>
        <v>3.9079999999999999</v>
      </c>
      <c r="J126" s="517">
        <v>-20.195</v>
      </c>
      <c r="K126" s="516">
        <f>-4.937-J126</f>
        <v>15.257999999999999</v>
      </c>
      <c r="L126" s="516">
        <f>4.145-SUM(J126:K126)</f>
        <v>9.0820000000000007</v>
      </c>
      <c r="M126" s="516">
        <f>3.609-SUM(J126:L126)</f>
        <v>-0.53599999999999959</v>
      </c>
      <c r="N126" s="510">
        <f t="shared" ref="N126:N132" si="154">SUM(J126:M126)</f>
        <v>3.609</v>
      </c>
      <c r="O126" s="517">
        <v>-28.219000000000001</v>
      </c>
      <c r="P126" s="516">
        <f>-20.256-O126</f>
        <v>7.963000000000001</v>
      </c>
      <c r="Q126" s="516">
        <f>-16.946-SUM(O126:P126)</f>
        <v>3.3099999999999987</v>
      </c>
      <c r="R126" s="516">
        <f>-1.99-SUM(O126:Q126)</f>
        <v>14.956000000000001</v>
      </c>
      <c r="S126" s="510">
        <f t="shared" ref="S126:S132" si="155">SUM(O126:R126)</f>
        <v>-1.9900000000000002</v>
      </c>
      <c r="T126" s="517">
        <v>-42.698999999999998</v>
      </c>
      <c r="U126" s="516">
        <f>-28.694-T126</f>
        <v>14.004999999999999</v>
      </c>
      <c r="V126" s="516">
        <f>-40.654-SUM(T126:U126)</f>
        <v>-11.960000000000004</v>
      </c>
      <c r="W126" s="516">
        <f>-24.559-SUM(T126:V126)</f>
        <v>16.095000000000002</v>
      </c>
      <c r="X126" s="510">
        <f t="shared" ref="X126:X132" si="156">SUM(T126:W126)</f>
        <v>-24.559000000000001</v>
      </c>
      <c r="Y126" s="516">
        <v>-37.475000000000001</v>
      </c>
      <c r="Z126" s="516">
        <f>-16.979-Y126</f>
        <v>20.496000000000002</v>
      </c>
      <c r="AA126" s="516">
        <f>-24.445-SUM(Y126:Z126)</f>
        <v>-7.4660000000000011</v>
      </c>
      <c r="AB126" s="516">
        <f>-25.926-SUM(Y126:AA126)</f>
        <v>-1.4809999999999981</v>
      </c>
      <c r="AC126" s="510">
        <f t="shared" ref="AC126:AC132" si="157">SUM(Y126:AB126)</f>
        <v>-25.925999999999998</v>
      </c>
      <c r="AD126" s="516">
        <v>-34.478999999999999</v>
      </c>
      <c r="AE126" s="516">
        <f>-13.652-AD126</f>
        <v>20.826999999999998</v>
      </c>
      <c r="AF126" s="516">
        <f>-3.026-SUM(AD126:AE126)</f>
        <v>10.626000000000001</v>
      </c>
      <c r="AG126" s="516">
        <f>-6.425-SUM(AD126:AF126)</f>
        <v>-3.399</v>
      </c>
      <c r="AH126" s="512">
        <f t="shared" ref="AH126:AH132" si="158">SUM(AD126:AG126)</f>
        <v>-6.4249999999999998</v>
      </c>
      <c r="AI126" s="517">
        <v>-12.785</v>
      </c>
      <c r="AJ126" s="516">
        <f>-8.752-AI126</f>
        <v>4.0329999999999995</v>
      </c>
      <c r="AK126" s="516">
        <f>9.475-SUM(AI126:AJ126)</f>
        <v>18.227</v>
      </c>
      <c r="AL126" s="516">
        <f>2.106-SUM(AI126:AK126)</f>
        <v>-7.3689999999999998</v>
      </c>
      <c r="AM126" s="122">
        <f t="shared" si="119"/>
        <v>2.1059999999999999</v>
      </c>
      <c r="AN126" s="517">
        <v>-7.0780000000000003</v>
      </c>
      <c r="AO126" s="516">
        <f>-12.186-AN126</f>
        <v>-5.1079999999999997</v>
      </c>
      <c r="AP126" s="516">
        <f>-23.53-SUM(AN126:AO126)</f>
        <v>-11.344000000000001</v>
      </c>
      <c r="AQ126" s="516">
        <f>-54.515-SUM(AN126:AP126)</f>
        <v>-30.984999999999999</v>
      </c>
      <c r="AR126" s="122">
        <f t="shared" si="120"/>
        <v>-54.515000000000001</v>
      </c>
      <c r="AS126" s="517">
        <v>-6.0940000000000003</v>
      </c>
      <c r="AT126" s="516">
        <f>37.981-AS126</f>
        <v>44.075000000000003</v>
      </c>
      <c r="AU126" s="516">
        <f>39.651-SUM(AS126:AT126)</f>
        <v>1.6700000000000017</v>
      </c>
      <c r="AV126" s="516">
        <f>-14.609-SUM(AS126:AU126)</f>
        <v>-54.260000000000005</v>
      </c>
      <c r="AW126" s="122">
        <f t="shared" si="121"/>
        <v>-14.609000000000002</v>
      </c>
      <c r="AX126" s="516">
        <v>-34.015999999999998</v>
      </c>
      <c r="AY126" s="516">
        <f>21.179-AX126</f>
        <v>55.194999999999993</v>
      </c>
      <c r="AZ126" s="516">
        <f>32.608-SUM(AX126:AY126)</f>
        <v>11.429000000000002</v>
      </c>
      <c r="BA126" s="516">
        <f>-5.7-SUM(AX126:AZ126)</f>
        <v>-38.308</v>
      </c>
      <c r="BB126" s="216">
        <f t="shared" si="122"/>
        <v>-5.7000000000000028</v>
      </c>
      <c r="BC126" s="1882">
        <v>-31</v>
      </c>
      <c r="BD126" s="1882">
        <f>6.3-BC126</f>
        <v>37.299999999999997</v>
      </c>
      <c r="BE126" s="1944">
        <f>4-BD126-BC126</f>
        <v>-2.2999999999999972</v>
      </c>
      <c r="BF126" s="1944">
        <f>-45.5-SUM(BC126:BE126)</f>
        <v>-49.5</v>
      </c>
      <c r="BG126" s="216">
        <f t="shared" ref="BG126:BG132" si="159">SUM(BC126:BF126)</f>
        <v>-45.5</v>
      </c>
      <c r="BH126" s="126">
        <f>BG175-BH175</f>
        <v>7.8406291285316456</v>
      </c>
      <c r="BI126" s="126">
        <f>BH175-BI175</f>
        <v>40.972664449450008</v>
      </c>
      <c r="BJ126" s="126">
        <f>BI175-BJ175</f>
        <v>-14.684005045231117</v>
      </c>
      <c r="BK126" s="126">
        <f>BJ175-BK175</f>
        <v>-58.39183368442508</v>
      </c>
      <c r="BL126" s="216">
        <f t="shared" ref="BL126:BL132" si="160">SUM(BH126:BK126)</f>
        <v>-24.262545151674544</v>
      </c>
      <c r="BM126" s="126">
        <f>BL175-BM175</f>
        <v>12.966200441169178</v>
      </c>
      <c r="BN126" s="126">
        <f>BM175-BN175</f>
        <v>43.019118494909094</v>
      </c>
      <c r="BO126" s="126">
        <f>BN175-BO175</f>
        <v>-15.613964007951438</v>
      </c>
      <c r="BP126" s="126">
        <f>BO175-BP175</f>
        <v>-62.093920753131329</v>
      </c>
      <c r="BQ126" s="216">
        <f t="shared" ref="BQ126:BQ132" si="161">SUM(BM126:BP126)</f>
        <v>-21.722565825004494</v>
      </c>
      <c r="BR126" s="126">
        <f>BQ175-BR175</f>
        <v>14.690784952375395</v>
      </c>
      <c r="BS126" s="126">
        <f>BR175-BS175</f>
        <v>45.404924898844968</v>
      </c>
      <c r="BT126" s="126">
        <f>BS175-BT175</f>
        <v>-16.54347846514878</v>
      </c>
      <c r="BU126" s="126">
        <f>BT175-BU175</f>
        <v>-65.566360438500055</v>
      </c>
      <c r="BV126" s="216">
        <f t="shared" ref="BV126:BV132" si="162">SUM(BR126:BU126)</f>
        <v>-22.014129052428473</v>
      </c>
      <c r="BW126" s="126">
        <f>BV175-BW175</f>
        <v>15.536446022034397</v>
      </c>
      <c r="BX126" s="126">
        <f>BW175-BX175</f>
        <v>47.92844570926809</v>
      </c>
      <c r="BY126" s="126">
        <f>BX175-BY175</f>
        <v>-17.530049795260197</v>
      </c>
      <c r="BZ126" s="126">
        <f>BY175-BZ175</f>
        <v>-69.24192400548651</v>
      </c>
      <c r="CA126" s="216">
        <f t="shared" ref="CA126:CA132" si="163">SUM(BW126:BZ126)</f>
        <v>-23.30708206944422</v>
      </c>
      <c r="CB126" s="1910" t="s">
        <v>51</v>
      </c>
      <c r="CC126" s="507"/>
      <c r="CD126" s="529" t="str">
        <f t="shared" si="111"/>
        <v xml:space="preserve">Accounts Receivable </v>
      </c>
      <c r="CE126" s="126">
        <f t="shared" si="128"/>
        <v>-6.1349999999999998</v>
      </c>
      <c r="CF126" s="126">
        <f t="shared" si="129"/>
        <v>3.9079999999999999</v>
      </c>
      <c r="CG126" s="126">
        <f t="shared" si="130"/>
        <v>3.609</v>
      </c>
      <c r="CH126" s="126">
        <f t="shared" si="131"/>
        <v>-1.9900000000000002</v>
      </c>
      <c r="CI126" s="126">
        <f t="shared" si="132"/>
        <v>-24.559000000000001</v>
      </c>
      <c r="CJ126" s="126">
        <f t="shared" si="133"/>
        <v>-25.925999999999998</v>
      </c>
      <c r="CK126" s="126">
        <f t="shared" si="134"/>
        <v>-6.4249999999999998</v>
      </c>
      <c r="CL126" s="126">
        <f t="shared" si="135"/>
        <v>2.1059999999999999</v>
      </c>
      <c r="CM126" s="126">
        <f t="shared" si="136"/>
        <v>-54.515000000000001</v>
      </c>
      <c r="CN126" s="126">
        <f t="shared" si="137"/>
        <v>-14.609000000000002</v>
      </c>
      <c r="CO126" s="126">
        <f t="shared" si="138"/>
        <v>-5.7000000000000028</v>
      </c>
      <c r="CP126" s="126">
        <f t="shared" si="139"/>
        <v>-45.5</v>
      </c>
      <c r="CQ126" s="126">
        <f t="shared" si="140"/>
        <v>-24.262545151674544</v>
      </c>
      <c r="CR126" s="126">
        <f t="shared" si="141"/>
        <v>-21.722565825004494</v>
      </c>
      <c r="CS126" s="126">
        <f t="shared" si="142"/>
        <v>-22.014129052428473</v>
      </c>
      <c r="CT126" s="520">
        <f t="shared" si="143"/>
        <v>-23.30708206944422</v>
      </c>
      <c r="CU126" s="6"/>
      <c r="DB126" s="1961"/>
      <c r="DC126" s="1961"/>
      <c r="DD126" s="1961"/>
      <c r="DE126" s="1961"/>
      <c r="DF126" s="1961"/>
      <c r="DG126" s="1961"/>
      <c r="DH126" s="1961"/>
      <c r="DI126" s="126"/>
    </row>
    <row r="127" spans="1:113" ht="12" customHeight="1" x14ac:dyDescent="0.25">
      <c r="A127" s="529" t="s">
        <v>134</v>
      </c>
      <c r="B127" s="517"/>
      <c r="C127" s="278">
        <v>25.937999999999999</v>
      </c>
      <c r="D127" s="278">
        <f>15.634+8.699</f>
        <v>24.332999999999998</v>
      </c>
      <c r="E127" s="516">
        <f>5.45+19.256</f>
        <v>24.706</v>
      </c>
      <c r="F127" s="516">
        <f>6.294-E127</f>
        <v>-18.411999999999999</v>
      </c>
      <c r="G127" s="268">
        <f>10.825-SUM(E127:F127)</f>
        <v>4.5309999999999988</v>
      </c>
      <c r="H127" s="516">
        <f>18.137-5.075-SUM(E127:G127)</f>
        <v>2.2370000000000019</v>
      </c>
      <c r="I127" s="509">
        <f t="shared" si="153"/>
        <v>13.062000000000001</v>
      </c>
      <c r="J127" s="517">
        <f>3.003+25.433</f>
        <v>28.436</v>
      </c>
      <c r="K127" s="516">
        <f>5.352-J127</f>
        <v>-23.084</v>
      </c>
      <c r="L127" s="268">
        <f>4.377-SUM(J127:K127)</f>
        <v>-0.97500000000000053</v>
      </c>
      <c r="M127" s="268">
        <f>5.969-5.977-SUM(J127:L127)</f>
        <v>-4.3849999999999998</v>
      </c>
      <c r="N127" s="510">
        <f t="shared" si="154"/>
        <v>-8.0000000000000071E-3</v>
      </c>
      <c r="O127" s="517">
        <f>27.785-0.86</f>
        <v>26.925000000000001</v>
      </c>
      <c r="P127" s="516">
        <f>9.538+-3.901-O127</f>
        <v>-21.288</v>
      </c>
      <c r="Q127" s="516">
        <f>10.46+-2.082-SUM(O127:P127)</f>
        <v>2.7409999999999997</v>
      </c>
      <c r="R127" s="516">
        <f>13.662+5.71-SUM(O127:Q127)</f>
        <v>10.994</v>
      </c>
      <c r="S127" s="510">
        <f t="shared" si="155"/>
        <v>19.372</v>
      </c>
      <c r="T127" s="517">
        <f>32.937+6.405</f>
        <v>39.341999999999999</v>
      </c>
      <c r="U127" s="516">
        <f>17.929-1.387-T127</f>
        <v>-22.8</v>
      </c>
      <c r="V127" s="516">
        <f>27.005+2.768-SUM(T127:U127)</f>
        <v>13.231000000000002</v>
      </c>
      <c r="W127" s="516">
        <f>50.232-5.679-SUM(T127:V127)</f>
        <v>14.779999999999998</v>
      </c>
      <c r="X127" s="510">
        <f t="shared" si="156"/>
        <v>44.552999999999997</v>
      </c>
      <c r="Y127" s="516">
        <f>35.954+4.83</f>
        <v>40.783999999999999</v>
      </c>
      <c r="Z127" s="516">
        <f>7.703+-0.14-Y127</f>
        <v>-33.220999999999997</v>
      </c>
      <c r="AA127" s="516">
        <f>48.925+5.382-SUM(Y127:Z127)</f>
        <v>46.743999999999993</v>
      </c>
      <c r="AB127" s="516">
        <f>48.356-1.397-SUM(Y127:AA127)</f>
        <v>-7.3479999999999919</v>
      </c>
      <c r="AC127" s="510">
        <f t="shared" si="157"/>
        <v>46.959000000000003</v>
      </c>
      <c r="AD127" s="516">
        <f>40.511+6.754</f>
        <v>47.265000000000001</v>
      </c>
      <c r="AE127" s="516">
        <f>51.957+7.972-AD127</f>
        <v>12.664000000000001</v>
      </c>
      <c r="AF127" s="516">
        <f>84.621+14.887-SUM(AD127:AE127)</f>
        <v>39.578999999999994</v>
      </c>
      <c r="AG127" s="516">
        <f>83.711-SUM(AD127:AF127)</f>
        <v>-15.796999999999997</v>
      </c>
      <c r="AH127" s="512">
        <f t="shared" si="158"/>
        <v>83.710999999999999</v>
      </c>
      <c r="AI127" s="517">
        <v>47.6</v>
      </c>
      <c r="AJ127" s="516">
        <f>24.171-AI127</f>
        <v>-23.429000000000002</v>
      </c>
      <c r="AK127" s="516">
        <f>48.554-SUM(AI127:AJ127)</f>
        <v>24.383000000000003</v>
      </c>
      <c r="AL127" s="516">
        <f>39.661-SUM(AI127:AK127)</f>
        <v>-8.8930000000000007</v>
      </c>
      <c r="AM127" s="122">
        <f t="shared" si="119"/>
        <v>39.661000000000001</v>
      </c>
      <c r="AN127" s="517">
        <v>71.275999999999996</v>
      </c>
      <c r="AO127" s="516">
        <f>44.808-AN127</f>
        <v>-26.467999999999996</v>
      </c>
      <c r="AP127" s="516">
        <f>45.369-SUM(AN127:AO127)</f>
        <v>0.56099999999999994</v>
      </c>
      <c r="AQ127" s="516">
        <f>13.76-SUM(AN127:AP127)</f>
        <v>-31.609000000000002</v>
      </c>
      <c r="AR127" s="122">
        <f t="shared" si="120"/>
        <v>13.759999999999998</v>
      </c>
      <c r="AS127" s="517">
        <v>56.951000000000001</v>
      </c>
      <c r="AT127" s="516">
        <f>11.858-AS127</f>
        <v>-45.093000000000004</v>
      </c>
      <c r="AU127" s="516">
        <f>44.716-SUM(AS127:AT127)</f>
        <v>32.858000000000004</v>
      </c>
      <c r="AV127" s="516">
        <f>51.58-SUM(AS127:AU127)</f>
        <v>6.8639999999999972</v>
      </c>
      <c r="AW127" s="122">
        <f t="shared" si="121"/>
        <v>51.58</v>
      </c>
      <c r="AX127" s="516">
        <v>49.613</v>
      </c>
      <c r="AY127" s="516">
        <f>61.707-AX127</f>
        <v>12.094000000000001</v>
      </c>
      <c r="AZ127" s="516">
        <f>45.258-SUM(AX127:AY127)</f>
        <v>-16.448999999999998</v>
      </c>
      <c r="BA127" s="516">
        <f>8.7-SUM(AX127:AZ127)</f>
        <v>-36.558000000000007</v>
      </c>
      <c r="BB127" s="216">
        <f t="shared" si="122"/>
        <v>8.6999999999999957</v>
      </c>
      <c r="BC127" s="1882">
        <v>48.1</v>
      </c>
      <c r="BD127" s="1882">
        <f>-3.3-BC127</f>
        <v>-51.4</v>
      </c>
      <c r="BE127" s="1944">
        <f>14.1-BD127-BC127</f>
        <v>17.399999999999999</v>
      </c>
      <c r="BF127" s="1944">
        <f>22.7-SUM(BC127:BE127)</f>
        <v>8.5999999999999979</v>
      </c>
      <c r="BG127" s="216">
        <f t="shared" si="159"/>
        <v>22.7</v>
      </c>
      <c r="BH127" s="126">
        <f>(BG179-BH179)+(BH201-BG201)+(BG189-BH189)</f>
        <v>0</v>
      </c>
      <c r="BI127" s="126">
        <f>(BH179-BI179)+(BI201-BH201)+(BH189-BI189)</f>
        <v>0</v>
      </c>
      <c r="BJ127" s="126">
        <f>(BI179-BJ179)+(BJ201-BI201)+(BI189-BJ189)</f>
        <v>0</v>
      </c>
      <c r="BK127" s="126">
        <f>(BJ179-BK179)+(BK201-BJ201)+(BJ189-BK189)</f>
        <v>0</v>
      </c>
      <c r="BL127" s="216">
        <f t="shared" si="160"/>
        <v>0</v>
      </c>
      <c r="BM127" s="126">
        <f>(BL179-BM179)+(BM201-BL201)+(BL189-BM189)</f>
        <v>0</v>
      </c>
      <c r="BN127" s="126">
        <f>(BM179-BN179)+(BN201-BM201)+(BM189-BN189)</f>
        <v>0</v>
      </c>
      <c r="BO127" s="126">
        <f>(BN179-BO179)+(BO201-BN201)+(BN189-BO189)</f>
        <v>0</v>
      </c>
      <c r="BP127" s="126">
        <f>(BO179-BP179)+(BP201-BO201)+(BO189-BP189)</f>
        <v>0</v>
      </c>
      <c r="BQ127" s="216">
        <f t="shared" si="161"/>
        <v>0</v>
      </c>
      <c r="BR127" s="126">
        <f>(BQ179-BR179)+(BR201-BQ201)+(BQ189-BR189)</f>
        <v>0</v>
      </c>
      <c r="BS127" s="126">
        <f>(BR179-BS179)+(BS201-BR201)+(BR189-BS189)</f>
        <v>0</v>
      </c>
      <c r="BT127" s="126">
        <f>(BS179-BT179)+(BT201-BS201)+(BS189-BT189)</f>
        <v>0</v>
      </c>
      <c r="BU127" s="126">
        <f>(BT179-BU179)+(BU201-BT201)+(BT189-BU189)</f>
        <v>0</v>
      </c>
      <c r="BV127" s="216">
        <f t="shared" si="162"/>
        <v>0</v>
      </c>
      <c r="BW127" s="126">
        <f>(BV179-BW179)+(BW201-BV201)+(BV189-BW189)</f>
        <v>0</v>
      </c>
      <c r="BX127" s="126">
        <f>(BW179-BX179)+(BX201-BW201)+(BW189-BX189)</f>
        <v>0</v>
      </c>
      <c r="BY127" s="126">
        <f>(BX179-BY179)+(BY201-BX201)+(BX189-BY189)</f>
        <v>0</v>
      </c>
      <c r="BZ127" s="126">
        <f>(BY179-BZ179)+(BZ201-BY201)+(BY189-BZ189)</f>
        <v>0</v>
      </c>
      <c r="CA127" s="216">
        <f t="shared" si="163"/>
        <v>0</v>
      </c>
      <c r="CB127" s="1910" t="s">
        <v>51</v>
      </c>
      <c r="CC127" s="507"/>
      <c r="CD127" s="529" t="str">
        <f t="shared" si="111"/>
        <v>State/Federal Tax Receivables/Payable</v>
      </c>
      <c r="CE127" s="126">
        <f t="shared" si="128"/>
        <v>24.332999999999998</v>
      </c>
      <c r="CF127" s="126">
        <f t="shared" si="129"/>
        <v>13.062000000000001</v>
      </c>
      <c r="CG127" s="126">
        <f t="shared" si="130"/>
        <v>-8.0000000000000071E-3</v>
      </c>
      <c r="CH127" s="126">
        <f t="shared" si="131"/>
        <v>19.372</v>
      </c>
      <c r="CI127" s="126">
        <f t="shared" si="132"/>
        <v>44.552999999999997</v>
      </c>
      <c r="CJ127" s="126">
        <f t="shared" si="133"/>
        <v>46.959000000000003</v>
      </c>
      <c r="CK127" s="126">
        <f t="shared" si="134"/>
        <v>83.710999999999999</v>
      </c>
      <c r="CL127" s="126">
        <f t="shared" si="135"/>
        <v>39.661000000000001</v>
      </c>
      <c r="CM127" s="126">
        <f t="shared" si="136"/>
        <v>13.759999999999998</v>
      </c>
      <c r="CN127" s="126">
        <f t="shared" si="137"/>
        <v>51.58</v>
      </c>
      <c r="CO127" s="126">
        <f t="shared" si="138"/>
        <v>8.6999999999999957</v>
      </c>
      <c r="CP127" s="126">
        <f t="shared" si="139"/>
        <v>22.7</v>
      </c>
      <c r="CQ127" s="126">
        <f t="shared" si="140"/>
        <v>0</v>
      </c>
      <c r="CR127" s="126">
        <f t="shared" si="141"/>
        <v>0</v>
      </c>
      <c r="CS127" s="126">
        <f t="shared" si="142"/>
        <v>0</v>
      </c>
      <c r="CT127" s="520">
        <f t="shared" si="143"/>
        <v>0</v>
      </c>
      <c r="CU127" s="6"/>
      <c r="DB127" s="1961"/>
      <c r="DC127" s="1961"/>
      <c r="DD127" s="1961"/>
      <c r="DE127" s="1961"/>
      <c r="DF127" s="1961"/>
      <c r="DG127" s="1961"/>
      <c r="DH127" s="1961"/>
      <c r="DI127" s="126"/>
    </row>
    <row r="128" spans="1:113" ht="12" customHeight="1" x14ac:dyDescent="0.25">
      <c r="A128" s="529" t="s">
        <v>135</v>
      </c>
      <c r="B128" s="517"/>
      <c r="C128" s="278">
        <v>-3.4860000000000002</v>
      </c>
      <c r="D128" s="278">
        <v>-1.7509999999999999</v>
      </c>
      <c r="E128" s="516">
        <v>-2.9409999999999998</v>
      </c>
      <c r="F128" s="516">
        <f>-5.182-E128</f>
        <v>-2.2410000000000005</v>
      </c>
      <c r="G128" s="516">
        <f>-0.048-SUM(E128:F128)</f>
        <v>5.1340000000000003</v>
      </c>
      <c r="H128" s="516">
        <f>2.213-SUM(E128:G128)</f>
        <v>2.2610000000000001</v>
      </c>
      <c r="I128" s="509">
        <f t="shared" si="153"/>
        <v>2.2130000000000001</v>
      </c>
      <c r="J128" s="517">
        <v>-6.7530000000000001</v>
      </c>
      <c r="K128" s="516">
        <f>-4.426-J128</f>
        <v>2.327</v>
      </c>
      <c r="L128" s="516">
        <f>-3.479-SUM(J128:K128)</f>
        <v>0.94700000000000006</v>
      </c>
      <c r="M128" s="516">
        <f>-6.486-SUM(J128:L128)</f>
        <v>-3.0069999999999997</v>
      </c>
      <c r="N128" s="510">
        <f t="shared" si="154"/>
        <v>-6.4859999999999998</v>
      </c>
      <c r="O128" s="517">
        <v>-3.637</v>
      </c>
      <c r="P128" s="516">
        <f>-3.964-O128</f>
        <v>-0.32699999999999996</v>
      </c>
      <c r="Q128" s="516">
        <f>-2.241-SUM(O128:P128)</f>
        <v>1.7229999999999999</v>
      </c>
      <c r="R128" s="516">
        <f>-1.839-SUM(O128:Q128)</f>
        <v>0.40200000000000014</v>
      </c>
      <c r="S128" s="510">
        <f t="shared" si="155"/>
        <v>-1.839</v>
      </c>
      <c r="T128" s="517">
        <v>-4.5910000000000002</v>
      </c>
      <c r="U128" s="516">
        <f>-5.504-T128</f>
        <v>-0.91299999999999937</v>
      </c>
      <c r="V128" s="516">
        <f>-1.331-SUM(T128:U128)</f>
        <v>4.173</v>
      </c>
      <c r="W128" s="516">
        <f>0.899-SUM(T128:V128)</f>
        <v>2.2299999999999995</v>
      </c>
      <c r="X128" s="510">
        <f t="shared" si="156"/>
        <v>0.89900000000000002</v>
      </c>
      <c r="Y128" s="516">
        <v>-7.89</v>
      </c>
      <c r="Z128" s="516">
        <f>-8.082-Y128</f>
        <v>-0.19200000000000106</v>
      </c>
      <c r="AA128" s="516">
        <f>-3.229-SUM(Y128:Z128)</f>
        <v>4.8530000000000006</v>
      </c>
      <c r="AB128" s="516">
        <f>-2.72-SUM(Y128:AA128)</f>
        <v>0.5089999999999999</v>
      </c>
      <c r="AC128" s="510">
        <f t="shared" si="157"/>
        <v>-2.72</v>
      </c>
      <c r="AD128" s="516">
        <f>-2.881</f>
        <v>-2.8809999999999998</v>
      </c>
      <c r="AE128" s="516">
        <f>4.289-AD128</f>
        <v>7.17</v>
      </c>
      <c r="AF128" s="516">
        <f>7.126-AE128-AD128</f>
        <v>2.8370000000000002</v>
      </c>
      <c r="AG128" s="516">
        <f>0.55-SUM(AD128:AF128)</f>
        <v>-6.5759999999999996</v>
      </c>
      <c r="AH128" s="512">
        <f t="shared" si="158"/>
        <v>0.54999999999999982</v>
      </c>
      <c r="AI128" s="517">
        <v>-2.6240000000000001</v>
      </c>
      <c r="AJ128" s="516">
        <f>-1.696-AI128</f>
        <v>0.92800000000000016</v>
      </c>
      <c r="AK128" s="516">
        <f>-4.727-SUM(AI128:AJ128)</f>
        <v>-3.0310000000000006</v>
      </c>
      <c r="AL128" s="516">
        <f>-2.386-SUM(AI128:AK128)</f>
        <v>2.3410000000000002</v>
      </c>
      <c r="AM128" s="122">
        <f t="shared" si="119"/>
        <v>-2.3860000000000001</v>
      </c>
      <c r="AN128" s="517">
        <v>-2.6320000000000001</v>
      </c>
      <c r="AO128" s="516">
        <f>-13.593-AN128</f>
        <v>-10.961</v>
      </c>
      <c r="AP128" s="516">
        <f>-12.102-SUM(AN128:AO128)</f>
        <v>1.4909999999999997</v>
      </c>
      <c r="AQ128" s="516">
        <f>-9.625-SUM(AN128:AP128)</f>
        <v>2.4770000000000003</v>
      </c>
      <c r="AR128" s="122">
        <f t="shared" si="120"/>
        <v>-9.625</v>
      </c>
      <c r="AS128" s="517">
        <v>2.8610000000000002</v>
      </c>
      <c r="AT128" s="516">
        <f>9.747-AS128</f>
        <v>6.8859999999999992</v>
      </c>
      <c r="AU128" s="516">
        <f>2.662-SUM(AS128:AT128)</f>
        <v>-7.085</v>
      </c>
      <c r="AV128" s="516">
        <f>12-SUM(AS128:AU128)</f>
        <v>9.338000000000001</v>
      </c>
      <c r="AW128" s="122">
        <f t="shared" si="121"/>
        <v>12</v>
      </c>
      <c r="AX128" s="516">
        <v>4.0880000000000001</v>
      </c>
      <c r="AY128" s="516">
        <f>-1.503-AX128</f>
        <v>-5.5910000000000002</v>
      </c>
      <c r="AZ128" s="516">
        <f>-15.053-SUM(AX128:AY128)</f>
        <v>-13.55</v>
      </c>
      <c r="BA128" s="516">
        <f>-16.6-SUM(AX128:AZ128)</f>
        <v>-1.5470000000000006</v>
      </c>
      <c r="BB128" s="216">
        <f t="shared" si="122"/>
        <v>-16.600000000000001</v>
      </c>
      <c r="BC128" s="1882">
        <v>-4.7</v>
      </c>
      <c r="BD128" s="1882">
        <f>-18.2-BC128</f>
        <v>-13.5</v>
      </c>
      <c r="BE128" s="1944">
        <f>-26.4-BD128-BC128</f>
        <v>-8.1999999999999993</v>
      </c>
      <c r="BF128" s="1944">
        <f>-30.6-SUM(BC128:BE128)</f>
        <v>-4.2000000000000028</v>
      </c>
      <c r="BG128" s="216">
        <f t="shared" si="159"/>
        <v>-30.6</v>
      </c>
      <c r="BH128" s="126">
        <f>BG177-BH177</f>
        <v>-2.2629822860339317</v>
      </c>
      <c r="BI128" s="126">
        <f>BH177-BI177</f>
        <v>-1.0321029274659779</v>
      </c>
      <c r="BJ128" s="126">
        <f>BI177-BJ177</f>
        <v>-1.1044476971844119</v>
      </c>
      <c r="BK128" s="126">
        <f>BJ177-BK177</f>
        <v>-0.86108036546708178</v>
      </c>
      <c r="BL128" s="216">
        <f t="shared" si="160"/>
        <v>-5.2606132761514033</v>
      </c>
      <c r="BM128" s="126">
        <f>BL177-BM177</f>
        <v>-0.7719381753995691</v>
      </c>
      <c r="BN128" s="126">
        <f>BM177-BN177</f>
        <v>-1.1682945283926287</v>
      </c>
      <c r="BO128" s="126">
        <f>BN177-BO177</f>
        <v>-1.2205327087406204</v>
      </c>
      <c r="BP128" s="126">
        <f>BO177-BP177</f>
        <v>-0.98172080353158009</v>
      </c>
      <c r="BQ128" s="216">
        <f t="shared" si="161"/>
        <v>-4.1424862160643983</v>
      </c>
      <c r="BR128" s="126">
        <f>BQ177-BR177</f>
        <v>-0.76815356319504957</v>
      </c>
      <c r="BS128" s="126">
        <f>BR177-BS177</f>
        <v>-1.281648060269454</v>
      </c>
      <c r="BT128" s="126">
        <f>BS177-BT177</f>
        <v>-1.3428639843240759</v>
      </c>
      <c r="BU128" s="126">
        <f>BT177-BU177</f>
        <v>-1.0711566510840882</v>
      </c>
      <c r="BV128" s="216">
        <f t="shared" si="162"/>
        <v>-4.4638222588726677</v>
      </c>
      <c r="BW128" s="126">
        <f>BV177-BW177</f>
        <v>-0.84047715890874031</v>
      </c>
      <c r="BX128" s="126">
        <f>BW177-BX177</f>
        <v>-1.4063226922102388</v>
      </c>
      <c r="BY128" s="126">
        <f>BX177-BY177</f>
        <v>-1.4776228125723492</v>
      </c>
      <c r="BZ128" s="126">
        <f>BY177-BZ177</f>
        <v>-1.1689728697299699</v>
      </c>
      <c r="CA128" s="216">
        <f t="shared" si="163"/>
        <v>-4.8933955334212982</v>
      </c>
      <c r="CB128" s="1910" t="s">
        <v>51</v>
      </c>
      <c r="CC128" s="507"/>
      <c r="CD128" s="529" t="str">
        <f t="shared" si="111"/>
        <v>Prepaid Expenses and Other Assets</v>
      </c>
      <c r="CE128" s="126">
        <f t="shared" si="128"/>
        <v>-1.7509999999999999</v>
      </c>
      <c r="CF128" s="126">
        <f t="shared" si="129"/>
        <v>2.2130000000000001</v>
      </c>
      <c r="CG128" s="126">
        <f t="shared" si="130"/>
        <v>-6.4859999999999998</v>
      </c>
      <c r="CH128" s="126">
        <f t="shared" si="131"/>
        <v>-1.839</v>
      </c>
      <c r="CI128" s="126">
        <f t="shared" si="132"/>
        <v>0.89900000000000002</v>
      </c>
      <c r="CJ128" s="126">
        <f t="shared" si="133"/>
        <v>-2.72</v>
      </c>
      <c r="CK128" s="126">
        <f t="shared" si="134"/>
        <v>0.54999999999999982</v>
      </c>
      <c r="CL128" s="126">
        <f t="shared" si="135"/>
        <v>-2.3860000000000001</v>
      </c>
      <c r="CM128" s="126">
        <f t="shared" si="136"/>
        <v>-9.625</v>
      </c>
      <c r="CN128" s="126">
        <f t="shared" si="137"/>
        <v>12</v>
      </c>
      <c r="CO128" s="126">
        <f t="shared" si="138"/>
        <v>-16.600000000000001</v>
      </c>
      <c r="CP128" s="126">
        <f t="shared" si="139"/>
        <v>-30.6</v>
      </c>
      <c r="CQ128" s="126">
        <f t="shared" si="140"/>
        <v>-5.2606132761514033</v>
      </c>
      <c r="CR128" s="126">
        <f t="shared" si="141"/>
        <v>-4.1424862160643983</v>
      </c>
      <c r="CS128" s="126">
        <f t="shared" si="142"/>
        <v>-4.4638222588726677</v>
      </c>
      <c r="CT128" s="520">
        <f t="shared" si="143"/>
        <v>-4.8933955334212982</v>
      </c>
      <c r="CU128" s="6"/>
      <c r="DB128" s="1961"/>
      <c r="DC128" s="1961"/>
      <c r="DD128" s="1961"/>
      <c r="DE128" s="1961"/>
      <c r="DF128" s="1961"/>
      <c r="DG128" s="1961"/>
      <c r="DH128" s="1961"/>
      <c r="DI128" s="126"/>
    </row>
    <row r="129" spans="1:113" ht="12" customHeight="1" x14ac:dyDescent="0.25">
      <c r="A129" s="529" t="s">
        <v>136</v>
      </c>
      <c r="B129" s="517"/>
      <c r="C129" s="278">
        <v>9.6560000000000006</v>
      </c>
      <c r="D129" s="278">
        <v>1.452</v>
      </c>
      <c r="E129" s="516">
        <v>-29.08</v>
      </c>
      <c r="F129" s="516">
        <f>-15.888-E129</f>
        <v>13.191999999999998</v>
      </c>
      <c r="G129" s="516">
        <f>-14.874-SUM(E129:F129)</f>
        <v>1.0139999999999993</v>
      </c>
      <c r="H129" s="516">
        <f>1.759-SUM(E129:G129)</f>
        <v>16.632999999999999</v>
      </c>
      <c r="I129" s="509">
        <f t="shared" si="153"/>
        <v>1.7589999999999986</v>
      </c>
      <c r="J129" s="517">
        <v>-34.581000000000003</v>
      </c>
      <c r="K129" s="516">
        <f>-16.088-J129</f>
        <v>18.493000000000002</v>
      </c>
      <c r="L129" s="516">
        <f>-9.082-SUM(J129:K129)</f>
        <v>7.0060000000000002</v>
      </c>
      <c r="M129" s="516">
        <f>3.075-SUM(J129:L129)</f>
        <v>12.157</v>
      </c>
      <c r="N129" s="510">
        <f t="shared" si="154"/>
        <v>3.0749999999999993</v>
      </c>
      <c r="O129" s="517">
        <v>-24.06</v>
      </c>
      <c r="P129" s="516">
        <f>-11.196-O129</f>
        <v>12.863999999999999</v>
      </c>
      <c r="Q129" s="516">
        <f>1.359-SUM(O129:P129)</f>
        <v>12.555</v>
      </c>
      <c r="R129" s="516">
        <f>2.986-SUM(O129:Q129)</f>
        <v>1.6270000000000002</v>
      </c>
      <c r="S129" s="510">
        <f t="shared" si="155"/>
        <v>2.9860000000000002</v>
      </c>
      <c r="T129" s="517">
        <v>-25.414999999999999</v>
      </c>
      <c r="U129" s="516">
        <f>-18.327-T129</f>
        <v>7.0879999999999974</v>
      </c>
      <c r="V129" s="516">
        <f>-3.255-SUM(T129:U129)</f>
        <v>15.072000000000003</v>
      </c>
      <c r="W129" s="516">
        <f>4.34-SUM(T129:V129)</f>
        <v>7.5949999999999989</v>
      </c>
      <c r="X129" s="510">
        <f t="shared" si="156"/>
        <v>4.34</v>
      </c>
      <c r="Y129" s="516">
        <v>-22.1</v>
      </c>
      <c r="Z129" s="516">
        <f>-15.19-Y129</f>
        <v>6.9100000000000019</v>
      </c>
      <c r="AA129" s="516">
        <f>12.509-SUM(Y129:Z129)</f>
        <v>27.698999999999998</v>
      </c>
      <c r="AB129" s="516">
        <f>15.468-SUM(Y129:AA129)</f>
        <v>2.9590000000000014</v>
      </c>
      <c r="AC129" s="510">
        <f t="shared" si="157"/>
        <v>15.468</v>
      </c>
      <c r="AD129" s="516">
        <f>-20.966</f>
        <v>-20.966000000000001</v>
      </c>
      <c r="AE129" s="516">
        <f>-24.124-AD129</f>
        <v>-3.1579999999999977</v>
      </c>
      <c r="AF129" s="516">
        <f>3.168-SUM(AD129:AE129)</f>
        <v>27.291999999999998</v>
      </c>
      <c r="AG129" s="516">
        <f>11.256-SUM(AD129:AF129)</f>
        <v>8.088000000000001</v>
      </c>
      <c r="AH129" s="512">
        <f t="shared" si="158"/>
        <v>11.256</v>
      </c>
      <c r="AI129" s="517">
        <v>-36.206000000000003</v>
      </c>
      <c r="AJ129" s="516">
        <f>-12.833-AI129</f>
        <v>23.373000000000005</v>
      </c>
      <c r="AK129" s="516">
        <f>12.267-SUM(AI129:AJ129)</f>
        <v>25.099999999999998</v>
      </c>
      <c r="AL129" s="516">
        <f>34.022-SUM(AI129:AK129)</f>
        <v>21.754999999999999</v>
      </c>
      <c r="AM129" s="122">
        <f t="shared" si="119"/>
        <v>34.021999999999998</v>
      </c>
      <c r="AN129" s="517">
        <v>-32.886000000000003</v>
      </c>
      <c r="AO129" s="516">
        <f>-26.674-AN129</f>
        <v>6.2120000000000033</v>
      </c>
      <c r="AP129" s="516">
        <f>-2.164-SUM(AN129:AO129)</f>
        <v>24.509999999999998</v>
      </c>
      <c r="AQ129" s="516">
        <f>12.675-SUM(AN129:AP129)</f>
        <v>14.839000000000002</v>
      </c>
      <c r="AR129" s="122">
        <f t="shared" si="120"/>
        <v>12.675000000000001</v>
      </c>
      <c r="AS129" s="517">
        <v>-33.168999999999997</v>
      </c>
      <c r="AT129" s="516">
        <f>-27.393-AS129</f>
        <v>5.7759999999999962</v>
      </c>
      <c r="AU129" s="516">
        <f>-1.175-SUM(AS129:AT129)</f>
        <v>26.218</v>
      </c>
      <c r="AV129" s="516">
        <f>-8.832-SUM(AS129:AU129)</f>
        <v>-7.657</v>
      </c>
      <c r="AW129" s="122">
        <f t="shared" si="121"/>
        <v>-8.8320000000000007</v>
      </c>
      <c r="AX129" s="516">
        <v>-46.155999999999999</v>
      </c>
      <c r="AY129" s="516">
        <f>-26.399-AX129</f>
        <v>19.756999999999998</v>
      </c>
      <c r="AZ129" s="516">
        <f>-7.205-SUM(AX129:AY129)</f>
        <v>19.194000000000003</v>
      </c>
      <c r="BA129" s="516">
        <f>-2.6-SUM(AX129:AZ129)</f>
        <v>4.6049999999999986</v>
      </c>
      <c r="BB129" s="216">
        <f t="shared" si="122"/>
        <v>-2.5999999999999996</v>
      </c>
      <c r="BC129" s="1882">
        <v>-28.3</v>
      </c>
      <c r="BD129" s="1882">
        <f>-16.6-BC129</f>
        <v>11.7</v>
      </c>
      <c r="BE129" s="1944">
        <f>21.7-BD129-BC129</f>
        <v>38.299999999999997</v>
      </c>
      <c r="BF129" s="1944">
        <f>28.5-SUM(BC129:BE129)</f>
        <v>6.8000000000000043</v>
      </c>
      <c r="BG129" s="216">
        <f t="shared" si="159"/>
        <v>28.5</v>
      </c>
      <c r="BH129" s="126">
        <f>BH196-BG196</f>
        <v>-34.124942664304768</v>
      </c>
      <c r="BI129" s="126">
        <f>BI196-BH196</f>
        <v>-7.3671374545751576</v>
      </c>
      <c r="BJ129" s="126">
        <f>BJ196-BI196</f>
        <v>45.778804485725203</v>
      </c>
      <c r="BK129" s="126">
        <f>BK196-BJ196</f>
        <v>11.974596376183001</v>
      </c>
      <c r="BL129" s="216">
        <f t="shared" si="160"/>
        <v>16.261320743028278</v>
      </c>
      <c r="BM129" s="126">
        <f>BM196-BL196</f>
        <v>-40.261093332040161</v>
      </c>
      <c r="BN129" s="126">
        <f>BN196-BM196</f>
        <v>-7.5960566895804789</v>
      </c>
      <c r="BO129" s="126">
        <f>BO196-BN196</f>
        <v>48.237763906632694</v>
      </c>
      <c r="BP129" s="126">
        <f>BP196-BO196</f>
        <v>12.867831786377167</v>
      </c>
      <c r="BQ129" s="216">
        <f t="shared" si="161"/>
        <v>13.24844567138922</v>
      </c>
      <c r="BR129" s="126">
        <f>BR196-BQ196</f>
        <v>-42.996230599854556</v>
      </c>
      <c r="BS129" s="126">
        <f>BS196-BR196</f>
        <v>-8.0022911062102651</v>
      </c>
      <c r="BT129" s="126">
        <f>BT196-BS196</f>
        <v>50.723371651063019</v>
      </c>
      <c r="BU129" s="126">
        <f>BU196-BT196</f>
        <v>13.537875793957596</v>
      </c>
      <c r="BV129" s="216">
        <f t="shared" si="162"/>
        <v>13.262725738955794</v>
      </c>
      <c r="BW129" s="126">
        <f>BW196-BV196</f>
        <v>-45.17182581749978</v>
      </c>
      <c r="BX129" s="126">
        <f>BX196-BW196</f>
        <v>-8.4314165499309297</v>
      </c>
      <c r="BY129" s="126">
        <f>BY196-BX196</f>
        <v>53.341687376814946</v>
      </c>
      <c r="BZ129" s="126">
        <f>BZ196-BY196</f>
        <v>14.244876694756499</v>
      </c>
      <c r="CA129" s="216">
        <f t="shared" si="163"/>
        <v>13.983321704140735</v>
      </c>
      <c r="CB129" s="1910" t="s">
        <v>51</v>
      </c>
      <c r="CC129" s="507"/>
      <c r="CD129" s="529" t="str">
        <f t="shared" si="111"/>
        <v>Accounts Payable and Accrued Liabilities</v>
      </c>
      <c r="CE129" s="126">
        <f t="shared" si="128"/>
        <v>1.452</v>
      </c>
      <c r="CF129" s="126">
        <f t="shared" si="129"/>
        <v>1.7589999999999986</v>
      </c>
      <c r="CG129" s="126">
        <f t="shared" si="130"/>
        <v>3.0749999999999993</v>
      </c>
      <c r="CH129" s="126">
        <f t="shared" si="131"/>
        <v>2.9860000000000002</v>
      </c>
      <c r="CI129" s="126">
        <f t="shared" si="132"/>
        <v>4.34</v>
      </c>
      <c r="CJ129" s="126">
        <f t="shared" si="133"/>
        <v>15.468</v>
      </c>
      <c r="CK129" s="126">
        <f t="shared" si="134"/>
        <v>11.256</v>
      </c>
      <c r="CL129" s="126">
        <f t="shared" si="135"/>
        <v>34.021999999999998</v>
      </c>
      <c r="CM129" s="126">
        <f t="shared" si="136"/>
        <v>12.675000000000001</v>
      </c>
      <c r="CN129" s="126">
        <f t="shared" si="137"/>
        <v>-8.8320000000000007</v>
      </c>
      <c r="CO129" s="126">
        <f t="shared" si="138"/>
        <v>-2.5999999999999996</v>
      </c>
      <c r="CP129" s="126">
        <f t="shared" si="139"/>
        <v>28.5</v>
      </c>
      <c r="CQ129" s="126">
        <f t="shared" si="140"/>
        <v>16.261320743028278</v>
      </c>
      <c r="CR129" s="126">
        <f t="shared" si="141"/>
        <v>13.24844567138922</v>
      </c>
      <c r="CS129" s="126">
        <f t="shared" si="142"/>
        <v>13.262725738955794</v>
      </c>
      <c r="CT129" s="520">
        <f t="shared" si="143"/>
        <v>13.983321704140735</v>
      </c>
      <c r="CU129" s="6"/>
      <c r="DB129" s="1961"/>
      <c r="DC129" s="1961"/>
      <c r="DD129" s="1961"/>
      <c r="DE129" s="1961"/>
      <c r="DF129" s="1961"/>
      <c r="DG129" s="1961"/>
      <c r="DH129" s="1961"/>
      <c r="DI129" s="126"/>
    </row>
    <row r="130" spans="1:113" ht="12" customHeight="1" x14ac:dyDescent="0.25">
      <c r="A130" s="529" t="s">
        <v>137</v>
      </c>
      <c r="B130" s="517"/>
      <c r="C130" s="278">
        <v>3.6819999999999999</v>
      </c>
      <c r="D130" s="278">
        <v>27.219000000000001</v>
      </c>
      <c r="E130" s="516">
        <v>64.747</v>
      </c>
      <c r="F130" s="516">
        <f>34.777-E130</f>
        <v>-29.97</v>
      </c>
      <c r="G130" s="516">
        <f>25.697-SUM(E130:F130)</f>
        <v>-9.0800000000000018</v>
      </c>
      <c r="H130" s="516">
        <f>3.751-SUM(E130:G130)</f>
        <v>-21.945999999999998</v>
      </c>
      <c r="I130" s="509">
        <f t="shared" si="153"/>
        <v>3.7510000000000012</v>
      </c>
      <c r="J130" s="517">
        <v>69.619</v>
      </c>
      <c r="K130" s="516">
        <f>49.151-J130</f>
        <v>-20.467999999999996</v>
      </c>
      <c r="L130" s="516">
        <f>22.83-SUM(J130:K130)</f>
        <v>-26.321000000000005</v>
      </c>
      <c r="M130" s="516">
        <f>-1.042-SUM(J130:L130)</f>
        <v>-23.872</v>
      </c>
      <c r="N130" s="510">
        <f t="shared" si="154"/>
        <v>-1.0420000000000016</v>
      </c>
      <c r="O130" s="517">
        <v>88.691999999999993</v>
      </c>
      <c r="P130" s="516">
        <f>60.452-O130</f>
        <v>-28.239999999999995</v>
      </c>
      <c r="Q130" s="516">
        <f>38.414-SUM(O130:P130)</f>
        <v>-22.037999999999997</v>
      </c>
      <c r="R130" s="516">
        <f>10.46-SUM(O130:Q130)</f>
        <v>-27.954000000000001</v>
      </c>
      <c r="S130" s="510">
        <f t="shared" si="155"/>
        <v>10.46</v>
      </c>
      <c r="T130" s="517">
        <v>88.272999999999996</v>
      </c>
      <c r="U130" s="516">
        <f>55.959-T130</f>
        <v>-32.313999999999993</v>
      </c>
      <c r="V130" s="516">
        <f>29.551-SUM(T130:U130)</f>
        <v>-26.408000000000005</v>
      </c>
      <c r="W130" s="516">
        <f>20.984-SUM(T130:V130)</f>
        <v>-8.5669999999999966</v>
      </c>
      <c r="X130" s="510">
        <f t="shared" si="156"/>
        <v>20.984000000000002</v>
      </c>
      <c r="Y130" s="516">
        <v>84.057000000000002</v>
      </c>
      <c r="Z130" s="516">
        <f>50.52-Y130</f>
        <v>-33.536999999999999</v>
      </c>
      <c r="AA130" s="516">
        <f>24.841-SUM(Y130:Z130)</f>
        <v>-25.679000000000002</v>
      </c>
      <c r="AB130" s="516">
        <f>12.373-SUM(Y130:AA130)</f>
        <v>-12.468000000000002</v>
      </c>
      <c r="AC130" s="510">
        <f t="shared" si="157"/>
        <v>12.372999999999999</v>
      </c>
      <c r="AD130" s="516">
        <v>112.1</v>
      </c>
      <c r="AE130" s="516">
        <f>77.038-AD130</f>
        <v>-35.061999999999998</v>
      </c>
      <c r="AF130" s="516">
        <f>39.588-SUM(AD130:AE130)</f>
        <v>-37.449999999999996</v>
      </c>
      <c r="AG130" s="516">
        <f>20.493-SUM(AD130:AF130)</f>
        <v>-19.095000000000002</v>
      </c>
      <c r="AH130" s="512">
        <f t="shared" si="158"/>
        <v>20.492999999999999</v>
      </c>
      <c r="AI130" s="517">
        <v>113.74299999999999</v>
      </c>
      <c r="AJ130" s="516">
        <f>86.866-AI130</f>
        <v>-26.876999999999995</v>
      </c>
      <c r="AK130" s="516">
        <f>43.372-SUM(AI130:AJ130)</f>
        <v>-43.494</v>
      </c>
      <c r="AL130" s="516">
        <f>26.97-SUM(AI130:AK130)</f>
        <v>-16.402000000000001</v>
      </c>
      <c r="AM130" s="122">
        <f t="shared" si="119"/>
        <v>26.97</v>
      </c>
      <c r="AN130" s="517">
        <v>116.318</v>
      </c>
      <c r="AO130" s="516">
        <f>81.666-AN130</f>
        <v>-34.652000000000001</v>
      </c>
      <c r="AP130" s="516">
        <f>26.651-SUM(AN130:AO130)</f>
        <v>-55.015000000000001</v>
      </c>
      <c r="AQ130" s="516">
        <f>22.114-SUM(AN130:AP130)</f>
        <v>-4.5369999999999955</v>
      </c>
      <c r="AR130" s="122">
        <f t="shared" si="120"/>
        <v>22.114000000000001</v>
      </c>
      <c r="AS130" s="517">
        <v>106.935</v>
      </c>
      <c r="AT130" s="516">
        <f>38.305-AS130</f>
        <v>-68.63</v>
      </c>
      <c r="AU130" s="516">
        <f>-30.772-SUM(AS130:AT130)</f>
        <v>-69.076999999999998</v>
      </c>
      <c r="AV130" s="516">
        <f>-43.546-SUM(AS130:AU130)</f>
        <v>-12.774000000000008</v>
      </c>
      <c r="AW130" s="122">
        <f t="shared" si="121"/>
        <v>-43.545999999999999</v>
      </c>
      <c r="AX130" s="516">
        <v>146.477</v>
      </c>
      <c r="AY130" s="516">
        <f>92.581-AX130</f>
        <v>-53.896000000000001</v>
      </c>
      <c r="AZ130" s="516">
        <f>14.655-SUM(AX130:AY130)</f>
        <v>-77.926000000000002</v>
      </c>
      <c r="BA130" s="516">
        <f>-8.2-SUM(AX130:AZ130)</f>
        <v>-22.855</v>
      </c>
      <c r="BB130" s="216">
        <f t="shared" si="122"/>
        <v>-8.1999999999999993</v>
      </c>
      <c r="BC130" s="1882">
        <v>168.1</v>
      </c>
      <c r="BD130" s="1882">
        <f>111-BC130</f>
        <v>-57.099999999999994</v>
      </c>
      <c r="BE130" s="1944">
        <f>47.2-BD130-BC130</f>
        <v>-63.8</v>
      </c>
      <c r="BF130" s="1944">
        <f>29.2-SUM(BC130:BE130)</f>
        <v>-18.000000000000004</v>
      </c>
      <c r="BG130" s="216">
        <f t="shared" si="159"/>
        <v>29.2</v>
      </c>
      <c r="BH130" s="126">
        <f>(BH200-BG200)</f>
        <v>182.3235702347792</v>
      </c>
      <c r="BI130" s="126">
        <f>(BI200-BH200)</f>
        <v>-66.977282008479449</v>
      </c>
      <c r="BJ130" s="126">
        <f>(BJ200-BI200)</f>
        <v>-75.152735139430206</v>
      </c>
      <c r="BK130" s="126">
        <f>(BK200-BJ200)</f>
        <v>-13.178209758796584</v>
      </c>
      <c r="BL130" s="216">
        <f t="shared" si="160"/>
        <v>27.015343328072959</v>
      </c>
      <c r="BM130" s="126">
        <f>(BM200-BL200)</f>
        <v>187.444504367908</v>
      </c>
      <c r="BN130" s="126">
        <f>(BN200-BM200)</f>
        <v>-70.308591799574174</v>
      </c>
      <c r="BO130" s="126">
        <f>(BO200-BN200)</f>
        <v>-79.367126480089098</v>
      </c>
      <c r="BP130" s="126">
        <f>(BP200-BO200)</f>
        <v>-13.581604980055999</v>
      </c>
      <c r="BQ130" s="216">
        <f t="shared" si="161"/>
        <v>24.187181108188724</v>
      </c>
      <c r="BR130" s="126">
        <f>(BR200-BQ200)</f>
        <v>196.83947065510341</v>
      </c>
      <c r="BS130" s="126">
        <f>(BS200-BR200)</f>
        <v>-74.206555506789414</v>
      </c>
      <c r="BT130" s="126">
        <f>(BT200-BS200)</f>
        <v>-83.749494726853811</v>
      </c>
      <c r="BU130" s="126">
        <f>(BU200-BT200)</f>
        <v>-14.371595684935585</v>
      </c>
      <c r="BV130" s="216">
        <f t="shared" si="162"/>
        <v>24.511824736524602</v>
      </c>
      <c r="BW130" s="126">
        <f>(BW200-BV200)</f>
        <v>207.87536449962045</v>
      </c>
      <c r="BX130" s="126">
        <f>(BX200-BW200)</f>
        <v>-78.329419431736824</v>
      </c>
      <c r="BY130" s="126">
        <f>(BY200-BX200)</f>
        <v>-88.385363322911189</v>
      </c>
      <c r="BZ130" s="126">
        <f>(BZ200-BY200)</f>
        <v>-15.209107151296053</v>
      </c>
      <c r="CA130" s="216">
        <f t="shared" si="163"/>
        <v>25.95147459367638</v>
      </c>
      <c r="CB130" s="1910" t="s">
        <v>51</v>
      </c>
      <c r="CC130" s="507"/>
      <c r="CD130" s="529" t="str">
        <f t="shared" si="111"/>
        <v>Fees Received in Advance</v>
      </c>
      <c r="CE130" s="126">
        <f t="shared" si="128"/>
        <v>27.219000000000001</v>
      </c>
      <c r="CF130" s="126">
        <f t="shared" si="129"/>
        <v>3.7510000000000012</v>
      </c>
      <c r="CG130" s="126">
        <f t="shared" si="130"/>
        <v>-1.0420000000000016</v>
      </c>
      <c r="CH130" s="126">
        <f t="shared" si="131"/>
        <v>10.46</v>
      </c>
      <c r="CI130" s="126">
        <f t="shared" si="132"/>
        <v>20.984000000000002</v>
      </c>
      <c r="CJ130" s="126">
        <f t="shared" si="133"/>
        <v>12.372999999999999</v>
      </c>
      <c r="CK130" s="126">
        <f t="shared" si="134"/>
        <v>20.492999999999999</v>
      </c>
      <c r="CL130" s="126">
        <f t="shared" si="135"/>
        <v>26.97</v>
      </c>
      <c r="CM130" s="126">
        <f t="shared" si="136"/>
        <v>22.114000000000001</v>
      </c>
      <c r="CN130" s="126">
        <f t="shared" si="137"/>
        <v>-43.545999999999999</v>
      </c>
      <c r="CO130" s="126">
        <f t="shared" si="138"/>
        <v>-8.1999999999999993</v>
      </c>
      <c r="CP130" s="126">
        <f t="shared" si="139"/>
        <v>29.2</v>
      </c>
      <c r="CQ130" s="126">
        <f t="shared" si="140"/>
        <v>27.015343328072959</v>
      </c>
      <c r="CR130" s="126">
        <f t="shared" si="141"/>
        <v>24.187181108188724</v>
      </c>
      <c r="CS130" s="126">
        <f t="shared" si="142"/>
        <v>24.511824736524602</v>
      </c>
      <c r="CT130" s="520">
        <f t="shared" si="143"/>
        <v>25.95147459367638</v>
      </c>
      <c r="CU130" s="6"/>
      <c r="DB130" s="1961"/>
      <c r="DC130" s="1961"/>
      <c r="DD130" s="1961"/>
      <c r="DE130" s="1961"/>
      <c r="DF130" s="1961"/>
      <c r="DG130" s="1961"/>
      <c r="DH130" s="1961"/>
      <c r="DI130" s="126"/>
    </row>
    <row r="131" spans="1:113" ht="12" customHeight="1" x14ac:dyDescent="0.25">
      <c r="A131" s="529" t="s">
        <v>138</v>
      </c>
      <c r="B131" s="517"/>
      <c r="C131" s="278">
        <v>0</v>
      </c>
      <c r="D131" s="278">
        <v>-17.492999999999999</v>
      </c>
      <c r="E131" s="516">
        <v>0</v>
      </c>
      <c r="F131" s="516">
        <f>-14.007-E131</f>
        <v>-14.007</v>
      </c>
      <c r="G131" s="516">
        <f>-14.007-SUM(E131:F131)</f>
        <v>0</v>
      </c>
      <c r="H131" s="516">
        <f>-13.658-SUM(E131:G131)</f>
        <v>0.3490000000000002</v>
      </c>
      <c r="I131" s="509">
        <f t="shared" si="153"/>
        <v>-13.657999999999999</v>
      </c>
      <c r="J131" s="517">
        <v>0</v>
      </c>
      <c r="K131" s="516">
        <f>-2.2-J131</f>
        <v>-2.2000000000000002</v>
      </c>
      <c r="L131" s="516">
        <f>-2.2-SUM(J131:K131)</f>
        <v>0</v>
      </c>
      <c r="M131" s="516">
        <f>-2.2-SUM(J131:L131)</f>
        <v>0</v>
      </c>
      <c r="N131" s="510">
        <f t="shared" si="154"/>
        <v>-2.2000000000000002</v>
      </c>
      <c r="O131" s="517">
        <v>-0.3</v>
      </c>
      <c r="P131" s="516">
        <f>-0.3-O131</f>
        <v>0</v>
      </c>
      <c r="Q131" s="516">
        <f>-0.3-SUM(O131:P131)</f>
        <v>0</v>
      </c>
      <c r="R131" s="516">
        <f>-0.3-SUM(O131:Q131)</f>
        <v>0</v>
      </c>
      <c r="S131" s="510">
        <f t="shared" si="155"/>
        <v>-0.3</v>
      </c>
      <c r="T131" s="517">
        <v>0</v>
      </c>
      <c r="U131" s="516">
        <f>0-T131</f>
        <v>0</v>
      </c>
      <c r="V131" s="516">
        <f>0-SUM(T131:U131)</f>
        <v>0</v>
      </c>
      <c r="W131" s="516">
        <f>0-SUM(T131:V131)</f>
        <v>0</v>
      </c>
      <c r="X131" s="510">
        <f t="shared" si="156"/>
        <v>0</v>
      </c>
      <c r="Y131" s="516">
        <v>0</v>
      </c>
      <c r="Z131" s="516">
        <f>0-Y131</f>
        <v>0</v>
      </c>
      <c r="AA131" s="516">
        <f>0-SUM(Y131:Z131)</f>
        <v>0</v>
      </c>
      <c r="AB131" s="516">
        <v>0</v>
      </c>
      <c r="AC131" s="510">
        <f t="shared" si="157"/>
        <v>0</v>
      </c>
      <c r="AD131" s="516">
        <v>0</v>
      </c>
      <c r="AE131" s="516">
        <f>0-AD131</f>
        <v>0</v>
      </c>
      <c r="AF131" s="516">
        <f>0-SUM(AD131:AE131)</f>
        <v>0</v>
      </c>
      <c r="AG131" s="516">
        <f>AG197-AF197</f>
        <v>0</v>
      </c>
      <c r="AH131" s="512">
        <f t="shared" si="158"/>
        <v>0</v>
      </c>
      <c r="AI131" s="517">
        <v>0</v>
      </c>
      <c r="AJ131" s="516">
        <v>0</v>
      </c>
      <c r="AK131" s="516">
        <f>AK197-AJ197</f>
        <v>0</v>
      </c>
      <c r="AL131" s="516">
        <f>AL197-AK197</f>
        <v>0</v>
      </c>
      <c r="AM131" s="122">
        <f t="shared" si="119"/>
        <v>0</v>
      </c>
      <c r="AN131" s="517">
        <f>AN197-AM197</f>
        <v>0</v>
      </c>
      <c r="AO131" s="516">
        <v>0</v>
      </c>
      <c r="AP131" s="516">
        <f>AP197-AO197</f>
        <v>0</v>
      </c>
      <c r="AQ131" s="516">
        <f>AQ197-AP197</f>
        <v>0</v>
      </c>
      <c r="AR131" s="122">
        <f t="shared" si="120"/>
        <v>0</v>
      </c>
      <c r="AS131" s="517">
        <v>0</v>
      </c>
      <c r="AT131" s="516">
        <v>0</v>
      </c>
      <c r="AU131" s="516">
        <v>0</v>
      </c>
      <c r="AV131" s="516">
        <f>AV197-AU197</f>
        <v>0</v>
      </c>
      <c r="AW131" s="122">
        <f t="shared" si="121"/>
        <v>0</v>
      </c>
      <c r="AX131" s="516">
        <v>0</v>
      </c>
      <c r="AY131" s="516">
        <v>0</v>
      </c>
      <c r="AZ131" s="516">
        <v>0</v>
      </c>
      <c r="BA131" s="1882">
        <v>0</v>
      </c>
      <c r="BB131" s="216">
        <f t="shared" si="122"/>
        <v>0</v>
      </c>
      <c r="BC131" s="1882">
        <v>0</v>
      </c>
      <c r="BD131" s="1882">
        <v>0</v>
      </c>
      <c r="BE131" s="1944">
        <v>0</v>
      </c>
      <c r="BF131" s="1944">
        <v>0</v>
      </c>
      <c r="BG131" s="216">
        <f t="shared" si="159"/>
        <v>0</v>
      </c>
      <c r="BH131" s="126">
        <f>BH197-BG197</f>
        <v>0</v>
      </c>
      <c r="BI131" s="126">
        <f>BI197-BH197</f>
        <v>0</v>
      </c>
      <c r="BJ131" s="126">
        <f>BJ197-BI197</f>
        <v>0</v>
      </c>
      <c r="BK131" s="126">
        <f>BK197-BJ197</f>
        <v>0</v>
      </c>
      <c r="BL131" s="216">
        <f t="shared" si="160"/>
        <v>0</v>
      </c>
      <c r="BM131" s="126">
        <f>BM197-BL197</f>
        <v>0</v>
      </c>
      <c r="BN131" s="126">
        <f>BN197-BM197</f>
        <v>0</v>
      </c>
      <c r="BO131" s="126">
        <f>BO197-BN197</f>
        <v>0</v>
      </c>
      <c r="BP131" s="126">
        <f>BP197-BO197</f>
        <v>0</v>
      </c>
      <c r="BQ131" s="216">
        <f t="shared" si="161"/>
        <v>0</v>
      </c>
      <c r="BR131" s="126">
        <f>BR197-BQ197</f>
        <v>0</v>
      </c>
      <c r="BS131" s="126">
        <f>BS197-BR197</f>
        <v>0</v>
      </c>
      <c r="BT131" s="126">
        <f>BT197-BS197</f>
        <v>0</v>
      </c>
      <c r="BU131" s="126">
        <f>BU197-BT197</f>
        <v>0</v>
      </c>
      <c r="BV131" s="216">
        <f t="shared" si="162"/>
        <v>0</v>
      </c>
      <c r="BW131" s="126">
        <f>BW197-BV197</f>
        <v>0</v>
      </c>
      <c r="BX131" s="126">
        <f>BX197-BW197</f>
        <v>0</v>
      </c>
      <c r="BY131" s="126">
        <f>BY197-BX197</f>
        <v>0</v>
      </c>
      <c r="BZ131" s="126">
        <f>BZ197-BY197</f>
        <v>0</v>
      </c>
      <c r="CA131" s="216">
        <f t="shared" si="163"/>
        <v>0</v>
      </c>
      <c r="CB131" s="1910" t="s">
        <v>51</v>
      </c>
      <c r="CC131" s="507"/>
      <c r="CD131" s="529" t="str">
        <f t="shared" si="111"/>
        <v>Acquisition related liabilities</v>
      </c>
      <c r="CE131" s="126">
        <f t="shared" si="128"/>
        <v>-17.492999999999999</v>
      </c>
      <c r="CF131" s="126">
        <f t="shared" si="129"/>
        <v>-13.657999999999999</v>
      </c>
      <c r="CG131" s="126">
        <f t="shared" si="130"/>
        <v>-2.2000000000000002</v>
      </c>
      <c r="CH131" s="126">
        <f t="shared" si="131"/>
        <v>-0.3</v>
      </c>
      <c r="CI131" s="126">
        <f t="shared" si="132"/>
        <v>0</v>
      </c>
      <c r="CJ131" s="126">
        <f t="shared" si="133"/>
        <v>0</v>
      </c>
      <c r="CK131" s="126">
        <f t="shared" si="134"/>
        <v>0</v>
      </c>
      <c r="CL131" s="126">
        <f t="shared" si="135"/>
        <v>0</v>
      </c>
      <c r="CM131" s="126">
        <f t="shared" si="136"/>
        <v>0</v>
      </c>
      <c r="CN131" s="126">
        <f t="shared" si="137"/>
        <v>0</v>
      </c>
      <c r="CO131" s="126">
        <f t="shared" si="138"/>
        <v>0</v>
      </c>
      <c r="CP131" s="126">
        <f t="shared" si="139"/>
        <v>0</v>
      </c>
      <c r="CQ131" s="126">
        <f t="shared" si="140"/>
        <v>0</v>
      </c>
      <c r="CR131" s="126">
        <f t="shared" si="141"/>
        <v>0</v>
      </c>
      <c r="CS131" s="126">
        <f t="shared" si="142"/>
        <v>0</v>
      </c>
      <c r="CT131" s="520">
        <f t="shared" si="143"/>
        <v>0</v>
      </c>
      <c r="CU131" s="6"/>
      <c r="DB131" s="1961"/>
      <c r="DC131" s="1961"/>
      <c r="DD131" s="1961"/>
      <c r="DE131" s="1961"/>
      <c r="DF131" s="1961"/>
      <c r="DG131" s="1961"/>
      <c r="DH131" s="1961"/>
      <c r="DI131" s="126"/>
    </row>
    <row r="132" spans="1:113" ht="12" customHeight="1" x14ac:dyDescent="0.25">
      <c r="A132" s="529" t="s">
        <v>139</v>
      </c>
      <c r="B132" s="517"/>
      <c r="C132" s="278">
        <v>1.246</v>
      </c>
      <c r="D132" s="278">
        <f>6.947</f>
        <v>6.9470000000000001</v>
      </c>
      <c r="E132" s="516">
        <v>0.317</v>
      </c>
      <c r="F132" s="516">
        <f>0.591-E132</f>
        <v>0.27399999999999997</v>
      </c>
      <c r="G132" s="516">
        <f>0.469-SUM(E132:F132)</f>
        <v>-0.122</v>
      </c>
      <c r="H132" s="516">
        <f>-0.237-SUM(E132:G132)</f>
        <v>-0.70599999999999996</v>
      </c>
      <c r="I132" s="509">
        <f t="shared" si="153"/>
        <v>-0.23699999999999999</v>
      </c>
      <c r="J132" s="517">
        <v>-0.59199999999999997</v>
      </c>
      <c r="K132" s="516">
        <f>-0.692-J132</f>
        <v>-9.9999999999999978E-2</v>
      </c>
      <c r="L132" s="516">
        <f>-3.834-SUM(J132:K132)</f>
        <v>-3.1420000000000003</v>
      </c>
      <c r="M132" s="516">
        <f>-4.983-SUM(J132:L132)</f>
        <v>-1.1489999999999991</v>
      </c>
      <c r="N132" s="510">
        <f t="shared" si="154"/>
        <v>-4.9829999999999997</v>
      </c>
      <c r="O132" s="517">
        <f>4.045</f>
        <v>4.0449999999999999</v>
      </c>
      <c r="P132" s="516">
        <f>9.226-O132</f>
        <v>5.1810000000000009</v>
      </c>
      <c r="Q132" s="516">
        <f>6.493-SUM(O132:P132)</f>
        <v>-2.7330000000000005</v>
      </c>
      <c r="R132" s="516">
        <f>9.576-SUM(O132:Q132)</f>
        <v>3.0830000000000002</v>
      </c>
      <c r="S132" s="510">
        <f t="shared" si="155"/>
        <v>9.5760000000000005</v>
      </c>
      <c r="T132" s="517">
        <v>1.0489999999999999</v>
      </c>
      <c r="U132" s="516">
        <f>-3.316-T132</f>
        <v>-4.3650000000000002</v>
      </c>
      <c r="V132" s="516">
        <f>-8.874-SUM(T132:U132)</f>
        <v>-5.5579999999999998</v>
      </c>
      <c r="W132" s="516">
        <f>-17.711-SUM(T132:V132)</f>
        <v>-8.836999999999998</v>
      </c>
      <c r="X132" s="510">
        <f t="shared" si="156"/>
        <v>-17.710999999999999</v>
      </c>
      <c r="Y132" s="516">
        <v>-4.9569999999999999</v>
      </c>
      <c r="Z132" s="516">
        <f>-14.913-Y132</f>
        <v>-9.9559999999999995</v>
      </c>
      <c r="AA132" s="516">
        <f>-20.809-SUM(Y132:Z132)</f>
        <v>-5.8960000000000008</v>
      </c>
      <c r="AB132" s="516">
        <f>-35.675-SUM(Y132:AA132)</f>
        <v>-14.865999999999996</v>
      </c>
      <c r="AC132" s="510">
        <f t="shared" si="157"/>
        <v>-35.674999999999997</v>
      </c>
      <c r="AD132" s="516">
        <f>-11.59+-2.269</f>
        <v>-13.859</v>
      </c>
      <c r="AE132" s="516">
        <f>-90.808+-7.617-AD132</f>
        <v>-84.566000000000017</v>
      </c>
      <c r="AF132" s="516">
        <f>-97.809+-8.133-AE132-AD132</f>
        <v>-7.5169999999999764</v>
      </c>
      <c r="AG132" s="516">
        <f>-105.829-13.86-SUM(AD132:AF132)</f>
        <v>-13.747</v>
      </c>
      <c r="AH132" s="512">
        <f t="shared" si="158"/>
        <v>-119.68899999999999</v>
      </c>
      <c r="AI132" s="517">
        <f>-1.93+-3.706</f>
        <v>-5.6360000000000001</v>
      </c>
      <c r="AJ132" s="516">
        <f>(-4.099-26.052)-AI132</f>
        <v>-24.515000000000001</v>
      </c>
      <c r="AK132" s="516">
        <f>-6.532+-33.016-SUM(AI132:AJ132)</f>
        <v>-9.397000000000002</v>
      </c>
      <c r="AL132" s="516">
        <f>-11.392-41.593-SUM(AI132:AK132)</f>
        <v>-13.436999999999998</v>
      </c>
      <c r="AM132" s="122">
        <f t="shared" si="119"/>
        <v>-52.984999999999999</v>
      </c>
      <c r="AN132" s="517">
        <f>-3.509-0.28</f>
        <v>-3.7889999999999997</v>
      </c>
      <c r="AO132" s="516">
        <f>-6.064+-0.848-AN132</f>
        <v>-3.1230000000000002</v>
      </c>
      <c r="AP132" s="516">
        <f>-9.763-0.522-SUM(AN132:AO132)</f>
        <v>-3.3730000000000002</v>
      </c>
      <c r="AQ132" s="516">
        <f>-14.802+-1.042-SUM(AN132:AP132)</f>
        <v>-5.5589999999999993</v>
      </c>
      <c r="AR132" s="122">
        <f t="shared" si="120"/>
        <v>-15.843999999999999</v>
      </c>
      <c r="AS132" s="517">
        <f>-3.264+-0.391</f>
        <v>-3.6549999999999998</v>
      </c>
      <c r="AT132" s="516">
        <f>-2.99-7.129-AS132</f>
        <v>-6.4640000000000004</v>
      </c>
      <c r="AU132" s="516">
        <f>2.148-10.552-SUM(AS132:AT132)</f>
        <v>1.7149999999999999</v>
      </c>
      <c r="AV132" s="516">
        <f>2.775-13.704-SUM(AS132:AU132)</f>
        <v>-2.5250000000000004</v>
      </c>
      <c r="AW132" s="122">
        <f t="shared" si="121"/>
        <v>-10.929</v>
      </c>
      <c r="AX132" s="516">
        <f>-4.218-2.58</f>
        <v>-6.798</v>
      </c>
      <c r="AY132" s="516">
        <f>0.131-AX132-5.232</f>
        <v>1.6970000000000001</v>
      </c>
      <c r="AZ132" s="516">
        <f>-3.17-SUM(AX132:AY132)-7.972</f>
        <v>-6.0410000000000004</v>
      </c>
      <c r="BA132" s="516">
        <f>-4.8-9.9-SUM(AX132:AZ132)</f>
        <v>-3.5579999999999998</v>
      </c>
      <c r="BB132" s="216">
        <f t="shared" si="122"/>
        <v>-14.7</v>
      </c>
      <c r="BC132" s="1882">
        <v>-6.9</v>
      </c>
      <c r="BD132" s="1882">
        <f>-9.2-BC132</f>
        <v>-2.2999999999999989</v>
      </c>
      <c r="BE132" s="1944">
        <f>-16.5-BD132-BC132</f>
        <v>-7.3000000000000007</v>
      </c>
      <c r="BF132" s="1944">
        <f>-17.8-SUM(BC132:BE132)</f>
        <v>-1.3000000000000007</v>
      </c>
      <c r="BG132" s="216">
        <f t="shared" si="159"/>
        <v>-17.8</v>
      </c>
      <c r="BH132" s="126">
        <f>(BH202-BG202)+(BG180-BH180)+(BG190-BH190)</f>
        <v>39.948774373259013</v>
      </c>
      <c r="BI132" s="126">
        <f>(BI202-BH202)+(BH180-BI180)+(BH190-BI190)</f>
        <v>0.93665758392756615</v>
      </c>
      <c r="BJ132" s="126">
        <f>(BJ202-BI202)+(BI180-BJ180)+(BI190-BJ190)</f>
        <v>-27.29581591882086</v>
      </c>
      <c r="BK132" s="126">
        <f>(BK202-BJ202)+(BJ180-BK180)+(BJ190-BK190)</f>
        <v>-31.398534853024671</v>
      </c>
      <c r="BL132" s="216">
        <f t="shared" si="160"/>
        <v>-17.808918814658949</v>
      </c>
      <c r="BM132" s="126">
        <f>(BM202-BL202)+(BL180-BM180)+(BL190-BM190)</f>
        <v>45.648928355048888</v>
      </c>
      <c r="BN132" s="126">
        <f>(BN202-BM202)+(BM180-BN180)+(BM190-BN190)</f>
        <v>0.79208427650611668</v>
      </c>
      <c r="BO132" s="126">
        <f>(BO202-BN202)+(BN180-BO180)+(BN190-BO190)</f>
        <v>-28.933000766677587</v>
      </c>
      <c r="BP132" s="126">
        <f>(BP202-BO202)+(BO180-BP180)+(BO190-BP190)</f>
        <v>-33.452563798947239</v>
      </c>
      <c r="BQ132" s="216">
        <f t="shared" si="161"/>
        <v>-15.944551934069821</v>
      </c>
      <c r="BR132" s="126">
        <f>(BR202-BQ202)+(BQ180-BR180)+(BQ190-BR190)</f>
        <v>48.939919966695285</v>
      </c>
      <c r="BS132" s="126">
        <f>(BS202-BR202)+(BR180-BS180)+(BR190-BS190)</f>
        <v>0.81829697211377805</v>
      </c>
      <c r="BT132" s="126">
        <f>(BT202-BS202)+(BS180-BT180)+(BS190-BT190)</f>
        <v>-30.597935041762689</v>
      </c>
      <c r="BU132" s="126">
        <f>(BU202-BT202)+(BT180-BU180)+(BT190-BU190)</f>
        <v>-35.318843771708792</v>
      </c>
      <c r="BV132" s="216">
        <f t="shared" si="162"/>
        <v>-16.158561874662418</v>
      </c>
      <c r="BW132" s="126">
        <f>(BW202-BV202)+(BV180-BW180)+(BV190-BW190)</f>
        <v>51.704305581754646</v>
      </c>
      <c r="BX132" s="126">
        <f>(BX202-BW202)+(BW180-BX180)+(BW190-BX190)</f>
        <v>0.84466200830036442</v>
      </c>
      <c r="BY132" s="126">
        <f>(BY202-BX202)+(BX180-BY180)+(BX190-BY190)</f>
        <v>-32.36246645687477</v>
      </c>
      <c r="BZ132" s="126">
        <f>(BZ202-BY202)+(BY180-BZ180)+(BY190-BZ190)</f>
        <v>-37.294101749131201</v>
      </c>
      <c r="CA132" s="216">
        <f t="shared" si="163"/>
        <v>-17.107600615950957</v>
      </c>
      <c r="CB132" s="1910" t="s">
        <v>51</v>
      </c>
      <c r="CC132" s="507"/>
      <c r="CD132" s="529" t="str">
        <f t="shared" si="111"/>
        <v>Increase in Other Assets/Liabilities</v>
      </c>
      <c r="CE132" s="126">
        <f t="shared" si="128"/>
        <v>6.9470000000000001</v>
      </c>
      <c r="CF132" s="126">
        <f t="shared" si="129"/>
        <v>-0.23699999999999999</v>
      </c>
      <c r="CG132" s="126">
        <f t="shared" si="130"/>
        <v>-4.9829999999999997</v>
      </c>
      <c r="CH132" s="126">
        <f t="shared" si="131"/>
        <v>9.5760000000000005</v>
      </c>
      <c r="CI132" s="126">
        <f t="shared" si="132"/>
        <v>-17.710999999999999</v>
      </c>
      <c r="CJ132" s="126">
        <f t="shared" si="133"/>
        <v>-35.674999999999997</v>
      </c>
      <c r="CK132" s="126">
        <f t="shared" si="134"/>
        <v>-119.68899999999999</v>
      </c>
      <c r="CL132" s="126">
        <f t="shared" si="135"/>
        <v>-52.984999999999999</v>
      </c>
      <c r="CM132" s="126">
        <f t="shared" si="136"/>
        <v>-15.843999999999999</v>
      </c>
      <c r="CN132" s="126">
        <f t="shared" si="137"/>
        <v>-10.929</v>
      </c>
      <c r="CO132" s="126">
        <f t="shared" si="138"/>
        <v>-14.7</v>
      </c>
      <c r="CP132" s="126">
        <f t="shared" si="139"/>
        <v>-17.8</v>
      </c>
      <c r="CQ132" s="126">
        <f t="shared" si="140"/>
        <v>-17.808918814658949</v>
      </c>
      <c r="CR132" s="126">
        <f t="shared" si="141"/>
        <v>-15.944551934069821</v>
      </c>
      <c r="CS132" s="126">
        <f t="shared" si="142"/>
        <v>-16.158561874662418</v>
      </c>
      <c r="CT132" s="520">
        <f t="shared" si="143"/>
        <v>-17.107600615950957</v>
      </c>
      <c r="CU132" s="6"/>
      <c r="DB132" s="1961"/>
      <c r="DC132" s="1961"/>
      <c r="DD132" s="1961"/>
      <c r="DE132" s="1961"/>
      <c r="DF132" s="1961"/>
      <c r="DG132" s="1961"/>
      <c r="DH132" s="1961"/>
      <c r="DI132" s="126"/>
    </row>
    <row r="133" spans="1:113" ht="5.0999999999999996" customHeight="1" x14ac:dyDescent="0.25">
      <c r="A133" s="530"/>
      <c r="B133" s="205"/>
      <c r="C133" s="134" t="s">
        <v>60</v>
      </c>
      <c r="D133" s="134" t="s">
        <v>60</v>
      </c>
      <c r="E133" s="135" t="s">
        <v>60</v>
      </c>
      <c r="F133" s="135" t="s">
        <v>60</v>
      </c>
      <c r="G133" s="135" t="s">
        <v>60</v>
      </c>
      <c r="H133" s="135" t="s">
        <v>60</v>
      </c>
      <c r="I133" s="205" t="s">
        <v>60</v>
      </c>
      <c r="J133" s="205" t="s">
        <v>60</v>
      </c>
      <c r="K133" s="135" t="s">
        <v>60</v>
      </c>
      <c r="L133" s="135" t="s">
        <v>60</v>
      </c>
      <c r="M133" s="135" t="s">
        <v>60</v>
      </c>
      <c r="N133" s="134" t="s">
        <v>60</v>
      </c>
      <c r="O133" s="135" t="s">
        <v>60</v>
      </c>
      <c r="P133" s="135" t="s">
        <v>60</v>
      </c>
      <c r="Q133" s="135" t="s">
        <v>60</v>
      </c>
      <c r="R133" s="135" t="s">
        <v>60</v>
      </c>
      <c r="S133" s="134" t="s">
        <v>60</v>
      </c>
      <c r="T133" s="531" t="s">
        <v>60</v>
      </c>
      <c r="U133" s="531" t="s">
        <v>60</v>
      </c>
      <c r="V133" s="531" t="s">
        <v>60</v>
      </c>
      <c r="W133" s="135" t="s">
        <v>60</v>
      </c>
      <c r="X133" s="134" t="s">
        <v>60</v>
      </c>
      <c r="Y133" s="135" t="s">
        <v>60</v>
      </c>
      <c r="Z133" s="135" t="s">
        <v>60</v>
      </c>
      <c r="AA133" s="135" t="s">
        <v>60</v>
      </c>
      <c r="AB133" s="135" t="s">
        <v>60</v>
      </c>
      <c r="AC133" s="134" t="s">
        <v>60</v>
      </c>
      <c r="AD133" s="135" t="s">
        <v>60</v>
      </c>
      <c r="AE133" s="135" t="s">
        <v>60</v>
      </c>
      <c r="AF133" s="135" t="s">
        <v>60</v>
      </c>
      <c r="AG133" s="135" t="s">
        <v>60</v>
      </c>
      <c r="AH133" s="532" t="s">
        <v>60</v>
      </c>
      <c r="AI133" s="533" t="s">
        <v>60</v>
      </c>
      <c r="AJ133" s="534" t="s">
        <v>60</v>
      </c>
      <c r="AK133" s="135" t="s">
        <v>60</v>
      </c>
      <c r="AL133" s="135" t="s">
        <v>60</v>
      </c>
      <c r="AM133" s="134" t="s">
        <v>60</v>
      </c>
      <c r="AN133" s="533" t="s">
        <v>60</v>
      </c>
      <c r="AO133" s="135" t="s">
        <v>60</v>
      </c>
      <c r="AP133" s="135" t="s">
        <v>60</v>
      </c>
      <c r="AQ133" s="135" t="s">
        <v>60</v>
      </c>
      <c r="AR133" s="134" t="s">
        <v>60</v>
      </c>
      <c r="AS133" s="533" t="s">
        <v>60</v>
      </c>
      <c r="AT133" s="135" t="s">
        <v>60</v>
      </c>
      <c r="AU133" s="135" t="s">
        <v>60</v>
      </c>
      <c r="AV133" s="135" t="s">
        <v>60</v>
      </c>
      <c r="AW133" s="134" t="s">
        <v>60</v>
      </c>
      <c r="AX133" s="135" t="s">
        <v>60</v>
      </c>
      <c r="AY133" s="135" t="s">
        <v>60</v>
      </c>
      <c r="AZ133" s="135" t="s">
        <v>60</v>
      </c>
      <c r="BA133" s="135" t="s">
        <v>60</v>
      </c>
      <c r="BB133" s="134" t="s">
        <v>60</v>
      </c>
      <c r="BC133" s="135" t="s">
        <v>60</v>
      </c>
      <c r="BD133" s="135" t="s">
        <v>60</v>
      </c>
      <c r="BE133" s="135" t="s">
        <v>60</v>
      </c>
      <c r="BF133" s="135" t="s">
        <v>60</v>
      </c>
      <c r="BG133" s="134" t="s">
        <v>60</v>
      </c>
      <c r="BH133" s="135" t="s">
        <v>60</v>
      </c>
      <c r="BI133" s="135" t="s">
        <v>60</v>
      </c>
      <c r="BJ133" s="135" t="s">
        <v>60</v>
      </c>
      <c r="BK133" s="135" t="s">
        <v>60</v>
      </c>
      <c r="BL133" s="134" t="s">
        <v>60</v>
      </c>
      <c r="BM133" s="135" t="s">
        <v>60</v>
      </c>
      <c r="BN133" s="135" t="s">
        <v>60</v>
      </c>
      <c r="BO133" s="135" t="s">
        <v>60</v>
      </c>
      <c r="BP133" s="135" t="s">
        <v>60</v>
      </c>
      <c r="BQ133" s="134" t="s">
        <v>60</v>
      </c>
      <c r="BR133" s="135" t="s">
        <v>60</v>
      </c>
      <c r="BS133" s="135" t="s">
        <v>60</v>
      </c>
      <c r="BT133" s="135" t="s">
        <v>60</v>
      </c>
      <c r="BU133" s="135" t="s">
        <v>60</v>
      </c>
      <c r="BV133" s="134" t="s">
        <v>60</v>
      </c>
      <c r="BW133" s="135" t="s">
        <v>60</v>
      </c>
      <c r="BX133" s="135" t="s">
        <v>60</v>
      </c>
      <c r="BY133" s="135" t="s">
        <v>60</v>
      </c>
      <c r="BZ133" s="135" t="s">
        <v>60</v>
      </c>
      <c r="CA133" s="134" t="s">
        <v>60</v>
      </c>
      <c r="CB133" s="1910" t="s">
        <v>51</v>
      </c>
      <c r="CC133" s="507"/>
      <c r="CD133" s="530"/>
      <c r="CE133" s="135"/>
      <c r="CF133" s="135"/>
      <c r="CG133" s="135"/>
      <c r="CH133" s="135"/>
      <c r="CI133" s="135"/>
      <c r="CJ133" s="135"/>
      <c r="CK133" s="135"/>
      <c r="CL133" s="135"/>
      <c r="CM133" s="135"/>
      <c r="CN133" s="135"/>
      <c r="CO133" s="135"/>
      <c r="CP133" s="135"/>
      <c r="CQ133" s="135"/>
      <c r="CR133" s="135"/>
      <c r="CS133" s="135"/>
      <c r="CT133" s="210"/>
      <c r="CU133" s="6"/>
      <c r="DB133" s="1961"/>
      <c r="DC133" s="1961"/>
      <c r="DD133" s="1961"/>
      <c r="DE133" s="1961"/>
      <c r="DF133" s="1961"/>
      <c r="DG133" s="1961"/>
      <c r="DH133" s="1961"/>
      <c r="DI133" s="259"/>
    </row>
    <row r="134" spans="1:113" ht="12" customHeight="1" x14ac:dyDescent="0.25">
      <c r="A134" s="212" t="s">
        <v>140</v>
      </c>
      <c r="B134" s="535"/>
      <c r="C134" s="71">
        <f t="shared" ref="C134:BB134" si="164">SUM(C113:C124,C126:C132)</f>
        <v>174.07100000000008</v>
      </c>
      <c r="D134" s="71">
        <f t="shared" si="164"/>
        <v>223.499</v>
      </c>
      <c r="E134" s="74">
        <f t="shared" si="164"/>
        <v>92.735000000000014</v>
      </c>
      <c r="F134" s="74">
        <f t="shared" si="164"/>
        <v>24.401000000000003</v>
      </c>
      <c r="G134" s="74">
        <f t="shared" si="164"/>
        <v>75.897999999999996</v>
      </c>
      <c r="H134" s="74">
        <f t="shared" si="164"/>
        <v>55.487000000000037</v>
      </c>
      <c r="I134" s="138">
        <f t="shared" si="164"/>
        <v>248.52100000000002</v>
      </c>
      <c r="J134" s="138">
        <f t="shared" si="164"/>
        <v>89.863999999999962</v>
      </c>
      <c r="K134" s="74">
        <f t="shared" si="164"/>
        <v>52.065000000000026</v>
      </c>
      <c r="L134" s="74">
        <f t="shared" si="164"/>
        <v>52.117000000000004</v>
      </c>
      <c r="M134" s="74">
        <f t="shared" si="164"/>
        <v>53.859999999999943</v>
      </c>
      <c r="N134" s="71">
        <f t="shared" si="164"/>
        <v>247.90599999999998</v>
      </c>
      <c r="O134" s="138">
        <f t="shared" si="164"/>
        <v>135.393</v>
      </c>
      <c r="P134" s="74">
        <f t="shared" si="164"/>
        <v>49.13600000000001</v>
      </c>
      <c r="Q134" s="74">
        <f t="shared" si="164"/>
        <v>71.04700000000004</v>
      </c>
      <c r="R134" s="74">
        <f t="shared" si="164"/>
        <v>70.824999999999989</v>
      </c>
      <c r="S134" s="71">
        <f t="shared" si="164"/>
        <v>326.40100000000007</v>
      </c>
      <c r="T134" s="323">
        <f t="shared" si="164"/>
        <v>137.18899999999999</v>
      </c>
      <c r="U134" s="275">
        <f t="shared" si="164"/>
        <v>35.845000000000006</v>
      </c>
      <c r="V134" s="275">
        <f t="shared" si="164"/>
        <v>68.773000000000053</v>
      </c>
      <c r="W134" s="74">
        <f t="shared" si="164"/>
        <v>94.224999999999994</v>
      </c>
      <c r="X134" s="71">
        <f t="shared" si="164"/>
        <v>336.03199999999987</v>
      </c>
      <c r="Y134" s="138">
        <f t="shared" si="164"/>
        <v>145.58100000000007</v>
      </c>
      <c r="Z134" s="74">
        <f t="shared" si="164"/>
        <v>41.506000000000029</v>
      </c>
      <c r="AA134" s="74">
        <f t="shared" si="164"/>
        <v>136.66700000000003</v>
      </c>
      <c r="AB134" s="74">
        <f t="shared" si="164"/>
        <v>51.96699999999997</v>
      </c>
      <c r="AC134" s="71">
        <f t="shared" si="164"/>
        <v>375.721</v>
      </c>
      <c r="AD134" s="74">
        <f t="shared" si="164"/>
        <v>189.61299999999997</v>
      </c>
      <c r="AE134" s="74">
        <f t="shared" si="164"/>
        <v>-2.1780000000000115</v>
      </c>
      <c r="AF134" s="74">
        <f>SUM(AF113:AF124,AF126:AF132)</f>
        <v>133.56200000000001</v>
      </c>
      <c r="AG134" s="74">
        <f t="shared" si="164"/>
        <v>147.23200000000003</v>
      </c>
      <c r="AH134" s="71">
        <f t="shared" si="164"/>
        <v>468.22899999999993</v>
      </c>
      <c r="AI134" s="138">
        <f t="shared" si="164"/>
        <v>191.25699999999998</v>
      </c>
      <c r="AJ134" s="74">
        <f t="shared" si="164"/>
        <v>54.309999999999974</v>
      </c>
      <c r="AK134" s="74">
        <f t="shared" si="164"/>
        <v>138.667</v>
      </c>
      <c r="AL134" s="74">
        <f t="shared" si="164"/>
        <v>122.70400000000002</v>
      </c>
      <c r="AM134" s="71">
        <f t="shared" si="164"/>
        <v>506.93799999999999</v>
      </c>
      <c r="AN134" s="138">
        <f t="shared" si="164"/>
        <v>232.82800000000003</v>
      </c>
      <c r="AO134" s="74">
        <f t="shared" si="164"/>
        <v>54.007000000000041</v>
      </c>
      <c r="AP134" s="74">
        <f t="shared" si="164"/>
        <v>91.80000000000004</v>
      </c>
      <c r="AQ134" s="74">
        <f>SUM(AQ113:AQ124,AQ126:AQ132)</f>
        <v>110.81700000000002</v>
      </c>
      <c r="AR134" s="71">
        <f>SUM(AR113:AR124,AR126:AR132)</f>
        <v>489.45200000000006</v>
      </c>
      <c r="AS134" s="138">
        <f t="shared" si="164"/>
        <v>270.98999999999995</v>
      </c>
      <c r="AT134" s="74">
        <f t="shared" si="164"/>
        <v>84.513999999999839</v>
      </c>
      <c r="AU134" s="74">
        <f>SUM(AU113:AU124,AU126:AU132)</f>
        <v>164.54000000000005</v>
      </c>
      <c r="AV134" s="74">
        <f t="shared" si="164"/>
        <v>103.66400000000007</v>
      </c>
      <c r="AW134" s="71">
        <f t="shared" si="164"/>
        <v>623.70800000000008</v>
      </c>
      <c r="AX134" s="74">
        <f t="shared" si="164"/>
        <v>303.87900000000002</v>
      </c>
      <c r="AY134" s="74">
        <f t="shared" si="164"/>
        <v>74.605999999999838</v>
      </c>
      <c r="AZ134" s="74">
        <f t="shared" si="164"/>
        <v>85.186000000000021</v>
      </c>
      <c r="BA134" s="74">
        <f t="shared" si="164"/>
        <v>82.49199999999999</v>
      </c>
      <c r="BB134" s="77">
        <f t="shared" si="164"/>
        <v>546.16299999999978</v>
      </c>
      <c r="BC134" s="74">
        <f t="shared" ref="BC134:CA134" si="165">SUM(BC113:BC124,BC126:BC132)</f>
        <v>317.89999999999998</v>
      </c>
      <c r="BD134" s="74">
        <f t="shared" si="165"/>
        <v>111.90000000000005</v>
      </c>
      <c r="BE134" s="74">
        <f t="shared" si="165"/>
        <v>162.2999999999999</v>
      </c>
      <c r="BF134" s="74">
        <f t="shared" si="165"/>
        <v>151.39999999999998</v>
      </c>
      <c r="BG134" s="77">
        <f t="shared" si="165"/>
        <v>743.5</v>
      </c>
      <c r="BH134" s="74">
        <f t="shared" si="165"/>
        <v>402.58066402848721</v>
      </c>
      <c r="BI134" s="74">
        <f t="shared" si="165"/>
        <v>181.86455155554822</v>
      </c>
      <c r="BJ134" s="74">
        <f t="shared" si="165"/>
        <v>157.07053365731517</v>
      </c>
      <c r="BK134" s="74">
        <f t="shared" si="165"/>
        <v>138.02203426780193</v>
      </c>
      <c r="BL134" s="77">
        <f t="shared" si="165"/>
        <v>879.53778350915252</v>
      </c>
      <c r="BM134" s="74">
        <f t="shared" si="165"/>
        <v>428.26303827641908</v>
      </c>
      <c r="BN134" s="74">
        <f t="shared" si="165"/>
        <v>194.87829147257298</v>
      </c>
      <c r="BO134" s="74">
        <f t="shared" si="165"/>
        <v>168.16935300597322</v>
      </c>
      <c r="BP134" s="74">
        <f t="shared" si="165"/>
        <v>148.21274297845443</v>
      </c>
      <c r="BQ134" s="77">
        <f t="shared" si="165"/>
        <v>939.52342573341969</v>
      </c>
      <c r="BR134" s="74">
        <f t="shared" si="165"/>
        <v>454.24042090529093</v>
      </c>
      <c r="BS134" s="74">
        <f t="shared" si="165"/>
        <v>207.59346860490928</v>
      </c>
      <c r="BT134" s="74">
        <f t="shared" si="165"/>
        <v>179.14410058118534</v>
      </c>
      <c r="BU134" s="74">
        <f t="shared" si="165"/>
        <v>158.23864342888388</v>
      </c>
      <c r="BV134" s="77">
        <f t="shared" si="165"/>
        <v>999.2166335202694</v>
      </c>
      <c r="BW134" s="74">
        <f t="shared" si="165"/>
        <v>481.30112629853909</v>
      </c>
      <c r="BX134" s="74">
        <f t="shared" si="165"/>
        <v>220.74818402135878</v>
      </c>
      <c r="BY134" s="74">
        <f t="shared" si="165"/>
        <v>190.6111333197004</v>
      </c>
      <c r="BZ134" s="74">
        <f t="shared" si="165"/>
        <v>168.88221581815424</v>
      </c>
      <c r="CA134" s="77">
        <f t="shared" si="165"/>
        <v>1061.5426594577525</v>
      </c>
      <c r="CB134" s="1910" t="s">
        <v>51</v>
      </c>
      <c r="CC134" s="507"/>
      <c r="CD134" s="212" t="str">
        <f>A134</f>
        <v>Net Cash provided by Op. Activities from Cont. Ops.</v>
      </c>
      <c r="CE134" s="74">
        <f>D134</f>
        <v>223.499</v>
      </c>
      <c r="CF134" s="74">
        <f>I134</f>
        <v>248.52100000000002</v>
      </c>
      <c r="CG134" s="74">
        <f>N134</f>
        <v>247.90599999999998</v>
      </c>
      <c r="CH134" s="74">
        <f>S134</f>
        <v>326.40100000000007</v>
      </c>
      <c r="CI134" s="74">
        <f>X134</f>
        <v>336.03199999999987</v>
      </c>
      <c r="CJ134" s="74">
        <f>AC134</f>
        <v>375.721</v>
      </c>
      <c r="CK134" s="74">
        <f>AH134</f>
        <v>468.22899999999993</v>
      </c>
      <c r="CL134" s="74">
        <f>AM134</f>
        <v>506.93799999999999</v>
      </c>
      <c r="CM134" s="74">
        <f>AR134</f>
        <v>489.45200000000006</v>
      </c>
      <c r="CN134" s="74">
        <f>AW134</f>
        <v>623.70800000000008</v>
      </c>
      <c r="CO134" s="74">
        <f>BB134</f>
        <v>546.16299999999978</v>
      </c>
      <c r="CP134" s="74">
        <f>BG134</f>
        <v>743.5</v>
      </c>
      <c r="CQ134" s="74">
        <f>BL134</f>
        <v>879.53778350915252</v>
      </c>
      <c r="CR134" s="74">
        <f>BQ134</f>
        <v>939.52342573341969</v>
      </c>
      <c r="CS134" s="74">
        <f>BV134</f>
        <v>999.2166335202694</v>
      </c>
      <c r="CT134" s="141">
        <f>CA134</f>
        <v>1061.5426594577525</v>
      </c>
      <c r="CU134" s="6"/>
      <c r="DB134" s="1961"/>
      <c r="DC134" s="1961"/>
      <c r="DD134" s="1961"/>
      <c r="DE134" s="1961"/>
      <c r="DF134" s="1961"/>
      <c r="DG134" s="1961"/>
      <c r="DH134" s="1961"/>
      <c r="DI134" s="74"/>
    </row>
    <row r="135" spans="1:113" ht="5.0999999999999996" customHeight="1" x14ac:dyDescent="0.25">
      <c r="A135" s="212"/>
      <c r="B135" s="517"/>
      <c r="C135" s="278"/>
      <c r="D135" s="278"/>
      <c r="E135" s="516"/>
      <c r="F135" s="516"/>
      <c r="G135" s="516"/>
      <c r="H135" s="516"/>
      <c r="I135" s="509"/>
      <c r="J135" s="517"/>
      <c r="K135" s="516"/>
      <c r="L135" s="516"/>
      <c r="M135" s="516"/>
      <c r="N135" s="510"/>
      <c r="O135" s="536"/>
      <c r="P135" s="537"/>
      <c r="Q135" s="516"/>
      <c r="R135" s="516"/>
      <c r="S135" s="510"/>
      <c r="T135" s="536"/>
      <c r="U135" s="537"/>
      <c r="V135" s="516"/>
      <c r="W135" s="516"/>
      <c r="X135" s="510"/>
      <c r="Y135" s="517"/>
      <c r="Z135" s="516"/>
      <c r="AA135" s="516"/>
      <c r="AB135" s="516"/>
      <c r="AC135" s="538"/>
      <c r="AD135" s="516"/>
      <c r="AE135" s="516"/>
      <c r="AF135" s="516"/>
      <c r="AG135" s="516"/>
      <c r="AH135" s="510"/>
      <c r="AI135" s="517"/>
      <c r="AJ135" s="516"/>
      <c r="AK135" s="537"/>
      <c r="AL135" s="516"/>
      <c r="AM135" s="510"/>
      <c r="AN135" s="517"/>
      <c r="AO135" s="539"/>
      <c r="AP135" s="539"/>
      <c r="AQ135" s="539"/>
      <c r="AR135" s="538"/>
      <c r="AS135" s="517"/>
      <c r="AT135" s="540"/>
      <c r="AU135" s="540"/>
      <c r="AV135" s="539"/>
      <c r="AW135" s="265"/>
      <c r="AX135" s="539"/>
      <c r="AY135" s="539"/>
      <c r="AZ135" s="539"/>
      <c r="BA135" s="539"/>
      <c r="BB135" s="320"/>
      <c r="BC135" s="539"/>
      <c r="BD135" s="539"/>
      <c r="BE135" s="539"/>
      <c r="BF135" s="539"/>
      <c r="BG135" s="320"/>
      <c r="BH135" s="539"/>
      <c r="BI135" s="539"/>
      <c r="BJ135" s="539"/>
      <c r="BK135" s="539"/>
      <c r="BL135" s="320"/>
      <c r="BM135" s="539"/>
      <c r="BN135" s="539"/>
      <c r="BO135" s="539"/>
      <c r="BP135" s="539"/>
      <c r="BQ135" s="320"/>
      <c r="BR135" s="539"/>
      <c r="BS135" s="539"/>
      <c r="BT135" s="539"/>
      <c r="BU135" s="539"/>
      <c r="BV135" s="320"/>
      <c r="BW135" s="539"/>
      <c r="BX135" s="539"/>
      <c r="BY135" s="539"/>
      <c r="BZ135" s="539"/>
      <c r="CA135" s="320"/>
      <c r="CB135" s="1910" t="s">
        <v>51</v>
      </c>
      <c r="CC135" s="507"/>
      <c r="CD135" s="212"/>
      <c r="CE135" s="516"/>
      <c r="CF135" s="516"/>
      <c r="CG135" s="516"/>
      <c r="CH135" s="516"/>
      <c r="CI135" s="516"/>
      <c r="CJ135" s="516"/>
      <c r="CK135" s="516"/>
      <c r="CL135" s="516"/>
      <c r="CM135" s="516"/>
      <c r="CN135" s="516"/>
      <c r="CO135" s="516"/>
      <c r="CP135" s="516"/>
      <c r="CQ135" s="516"/>
      <c r="CR135" s="516"/>
      <c r="CS135" s="516"/>
      <c r="CT135" s="518"/>
      <c r="CU135" s="6"/>
      <c r="DB135" s="1961"/>
      <c r="DC135" s="1961"/>
      <c r="DD135" s="1961"/>
      <c r="DE135" s="1961"/>
      <c r="DF135" s="1961"/>
      <c r="DG135" s="1961"/>
      <c r="DH135" s="1961"/>
      <c r="DI135" s="268"/>
    </row>
    <row r="136" spans="1:113" ht="12" customHeight="1" x14ac:dyDescent="0.25">
      <c r="A136" s="492" t="s">
        <v>141</v>
      </c>
      <c r="B136" s="317"/>
      <c r="C136" s="296"/>
      <c r="D136" s="296"/>
      <c r="E136" s="494"/>
      <c r="F136" s="494"/>
      <c r="G136" s="494"/>
      <c r="H136" s="494"/>
      <c r="I136" s="495"/>
      <c r="J136" s="317"/>
      <c r="K136" s="494"/>
      <c r="L136" s="494"/>
      <c r="M136" s="494"/>
      <c r="N136" s="497"/>
      <c r="O136" s="317"/>
      <c r="P136" s="494"/>
      <c r="Q136" s="494"/>
      <c r="R136" s="494"/>
      <c r="S136" s="497"/>
      <c r="T136" s="317"/>
      <c r="U136" s="494"/>
      <c r="V136" s="494"/>
      <c r="W136" s="494"/>
      <c r="X136" s="497"/>
      <c r="Y136" s="317"/>
      <c r="Z136" s="494"/>
      <c r="AA136" s="494"/>
      <c r="AB136" s="494"/>
      <c r="AC136" s="497"/>
      <c r="AD136" s="494"/>
      <c r="AE136" s="494"/>
      <c r="AF136" s="494"/>
      <c r="AG136" s="494"/>
      <c r="AH136" s="497"/>
      <c r="AI136" s="317"/>
      <c r="AJ136" s="494"/>
      <c r="AK136" s="494"/>
      <c r="AL136" s="494"/>
      <c r="AM136" s="497"/>
      <c r="AN136" s="317"/>
      <c r="AO136" s="491"/>
      <c r="AP136" s="491"/>
      <c r="AQ136" s="491"/>
      <c r="AR136" s="497"/>
      <c r="AS136" s="317"/>
      <c r="AT136" s="541"/>
      <c r="AU136" s="541"/>
      <c r="AV136" s="491"/>
      <c r="AW136" s="497"/>
      <c r="AX136" s="491"/>
      <c r="AY136" s="491"/>
      <c r="AZ136" s="491"/>
      <c r="BA136" s="491"/>
      <c r="BB136" s="497"/>
      <c r="BC136" s="491"/>
      <c r="BD136" s="491"/>
      <c r="BE136" s="491"/>
      <c r="BF136" s="491"/>
      <c r="BG136" s="497"/>
      <c r="BH136" s="491"/>
      <c r="BI136" s="491"/>
      <c r="BJ136" s="491"/>
      <c r="BK136" s="491"/>
      <c r="BL136" s="497"/>
      <c r="BM136" s="491"/>
      <c r="BN136" s="491"/>
      <c r="BO136" s="491"/>
      <c r="BP136" s="491"/>
      <c r="BQ136" s="497"/>
      <c r="BR136" s="491"/>
      <c r="BS136" s="491"/>
      <c r="BT136" s="491"/>
      <c r="BU136" s="491"/>
      <c r="BV136" s="497"/>
      <c r="BW136" s="491"/>
      <c r="BX136" s="491"/>
      <c r="BY136" s="491"/>
      <c r="BZ136" s="491"/>
      <c r="CA136" s="497"/>
      <c r="CB136" s="1910" t="s">
        <v>51</v>
      </c>
      <c r="CC136" s="507"/>
      <c r="CD136" s="492" t="str">
        <f t="shared" ref="CD136:CD142" si="166">A136</f>
        <v>Cash From Investing Activities</v>
      </c>
      <c r="CE136" s="494"/>
      <c r="CF136" s="494"/>
      <c r="CG136" s="494"/>
      <c r="CH136" s="494"/>
      <c r="CI136" s="494"/>
      <c r="CJ136" s="494"/>
      <c r="CK136" s="494"/>
      <c r="CL136" s="494"/>
      <c r="CM136" s="494"/>
      <c r="CN136" s="494"/>
      <c r="CO136" s="494"/>
      <c r="CP136" s="494"/>
      <c r="CQ136" s="494"/>
      <c r="CR136" s="494"/>
      <c r="CS136" s="494"/>
      <c r="CT136" s="542"/>
      <c r="CU136" s="6"/>
      <c r="DB136" s="1961"/>
      <c r="DC136" s="1961"/>
      <c r="DD136" s="1961"/>
      <c r="DE136" s="1961"/>
      <c r="DF136" s="1961"/>
      <c r="DG136" s="1961"/>
      <c r="DH136" s="1961"/>
      <c r="DI136" s="491"/>
    </row>
    <row r="137" spans="1:113" ht="12" customHeight="1" x14ac:dyDescent="0.25">
      <c r="A137" s="501" t="s">
        <v>142</v>
      </c>
      <c r="B137" s="543"/>
      <c r="C137" s="229">
        <v>-24.018999999999998</v>
      </c>
      <c r="D137" s="229">
        <v>-25.742000000000001</v>
      </c>
      <c r="E137" s="234">
        <v>-14.406000000000001</v>
      </c>
      <c r="F137" s="234">
        <f>-23.05-E137</f>
        <v>-8.6440000000000001</v>
      </c>
      <c r="G137" s="234">
        <f>-28.328-SUM(E137:F137)</f>
        <v>-5.2779999999999987</v>
      </c>
      <c r="H137" s="234">
        <f>-32.941-SUM(E137:G137)</f>
        <v>-4.6130000000000031</v>
      </c>
      <c r="I137" s="544">
        <f t="shared" ref="I137:I142" si="167">SUM(E137:H137)</f>
        <v>-32.941000000000003</v>
      </c>
      <c r="J137" s="543">
        <v>-9.766</v>
      </c>
      <c r="K137" s="234">
        <f>-17.81-J137</f>
        <v>-8.0439999999999987</v>
      </c>
      <c r="L137" s="234">
        <f>-22.323-SUM(J137:K137)</f>
        <v>-4.5130000000000017</v>
      </c>
      <c r="M137" s="234">
        <f>-30.652-SUM(J137:L137)</f>
        <v>-8.3290000000000006</v>
      </c>
      <c r="N137" s="545">
        <f t="shared" ref="N137:N142" si="168">SUM(J137:M137)</f>
        <v>-30.652000000000001</v>
      </c>
      <c r="O137" s="543">
        <v>-8.359</v>
      </c>
      <c r="P137" s="234">
        <f>-16.195-O137</f>
        <v>-7.8360000000000003</v>
      </c>
      <c r="Q137" s="234">
        <f>-24.319-SUM(O137:P137)</f>
        <v>-8.1239999999999988</v>
      </c>
      <c r="R137" s="234">
        <f>-38.694-SUM(O137:Q137)</f>
        <v>-14.375000000000004</v>
      </c>
      <c r="S137" s="545">
        <f t="shared" ref="S137:S142" si="169">SUM(O137:R137)</f>
        <v>-38.694000000000003</v>
      </c>
      <c r="T137" s="543">
        <v>-7.4980000000000002</v>
      </c>
      <c r="U137" s="234">
        <f>-15.57-T137</f>
        <v>-8.0719999999999992</v>
      </c>
      <c r="V137" s="234">
        <f>-22.206-SUM(T137:U137)</f>
        <v>-6.6359999999999992</v>
      </c>
      <c r="W137" s="234">
        <f>-38.641-T137-U137-V137</f>
        <v>-16.434999999999999</v>
      </c>
      <c r="X137" s="545">
        <f t="shared" ref="X137:X142" si="170">SUM(T137:W137)</f>
        <v>-38.640999999999998</v>
      </c>
      <c r="Y137" s="234">
        <v>-13.648</v>
      </c>
      <c r="Z137" s="234">
        <f>-28.171-Y137</f>
        <v>-14.523</v>
      </c>
      <c r="AA137" s="234">
        <f>-41.925-SUM(Y137:Z137)</f>
        <v>-13.753999999999998</v>
      </c>
      <c r="AB137" s="234">
        <f>-59.829-SUM(Y137:AA137)</f>
        <v>-17.904000000000003</v>
      </c>
      <c r="AC137" s="545">
        <f t="shared" ref="AC137:AC142" si="171">SUM(Y137:AB137)</f>
        <v>-59.829000000000001</v>
      </c>
      <c r="AD137" s="234">
        <v>-17.442</v>
      </c>
      <c r="AE137" s="234">
        <f>-36.532-AD137</f>
        <v>-19.089999999999996</v>
      </c>
      <c r="AF137" s="234">
        <f>-55.724-SUM(AD137:AE137)</f>
        <v>-19.192</v>
      </c>
      <c r="AG137" s="234">
        <f>-74.373-SUM(AD137:AF137)</f>
        <v>-18.649000000000008</v>
      </c>
      <c r="AH137" s="545">
        <f t="shared" ref="AH137:AH142" si="172">SUM(AD137:AG137)</f>
        <v>-74.373000000000005</v>
      </c>
      <c r="AI137" s="543">
        <v>-28.065000000000001</v>
      </c>
      <c r="AJ137" s="234">
        <f>-63.505-AI137</f>
        <v>-35.44</v>
      </c>
      <c r="AK137" s="234">
        <f>-107.915-SUM(AI137:AJ137)</f>
        <v>-44.410000000000011</v>
      </c>
      <c r="AL137" s="234">
        <f>-145.976-SUM(AI137:AK137)</f>
        <v>-38.060999999999993</v>
      </c>
      <c r="AM137" s="545">
        <f t="shared" ref="AM137:AM142" si="173">SUM(AI137:AL137)</f>
        <v>-145.976</v>
      </c>
      <c r="AN137" s="543">
        <v>-36.143999999999998</v>
      </c>
      <c r="AO137" s="234">
        <f>-75.764-AN137</f>
        <v>-39.619999999999997</v>
      </c>
      <c r="AP137" s="234">
        <f>-102.992-SUM(AN137:AO137)</f>
        <v>-27.228000000000009</v>
      </c>
      <c r="AQ137" s="234">
        <f>-146.818-SUM(AN137:AP137)</f>
        <v>-43.826000000000008</v>
      </c>
      <c r="AR137" s="545">
        <f t="shared" ref="AR137:AR142" si="174">SUM(AN137:AQ137)</f>
        <v>-146.81800000000001</v>
      </c>
      <c r="AS137" s="543">
        <f>-24.76</f>
        <v>-24.76</v>
      </c>
      <c r="AT137" s="234">
        <f>-60.092-AS137</f>
        <v>-35.331999999999994</v>
      </c>
      <c r="AU137" s="234">
        <f>-105.765-SUM(AS137:AT137)</f>
        <v>-45.673000000000002</v>
      </c>
      <c r="AV137" s="234">
        <f>-166.138-SUM(AS137:AU137)</f>
        <v>-60.373000000000005</v>
      </c>
      <c r="AW137" s="545">
        <f t="shared" ref="AW137:AW142" si="175">SUM(AS137:AV137)</f>
        <v>-166.13800000000001</v>
      </c>
      <c r="AX137" s="234">
        <v>-30.763000000000002</v>
      </c>
      <c r="AY137" s="234">
        <f>-62.231-AX137</f>
        <v>-31.468</v>
      </c>
      <c r="AZ137" s="234">
        <f>-98.57-SUM(AX137:AY137)</f>
        <v>-36.338999999999992</v>
      </c>
      <c r="BA137" s="235">
        <f>-156.5-SUM(AX137:AZ137)</f>
        <v>-57.930000000000007</v>
      </c>
      <c r="BB137" s="545">
        <f t="shared" ref="BB137:BB142" si="176">SUM(AX137:BA137)</f>
        <v>-156.5</v>
      </c>
      <c r="BC137" s="1881">
        <v>-31.1</v>
      </c>
      <c r="BD137" s="1881">
        <f>-72.5-BC137</f>
        <v>-41.4</v>
      </c>
      <c r="BE137" s="1946">
        <f>-113.8-BD137-BC137</f>
        <v>-41.300000000000004</v>
      </c>
      <c r="BF137" s="1946">
        <f>-183.5-SUM(BC137:BE137)</f>
        <v>-69.699999999999989</v>
      </c>
      <c r="BG137" s="545">
        <f t="shared" ref="BG137:BG142" si="177">SUM(BC137:BF137)</f>
        <v>-183.5</v>
      </c>
      <c r="BH137" s="546">
        <f>-BH383</f>
        <v>-40.837905698368488</v>
      </c>
      <c r="BI137" s="546">
        <f>-BI383</f>
        <v>-51.933537889908244</v>
      </c>
      <c r="BJ137" s="546">
        <f>-BJ383</f>
        <v>-50.977421134583878</v>
      </c>
      <c r="BK137" s="546">
        <f>-BK383</f>
        <v>-80.698133696300175</v>
      </c>
      <c r="BL137" s="545">
        <f t="shared" ref="BL137:BL142" si="178">SUM(BH137:BK137)</f>
        <v>-224.44699841916079</v>
      </c>
      <c r="BM137" s="546">
        <f>-BM383</f>
        <v>-37.148866154994032</v>
      </c>
      <c r="BN137" s="546">
        <f>-BN383</f>
        <v>-48.762677047018336</v>
      </c>
      <c r="BO137" s="546">
        <f>-BO383</f>
        <v>-47.59921678177929</v>
      </c>
      <c r="BP137" s="546">
        <f>-BP383</f>
        <v>-78.976880564615115</v>
      </c>
      <c r="BQ137" s="545">
        <f t="shared" ref="BQ137:BQ142" si="179">SUM(BM137:BP137)</f>
        <v>-212.48764054840677</v>
      </c>
      <c r="BR137" s="546">
        <f>-BR383</f>
        <v>-33.524981871501538</v>
      </c>
      <c r="BS137" s="546">
        <f>-BS383</f>
        <v>-45.642172652306421</v>
      </c>
      <c r="BT137" s="546">
        <f>-BT383</f>
        <v>-44.262345799311653</v>
      </c>
      <c r="BU137" s="546">
        <f>-BU383</f>
        <v>-77.27504914828188</v>
      </c>
      <c r="BV137" s="545">
        <f t="shared" ref="BV137:BV142" si="180">SUM(BR137:BU137)</f>
        <v>-200.70454947140149</v>
      </c>
      <c r="BW137" s="546">
        <f>-BW383</f>
        <v>-32.060319684863096</v>
      </c>
      <c r="BX137" s="546">
        <f>-BX383</f>
        <v>-44.772861956146265</v>
      </c>
      <c r="BY137" s="546">
        <f>-BY383</f>
        <v>-43.228814161451965</v>
      </c>
      <c r="BZ137" s="546">
        <f>-BZ383</f>
        <v>-78.025619720317792</v>
      </c>
      <c r="CA137" s="545">
        <f t="shared" ref="CA137:CA142" si="181">SUM(BW137:BZ137)</f>
        <v>-198.08761552277912</v>
      </c>
      <c r="CB137" s="1910" t="s">
        <v>51</v>
      </c>
      <c r="CC137" s="507"/>
      <c r="CD137" s="501" t="str">
        <f t="shared" si="166"/>
        <v xml:space="preserve">Capital Expenditures </v>
      </c>
      <c r="CE137" s="226">
        <f t="shared" ref="CE137:CE142" si="182">D137</f>
        <v>-25.742000000000001</v>
      </c>
      <c r="CF137" s="226">
        <f t="shared" ref="CF137:CF142" si="183">I137</f>
        <v>-32.941000000000003</v>
      </c>
      <c r="CG137" s="226">
        <f t="shared" ref="CG137:CG142" si="184">N137</f>
        <v>-30.652000000000001</v>
      </c>
      <c r="CH137" s="226">
        <f t="shared" ref="CH137:CH142" si="185">S137</f>
        <v>-38.694000000000003</v>
      </c>
      <c r="CI137" s="226">
        <f t="shared" ref="CI137:CI142" si="186">X137</f>
        <v>-38.640999999999998</v>
      </c>
      <c r="CJ137" s="226">
        <f t="shared" ref="CJ137:CJ142" si="187">AC137</f>
        <v>-59.829000000000001</v>
      </c>
      <c r="CK137" s="226">
        <f t="shared" ref="CK137:CK142" si="188">AH137</f>
        <v>-74.373000000000005</v>
      </c>
      <c r="CL137" s="226">
        <f t="shared" ref="CL137:CL142" si="189">AM137</f>
        <v>-145.976</v>
      </c>
      <c r="CM137" s="226">
        <f t="shared" ref="CM137:CM142" si="190">AR137</f>
        <v>-146.81800000000001</v>
      </c>
      <c r="CN137" s="226">
        <f t="shared" ref="CN137:CN142" si="191">AW137</f>
        <v>-166.13800000000001</v>
      </c>
      <c r="CO137" s="226">
        <f t="shared" ref="CO137:CO142" si="192">BB137</f>
        <v>-156.5</v>
      </c>
      <c r="CP137" s="226">
        <f t="shared" ref="CP137:CP142" si="193">BG137</f>
        <v>-183.5</v>
      </c>
      <c r="CQ137" s="226">
        <f t="shared" ref="CQ137:CQ142" si="194">BL137</f>
        <v>-224.44699841916079</v>
      </c>
      <c r="CR137" s="226">
        <f t="shared" ref="CR137:CR142" si="195">BQ137</f>
        <v>-212.48764054840677</v>
      </c>
      <c r="CS137" s="226">
        <f t="shared" ref="CS137:CS142" si="196">BV137</f>
        <v>-200.70454947140149</v>
      </c>
      <c r="CT137" s="547">
        <f t="shared" ref="CT137:CT142" si="197">CA137</f>
        <v>-198.08761552277912</v>
      </c>
      <c r="CU137" s="6"/>
      <c r="DB137" s="1961"/>
      <c r="DC137" s="1961"/>
      <c r="DD137" s="1961"/>
      <c r="DE137" s="1961"/>
      <c r="DF137" s="1961"/>
      <c r="DG137" s="1961"/>
      <c r="DH137" s="1961"/>
      <c r="DI137" s="546"/>
    </row>
    <row r="138" spans="1:113" ht="12" customHeight="1" x14ac:dyDescent="0.25">
      <c r="A138" s="501" t="s">
        <v>143</v>
      </c>
      <c r="B138" s="333"/>
      <c r="C138" s="265">
        <f>-59.249-14.354+2.024</f>
        <v>-71.579000000000008</v>
      </c>
      <c r="D138" s="265">
        <f>-201.617-14.6+0.297</f>
        <v>-215.92</v>
      </c>
      <c r="E138" s="268">
        <v>-0.71299999999999997</v>
      </c>
      <c r="F138" s="268">
        <f>-0.713+0.086-E138</f>
        <v>8.5999999999999965E-2</v>
      </c>
      <c r="G138" s="268">
        <f>-0.713+0.107-SUM(E138:F138)</f>
        <v>2.1000000000000019E-2</v>
      </c>
      <c r="H138" s="268">
        <f>-50.658-4.375+3.039-SUM(E138:G138)</f>
        <v>-51.387999999999998</v>
      </c>
      <c r="I138" s="509">
        <f t="shared" si="167"/>
        <v>-51.994</v>
      </c>
      <c r="J138" s="333">
        <v>0</v>
      </c>
      <c r="K138" s="268">
        <f>-0.041-3.32+0.549-J138</f>
        <v>-2.8119999999999998</v>
      </c>
      <c r="L138" s="268">
        <f>-0.041-3.32+0.549-SUM(J138:K138)</f>
        <v>0</v>
      </c>
      <c r="M138" s="268">
        <f>-18.951-1.5+0.558-SUM(J138:L138)</f>
        <v>-17.081</v>
      </c>
      <c r="N138" s="510">
        <f t="shared" si="168"/>
        <v>-19.893000000000001</v>
      </c>
      <c r="O138" s="333">
        <f>-51.618-7</f>
        <v>-58.618000000000002</v>
      </c>
      <c r="P138" s="516">
        <f>-51.618+-7-O138</f>
        <v>0</v>
      </c>
      <c r="Q138" s="268">
        <f>-58.831+0.024+-7.4-SUM(O138:P138)</f>
        <v>-7.5890000000000057</v>
      </c>
      <c r="R138" s="268">
        <f>-61.35+0.129+-7.636-SUM(O138:Q138)</f>
        <v>-2.6499999999999915</v>
      </c>
      <c r="S138" s="510">
        <f t="shared" si="169"/>
        <v>-68.856999999999999</v>
      </c>
      <c r="T138" s="333">
        <f>-6.227+0.213-1.5</f>
        <v>-7.5140000000000002</v>
      </c>
      <c r="U138" s="516">
        <f>-6.386+0.283-1.5-T138</f>
        <v>-8.8999999999999524E-2</v>
      </c>
      <c r="V138" s="516">
        <f>-6.386+0.283-1.5-SUM(T138:U138)</f>
        <v>0</v>
      </c>
      <c r="W138" s="516">
        <f>-189.578-15.98+0.283-T138-U138-V138</f>
        <v>-197.672</v>
      </c>
      <c r="X138" s="510">
        <f>SUM(T138:W138)</f>
        <v>-205.27500000000001</v>
      </c>
      <c r="Y138" s="516">
        <v>0</v>
      </c>
      <c r="Z138" s="516">
        <f>-121.721+-19.56+-3.5-Y138</f>
        <v>-144.78100000000001</v>
      </c>
      <c r="AA138" s="516">
        <f>-121.721+-3.5+-19.56-SUM(Y138:Z138)</f>
        <v>0</v>
      </c>
      <c r="AB138" s="516">
        <f>-121.721+-3.5+-19.56-SUM(Y138:AA138)</f>
        <v>0</v>
      </c>
      <c r="AC138" s="510">
        <f>SUM(Y138:AB138)</f>
        <v>-144.78100000000001</v>
      </c>
      <c r="AD138" s="516">
        <f>-330.777+-17</f>
        <v>-347.77699999999999</v>
      </c>
      <c r="AE138" s="516">
        <f>-331.33+-17-AD138</f>
        <v>-0.55299999999999727</v>
      </c>
      <c r="AF138" s="516">
        <f>-743.091+-37.8-AE138-AD138</f>
        <v>-432.56099999999998</v>
      </c>
      <c r="AG138" s="516">
        <f>-769.513-SUM(AD138:AF138)</f>
        <v>11.377999999999929</v>
      </c>
      <c r="AH138" s="510">
        <f>SUM(AD138:AG138)</f>
        <v>-769.51300000000003</v>
      </c>
      <c r="AI138" s="517">
        <v>0</v>
      </c>
      <c r="AJ138" s="516">
        <v>-0.98299999999999998</v>
      </c>
      <c r="AK138" s="516">
        <f>-0.983-SUM(AI138:AJ138)</f>
        <v>0</v>
      </c>
      <c r="AL138" s="516">
        <f>-0.983-SUM(AI138:AK138)</f>
        <v>0</v>
      </c>
      <c r="AM138" s="510">
        <f>SUM(AI138:AL138)</f>
        <v>-0.98299999999999998</v>
      </c>
      <c r="AN138" s="517">
        <f>-4.001</f>
        <v>-4.0010000000000003</v>
      </c>
      <c r="AO138" s="516">
        <f>-4.001-AN138</f>
        <v>0</v>
      </c>
      <c r="AP138" s="516">
        <f>-4.001-5-SUM(AN138:AO138)</f>
        <v>-5.0000000000000009</v>
      </c>
      <c r="AQ138" s="516">
        <f>-35.192+-5-SUM(AN138:AP138)</f>
        <v>-31.190999999999999</v>
      </c>
      <c r="AR138" s="510">
        <f>SUM(AN138:AQ138)</f>
        <v>-40.192</v>
      </c>
      <c r="AS138" s="517">
        <v>-0.40500000000000003</v>
      </c>
      <c r="AT138" s="548">
        <f>-2811.759-AS138</f>
        <v>-2811.3539999999998</v>
      </c>
      <c r="AU138" s="516">
        <f>-2811.759-SUM(AS138:AT138)-78.694</f>
        <v>-78.694000000000003</v>
      </c>
      <c r="AV138" s="516">
        <f>-2858.233-SUM(AS138:AU138)-83.411</f>
        <v>-51.191000000000201</v>
      </c>
      <c r="AW138" s="510">
        <f>SUM(AS138:AV138)</f>
        <v>-2941.6440000000002</v>
      </c>
      <c r="AX138" s="516">
        <v>0</v>
      </c>
      <c r="AY138" s="516">
        <f>719.374-6.2</f>
        <v>713.17399999999998</v>
      </c>
      <c r="AZ138" s="516">
        <f>719.374+8.464-4.444-AY138-45.161</f>
        <v>-34.94099999999986</v>
      </c>
      <c r="BA138" s="516">
        <f>714.6+8.5-6.5-SUM(AX138:AZ138)-67.7</f>
        <v>-29.333000000000155</v>
      </c>
      <c r="BB138" s="510">
        <f>SUM(AX138:BA138)</f>
        <v>648.9</v>
      </c>
      <c r="BC138" s="1882">
        <f>-66.5-9.8</f>
        <v>-76.3</v>
      </c>
      <c r="BD138" s="1882">
        <f>-109.8-BC138-12.5</f>
        <v>-46</v>
      </c>
      <c r="BE138" s="1944">
        <f>-674.3-30.9-BD138-BC138</f>
        <v>-582.9</v>
      </c>
      <c r="BF138" s="1944">
        <f>-873.3-41.6-SUM(BC138:BE138)</f>
        <v>-209.70000000000005</v>
      </c>
      <c r="BG138" s="510">
        <f t="shared" si="177"/>
        <v>-914.9</v>
      </c>
      <c r="BH138" s="219">
        <v>0</v>
      </c>
      <c r="BI138" s="219">
        <v>0</v>
      </c>
      <c r="BJ138" s="219">
        <v>0</v>
      </c>
      <c r="BK138" s="219">
        <v>0</v>
      </c>
      <c r="BL138" s="510">
        <f t="shared" si="178"/>
        <v>0</v>
      </c>
      <c r="BM138" s="219">
        <v>0</v>
      </c>
      <c r="BN138" s="219">
        <v>0</v>
      </c>
      <c r="BO138" s="219">
        <v>0</v>
      </c>
      <c r="BP138" s="219">
        <v>0</v>
      </c>
      <c r="BQ138" s="510">
        <f t="shared" si="179"/>
        <v>0</v>
      </c>
      <c r="BR138" s="219">
        <v>0</v>
      </c>
      <c r="BS138" s="219">
        <v>0</v>
      </c>
      <c r="BT138" s="219">
        <v>0</v>
      </c>
      <c r="BU138" s="219">
        <v>0</v>
      </c>
      <c r="BV138" s="510">
        <f t="shared" si="180"/>
        <v>0</v>
      </c>
      <c r="BW138" s="219">
        <v>0</v>
      </c>
      <c r="BX138" s="219">
        <v>0</v>
      </c>
      <c r="BY138" s="219">
        <v>0</v>
      </c>
      <c r="BZ138" s="219">
        <v>0</v>
      </c>
      <c r="CA138" s="510">
        <f t="shared" si="181"/>
        <v>0</v>
      </c>
      <c r="CB138" s="1910" t="s">
        <v>51</v>
      </c>
      <c r="CC138" s="507"/>
      <c r="CD138" s="501" t="str">
        <f t="shared" si="166"/>
        <v>Disposals/(Acquisitions)</v>
      </c>
      <c r="CE138" s="516">
        <f t="shared" si="182"/>
        <v>-215.92</v>
      </c>
      <c r="CF138" s="516">
        <f t="shared" si="183"/>
        <v>-51.994</v>
      </c>
      <c r="CG138" s="516">
        <f t="shared" si="184"/>
        <v>-19.893000000000001</v>
      </c>
      <c r="CH138" s="516">
        <f t="shared" si="185"/>
        <v>-68.856999999999999</v>
      </c>
      <c r="CI138" s="516">
        <f t="shared" si="186"/>
        <v>-205.27500000000001</v>
      </c>
      <c r="CJ138" s="516">
        <f t="shared" si="187"/>
        <v>-144.78100000000001</v>
      </c>
      <c r="CK138" s="516">
        <f t="shared" si="188"/>
        <v>-769.51300000000003</v>
      </c>
      <c r="CL138" s="516">
        <f t="shared" si="189"/>
        <v>-0.98299999999999998</v>
      </c>
      <c r="CM138" s="516">
        <f t="shared" si="190"/>
        <v>-40.192</v>
      </c>
      <c r="CN138" s="516">
        <f t="shared" si="191"/>
        <v>-2941.6440000000002</v>
      </c>
      <c r="CO138" s="516">
        <f t="shared" si="192"/>
        <v>648.9</v>
      </c>
      <c r="CP138" s="516">
        <f t="shared" si="193"/>
        <v>-914.9</v>
      </c>
      <c r="CQ138" s="516">
        <f t="shared" si="194"/>
        <v>0</v>
      </c>
      <c r="CR138" s="516">
        <f t="shared" si="195"/>
        <v>0</v>
      </c>
      <c r="CS138" s="516">
        <f t="shared" si="196"/>
        <v>0</v>
      </c>
      <c r="CT138" s="518">
        <f t="shared" si="197"/>
        <v>0</v>
      </c>
      <c r="CU138" s="6"/>
      <c r="DB138" s="1961"/>
      <c r="DC138" s="1961"/>
      <c r="DD138" s="1961"/>
      <c r="DE138" s="1961"/>
      <c r="DF138" s="1961"/>
      <c r="DG138" s="1961"/>
      <c r="DH138" s="1961"/>
      <c r="DI138" s="514"/>
    </row>
    <row r="139" spans="1:113" ht="12" customHeight="1" x14ac:dyDescent="0.25">
      <c r="A139" s="501" t="s">
        <v>144</v>
      </c>
      <c r="B139" s="333"/>
      <c r="C139" s="265">
        <v>-0.496</v>
      </c>
      <c r="D139" s="265">
        <f>-35.081</f>
        <v>-35.081000000000003</v>
      </c>
      <c r="E139" s="268">
        <v>-20.94</v>
      </c>
      <c r="F139" s="268">
        <f>-41.571-E139</f>
        <v>-20.630999999999997</v>
      </c>
      <c r="G139" s="268">
        <f>-43.887-SUM(E139:F139)</f>
        <v>-2.3160000000000025</v>
      </c>
      <c r="H139" s="268">
        <f>-44.101-SUM(E139:G139)</f>
        <v>-0.21399999999999864</v>
      </c>
      <c r="I139" s="509">
        <f t="shared" si="167"/>
        <v>-44.100999999999999</v>
      </c>
      <c r="J139" s="333">
        <v>-2.9000000000000001E-2</v>
      </c>
      <c r="K139" s="268">
        <f>-0.078-J139</f>
        <v>-4.9000000000000002E-2</v>
      </c>
      <c r="L139" s="268">
        <f>-0.156-SUM(J139:K139)</f>
        <v>-7.8E-2</v>
      </c>
      <c r="M139" s="268">
        <f>-0.361-SUM(J139:L139)</f>
        <v>-0.20499999999999999</v>
      </c>
      <c r="N139" s="510">
        <f t="shared" si="168"/>
        <v>-0.36099999999999999</v>
      </c>
      <c r="O139" s="333">
        <v>-0.36499999999999999</v>
      </c>
      <c r="P139" s="516">
        <f>-0.398-O139</f>
        <v>-3.3000000000000029E-2</v>
      </c>
      <c r="Q139" s="516">
        <f>-0.45-SUM(O139:P139)</f>
        <v>-5.1999999999999991E-2</v>
      </c>
      <c r="R139" s="516">
        <f>-0.575-SUM(O139:Q139)</f>
        <v>-0.12499999999999994</v>
      </c>
      <c r="S139" s="510">
        <f t="shared" si="169"/>
        <v>-0.57499999999999996</v>
      </c>
      <c r="T139" s="333">
        <v>-0.252</v>
      </c>
      <c r="U139" s="516">
        <f>-0.262-T139</f>
        <v>-1.0000000000000009E-2</v>
      </c>
      <c r="V139" s="516">
        <f>-0.324-SUM(T139:U139)</f>
        <v>-6.2E-2</v>
      </c>
      <c r="W139" s="232">
        <f>-0.516-T139-U139-V139</f>
        <v>-0.192</v>
      </c>
      <c r="X139" s="118">
        <f t="shared" si="170"/>
        <v>-0.51600000000000001</v>
      </c>
      <c r="Y139" s="232">
        <v>-0.96</v>
      </c>
      <c r="Z139" s="232">
        <f>-1.338-Y139</f>
        <v>-0.37800000000000011</v>
      </c>
      <c r="AA139" s="232">
        <f>-1.422-SUM(Y139:Z139)</f>
        <v>-8.3999999999999853E-2</v>
      </c>
      <c r="AB139" s="232">
        <f>-1.549-SUM(Y139:AA139)</f>
        <v>-0.127</v>
      </c>
      <c r="AC139" s="116">
        <f t="shared" si="171"/>
        <v>-1.5489999999999999</v>
      </c>
      <c r="AD139" s="232">
        <v>-0.79100000000000004</v>
      </c>
      <c r="AE139" s="232">
        <f>-2-AD139</f>
        <v>-1.2090000000000001</v>
      </c>
      <c r="AF139" s="232">
        <f>-2-AE139-AD139</f>
        <v>0</v>
      </c>
      <c r="AG139" s="232">
        <f>-1.784-2.25-SUM(AD139:AF139)</f>
        <v>-2.0339999999999998</v>
      </c>
      <c r="AH139" s="116">
        <f t="shared" si="172"/>
        <v>-4.0339999999999998</v>
      </c>
      <c r="AI139" s="245">
        <v>-3.7469999999999999</v>
      </c>
      <c r="AJ139" s="232">
        <f>-4.967-AI139</f>
        <v>-1.2199999999999998</v>
      </c>
      <c r="AK139" s="232">
        <f>-5.003-SUM(AI139:AJ139)</f>
        <v>-3.6000000000000476E-2</v>
      </c>
      <c r="AL139" s="232">
        <f>-5.87-SUM(AI139:AK139)</f>
        <v>-0.86699999999999999</v>
      </c>
      <c r="AM139" s="116">
        <f t="shared" si="173"/>
        <v>-5.87</v>
      </c>
      <c r="AN139" s="245">
        <v>-6.0000000000000001E-3</v>
      </c>
      <c r="AO139" s="232">
        <f>-0.032-AN139</f>
        <v>-2.6000000000000002E-2</v>
      </c>
      <c r="AP139" s="232">
        <f>-0.083-SUM(AN139:AO139)</f>
        <v>-5.1000000000000004E-2</v>
      </c>
      <c r="AQ139" s="232">
        <f>-0.203-SUM(AN139:AP139)</f>
        <v>-0.12000000000000001</v>
      </c>
      <c r="AR139" s="116">
        <f t="shared" si="174"/>
        <v>-0.20300000000000001</v>
      </c>
      <c r="AS139" s="245">
        <f>-0.008+-0.101</f>
        <v>-0.10900000000000001</v>
      </c>
      <c r="AT139" s="232">
        <f>-0.029-AS139-0.101</f>
        <v>-2.0999999999999991E-2</v>
      </c>
      <c r="AU139" s="232">
        <f>-0.054-SUM(AS139:AT139)</f>
        <v>7.6000000000000012E-2</v>
      </c>
      <c r="AV139" s="232">
        <f>-0.165-SUM(AS139:AU139)</f>
        <v>-0.11100000000000002</v>
      </c>
      <c r="AW139" s="116">
        <f t="shared" si="175"/>
        <v>-0.16500000000000001</v>
      </c>
      <c r="AX139" s="232">
        <v>-3.0000000000000001E-3</v>
      </c>
      <c r="AY139" s="232">
        <f>-0.025-AX139</f>
        <v>-2.2000000000000002E-2</v>
      </c>
      <c r="AZ139" s="232">
        <f>+-0.158-SUM(AX139:AY139)</f>
        <v>-0.13300000000000001</v>
      </c>
      <c r="BA139" s="232">
        <f>-0.3-SUM(AX139:AZ139)</f>
        <v>-0.14199999999999999</v>
      </c>
      <c r="BB139" s="238">
        <f t="shared" si="176"/>
        <v>-0.3</v>
      </c>
      <c r="BC139" s="1893">
        <v>-0.1</v>
      </c>
      <c r="BD139" s="1893">
        <f>-0.2-BC139</f>
        <v>-0.1</v>
      </c>
      <c r="BE139" s="1945">
        <f>-0.3-BD139-BC139</f>
        <v>-9.9999999999999978E-2</v>
      </c>
      <c r="BF139" s="1945">
        <f>-0.3-SUM(BC139:BE139)</f>
        <v>0</v>
      </c>
      <c r="BG139" s="238">
        <f t="shared" si="177"/>
        <v>-0.3</v>
      </c>
      <c r="BH139" s="256">
        <v>0</v>
      </c>
      <c r="BI139" s="256">
        <v>0</v>
      </c>
      <c r="BJ139" s="256">
        <v>0</v>
      </c>
      <c r="BK139" s="256">
        <v>0</v>
      </c>
      <c r="BL139" s="238">
        <f t="shared" si="178"/>
        <v>0</v>
      </c>
      <c r="BM139" s="256">
        <v>0</v>
      </c>
      <c r="BN139" s="256">
        <v>0</v>
      </c>
      <c r="BO139" s="256">
        <v>0</v>
      </c>
      <c r="BP139" s="256">
        <v>0</v>
      </c>
      <c r="BQ139" s="238">
        <f t="shared" si="179"/>
        <v>0</v>
      </c>
      <c r="BR139" s="256">
        <v>0</v>
      </c>
      <c r="BS139" s="256">
        <v>0</v>
      </c>
      <c r="BT139" s="256">
        <v>0</v>
      </c>
      <c r="BU139" s="256">
        <v>0</v>
      </c>
      <c r="BV139" s="238">
        <f t="shared" si="180"/>
        <v>0</v>
      </c>
      <c r="BW139" s="256">
        <v>0</v>
      </c>
      <c r="BX139" s="256">
        <v>0</v>
      </c>
      <c r="BY139" s="256">
        <v>0</v>
      </c>
      <c r="BZ139" s="256">
        <v>0</v>
      </c>
      <c r="CA139" s="238">
        <f t="shared" si="181"/>
        <v>0</v>
      </c>
      <c r="CB139" s="1910" t="s">
        <v>51</v>
      </c>
      <c r="CC139" s="507"/>
      <c r="CD139" s="501" t="str">
        <f t="shared" si="166"/>
        <v>Purchase of Securities</v>
      </c>
      <c r="CE139" s="516">
        <f t="shared" si="182"/>
        <v>-35.081000000000003</v>
      </c>
      <c r="CF139" s="516">
        <f t="shared" si="183"/>
        <v>-44.100999999999999</v>
      </c>
      <c r="CG139" s="516">
        <f t="shared" si="184"/>
        <v>-0.36099999999999999</v>
      </c>
      <c r="CH139" s="516">
        <f t="shared" si="185"/>
        <v>-0.57499999999999996</v>
      </c>
      <c r="CI139" s="516">
        <f t="shared" si="186"/>
        <v>-0.51600000000000001</v>
      </c>
      <c r="CJ139" s="516">
        <f t="shared" si="187"/>
        <v>-1.5489999999999999</v>
      </c>
      <c r="CK139" s="516">
        <f t="shared" si="188"/>
        <v>-4.0339999999999998</v>
      </c>
      <c r="CL139" s="516">
        <f t="shared" si="189"/>
        <v>-5.87</v>
      </c>
      <c r="CM139" s="516">
        <f t="shared" si="190"/>
        <v>-0.20300000000000001</v>
      </c>
      <c r="CN139" s="516">
        <f t="shared" si="191"/>
        <v>-0.16500000000000001</v>
      </c>
      <c r="CO139" s="516">
        <f t="shared" si="192"/>
        <v>-0.3</v>
      </c>
      <c r="CP139" s="516">
        <f t="shared" si="193"/>
        <v>-0.3</v>
      </c>
      <c r="CQ139" s="516">
        <f t="shared" si="194"/>
        <v>0</v>
      </c>
      <c r="CR139" s="516">
        <f t="shared" si="195"/>
        <v>0</v>
      </c>
      <c r="CS139" s="516">
        <f t="shared" si="196"/>
        <v>0</v>
      </c>
      <c r="CT139" s="518">
        <f t="shared" si="197"/>
        <v>0</v>
      </c>
      <c r="CU139" s="6"/>
      <c r="DB139" s="1961"/>
      <c r="DC139" s="1961"/>
      <c r="DD139" s="1961"/>
      <c r="DE139" s="1961"/>
      <c r="DF139" s="1961"/>
      <c r="DG139" s="1961"/>
      <c r="DH139" s="1961"/>
      <c r="DI139" s="256"/>
    </row>
    <row r="140" spans="1:113" ht="12" customHeight="1" x14ac:dyDescent="0.25">
      <c r="A140" s="549" t="s">
        <v>145</v>
      </c>
      <c r="B140" s="333"/>
      <c r="C140" s="265">
        <v>0.40200000000000002</v>
      </c>
      <c r="D140" s="265">
        <v>34.893000000000001</v>
      </c>
      <c r="E140" s="268">
        <v>0.13</v>
      </c>
      <c r="F140" s="268">
        <f>20.016-E140</f>
        <v>19.885999999999999</v>
      </c>
      <c r="G140" s="268">
        <f>22.764-SUM(E140:F140)</f>
        <v>2.7480000000000011</v>
      </c>
      <c r="H140" s="268">
        <f>22.872-SUM(E140:G140)</f>
        <v>0.10800000000000054</v>
      </c>
      <c r="I140" s="509">
        <f t="shared" si="167"/>
        <v>22.872</v>
      </c>
      <c r="J140" s="333">
        <v>21.193999999999999</v>
      </c>
      <c r="K140" s="268">
        <f>21.457-J140</f>
        <v>0.26300000000000168</v>
      </c>
      <c r="L140" s="268">
        <f>21.609-SUM(J140:K140)</f>
        <v>0.15200000000000102</v>
      </c>
      <c r="M140" s="268">
        <f>21.724-SUM(J140:L140)</f>
        <v>0.11499999999999844</v>
      </c>
      <c r="N140" s="510">
        <f t="shared" si="168"/>
        <v>21.724</v>
      </c>
      <c r="O140" s="333">
        <v>0.42099999999999999</v>
      </c>
      <c r="P140" s="516">
        <f>0.628-O140</f>
        <v>0.20700000000000002</v>
      </c>
      <c r="Q140" s="516">
        <f>0.772-SUM(O140:P140)</f>
        <v>0.14400000000000002</v>
      </c>
      <c r="R140" s="516">
        <f>0.886-SUM(O140:Q140)</f>
        <v>0.11399999999999999</v>
      </c>
      <c r="S140" s="510">
        <f t="shared" si="169"/>
        <v>0.88600000000000001</v>
      </c>
      <c r="T140" s="333">
        <v>0.33500000000000002</v>
      </c>
      <c r="U140" s="516">
        <f>0.511-T140</f>
        <v>0.17599999999999999</v>
      </c>
      <c r="V140" s="516">
        <f>0.645-SUM(T140:U140)</f>
        <v>0.13400000000000001</v>
      </c>
      <c r="W140" s="232">
        <f>0.743-T140-U140-V140</f>
        <v>9.7999999999999976E-2</v>
      </c>
      <c r="X140" s="118">
        <f t="shared" si="170"/>
        <v>0.74299999999999999</v>
      </c>
      <c r="Y140" s="232">
        <v>1.1539999999999999</v>
      </c>
      <c r="Z140" s="232">
        <f>1.704-Y140</f>
        <v>0.55000000000000004</v>
      </c>
      <c r="AA140" s="232">
        <f>1.722-SUM(Y140:Z140)</f>
        <v>1.8000000000000016E-2</v>
      </c>
      <c r="AB140" s="232">
        <f>1.73-SUM(Y140:AA140)</f>
        <v>8.0000000000000071E-3</v>
      </c>
      <c r="AC140" s="116">
        <f t="shared" si="171"/>
        <v>1.73</v>
      </c>
      <c r="AD140" s="232">
        <f>0.898</f>
        <v>0.89800000000000002</v>
      </c>
      <c r="AE140" s="232">
        <f>1.203-AD140</f>
        <v>0.30500000000000005</v>
      </c>
      <c r="AF140" s="232">
        <f>1.478-AE140-AD140</f>
        <v>0.27500000000000002</v>
      </c>
      <c r="AG140" s="232">
        <f>1.932-SUM(AD140:AF140)</f>
        <v>0.45399999999999974</v>
      </c>
      <c r="AH140" s="116">
        <f t="shared" si="172"/>
        <v>1.9319999999999999</v>
      </c>
      <c r="AI140" s="245">
        <v>3.7650000000000001</v>
      </c>
      <c r="AJ140" s="232">
        <f>5.826-AI140</f>
        <v>2.0609999999999995</v>
      </c>
      <c r="AK140" s="232">
        <f>5.825-SUM(AI140:AJ140)</f>
        <v>-9.9999999999944578E-4</v>
      </c>
      <c r="AL140" s="232">
        <f>7.484-SUM(AI140:AK140)</f>
        <v>1.6589999999999998</v>
      </c>
      <c r="AM140" s="116">
        <f t="shared" si="173"/>
        <v>7.484</v>
      </c>
      <c r="AN140" s="245">
        <v>1.6E-2</v>
      </c>
      <c r="AO140" s="232">
        <f>0.281-AN140</f>
        <v>0.26500000000000001</v>
      </c>
      <c r="AP140" s="232">
        <f>0.381-SUM(AN140:AO140)</f>
        <v>9.9999999999999978E-2</v>
      </c>
      <c r="AQ140" s="232">
        <f>0.513-SUM(AN140:AP140)</f>
        <v>0.13200000000000001</v>
      </c>
      <c r="AR140" s="116">
        <f t="shared" si="174"/>
        <v>0.51300000000000001</v>
      </c>
      <c r="AS140" s="245">
        <f>0.049</f>
        <v>4.9000000000000002E-2</v>
      </c>
      <c r="AT140" s="232">
        <f>85.187+0.23-AS140</f>
        <v>85.367999999999995</v>
      </c>
      <c r="AU140" s="232">
        <f>0.281-SUM(AS140:AT140)+85.187</f>
        <v>5.1000000000001933E-2</v>
      </c>
      <c r="AV140" s="232">
        <f>85.187-SUM(AS140:AU140)+0.388</f>
        <v>0.1069999999999941</v>
      </c>
      <c r="AW140" s="116">
        <f t="shared" si="175"/>
        <v>85.575000000000003</v>
      </c>
      <c r="AX140" s="232">
        <v>9.6000000000000002E-2</v>
      </c>
      <c r="AY140" s="232">
        <f>0.283-AX140</f>
        <v>0.18699999999999997</v>
      </c>
      <c r="AZ140" s="232">
        <f>0.441-SUM(AX140:AY140)</f>
        <v>0.15800000000000003</v>
      </c>
      <c r="BA140" s="550">
        <f>0.5-SUM(AX140:AZ140)</f>
        <v>5.8999999999999997E-2</v>
      </c>
      <c r="BB140" s="238">
        <f t="shared" si="176"/>
        <v>0.5</v>
      </c>
      <c r="BC140" s="1893">
        <v>0.1</v>
      </c>
      <c r="BD140" s="1893">
        <v>0.2</v>
      </c>
      <c r="BE140" s="1945">
        <f>0.4-BD140-BC140</f>
        <v>0.1</v>
      </c>
      <c r="BF140" s="1945">
        <f>0.4-SUM(BC140:BE140)</f>
        <v>0</v>
      </c>
      <c r="BG140" s="238">
        <f t="shared" si="177"/>
        <v>0.4</v>
      </c>
      <c r="BH140" s="256">
        <v>0</v>
      </c>
      <c r="BI140" s="256">
        <v>0</v>
      </c>
      <c r="BJ140" s="256">
        <v>0</v>
      </c>
      <c r="BK140" s="256">
        <v>0</v>
      </c>
      <c r="BL140" s="238">
        <f t="shared" si="178"/>
        <v>0</v>
      </c>
      <c r="BM140" s="256">
        <v>0</v>
      </c>
      <c r="BN140" s="256">
        <v>0</v>
      </c>
      <c r="BO140" s="256">
        <v>0</v>
      </c>
      <c r="BP140" s="256">
        <v>0</v>
      </c>
      <c r="BQ140" s="238">
        <f t="shared" si="179"/>
        <v>0</v>
      </c>
      <c r="BR140" s="256">
        <v>0</v>
      </c>
      <c r="BS140" s="256">
        <v>0</v>
      </c>
      <c r="BT140" s="256">
        <v>0</v>
      </c>
      <c r="BU140" s="256">
        <v>0</v>
      </c>
      <c r="BV140" s="238">
        <f t="shared" si="180"/>
        <v>0</v>
      </c>
      <c r="BW140" s="256">
        <v>0</v>
      </c>
      <c r="BX140" s="256">
        <v>0</v>
      </c>
      <c r="BY140" s="256">
        <v>0</v>
      </c>
      <c r="BZ140" s="256">
        <v>0</v>
      </c>
      <c r="CA140" s="238">
        <f t="shared" si="181"/>
        <v>0</v>
      </c>
      <c r="CB140" s="1910" t="s">
        <v>51</v>
      </c>
      <c r="CC140" s="507"/>
      <c r="CD140" s="501" t="str">
        <f t="shared" si="166"/>
        <v>Proceeds from Sale of Securities</v>
      </c>
      <c r="CE140" s="516">
        <f t="shared" si="182"/>
        <v>34.893000000000001</v>
      </c>
      <c r="CF140" s="516">
        <f t="shared" si="183"/>
        <v>22.872</v>
      </c>
      <c r="CG140" s="516">
        <f t="shared" si="184"/>
        <v>21.724</v>
      </c>
      <c r="CH140" s="516">
        <f t="shared" si="185"/>
        <v>0.88600000000000001</v>
      </c>
      <c r="CI140" s="516">
        <f t="shared" si="186"/>
        <v>0.74299999999999999</v>
      </c>
      <c r="CJ140" s="516">
        <f t="shared" si="187"/>
        <v>1.73</v>
      </c>
      <c r="CK140" s="516">
        <f t="shared" si="188"/>
        <v>1.9319999999999999</v>
      </c>
      <c r="CL140" s="516">
        <f t="shared" si="189"/>
        <v>7.484</v>
      </c>
      <c r="CM140" s="516">
        <f t="shared" si="190"/>
        <v>0.51300000000000001</v>
      </c>
      <c r="CN140" s="516">
        <f t="shared" si="191"/>
        <v>85.575000000000003</v>
      </c>
      <c r="CO140" s="516">
        <f t="shared" si="192"/>
        <v>0.5</v>
      </c>
      <c r="CP140" s="516">
        <f t="shared" si="193"/>
        <v>0.4</v>
      </c>
      <c r="CQ140" s="516">
        <f t="shared" si="194"/>
        <v>0</v>
      </c>
      <c r="CR140" s="516">
        <f t="shared" si="195"/>
        <v>0</v>
      </c>
      <c r="CS140" s="516">
        <f t="shared" si="196"/>
        <v>0</v>
      </c>
      <c r="CT140" s="518">
        <f t="shared" si="197"/>
        <v>0</v>
      </c>
      <c r="CU140" s="6"/>
      <c r="DB140" s="1961"/>
      <c r="DC140" s="1961"/>
      <c r="DD140" s="1961"/>
      <c r="DE140" s="1961"/>
      <c r="DF140" s="1961"/>
      <c r="DG140" s="1961"/>
      <c r="DH140" s="1961"/>
      <c r="DI140" s="256"/>
    </row>
    <row r="141" spans="1:113" ht="12" customHeight="1" x14ac:dyDescent="0.25">
      <c r="A141" s="549" t="s">
        <v>146</v>
      </c>
      <c r="B141" s="333"/>
      <c r="C141" s="265">
        <f>-0.985+0.004</f>
        <v>-0.98099999999999998</v>
      </c>
      <c r="D141" s="265">
        <v>-1.6020000000000001</v>
      </c>
      <c r="E141" s="268">
        <f>-1.085+0.151</f>
        <v>-0.93399999999999994</v>
      </c>
      <c r="F141" s="268">
        <f>-1.618+0.037-E141</f>
        <v>-0.64700000000000024</v>
      </c>
      <c r="G141" s="268">
        <f>-1.736+0.172-SUM(E141:F141)</f>
        <v>1.7000000000000126E-2</v>
      </c>
      <c r="H141" s="268">
        <f>-1.777+0.301-SUM(E141:G141)</f>
        <v>8.8000000000000078E-2</v>
      </c>
      <c r="I141" s="509">
        <f t="shared" si="167"/>
        <v>-1.476</v>
      </c>
      <c r="J141" s="333">
        <v>-0.98399999999999999</v>
      </c>
      <c r="K141" s="268">
        <f>-1.243+0.184-J141</f>
        <v>-7.5000000000000178E-2</v>
      </c>
      <c r="L141" s="268">
        <f>-1.247+6.181-SUM(J141:K141)</f>
        <v>5.9930000000000003</v>
      </c>
      <c r="M141" s="268">
        <f>-1.247+3.863-SUM(J141:L141)</f>
        <v>-2.3180000000000005</v>
      </c>
      <c r="N141" s="510">
        <f t="shared" si="168"/>
        <v>2.6159999999999997</v>
      </c>
      <c r="O141" s="333">
        <v>0</v>
      </c>
      <c r="P141" s="516">
        <v>0</v>
      </c>
      <c r="Q141" s="516">
        <v>0</v>
      </c>
      <c r="R141" s="516">
        <v>0</v>
      </c>
      <c r="S141" s="551">
        <f t="shared" si="169"/>
        <v>0</v>
      </c>
      <c r="T141" s="333">
        <v>0</v>
      </c>
      <c r="U141" s="516">
        <f>0-T141</f>
        <v>0</v>
      </c>
      <c r="V141" s="516">
        <f>0-SUM(T141:U141)</f>
        <v>0</v>
      </c>
      <c r="W141" s="232">
        <f>0-T141-U141-V141</f>
        <v>0</v>
      </c>
      <c r="X141" s="118">
        <f t="shared" si="170"/>
        <v>0</v>
      </c>
      <c r="Y141" s="232">
        <v>0</v>
      </c>
      <c r="Z141" s="232">
        <v>0</v>
      </c>
      <c r="AA141" s="232">
        <v>0</v>
      </c>
      <c r="AB141" s="232">
        <f>0-SUM(Y141:AA141)</f>
        <v>0</v>
      </c>
      <c r="AC141" s="116">
        <f t="shared" si="171"/>
        <v>0</v>
      </c>
      <c r="AD141" s="232">
        <v>0</v>
      </c>
      <c r="AE141" s="232">
        <f>0-AD141</f>
        <v>0</v>
      </c>
      <c r="AF141" s="232">
        <v>0</v>
      </c>
      <c r="AG141" s="232">
        <f>1.455-SUM(AD141:AF141)</f>
        <v>1.4550000000000001</v>
      </c>
      <c r="AH141" s="116">
        <f t="shared" si="172"/>
        <v>1.4550000000000001</v>
      </c>
      <c r="AI141" s="245">
        <v>0</v>
      </c>
      <c r="AJ141" s="232">
        <v>0.192</v>
      </c>
      <c r="AK141" s="232">
        <f>0.28-SUM(AI141:AJ141)</f>
        <v>8.8000000000000023E-2</v>
      </c>
      <c r="AL141" s="232">
        <f>0.28-SUM(AI141:AK141)</f>
        <v>0</v>
      </c>
      <c r="AM141" s="116">
        <f t="shared" si="173"/>
        <v>0.28000000000000003</v>
      </c>
      <c r="AN141" s="245">
        <f>(AM176-AN176)+(AM187-AN187)+(AN218-AM218)</f>
        <v>0</v>
      </c>
      <c r="AO141" s="232">
        <f>(AN176-AO176)+(AN187-AO187)+(AO218-AN218)</f>
        <v>0</v>
      </c>
      <c r="AP141" s="232">
        <f>(AO176-AP176)+(AO187-AP187)+(AP218-AO218)</f>
        <v>0</v>
      </c>
      <c r="AQ141" s="232">
        <f>(AP176-AQ176)+(AP187-AQ187)+(AQ218-AP218)</f>
        <v>0</v>
      </c>
      <c r="AR141" s="116">
        <f t="shared" si="174"/>
        <v>0</v>
      </c>
      <c r="AS141" s="245">
        <v>0</v>
      </c>
      <c r="AT141" s="232">
        <v>0</v>
      </c>
      <c r="AU141" s="232">
        <v>0</v>
      </c>
      <c r="AV141" s="232">
        <v>0</v>
      </c>
      <c r="AW141" s="116">
        <f t="shared" si="175"/>
        <v>0</v>
      </c>
      <c r="AX141" s="232">
        <v>0</v>
      </c>
      <c r="AY141" s="232">
        <v>0</v>
      </c>
      <c r="AZ141" s="232">
        <v>0</v>
      </c>
      <c r="BA141" s="232">
        <f>(AZ176-BA176)+(AZ187-BA187)+(BA218-AZ218)</f>
        <v>0</v>
      </c>
      <c r="BB141" s="238">
        <f t="shared" si="176"/>
        <v>0</v>
      </c>
      <c r="BC141" s="1893">
        <f>(BB176-BC176)+(BB187-BC187)+(BC218-BB218)</f>
        <v>0</v>
      </c>
      <c r="BD141" s="1893">
        <v>0</v>
      </c>
      <c r="BE141" s="1945">
        <v>0</v>
      </c>
      <c r="BF141" s="1945">
        <v>0</v>
      </c>
      <c r="BG141" s="238">
        <f t="shared" si="177"/>
        <v>0</v>
      </c>
      <c r="BH141" s="256">
        <f>(BG176-BH176)+(BG187-BH187)+(BH218-BG218)</f>
        <v>0</v>
      </c>
      <c r="BI141" s="256">
        <f>(BH176-BI176)+(BH187-BI187)+(BI218-BH218)</f>
        <v>0</v>
      </c>
      <c r="BJ141" s="256">
        <f>(BI176-BJ176)+(BI187-BJ187)+(BJ218-BI218)</f>
        <v>0</v>
      </c>
      <c r="BK141" s="256">
        <f>(BJ176-BK176)+(BJ187-BK187)+(BK218-BJ218)</f>
        <v>0</v>
      </c>
      <c r="BL141" s="238">
        <f t="shared" si="178"/>
        <v>0</v>
      </c>
      <c r="BM141" s="256">
        <f>(BL176-BM176)+(BL187-BM187)+(BM218-BL218)</f>
        <v>0</v>
      </c>
      <c r="BN141" s="256">
        <f>(BM176-BN176)+(BM187-BN187)+(BN218-BM218)</f>
        <v>0</v>
      </c>
      <c r="BO141" s="256">
        <f>(BN176-BO176)+(BN187-BO187)+(BO218-BN218)</f>
        <v>0</v>
      </c>
      <c r="BP141" s="256">
        <f>(BO176-BP176)+(BO187-BP187)+(BP218-BO218)</f>
        <v>0</v>
      </c>
      <c r="BQ141" s="238">
        <f t="shared" si="179"/>
        <v>0</v>
      </c>
      <c r="BR141" s="256">
        <f>(BQ176-BR176)+(BQ187-BR187)+(BR218-BQ218)</f>
        <v>0</v>
      </c>
      <c r="BS141" s="256">
        <f>(BR176-BS176)+(BR187-BS187)+(BS218-BR218)</f>
        <v>0</v>
      </c>
      <c r="BT141" s="256">
        <f>(BS176-BT176)+(BS187-BT187)+(BT218-BS218)</f>
        <v>0</v>
      </c>
      <c r="BU141" s="256">
        <f>(BT176-BU176)+(BT187-BU187)+(BU218-BT218)</f>
        <v>0</v>
      </c>
      <c r="BV141" s="238">
        <f t="shared" si="180"/>
        <v>0</v>
      </c>
      <c r="BW141" s="256">
        <f>(BV176-BW176)+(BV187-BW187)+(BW218-BV218)</f>
        <v>0</v>
      </c>
      <c r="BX141" s="256">
        <f>(BW176-BX176)+(BW187-BX187)+(BX218-BW218)</f>
        <v>0</v>
      </c>
      <c r="BY141" s="256">
        <f>(BX176-BY176)+(BX187-BY187)+(BY218-BX218)</f>
        <v>0</v>
      </c>
      <c r="BZ141" s="256">
        <f>(BY176-BZ176)+(BY187-BZ187)+(BZ218-BY218)</f>
        <v>0</v>
      </c>
      <c r="CA141" s="238">
        <f t="shared" si="181"/>
        <v>0</v>
      </c>
      <c r="CB141" s="1910" t="s">
        <v>51</v>
      </c>
      <c r="CC141" s="507"/>
      <c r="CD141" s="501" t="str">
        <f t="shared" si="166"/>
        <v>Issuance/Proceeds of Notes rec. From Stockholders</v>
      </c>
      <c r="CE141" s="126">
        <f t="shared" si="182"/>
        <v>-1.6020000000000001</v>
      </c>
      <c r="CF141" s="126">
        <f t="shared" si="183"/>
        <v>-1.476</v>
      </c>
      <c r="CG141" s="126">
        <f t="shared" si="184"/>
        <v>2.6159999999999997</v>
      </c>
      <c r="CH141" s="126">
        <f t="shared" si="185"/>
        <v>0</v>
      </c>
      <c r="CI141" s="126">
        <f t="shared" si="186"/>
        <v>0</v>
      </c>
      <c r="CJ141" s="126">
        <f t="shared" si="187"/>
        <v>0</v>
      </c>
      <c r="CK141" s="126">
        <f t="shared" si="188"/>
        <v>1.4550000000000001</v>
      </c>
      <c r="CL141" s="126">
        <f t="shared" si="189"/>
        <v>0.28000000000000003</v>
      </c>
      <c r="CM141" s="126">
        <f t="shared" si="190"/>
        <v>0</v>
      </c>
      <c r="CN141" s="126">
        <f t="shared" si="191"/>
        <v>0</v>
      </c>
      <c r="CO141" s="126">
        <f t="shared" si="192"/>
        <v>0</v>
      </c>
      <c r="CP141" s="126">
        <f t="shared" si="193"/>
        <v>0</v>
      </c>
      <c r="CQ141" s="126">
        <f t="shared" si="194"/>
        <v>0</v>
      </c>
      <c r="CR141" s="126">
        <f t="shared" si="195"/>
        <v>0</v>
      </c>
      <c r="CS141" s="126">
        <f t="shared" si="196"/>
        <v>0</v>
      </c>
      <c r="CT141" s="520">
        <f t="shared" si="197"/>
        <v>0</v>
      </c>
      <c r="CU141" s="6"/>
      <c r="DB141" s="1961"/>
      <c r="DC141" s="1961"/>
      <c r="DD141" s="1961"/>
      <c r="DE141" s="1961"/>
      <c r="DF141" s="1961"/>
      <c r="DG141" s="1961"/>
      <c r="DH141" s="1961"/>
      <c r="DI141" s="256"/>
    </row>
    <row r="142" spans="1:113" ht="12" customHeight="1" x14ac:dyDescent="0.25">
      <c r="A142" s="549" t="s">
        <v>131</v>
      </c>
      <c r="B142" s="333"/>
      <c r="C142" s="265">
        <v>-10.771000000000001</v>
      </c>
      <c r="D142" s="265"/>
      <c r="E142" s="268">
        <v>-2.5910000000000002</v>
      </c>
      <c r="F142" s="268">
        <f>-2.59-E142</f>
        <v>1.000000000000334E-3</v>
      </c>
      <c r="G142" s="268">
        <f>-3.191-SUM(E142:F142)</f>
        <v>-0.60099999999999998</v>
      </c>
      <c r="H142" s="268">
        <f>-3.191-SUM(E142:G142)</f>
        <v>0</v>
      </c>
      <c r="I142" s="509">
        <f t="shared" si="167"/>
        <v>-3.1909999999999998</v>
      </c>
      <c r="J142" s="333">
        <v>0</v>
      </c>
      <c r="K142" s="268">
        <f>-98.1-J142</f>
        <v>-98.1</v>
      </c>
      <c r="L142" s="268">
        <f>-98.1-3.822-SUM(J142:K142)</f>
        <v>-3.8220000000000027</v>
      </c>
      <c r="M142" s="268">
        <f>-98.1-5.8-SUM(J142:L142)</f>
        <v>-1.9779999999999944</v>
      </c>
      <c r="N142" s="510">
        <f t="shared" si="168"/>
        <v>-103.89999999999999</v>
      </c>
      <c r="O142" s="333">
        <v>0</v>
      </c>
      <c r="P142" s="516">
        <f>-78.1-O142</f>
        <v>-78.099999999999994</v>
      </c>
      <c r="Q142" s="516">
        <f>-78.1-SUM(O142:P142)</f>
        <v>0</v>
      </c>
      <c r="R142" s="516">
        <f>-78.1-SUM(O142:Q142)</f>
        <v>0</v>
      </c>
      <c r="S142" s="510">
        <f t="shared" si="169"/>
        <v>-78.099999999999994</v>
      </c>
      <c r="T142" s="333">
        <v>0</v>
      </c>
      <c r="U142" s="516">
        <f>0-T142</f>
        <v>0</v>
      </c>
      <c r="V142" s="516">
        <f>0-SUM(T142:U142)</f>
        <v>0</v>
      </c>
      <c r="W142" s="232">
        <v>0</v>
      </c>
      <c r="X142" s="118">
        <f t="shared" si="170"/>
        <v>0</v>
      </c>
      <c r="Y142" s="232">
        <v>0</v>
      </c>
      <c r="Z142" s="232">
        <v>0</v>
      </c>
      <c r="AA142" s="232">
        <v>0</v>
      </c>
      <c r="AB142" s="232">
        <f>0.3-SUM(Y142:AA142)</f>
        <v>0.3</v>
      </c>
      <c r="AC142" s="116">
        <f t="shared" si="171"/>
        <v>0.3</v>
      </c>
      <c r="AD142" s="232">
        <v>-2</v>
      </c>
      <c r="AE142" s="232">
        <f>-0.25+-1.128-AD142</f>
        <v>0.62200000000000011</v>
      </c>
      <c r="AF142" s="232">
        <f>-0.25+-1.317-AE142-AD142</f>
        <v>-0.18900000000000006</v>
      </c>
      <c r="AG142" s="232">
        <f>-38.8-0.25-SUM(AD142:AF142)</f>
        <v>-37.482999999999997</v>
      </c>
      <c r="AH142" s="116">
        <f t="shared" si="172"/>
        <v>-39.049999999999997</v>
      </c>
      <c r="AI142" s="245">
        <v>0.439</v>
      </c>
      <c r="AJ142" s="232">
        <f>0.439-AI142</f>
        <v>0</v>
      </c>
      <c r="AK142" s="232">
        <f>0.439-SUM(AI142:AJ142)</f>
        <v>0</v>
      </c>
      <c r="AL142" s="232">
        <f>-0.561-SUM(AI142:AK142)</f>
        <v>-1</v>
      </c>
      <c r="AM142" s="116">
        <f t="shared" si="173"/>
        <v>-0.56099999999999994</v>
      </c>
      <c r="AN142" s="245">
        <f>-5+155</f>
        <v>150</v>
      </c>
      <c r="AO142" s="232">
        <f>-5+155-AN142</f>
        <v>0</v>
      </c>
      <c r="AP142" s="232">
        <f>151.17-SUM(AN142:AO142)</f>
        <v>1.1699999999999875</v>
      </c>
      <c r="AQ142" s="232">
        <f>151.17-SUM(AN142:AP142)</f>
        <v>0</v>
      </c>
      <c r="AR142" s="116">
        <f t="shared" si="174"/>
        <v>151.16999999999999</v>
      </c>
      <c r="AS142" s="245">
        <v>0</v>
      </c>
      <c r="AT142" s="232">
        <f>-78.694-AS142</f>
        <v>-78.694000000000003</v>
      </c>
      <c r="AU142" s="232">
        <f>15.602-SUM(AS142:AT142)</f>
        <v>94.296000000000006</v>
      </c>
      <c r="AV142" s="232">
        <f>-SUM(AS142:AU142)+15.602+0.453</f>
        <v>0.45299999999999646</v>
      </c>
      <c r="AW142" s="116">
        <f t="shared" si="175"/>
        <v>16.055</v>
      </c>
      <c r="AX142" s="232">
        <v>-0.62</v>
      </c>
      <c r="AY142" s="232">
        <f>-0.62-AX142</f>
        <v>0</v>
      </c>
      <c r="AZ142" s="232">
        <v>0</v>
      </c>
      <c r="BA142" s="232">
        <f>0.5-SUM(AX142:AZ142)</f>
        <v>1.1200000000000001</v>
      </c>
      <c r="BB142" s="238">
        <f t="shared" si="176"/>
        <v>0.50000000000000011</v>
      </c>
      <c r="BC142" s="1893">
        <v>0</v>
      </c>
      <c r="BD142" s="1893">
        <v>0</v>
      </c>
      <c r="BE142" s="1945">
        <f>-5-BD142-BC142</f>
        <v>-5</v>
      </c>
      <c r="BF142" s="1945">
        <f>-7.2-SUM(BC142:BE142)</f>
        <v>-2.2000000000000002</v>
      </c>
      <c r="BG142" s="238">
        <f t="shared" si="177"/>
        <v>-7.2</v>
      </c>
      <c r="BH142" s="256">
        <f>(BH209-BG209)</f>
        <v>0</v>
      </c>
      <c r="BI142" s="256">
        <f>(BI209-BH209)</f>
        <v>0</v>
      </c>
      <c r="BJ142" s="256">
        <f>(BJ209-BI209)</f>
        <v>0</v>
      </c>
      <c r="BK142" s="256">
        <f>(BK209-BJ209)</f>
        <v>0</v>
      </c>
      <c r="BL142" s="238">
        <f t="shared" si="178"/>
        <v>0</v>
      </c>
      <c r="BM142" s="256">
        <f>(BM209-BL209)</f>
        <v>0</v>
      </c>
      <c r="BN142" s="256">
        <f>(BN209-BM209)</f>
        <v>0</v>
      </c>
      <c r="BO142" s="256">
        <f>(BO209-BN209)</f>
        <v>0</v>
      </c>
      <c r="BP142" s="256">
        <f>(BP209-BO209)</f>
        <v>0</v>
      </c>
      <c r="BQ142" s="238">
        <f t="shared" si="179"/>
        <v>0</v>
      </c>
      <c r="BR142" s="256">
        <f>(BR209-BQ209)</f>
        <v>0</v>
      </c>
      <c r="BS142" s="256">
        <f>(BS209-BR209)</f>
        <v>0</v>
      </c>
      <c r="BT142" s="256">
        <f>(BT209-BS209)</f>
        <v>0</v>
      </c>
      <c r="BU142" s="256">
        <f>(BU209-BT209)</f>
        <v>0</v>
      </c>
      <c r="BV142" s="238">
        <f t="shared" si="180"/>
        <v>0</v>
      </c>
      <c r="BW142" s="256">
        <f>(BW209-BV209)</f>
        <v>0</v>
      </c>
      <c r="BX142" s="256">
        <f>(BX209-BW209)</f>
        <v>0</v>
      </c>
      <c r="BY142" s="256">
        <f>(BY209-BX209)</f>
        <v>0</v>
      </c>
      <c r="BZ142" s="256">
        <f>(BZ209-BY209)</f>
        <v>0</v>
      </c>
      <c r="CA142" s="238">
        <f t="shared" si="181"/>
        <v>0</v>
      </c>
      <c r="CB142" s="1910" t="s">
        <v>51</v>
      </c>
      <c r="CC142" s="507"/>
      <c r="CD142" s="501" t="str">
        <f t="shared" si="166"/>
        <v>Other</v>
      </c>
      <c r="CE142" s="126">
        <f t="shared" si="182"/>
        <v>0</v>
      </c>
      <c r="CF142" s="126">
        <f t="shared" si="183"/>
        <v>-3.1909999999999998</v>
      </c>
      <c r="CG142" s="126">
        <f t="shared" si="184"/>
        <v>-103.89999999999999</v>
      </c>
      <c r="CH142" s="126">
        <f t="shared" si="185"/>
        <v>-78.099999999999994</v>
      </c>
      <c r="CI142" s="126">
        <f t="shared" si="186"/>
        <v>0</v>
      </c>
      <c r="CJ142" s="126">
        <f t="shared" si="187"/>
        <v>0.3</v>
      </c>
      <c r="CK142" s="126">
        <f t="shared" si="188"/>
        <v>-39.049999999999997</v>
      </c>
      <c r="CL142" s="126">
        <f t="shared" si="189"/>
        <v>-0.56099999999999994</v>
      </c>
      <c r="CM142" s="126">
        <f t="shared" si="190"/>
        <v>151.16999999999999</v>
      </c>
      <c r="CN142" s="126">
        <f t="shared" si="191"/>
        <v>16.055</v>
      </c>
      <c r="CO142" s="126">
        <f t="shared" si="192"/>
        <v>0.50000000000000011</v>
      </c>
      <c r="CP142" s="126">
        <f t="shared" si="193"/>
        <v>-7.2</v>
      </c>
      <c r="CQ142" s="126">
        <f t="shared" si="194"/>
        <v>0</v>
      </c>
      <c r="CR142" s="126">
        <f t="shared" si="195"/>
        <v>0</v>
      </c>
      <c r="CS142" s="126">
        <f t="shared" si="196"/>
        <v>0</v>
      </c>
      <c r="CT142" s="520">
        <f t="shared" si="197"/>
        <v>0</v>
      </c>
      <c r="CU142" s="6"/>
      <c r="DB142" s="1961"/>
      <c r="DC142" s="1961"/>
      <c r="DD142" s="1961"/>
      <c r="DE142" s="1961"/>
      <c r="DF142" s="1961"/>
      <c r="DG142" s="1961"/>
      <c r="DH142" s="1961"/>
      <c r="DI142" s="256"/>
    </row>
    <row r="143" spans="1:113" ht="5.0999999999999996" customHeight="1" x14ac:dyDescent="0.25">
      <c r="A143" s="552"/>
      <c r="B143" s="205"/>
      <c r="C143" s="134" t="s">
        <v>60</v>
      </c>
      <c r="D143" s="134" t="s">
        <v>60</v>
      </c>
      <c r="E143" s="135" t="s">
        <v>60</v>
      </c>
      <c r="F143" s="135" t="s">
        <v>60</v>
      </c>
      <c r="G143" s="135" t="s">
        <v>60</v>
      </c>
      <c r="H143" s="135" t="s">
        <v>60</v>
      </c>
      <c r="I143" s="205" t="s">
        <v>60</v>
      </c>
      <c r="J143" s="205" t="s">
        <v>60</v>
      </c>
      <c r="K143" s="135" t="s">
        <v>60</v>
      </c>
      <c r="L143" s="135" t="s">
        <v>60</v>
      </c>
      <c r="M143" s="135" t="s">
        <v>60</v>
      </c>
      <c r="N143" s="134" t="s">
        <v>60</v>
      </c>
      <c r="O143" s="135" t="s">
        <v>60</v>
      </c>
      <c r="P143" s="135" t="s">
        <v>60</v>
      </c>
      <c r="Q143" s="135" t="s">
        <v>60</v>
      </c>
      <c r="R143" s="135" t="s">
        <v>60</v>
      </c>
      <c r="S143" s="134" t="s">
        <v>60</v>
      </c>
      <c r="T143" s="135" t="s">
        <v>60</v>
      </c>
      <c r="U143" s="135" t="s">
        <v>60</v>
      </c>
      <c r="V143" s="135" t="s">
        <v>60</v>
      </c>
      <c r="W143" s="135" t="s">
        <v>60</v>
      </c>
      <c r="X143" s="134" t="s">
        <v>60</v>
      </c>
      <c r="Y143" s="135" t="s">
        <v>60</v>
      </c>
      <c r="Z143" s="135" t="s">
        <v>60</v>
      </c>
      <c r="AA143" s="135" t="s">
        <v>60</v>
      </c>
      <c r="AB143" s="135" t="s">
        <v>60</v>
      </c>
      <c r="AC143" s="134" t="s">
        <v>60</v>
      </c>
      <c r="AD143" s="135" t="s">
        <v>60</v>
      </c>
      <c r="AE143" s="135" t="s">
        <v>60</v>
      </c>
      <c r="AF143" s="135" t="s">
        <v>60</v>
      </c>
      <c r="AG143" s="135" t="s">
        <v>60</v>
      </c>
      <c r="AH143" s="134" t="s">
        <v>60</v>
      </c>
      <c r="AI143" s="205" t="s">
        <v>60</v>
      </c>
      <c r="AJ143" s="135" t="s">
        <v>60</v>
      </c>
      <c r="AK143" s="135" t="s">
        <v>60</v>
      </c>
      <c r="AL143" s="135" t="s">
        <v>60</v>
      </c>
      <c r="AM143" s="134" t="s">
        <v>60</v>
      </c>
      <c r="AN143" s="205" t="s">
        <v>60</v>
      </c>
      <c r="AO143" s="135" t="s">
        <v>60</v>
      </c>
      <c r="AP143" s="135" t="s">
        <v>60</v>
      </c>
      <c r="AQ143" s="135" t="s">
        <v>60</v>
      </c>
      <c r="AR143" s="134" t="s">
        <v>60</v>
      </c>
      <c r="AS143" s="205" t="s">
        <v>60</v>
      </c>
      <c r="AT143" s="135" t="s">
        <v>60</v>
      </c>
      <c r="AU143" s="135" t="s">
        <v>60</v>
      </c>
      <c r="AV143" s="135" t="s">
        <v>60</v>
      </c>
      <c r="AW143" s="134" t="s">
        <v>60</v>
      </c>
      <c r="AX143" s="135" t="s">
        <v>60</v>
      </c>
      <c r="AY143" s="135" t="s">
        <v>60</v>
      </c>
      <c r="AZ143" s="135" t="s">
        <v>60</v>
      </c>
      <c r="BA143" s="135" t="s">
        <v>60</v>
      </c>
      <c r="BB143" s="134" t="s">
        <v>60</v>
      </c>
      <c r="BC143" s="135" t="s">
        <v>60</v>
      </c>
      <c r="BD143" s="135" t="s">
        <v>60</v>
      </c>
      <c r="BE143" s="135" t="s">
        <v>60</v>
      </c>
      <c r="BF143" s="135" t="s">
        <v>60</v>
      </c>
      <c r="BG143" s="134" t="s">
        <v>60</v>
      </c>
      <c r="BH143" s="135" t="s">
        <v>60</v>
      </c>
      <c r="BI143" s="135" t="s">
        <v>60</v>
      </c>
      <c r="BJ143" s="135" t="s">
        <v>60</v>
      </c>
      <c r="BK143" s="135" t="s">
        <v>60</v>
      </c>
      <c r="BL143" s="134" t="s">
        <v>60</v>
      </c>
      <c r="BM143" s="135" t="s">
        <v>60</v>
      </c>
      <c r="BN143" s="135" t="s">
        <v>60</v>
      </c>
      <c r="BO143" s="135" t="s">
        <v>60</v>
      </c>
      <c r="BP143" s="135" t="s">
        <v>60</v>
      </c>
      <c r="BQ143" s="134" t="s">
        <v>60</v>
      </c>
      <c r="BR143" s="135" t="s">
        <v>60</v>
      </c>
      <c r="BS143" s="135" t="s">
        <v>60</v>
      </c>
      <c r="BT143" s="135" t="s">
        <v>60</v>
      </c>
      <c r="BU143" s="135" t="s">
        <v>60</v>
      </c>
      <c r="BV143" s="134" t="s">
        <v>60</v>
      </c>
      <c r="BW143" s="135" t="s">
        <v>60</v>
      </c>
      <c r="BX143" s="135" t="s">
        <v>60</v>
      </c>
      <c r="BY143" s="135" t="s">
        <v>60</v>
      </c>
      <c r="BZ143" s="135" t="s">
        <v>60</v>
      </c>
      <c r="CA143" s="134" t="s">
        <v>60</v>
      </c>
      <c r="CB143" s="1910" t="s">
        <v>51</v>
      </c>
      <c r="CC143" s="507"/>
      <c r="CD143" s="530"/>
      <c r="CE143" s="135"/>
      <c r="CF143" s="135"/>
      <c r="CG143" s="135"/>
      <c r="CH143" s="135"/>
      <c r="CI143" s="135"/>
      <c r="CJ143" s="135"/>
      <c r="CK143" s="135"/>
      <c r="CL143" s="135"/>
      <c r="CM143" s="135"/>
      <c r="CN143" s="135"/>
      <c r="CO143" s="135"/>
      <c r="CP143" s="135"/>
      <c r="CQ143" s="135"/>
      <c r="CR143" s="135"/>
      <c r="CS143" s="135"/>
      <c r="CT143" s="210"/>
      <c r="CU143" s="6"/>
      <c r="DB143" s="1961"/>
      <c r="DC143" s="1961"/>
      <c r="DD143" s="1961"/>
      <c r="DE143" s="1961"/>
      <c r="DF143" s="1961"/>
      <c r="DG143" s="1961"/>
      <c r="DH143" s="1961"/>
      <c r="DI143" s="259"/>
    </row>
    <row r="144" spans="1:113" ht="12" customHeight="1" x14ac:dyDescent="0.25">
      <c r="A144" s="211" t="s">
        <v>147</v>
      </c>
      <c r="B144" s="138"/>
      <c r="C144" s="71">
        <f t="shared" ref="C144:AU144" si="198">SUM(C137:C142)</f>
        <v>-107.444</v>
      </c>
      <c r="D144" s="71">
        <f t="shared" si="198"/>
        <v>-243.452</v>
      </c>
      <c r="E144" s="74">
        <f t="shared" si="198"/>
        <v>-39.453999999999994</v>
      </c>
      <c r="F144" s="74">
        <f t="shared" si="198"/>
        <v>-9.9489999999999981</v>
      </c>
      <c r="G144" s="74">
        <f t="shared" si="198"/>
        <v>-5.4089999999999998</v>
      </c>
      <c r="H144" s="74">
        <f t="shared" si="198"/>
        <v>-56.018999999999998</v>
      </c>
      <c r="I144" s="138">
        <f t="shared" si="198"/>
        <v>-110.831</v>
      </c>
      <c r="J144" s="138">
        <f t="shared" si="198"/>
        <v>10.414999999999999</v>
      </c>
      <c r="K144" s="74">
        <f t="shared" si="198"/>
        <v>-108.81699999999999</v>
      </c>
      <c r="L144" s="74">
        <f t="shared" si="198"/>
        <v>-2.2680000000000033</v>
      </c>
      <c r="M144" s="74">
        <f t="shared" si="198"/>
        <v>-29.795999999999996</v>
      </c>
      <c r="N144" s="71">
        <f t="shared" si="198"/>
        <v>-130.46599999999998</v>
      </c>
      <c r="O144" s="138">
        <f t="shared" si="198"/>
        <v>-66.920999999999992</v>
      </c>
      <c r="P144" s="74">
        <f t="shared" si="198"/>
        <v>-85.762</v>
      </c>
      <c r="Q144" s="74">
        <f t="shared" si="198"/>
        <v>-15.621000000000004</v>
      </c>
      <c r="R144" s="74">
        <f t="shared" si="198"/>
        <v>-17.035999999999994</v>
      </c>
      <c r="S144" s="71">
        <f t="shared" si="198"/>
        <v>-185.34</v>
      </c>
      <c r="T144" s="138">
        <f t="shared" si="198"/>
        <v>-14.929</v>
      </c>
      <c r="U144" s="74">
        <f t="shared" si="198"/>
        <v>-7.9949999999999974</v>
      </c>
      <c r="V144" s="74">
        <f t="shared" si="198"/>
        <v>-6.5639999999999992</v>
      </c>
      <c r="W144" s="74">
        <f t="shared" si="198"/>
        <v>-214.20099999999999</v>
      </c>
      <c r="X144" s="71">
        <f t="shared" si="198"/>
        <v>-243.68899999999999</v>
      </c>
      <c r="Y144" s="138">
        <f t="shared" si="198"/>
        <v>-13.454000000000001</v>
      </c>
      <c r="Z144" s="74">
        <f t="shared" si="198"/>
        <v>-159.13200000000001</v>
      </c>
      <c r="AA144" s="74">
        <f t="shared" si="198"/>
        <v>-13.819999999999997</v>
      </c>
      <c r="AB144" s="74">
        <f t="shared" si="198"/>
        <v>-17.723000000000003</v>
      </c>
      <c r="AC144" s="71">
        <f t="shared" si="198"/>
        <v>-204.12900000000002</v>
      </c>
      <c r="AD144" s="74">
        <f t="shared" si="198"/>
        <v>-367.11199999999997</v>
      </c>
      <c r="AE144" s="74">
        <f t="shared" si="198"/>
        <v>-19.924999999999994</v>
      </c>
      <c r="AF144" s="74">
        <f>SUM(AF137:AF142)</f>
        <v>-451.66700000000003</v>
      </c>
      <c r="AG144" s="74">
        <f t="shared" si="198"/>
        <v>-44.879000000000076</v>
      </c>
      <c r="AH144" s="71">
        <f t="shared" si="198"/>
        <v>-883.58299999999997</v>
      </c>
      <c r="AI144" s="138">
        <f t="shared" si="198"/>
        <v>-27.608000000000001</v>
      </c>
      <c r="AJ144" s="74">
        <f t="shared" si="198"/>
        <v>-35.389999999999993</v>
      </c>
      <c r="AK144" s="74">
        <f t="shared" si="198"/>
        <v>-44.359000000000009</v>
      </c>
      <c r="AL144" s="74">
        <f t="shared" si="198"/>
        <v>-38.268999999999991</v>
      </c>
      <c r="AM144" s="71">
        <f t="shared" si="198"/>
        <v>-145.626</v>
      </c>
      <c r="AN144" s="138">
        <f t="shared" si="198"/>
        <v>109.86500000000001</v>
      </c>
      <c r="AO144" s="74">
        <f t="shared" si="198"/>
        <v>-39.381</v>
      </c>
      <c r="AP144" s="74">
        <f t="shared" si="198"/>
        <v>-31.009000000000022</v>
      </c>
      <c r="AQ144" s="74">
        <f t="shared" si="198"/>
        <v>-75.00500000000001</v>
      </c>
      <c r="AR144" s="71">
        <f t="shared" si="198"/>
        <v>-35.53000000000003</v>
      </c>
      <c r="AS144" s="138">
        <f t="shared" si="198"/>
        <v>-25.225000000000005</v>
      </c>
      <c r="AT144" s="74">
        <f t="shared" si="198"/>
        <v>-2840.0329999999999</v>
      </c>
      <c r="AU144" s="74">
        <f t="shared" si="198"/>
        <v>-29.944000000000003</v>
      </c>
      <c r="AV144" s="74">
        <f>SUM(AV137:AV142)</f>
        <v>-111.11500000000021</v>
      </c>
      <c r="AW144" s="71">
        <f t="shared" ref="AW144:BB144" si="199">SUM(AW137:AW142)</f>
        <v>-3006.3170000000005</v>
      </c>
      <c r="AX144" s="74">
        <f t="shared" si="199"/>
        <v>-31.290000000000003</v>
      </c>
      <c r="AY144" s="74">
        <f t="shared" si="199"/>
        <v>681.87099999999998</v>
      </c>
      <c r="AZ144" s="74">
        <f t="shared" si="199"/>
        <v>-71.254999999999853</v>
      </c>
      <c r="BA144" s="74">
        <f t="shared" si="199"/>
        <v>-86.226000000000155</v>
      </c>
      <c r="BB144" s="77">
        <f t="shared" si="199"/>
        <v>493.09999999999997</v>
      </c>
      <c r="BC144" s="74">
        <f t="shared" ref="BC144:CA144" si="200">SUM(BC137:BC142)</f>
        <v>-107.4</v>
      </c>
      <c r="BD144" s="74">
        <f t="shared" si="200"/>
        <v>-87.3</v>
      </c>
      <c r="BE144" s="74">
        <f t="shared" si="200"/>
        <v>-629.19999999999993</v>
      </c>
      <c r="BF144" s="74">
        <f t="shared" si="200"/>
        <v>-281.60000000000002</v>
      </c>
      <c r="BG144" s="77">
        <f t="shared" si="200"/>
        <v>-1105.5</v>
      </c>
      <c r="BH144" s="74">
        <f t="shared" si="200"/>
        <v>-40.837905698368488</v>
      </c>
      <c r="BI144" s="74">
        <f t="shared" si="200"/>
        <v>-51.933537889908244</v>
      </c>
      <c r="BJ144" s="74">
        <f t="shared" si="200"/>
        <v>-50.977421134583878</v>
      </c>
      <c r="BK144" s="74">
        <f t="shared" si="200"/>
        <v>-80.698133696300175</v>
      </c>
      <c r="BL144" s="77">
        <f t="shared" si="200"/>
        <v>-224.44699841916079</v>
      </c>
      <c r="BM144" s="74">
        <f t="shared" si="200"/>
        <v>-37.148866154994032</v>
      </c>
      <c r="BN144" s="74">
        <f t="shared" si="200"/>
        <v>-48.762677047018336</v>
      </c>
      <c r="BO144" s="74">
        <f t="shared" si="200"/>
        <v>-47.59921678177929</v>
      </c>
      <c r="BP144" s="74">
        <f t="shared" si="200"/>
        <v>-78.976880564615115</v>
      </c>
      <c r="BQ144" s="77">
        <f t="shared" si="200"/>
        <v>-212.48764054840677</v>
      </c>
      <c r="BR144" s="74">
        <f t="shared" si="200"/>
        <v>-33.524981871501538</v>
      </c>
      <c r="BS144" s="74">
        <f t="shared" si="200"/>
        <v>-45.642172652306421</v>
      </c>
      <c r="BT144" s="74">
        <f t="shared" si="200"/>
        <v>-44.262345799311653</v>
      </c>
      <c r="BU144" s="74">
        <f t="shared" si="200"/>
        <v>-77.27504914828188</v>
      </c>
      <c r="BV144" s="77">
        <f t="shared" si="200"/>
        <v>-200.70454947140149</v>
      </c>
      <c r="BW144" s="74">
        <f t="shared" si="200"/>
        <v>-32.060319684863096</v>
      </c>
      <c r="BX144" s="74">
        <f t="shared" si="200"/>
        <v>-44.772861956146265</v>
      </c>
      <c r="BY144" s="74">
        <f t="shared" si="200"/>
        <v>-43.228814161451965</v>
      </c>
      <c r="BZ144" s="74">
        <f t="shared" si="200"/>
        <v>-78.025619720317792</v>
      </c>
      <c r="CA144" s="77">
        <f t="shared" si="200"/>
        <v>-198.08761552277912</v>
      </c>
      <c r="CB144" s="1910" t="s">
        <v>51</v>
      </c>
      <c r="CC144" s="507"/>
      <c r="CD144" s="212" t="str">
        <f>A144</f>
        <v>Net Cash provided by Invest. Activities from Cont. Ops.</v>
      </c>
      <c r="CE144" s="74">
        <f>D144</f>
        <v>-243.452</v>
      </c>
      <c r="CF144" s="74">
        <f>I144</f>
        <v>-110.831</v>
      </c>
      <c r="CG144" s="74">
        <f>N144</f>
        <v>-130.46599999999998</v>
      </c>
      <c r="CH144" s="74">
        <f>S144</f>
        <v>-185.34</v>
      </c>
      <c r="CI144" s="74">
        <f>X144</f>
        <v>-243.68899999999999</v>
      </c>
      <c r="CJ144" s="74">
        <f>AC144</f>
        <v>-204.12900000000002</v>
      </c>
      <c r="CK144" s="74">
        <f>AH144</f>
        <v>-883.58299999999997</v>
      </c>
      <c r="CL144" s="74">
        <f>AM144</f>
        <v>-145.626</v>
      </c>
      <c r="CM144" s="74">
        <f>AR144</f>
        <v>-35.53000000000003</v>
      </c>
      <c r="CN144" s="74">
        <f>AW144</f>
        <v>-3006.3170000000005</v>
      </c>
      <c r="CO144" s="74">
        <f>BB144</f>
        <v>493.09999999999997</v>
      </c>
      <c r="CP144" s="74">
        <f>BG144</f>
        <v>-1105.5</v>
      </c>
      <c r="CQ144" s="74">
        <f>BL144</f>
        <v>-224.44699841916079</v>
      </c>
      <c r="CR144" s="74">
        <f>BQ144</f>
        <v>-212.48764054840677</v>
      </c>
      <c r="CS144" s="74">
        <f>BV144</f>
        <v>-200.70454947140149</v>
      </c>
      <c r="CT144" s="141">
        <f>CA144</f>
        <v>-198.08761552277912</v>
      </c>
      <c r="CU144" s="6"/>
      <c r="DB144" s="1961"/>
      <c r="DC144" s="1961"/>
      <c r="DD144" s="1961"/>
      <c r="DE144" s="1961"/>
      <c r="DF144" s="1961"/>
      <c r="DG144" s="1961"/>
      <c r="DH144" s="1961"/>
      <c r="DI144" s="74"/>
    </row>
    <row r="145" spans="1:113" ht="5.0999999999999996" customHeight="1" x14ac:dyDescent="0.25">
      <c r="A145" s="211"/>
      <c r="B145" s="517"/>
      <c r="C145" s="278"/>
      <c r="D145" s="278"/>
      <c r="E145" s="516"/>
      <c r="F145" s="516"/>
      <c r="G145" s="516"/>
      <c r="H145" s="516"/>
      <c r="I145" s="553"/>
      <c r="J145" s="517"/>
      <c r="K145" s="516"/>
      <c r="L145" s="516"/>
      <c r="M145" s="516"/>
      <c r="N145" s="551"/>
      <c r="O145" s="517"/>
      <c r="P145" s="516"/>
      <c r="Q145" s="516"/>
      <c r="R145" s="516"/>
      <c r="S145" s="551"/>
      <c r="T145" s="517"/>
      <c r="U145" s="516"/>
      <c r="V145" s="516"/>
      <c r="W145" s="516"/>
      <c r="X145" s="551"/>
      <c r="Y145" s="517"/>
      <c r="Z145" s="516"/>
      <c r="AA145" s="516"/>
      <c r="AB145" s="516"/>
      <c r="AC145" s="551"/>
      <c r="AD145" s="526"/>
      <c r="AE145" s="516"/>
      <c r="AF145" s="516"/>
      <c r="AG145" s="516"/>
      <c r="AH145" s="551"/>
      <c r="AI145" s="526"/>
      <c r="AJ145" s="516"/>
      <c r="AK145" s="537"/>
      <c r="AL145" s="516"/>
      <c r="AM145" s="551"/>
      <c r="AN145" s="526"/>
      <c r="AO145" s="554"/>
      <c r="AP145" s="554"/>
      <c r="AQ145" s="554"/>
      <c r="AR145" s="551"/>
      <c r="AS145" s="526"/>
      <c r="AT145" s="540"/>
      <c r="AU145" s="554"/>
      <c r="AV145" s="554"/>
      <c r="AW145" s="538"/>
      <c r="AX145" s="554"/>
      <c r="AY145" s="554"/>
      <c r="AZ145" s="554"/>
      <c r="BA145" s="554"/>
      <c r="BB145" s="551"/>
      <c r="BC145" s="554"/>
      <c r="BD145" s="554"/>
      <c r="BE145" s="554"/>
      <c r="BF145" s="554"/>
      <c r="BG145" s="551"/>
      <c r="BH145" s="554"/>
      <c r="BI145" s="554"/>
      <c r="BJ145" s="554"/>
      <c r="BK145" s="554"/>
      <c r="BL145" s="551"/>
      <c r="BM145" s="554"/>
      <c r="BN145" s="554"/>
      <c r="BO145" s="554"/>
      <c r="BP145" s="554"/>
      <c r="BQ145" s="551"/>
      <c r="BR145" s="554"/>
      <c r="BS145" s="554"/>
      <c r="BT145" s="554"/>
      <c r="BU145" s="554"/>
      <c r="BV145" s="551"/>
      <c r="BW145" s="554"/>
      <c r="BX145" s="554"/>
      <c r="BY145" s="554"/>
      <c r="BZ145" s="554"/>
      <c r="CA145" s="551"/>
      <c r="CB145" s="1910" t="s">
        <v>51</v>
      </c>
      <c r="CC145" s="507"/>
      <c r="CD145" s="212"/>
      <c r="CE145" s="516"/>
      <c r="CF145" s="516"/>
      <c r="CG145" s="516"/>
      <c r="CH145" s="516"/>
      <c r="CI145" s="516"/>
      <c r="CJ145" s="516"/>
      <c r="CK145" s="516"/>
      <c r="CL145" s="516"/>
      <c r="CM145" s="516"/>
      <c r="CN145" s="516"/>
      <c r="CO145" s="516"/>
      <c r="CP145" s="516"/>
      <c r="CQ145" s="516"/>
      <c r="CR145" s="516"/>
      <c r="CS145" s="516"/>
      <c r="CT145" s="518"/>
      <c r="CU145" s="6"/>
      <c r="DB145" s="1961"/>
      <c r="DC145" s="1961"/>
      <c r="DD145" s="1961"/>
      <c r="DE145" s="1961"/>
      <c r="DF145" s="1961"/>
      <c r="DG145" s="1961"/>
      <c r="DH145" s="1961"/>
      <c r="DI145" s="268"/>
    </row>
    <row r="146" spans="1:113" ht="12" customHeight="1" x14ac:dyDescent="0.25">
      <c r="A146" s="555" t="s">
        <v>148</v>
      </c>
      <c r="B146" s="317"/>
      <c r="C146" s="296"/>
      <c r="D146" s="296"/>
      <c r="E146" s="494"/>
      <c r="F146" s="494"/>
      <c r="G146" s="494"/>
      <c r="H146" s="494"/>
      <c r="I146" s="495"/>
      <c r="J146" s="317"/>
      <c r="K146" s="494"/>
      <c r="L146" s="494"/>
      <c r="M146" s="494"/>
      <c r="N146" s="497"/>
      <c r="O146" s="317"/>
      <c r="P146" s="494"/>
      <c r="Q146" s="494"/>
      <c r="R146" s="494"/>
      <c r="S146" s="497"/>
      <c r="T146" s="317"/>
      <c r="U146" s="494"/>
      <c r="V146" s="494"/>
      <c r="W146" s="494"/>
      <c r="X146" s="497"/>
      <c r="Y146" s="317"/>
      <c r="Z146" s="494"/>
      <c r="AA146" s="494"/>
      <c r="AB146" s="494"/>
      <c r="AC146" s="497"/>
      <c r="AD146" s="535"/>
      <c r="AE146" s="494"/>
      <c r="AF146" s="494"/>
      <c r="AG146" s="494"/>
      <c r="AH146" s="497"/>
      <c r="AI146" s="535"/>
      <c r="AJ146" s="494"/>
      <c r="AK146" s="556"/>
      <c r="AL146" s="494"/>
      <c r="AM146" s="497"/>
      <c r="AN146" s="535"/>
      <c r="AO146" s="491"/>
      <c r="AP146" s="491"/>
      <c r="AQ146" s="491"/>
      <c r="AR146" s="497"/>
      <c r="AS146" s="535"/>
      <c r="AT146" s="491"/>
      <c r="AU146" s="491"/>
      <c r="AV146" s="491"/>
      <c r="AW146" s="497"/>
      <c r="AX146" s="491"/>
      <c r="AY146" s="491"/>
      <c r="AZ146" s="491"/>
      <c r="BA146" s="491"/>
      <c r="BB146" s="497"/>
      <c r="BC146" s="491"/>
      <c r="BD146" s="491"/>
      <c r="BE146" s="491"/>
      <c r="BF146" s="491"/>
      <c r="BG146" s="497"/>
      <c r="BH146" s="491"/>
      <c r="BI146" s="491"/>
      <c r="BJ146" s="491"/>
      <c r="BK146" s="491"/>
      <c r="BL146" s="497"/>
      <c r="BM146" s="491"/>
      <c r="BN146" s="491"/>
      <c r="BO146" s="491"/>
      <c r="BP146" s="491"/>
      <c r="BQ146" s="497"/>
      <c r="BR146" s="491"/>
      <c r="BS146" s="491"/>
      <c r="BT146" s="491"/>
      <c r="BU146" s="491"/>
      <c r="BV146" s="497"/>
      <c r="BW146" s="491"/>
      <c r="BX146" s="491"/>
      <c r="BY146" s="491"/>
      <c r="BZ146" s="491"/>
      <c r="CA146" s="497"/>
      <c r="CB146" s="1910" t="s">
        <v>51</v>
      </c>
      <c r="CC146" s="507"/>
      <c r="CD146" s="492" t="str">
        <f t="shared" ref="CD146:CD155" si="201">A146</f>
        <v>Cash From Financing Activities</v>
      </c>
      <c r="CE146" s="494"/>
      <c r="CF146" s="494"/>
      <c r="CG146" s="494"/>
      <c r="CH146" s="494"/>
      <c r="CI146" s="494"/>
      <c r="CJ146" s="494"/>
      <c r="CK146" s="494"/>
      <c r="CL146" s="494"/>
      <c r="CM146" s="494"/>
      <c r="CN146" s="494"/>
      <c r="CO146" s="494"/>
      <c r="CP146" s="494"/>
      <c r="CQ146" s="494"/>
      <c r="CR146" s="494"/>
      <c r="CS146" s="494"/>
      <c r="CT146" s="542"/>
      <c r="CU146" s="6"/>
      <c r="DB146" s="1961"/>
      <c r="DC146" s="1961"/>
      <c r="DD146" s="1961"/>
      <c r="DE146" s="1961"/>
      <c r="DF146" s="1961"/>
      <c r="DG146" s="1961"/>
      <c r="DH146" s="1961"/>
      <c r="DI146" s="491"/>
    </row>
    <row r="147" spans="1:113" ht="12" customHeight="1" x14ac:dyDescent="0.25">
      <c r="A147" s="557" t="s">
        <v>149</v>
      </c>
      <c r="B147" s="333"/>
      <c r="C147" s="558">
        <v>15</v>
      </c>
      <c r="D147" s="558">
        <v>15</v>
      </c>
      <c r="E147" s="235">
        <v>0</v>
      </c>
      <c r="F147" s="235">
        <f>55-E147</f>
        <v>55</v>
      </c>
      <c r="G147" s="235">
        <f>85-SUM(E147:F147)</f>
        <v>30</v>
      </c>
      <c r="H147" s="235">
        <f>85-SUM(E147:G147)</f>
        <v>0</v>
      </c>
      <c r="I147" s="559">
        <f t="shared" ref="I147:I155" si="202">SUM(E147:H147)</f>
        <v>85</v>
      </c>
      <c r="J147" s="560">
        <v>80</v>
      </c>
      <c r="K147" s="150">
        <f>70-J147</f>
        <v>-10</v>
      </c>
      <c r="L147" s="150">
        <f>40-SUM(J147:K147)</f>
        <v>-30</v>
      </c>
      <c r="M147" s="150">
        <f>114-SUM(J147:L147)</f>
        <v>74</v>
      </c>
      <c r="N147" s="561">
        <f t="shared" ref="N147:N155" si="203">SUM(J147:M147)</f>
        <v>114</v>
      </c>
      <c r="O147" s="560">
        <v>0</v>
      </c>
      <c r="P147" s="562">
        <f>40-O147</f>
        <v>40</v>
      </c>
      <c r="Q147" s="562">
        <f>6.808-SUM(O147:P147)</f>
        <v>-33.192</v>
      </c>
      <c r="R147" s="562">
        <f>0-SUM(O147:Q147)</f>
        <v>-6.8079999999999998</v>
      </c>
      <c r="S147" s="512">
        <f t="shared" ref="S147:S155" si="204">SUM(O147:R147)</f>
        <v>0</v>
      </c>
      <c r="T147" s="560">
        <v>0</v>
      </c>
      <c r="U147" s="562">
        <v>0</v>
      </c>
      <c r="V147" s="562">
        <f>0-SUM(T147:U147)</f>
        <v>0</v>
      </c>
      <c r="W147" s="234">
        <f>215+35-T147-U147-V147</f>
        <v>250</v>
      </c>
      <c r="X147" s="563">
        <f t="shared" ref="X147:X155" si="205">SUM(T147:W147)</f>
        <v>250</v>
      </c>
      <c r="Y147" s="234">
        <v>0</v>
      </c>
      <c r="Z147" s="234">
        <f>72.919-Y147</f>
        <v>72.918999999999997</v>
      </c>
      <c r="AA147" s="234">
        <f>120+22.311-SUM(Y147:Z147)</f>
        <v>69.39200000000001</v>
      </c>
      <c r="AB147" s="234">
        <f>120+10-SUM(Y147:AA147)</f>
        <v>-12.311000000000007</v>
      </c>
      <c r="AC147" s="224">
        <f t="shared" ref="AC147:AC155" si="206">SUM(Y147:AB147)</f>
        <v>130</v>
      </c>
      <c r="AD147" s="235">
        <v>125</v>
      </c>
      <c r="AE147" s="234">
        <f>150-AD147</f>
        <v>25</v>
      </c>
      <c r="AF147" s="234">
        <f>462.224-AE147-AD147</f>
        <v>312.22399999999999</v>
      </c>
      <c r="AG147" s="234">
        <f>357.224-SUM(AD147:AF147)</f>
        <v>-105</v>
      </c>
      <c r="AH147" s="224">
        <f t="shared" ref="AH147:AH155" si="207">SUM(AD147:AG147)</f>
        <v>357.22399999999999</v>
      </c>
      <c r="AI147" s="564">
        <v>-10</v>
      </c>
      <c r="AJ147" s="235">
        <f>-10-AI147</f>
        <v>0</v>
      </c>
      <c r="AK147" s="235">
        <f>-10-SUM(AI147:AJ147)</f>
        <v>0</v>
      </c>
      <c r="AL147" s="235">
        <v>0</v>
      </c>
      <c r="AM147" s="224">
        <f>SUM(AI147:AL147)</f>
        <v>-10</v>
      </c>
      <c r="AN147" s="564">
        <v>0</v>
      </c>
      <c r="AO147" s="235">
        <v>0</v>
      </c>
      <c r="AP147" s="235">
        <v>0</v>
      </c>
      <c r="AQ147" s="235">
        <f>160</f>
        <v>160</v>
      </c>
      <c r="AR147" s="224">
        <f>SUM(AN147:AQ147)</f>
        <v>160</v>
      </c>
      <c r="AS147" s="564">
        <v>0</v>
      </c>
      <c r="AT147" s="234">
        <f>830+30-AS147</f>
        <v>860</v>
      </c>
      <c r="AU147" s="234">
        <f>830-SUM(AS147:AT147)</f>
        <v>-30</v>
      </c>
      <c r="AV147" s="234">
        <v>0</v>
      </c>
      <c r="AW147" s="224">
        <f>SUM(AS147:AV147)</f>
        <v>830</v>
      </c>
      <c r="AX147" s="234">
        <v>0</v>
      </c>
      <c r="AY147" s="234">
        <f>-870-AX147-AX149</f>
        <v>-705</v>
      </c>
      <c r="AZ147" s="234">
        <f>-870-SUM(AX147:AY149)</f>
        <v>0</v>
      </c>
      <c r="BA147" s="516">
        <f>-770-SUM(AX147:AZ149)</f>
        <v>100</v>
      </c>
      <c r="BB147" s="225">
        <f>SUM(AX147:BA147)</f>
        <v>-605</v>
      </c>
      <c r="BC147" s="1881">
        <v>0</v>
      </c>
      <c r="BD147" s="1881">
        <f>20-BC148</f>
        <v>120</v>
      </c>
      <c r="BE147" s="1946">
        <f>40-BD147-BC147+455</f>
        <v>375</v>
      </c>
      <c r="BF147" s="1946">
        <f>455+160-SUM(BC147:BE147)</f>
        <v>120</v>
      </c>
      <c r="BG147" s="225">
        <f>SUM(BC147:BF147)</f>
        <v>615</v>
      </c>
      <c r="BH147" s="565">
        <v>0</v>
      </c>
      <c r="BI147" s="565">
        <v>0</v>
      </c>
      <c r="BJ147" s="565">
        <v>0</v>
      </c>
      <c r="BK147" s="565">
        <v>0</v>
      </c>
      <c r="BL147" s="225">
        <f>SUM(BH147:BK147)</f>
        <v>0</v>
      </c>
      <c r="BM147" s="565">
        <v>0</v>
      </c>
      <c r="BN147" s="565">
        <v>0</v>
      </c>
      <c r="BO147" s="565">
        <v>0</v>
      </c>
      <c r="BP147" s="565">
        <v>0</v>
      </c>
      <c r="BQ147" s="225">
        <f>SUM(BM147:BP147)</f>
        <v>0</v>
      </c>
      <c r="BR147" s="565">
        <v>0</v>
      </c>
      <c r="BS147" s="565">
        <v>0</v>
      </c>
      <c r="BT147" s="565">
        <v>0</v>
      </c>
      <c r="BU147" s="565">
        <v>0</v>
      </c>
      <c r="BV147" s="225">
        <f>SUM(BR147:BU147)</f>
        <v>0</v>
      </c>
      <c r="BW147" s="565">
        <v>0</v>
      </c>
      <c r="BX147" s="565">
        <v>0</v>
      </c>
      <c r="BY147" s="565">
        <v>0</v>
      </c>
      <c r="BZ147" s="565">
        <v>0</v>
      </c>
      <c r="CA147" s="225">
        <f>SUM(BW147:BZ147)</f>
        <v>0</v>
      </c>
      <c r="CB147" s="1910" t="s">
        <v>51</v>
      </c>
      <c r="CC147" s="507"/>
      <c r="CD147" s="566" t="str">
        <f t="shared" si="201"/>
        <v>Borrowing on Short-term Debt</v>
      </c>
      <c r="CE147" s="562">
        <f t="shared" ref="CE147:CE155" si="208">D147</f>
        <v>15</v>
      </c>
      <c r="CF147" s="562">
        <f t="shared" ref="CF147:CF155" si="209">I147</f>
        <v>85</v>
      </c>
      <c r="CG147" s="562">
        <f t="shared" ref="CG147:CG155" si="210">N147</f>
        <v>114</v>
      </c>
      <c r="CH147" s="562">
        <f t="shared" ref="CH147:CH155" si="211">S147</f>
        <v>0</v>
      </c>
      <c r="CI147" s="562">
        <f t="shared" ref="CI147:CI155" si="212">X147</f>
        <v>250</v>
      </c>
      <c r="CJ147" s="562">
        <f t="shared" ref="CJ147:CJ155" si="213">AC147</f>
        <v>130</v>
      </c>
      <c r="CK147" s="562">
        <f t="shared" ref="CK147:CK155" si="214">AH147</f>
        <v>357.22399999999999</v>
      </c>
      <c r="CL147" s="562">
        <f t="shared" ref="CL147:CL155" si="215">AM147</f>
        <v>-10</v>
      </c>
      <c r="CM147" s="562">
        <f t="shared" ref="CM147:CM155" si="216">AR147</f>
        <v>160</v>
      </c>
      <c r="CN147" s="562">
        <f t="shared" ref="CN147:CN155" si="217">AW147</f>
        <v>830</v>
      </c>
      <c r="CO147" s="562">
        <f t="shared" ref="CO147:CO155" si="218">BB147</f>
        <v>-605</v>
      </c>
      <c r="CP147" s="562">
        <f t="shared" ref="CP147:CP155" si="219">BG147</f>
        <v>615</v>
      </c>
      <c r="CQ147" s="562">
        <f t="shared" ref="CQ147:CQ155" si="220">BL147</f>
        <v>0</v>
      </c>
      <c r="CR147" s="562">
        <f t="shared" ref="CR147:CR155" si="221">BQ147</f>
        <v>0</v>
      </c>
      <c r="CS147" s="562">
        <f t="shared" ref="CS147:CS155" si="222">BV147</f>
        <v>0</v>
      </c>
      <c r="CT147" s="567">
        <f t="shared" ref="CT147:CT155" si="223">CA147</f>
        <v>0</v>
      </c>
      <c r="CU147" s="6"/>
      <c r="DB147" s="1965"/>
      <c r="DC147" s="1961"/>
      <c r="DD147" s="1961"/>
      <c r="DE147" s="1961"/>
      <c r="DF147" s="1961"/>
      <c r="DG147" s="1961"/>
      <c r="DH147" s="1961"/>
      <c r="DI147" s="1961"/>
    </row>
    <row r="148" spans="1:113" ht="12" customHeight="1" x14ac:dyDescent="0.25">
      <c r="A148" s="213" t="s">
        <v>150</v>
      </c>
      <c r="B148" s="333"/>
      <c r="C148" s="265">
        <v>-172.88399999999999</v>
      </c>
      <c r="D148" s="265">
        <v>-18.356000000000002</v>
      </c>
      <c r="E148" s="268">
        <v>-1.0580000000000001</v>
      </c>
      <c r="F148" s="268">
        <f>-102.564-E148</f>
        <v>-101.50599999999999</v>
      </c>
      <c r="G148" s="268">
        <f>-133.648-SUM(E148:F148)</f>
        <v>-31.084000000000003</v>
      </c>
      <c r="H148" s="268">
        <f>-136.008-SUM(E148:G148)</f>
        <v>-2.3600000000000136</v>
      </c>
      <c r="I148" s="509">
        <f t="shared" si="202"/>
        <v>-136.00800000000001</v>
      </c>
      <c r="J148" s="333">
        <v>-1.25</v>
      </c>
      <c r="K148" s="268">
        <f>-17.587-J148</f>
        <v>-16.337</v>
      </c>
      <c r="L148" s="268">
        <f>-35.219-SUM(J148:K148)</f>
        <v>-17.632000000000001</v>
      </c>
      <c r="M148" s="268">
        <f>-35.287-SUM(J148:L148)</f>
        <v>-6.799999999999784E-2</v>
      </c>
      <c r="N148" s="510">
        <f t="shared" si="203"/>
        <v>-35.286999999999999</v>
      </c>
      <c r="O148" s="333">
        <v>-30.681999999999999</v>
      </c>
      <c r="P148" s="516">
        <f>-100+-2.659-O148</f>
        <v>-71.977000000000004</v>
      </c>
      <c r="Q148" s="516">
        <f>-100+-4.51-SUM(O148:P148)</f>
        <v>-1.8509999999999991</v>
      </c>
      <c r="R148" s="516">
        <f>-59.244-SUM(O148:Q148)</f>
        <v>45.266000000000005</v>
      </c>
      <c r="S148" s="510">
        <f t="shared" si="204"/>
        <v>-59.244</v>
      </c>
      <c r="T148" s="333">
        <v>-62.945</v>
      </c>
      <c r="U148" s="516">
        <f>-64.069-T148</f>
        <v>-1.1240000000000023</v>
      </c>
      <c r="V148" s="516">
        <f>-65.23-SUM(T148:U148)</f>
        <v>-1.1610000000000014</v>
      </c>
      <c r="W148" s="232">
        <f>0-T148-U148-V148</f>
        <v>65.23</v>
      </c>
      <c r="X148" s="118">
        <f t="shared" si="205"/>
        <v>0</v>
      </c>
      <c r="Y148" s="232">
        <v>-15.946</v>
      </c>
      <c r="Z148" s="232">
        <f>-295+-50-Y148</f>
        <v>-329.05399999999997</v>
      </c>
      <c r="AA148" s="232">
        <f>-295+-125-SUM(Y148:Z148)</f>
        <v>-75</v>
      </c>
      <c r="AB148" s="232">
        <f>-125+-440-SUM(Y148:AA148)</f>
        <v>-145</v>
      </c>
      <c r="AC148" s="116">
        <f t="shared" si="206"/>
        <v>-565</v>
      </c>
      <c r="AD148" s="232">
        <v>0</v>
      </c>
      <c r="AE148" s="232">
        <v>0</v>
      </c>
      <c r="AF148" s="232">
        <v>0</v>
      </c>
      <c r="AG148" s="232">
        <f>-347.224-SUM(AD148:AF148)</f>
        <v>-347.22399999999999</v>
      </c>
      <c r="AH148" s="116">
        <f t="shared" si="207"/>
        <v>-347.22399999999999</v>
      </c>
      <c r="AI148" s="245">
        <v>0</v>
      </c>
      <c r="AJ148" s="232">
        <f>-45-AI148</f>
        <v>-45</v>
      </c>
      <c r="AK148" s="232">
        <f>-145-SUM(AI148:AJ148)</f>
        <v>-100</v>
      </c>
      <c r="AL148" s="232">
        <f>-180-SUM(AI148:AK148)</f>
        <v>-35</v>
      </c>
      <c r="AM148" s="116">
        <f>SUM(AI148:AL148)</f>
        <v>-180</v>
      </c>
      <c r="AN148" s="245">
        <v>0</v>
      </c>
      <c r="AO148" s="232">
        <v>0</v>
      </c>
      <c r="AP148" s="232">
        <v>0</v>
      </c>
      <c r="AQ148" s="232">
        <v>0</v>
      </c>
      <c r="AR148" s="116">
        <f>SUM(AN148:AQ148)</f>
        <v>0</v>
      </c>
      <c r="AS148" s="245">
        <f>-130</f>
        <v>-130</v>
      </c>
      <c r="AT148" s="232">
        <f>-220-23.053-AS148</f>
        <v>-113.053</v>
      </c>
      <c r="AU148" s="232">
        <f>-170-50-90-SUM(AS148:AT148)</f>
        <v>-66.947000000000003</v>
      </c>
      <c r="AV148" s="232">
        <f>-170-50-105-SUM(AS148:AU148)-15</f>
        <v>-30</v>
      </c>
      <c r="AW148" s="116">
        <f>SUM(AS148:AV148)</f>
        <v>-340</v>
      </c>
      <c r="AX148" s="232">
        <v>0</v>
      </c>
      <c r="AY148" s="232">
        <v>0</v>
      </c>
      <c r="AZ148" s="232">
        <v>0</v>
      </c>
      <c r="BA148" s="232">
        <v>0</v>
      </c>
      <c r="BB148" s="238">
        <f>SUM(AX148:BA148)</f>
        <v>0</v>
      </c>
      <c r="BC148" s="1893">
        <v>-100</v>
      </c>
      <c r="BD148" s="1893">
        <v>0</v>
      </c>
      <c r="BE148" s="1945">
        <f>0-BD148-BC148</f>
        <v>100</v>
      </c>
      <c r="BF148" s="1945">
        <v>0</v>
      </c>
      <c r="BG148" s="238">
        <f>SUM(BC148:BF148)</f>
        <v>0</v>
      </c>
      <c r="BH148" s="256">
        <v>0</v>
      </c>
      <c r="BI148" s="256">
        <v>0</v>
      </c>
      <c r="BJ148" s="256">
        <v>0</v>
      </c>
      <c r="BK148" s="256">
        <v>0</v>
      </c>
      <c r="BL148" s="238">
        <f>SUM(BH148:BK148)</f>
        <v>0</v>
      </c>
      <c r="BM148" s="256">
        <v>0</v>
      </c>
      <c r="BN148" s="256">
        <v>0</v>
      </c>
      <c r="BO148" s="256">
        <v>0</v>
      </c>
      <c r="BP148" s="256">
        <v>0</v>
      </c>
      <c r="BQ148" s="238">
        <f>SUM(BM148:BP148)</f>
        <v>0</v>
      </c>
      <c r="BR148" s="256">
        <v>0</v>
      </c>
      <c r="BS148" s="256">
        <v>0</v>
      </c>
      <c r="BT148" s="256">
        <v>0</v>
      </c>
      <c r="BU148" s="256">
        <v>0</v>
      </c>
      <c r="BV148" s="238">
        <f>SUM(BR148:BU148)</f>
        <v>0</v>
      </c>
      <c r="BW148" s="256">
        <v>0</v>
      </c>
      <c r="BX148" s="256">
        <v>0</v>
      </c>
      <c r="BY148" s="256">
        <v>0</v>
      </c>
      <c r="BZ148" s="256">
        <v>0</v>
      </c>
      <c r="CA148" s="238">
        <f>SUM(BW148:BZ148)</f>
        <v>0</v>
      </c>
      <c r="CB148" s="1910" t="s">
        <v>51</v>
      </c>
      <c r="CC148" s="507"/>
      <c r="CD148" s="218" t="str">
        <f t="shared" si="201"/>
        <v>Payments on Short-term or Long-Term Debt</v>
      </c>
      <c r="CE148" s="516">
        <f t="shared" si="208"/>
        <v>-18.356000000000002</v>
      </c>
      <c r="CF148" s="516">
        <f t="shared" si="209"/>
        <v>-136.00800000000001</v>
      </c>
      <c r="CG148" s="516">
        <f t="shared" si="210"/>
        <v>-35.286999999999999</v>
      </c>
      <c r="CH148" s="516">
        <f t="shared" si="211"/>
        <v>-59.244</v>
      </c>
      <c r="CI148" s="516">
        <f t="shared" si="212"/>
        <v>0</v>
      </c>
      <c r="CJ148" s="516">
        <f t="shared" si="213"/>
        <v>-565</v>
      </c>
      <c r="CK148" s="516">
        <f t="shared" si="214"/>
        <v>-347.22399999999999</v>
      </c>
      <c r="CL148" s="516">
        <f t="shared" si="215"/>
        <v>-180</v>
      </c>
      <c r="CM148" s="516">
        <f t="shared" si="216"/>
        <v>0</v>
      </c>
      <c r="CN148" s="516">
        <f t="shared" si="217"/>
        <v>-340</v>
      </c>
      <c r="CO148" s="516">
        <f t="shared" si="218"/>
        <v>0</v>
      </c>
      <c r="CP148" s="516">
        <f t="shared" si="219"/>
        <v>0</v>
      </c>
      <c r="CQ148" s="516">
        <f t="shared" si="220"/>
        <v>0</v>
      </c>
      <c r="CR148" s="516">
        <f t="shared" si="221"/>
        <v>0</v>
      </c>
      <c r="CS148" s="516">
        <f t="shared" si="222"/>
        <v>0</v>
      </c>
      <c r="CT148" s="518">
        <f t="shared" si="223"/>
        <v>0</v>
      </c>
      <c r="CU148" s="6"/>
      <c r="DB148" s="1961"/>
      <c r="DC148" s="1961"/>
      <c r="DD148" s="1961"/>
      <c r="DE148" s="1961"/>
      <c r="DF148" s="1961"/>
      <c r="DG148" s="1961"/>
      <c r="DH148" s="1961"/>
      <c r="DI148" s="256"/>
    </row>
    <row r="149" spans="1:113" ht="12" customHeight="1" x14ac:dyDescent="0.25">
      <c r="A149" s="557" t="s">
        <v>151</v>
      </c>
      <c r="B149" s="333"/>
      <c r="C149" s="265">
        <v>220</v>
      </c>
      <c r="D149" s="265">
        <v>175</v>
      </c>
      <c r="E149" s="268">
        <v>0</v>
      </c>
      <c r="F149" s="268">
        <f>0-E149</f>
        <v>0</v>
      </c>
      <c r="G149" s="268">
        <f>0-SUM(E149:F149)</f>
        <v>0</v>
      </c>
      <c r="H149" s="268">
        <f>30-SUM(E149:G149)</f>
        <v>30</v>
      </c>
      <c r="I149" s="509">
        <f t="shared" si="202"/>
        <v>30</v>
      </c>
      <c r="J149" s="333">
        <v>0</v>
      </c>
      <c r="K149" s="268">
        <f>150-J149</f>
        <v>150</v>
      </c>
      <c r="L149" s="268">
        <f>150-SUM(J149:K149)</f>
        <v>0</v>
      </c>
      <c r="M149" s="268">
        <f>150-SUM(J149:L149)</f>
        <v>0</v>
      </c>
      <c r="N149" s="510">
        <f t="shared" si="203"/>
        <v>150</v>
      </c>
      <c r="O149" s="333">
        <v>0</v>
      </c>
      <c r="P149" s="516">
        <f>80-O149</f>
        <v>80</v>
      </c>
      <c r="Q149" s="516">
        <f>80-SUM(O149:P149)</f>
        <v>0</v>
      </c>
      <c r="R149" s="516">
        <f>80-100-SUM(O149:Q149)</f>
        <v>-100</v>
      </c>
      <c r="S149" s="510">
        <f t="shared" si="204"/>
        <v>-20</v>
      </c>
      <c r="T149" s="333">
        <v>0</v>
      </c>
      <c r="U149" s="516">
        <v>0</v>
      </c>
      <c r="V149" s="516">
        <f>0-SUM(T149:U149)</f>
        <v>0</v>
      </c>
      <c r="W149" s="516">
        <f>0-T149-U149-V149</f>
        <v>0</v>
      </c>
      <c r="X149" s="522">
        <f t="shared" si="205"/>
        <v>0</v>
      </c>
      <c r="Y149" s="516">
        <v>0</v>
      </c>
      <c r="Z149" s="516">
        <f>448.956-Y149</f>
        <v>448.95600000000002</v>
      </c>
      <c r="AA149" s="516">
        <f>448.956-SUM(Y149:Z149)</f>
        <v>0</v>
      </c>
      <c r="AB149" s="516">
        <f>696.559-SUM(Y149:AA149)</f>
        <v>247.60299999999995</v>
      </c>
      <c r="AC149" s="522">
        <f t="shared" si="206"/>
        <v>696.55899999999997</v>
      </c>
      <c r="AD149" s="516">
        <v>0</v>
      </c>
      <c r="AE149" s="516">
        <v>0</v>
      </c>
      <c r="AF149" s="516">
        <v>0</v>
      </c>
      <c r="AG149" s="516">
        <f>347.224-SUM(AD149:AF149)</f>
        <v>347.22399999999999</v>
      </c>
      <c r="AH149" s="522">
        <f t="shared" si="207"/>
        <v>347.22399999999999</v>
      </c>
      <c r="AI149" s="517">
        <v>0</v>
      </c>
      <c r="AJ149" s="516">
        <v>0</v>
      </c>
      <c r="AK149" s="516">
        <v>0</v>
      </c>
      <c r="AL149" s="516">
        <v>0</v>
      </c>
      <c r="AM149" s="522">
        <f>SUM(AI149:AL149)</f>
        <v>0</v>
      </c>
      <c r="AN149" s="517">
        <v>0</v>
      </c>
      <c r="AO149" s="516">
        <v>0</v>
      </c>
      <c r="AP149" s="516">
        <v>0</v>
      </c>
      <c r="AQ149" s="516">
        <v>0</v>
      </c>
      <c r="AR149" s="522">
        <f>SUM(AN149:AQ149)</f>
        <v>0</v>
      </c>
      <c r="AS149" s="517">
        <v>0</v>
      </c>
      <c r="AT149" s="516">
        <f>1243.966-AS149</f>
        <v>1243.9659999999999</v>
      </c>
      <c r="AU149" s="516">
        <f>1243.966-SUM(AS149:AT149)</f>
        <v>0</v>
      </c>
      <c r="AV149" s="516">
        <v>0</v>
      </c>
      <c r="AW149" s="116">
        <f t="shared" ref="AW149:AW155" si="224">SUM(AS149:AV149)</f>
        <v>1243.9659999999999</v>
      </c>
      <c r="AX149" s="516">
        <v>-165</v>
      </c>
      <c r="AY149" s="232">
        <v>0</v>
      </c>
      <c r="AZ149" s="232">
        <v>0</v>
      </c>
      <c r="BA149" s="232">
        <v>0</v>
      </c>
      <c r="BB149" s="238">
        <f t="shared" ref="BB149:BB155" si="225">SUM(AX149:BA149)</f>
        <v>-165</v>
      </c>
      <c r="BC149" s="1882">
        <v>0</v>
      </c>
      <c r="BD149" s="1882">
        <v>0</v>
      </c>
      <c r="BE149" s="1944">
        <v>0</v>
      </c>
      <c r="BF149" s="1944">
        <v>0</v>
      </c>
      <c r="BG149" s="238">
        <f t="shared" ref="BG149:BG155" si="226">SUM(BC149:BF149)</f>
        <v>0</v>
      </c>
      <c r="BH149" s="219">
        <v>0</v>
      </c>
      <c r="BI149" s="256">
        <v>0</v>
      </c>
      <c r="BJ149" s="219">
        <v>0</v>
      </c>
      <c r="BK149" s="219">
        <v>0</v>
      </c>
      <c r="BL149" s="238">
        <f t="shared" ref="BL149:BL155" si="227">SUM(BH149:BK149)</f>
        <v>0</v>
      </c>
      <c r="BM149" s="219">
        <v>0</v>
      </c>
      <c r="BN149" s="256">
        <v>0</v>
      </c>
      <c r="BO149" s="219">
        <v>0</v>
      </c>
      <c r="BP149" s="219">
        <v>0</v>
      </c>
      <c r="BQ149" s="238">
        <f t="shared" ref="BQ149:BQ155" si="228">SUM(BM149:BP149)</f>
        <v>0</v>
      </c>
      <c r="BR149" s="219">
        <v>0</v>
      </c>
      <c r="BS149" s="256">
        <v>0</v>
      </c>
      <c r="BT149" s="219">
        <v>0</v>
      </c>
      <c r="BU149" s="219">
        <v>0</v>
      </c>
      <c r="BV149" s="238">
        <f t="shared" ref="BV149:BV155" si="229">SUM(BR149:BU149)</f>
        <v>0</v>
      </c>
      <c r="BW149" s="219">
        <v>0</v>
      </c>
      <c r="BX149" s="256">
        <v>0</v>
      </c>
      <c r="BY149" s="219">
        <v>0</v>
      </c>
      <c r="BZ149" s="219">
        <v>0</v>
      </c>
      <c r="CA149" s="238">
        <f t="shared" ref="CA149:CA155" si="230">SUM(BW149:BZ149)</f>
        <v>0</v>
      </c>
      <c r="CB149" s="1910" t="s">
        <v>51</v>
      </c>
      <c r="CC149" s="507"/>
      <c r="CD149" s="566" t="str">
        <f t="shared" si="201"/>
        <v>Borrowing on Long-term Debt</v>
      </c>
      <c r="CE149" s="516">
        <f t="shared" si="208"/>
        <v>175</v>
      </c>
      <c r="CF149" s="516">
        <f t="shared" si="209"/>
        <v>30</v>
      </c>
      <c r="CG149" s="516">
        <f t="shared" si="210"/>
        <v>150</v>
      </c>
      <c r="CH149" s="516">
        <f t="shared" si="211"/>
        <v>-20</v>
      </c>
      <c r="CI149" s="516">
        <f t="shared" si="212"/>
        <v>0</v>
      </c>
      <c r="CJ149" s="516">
        <f t="shared" si="213"/>
        <v>696.55899999999997</v>
      </c>
      <c r="CK149" s="516">
        <f t="shared" si="214"/>
        <v>347.22399999999999</v>
      </c>
      <c r="CL149" s="516">
        <f t="shared" si="215"/>
        <v>0</v>
      </c>
      <c r="CM149" s="516">
        <f t="shared" si="216"/>
        <v>0</v>
      </c>
      <c r="CN149" s="516">
        <f t="shared" si="217"/>
        <v>1243.9659999999999</v>
      </c>
      <c r="CO149" s="516">
        <f t="shared" si="218"/>
        <v>-165</v>
      </c>
      <c r="CP149" s="516">
        <f t="shared" si="219"/>
        <v>0</v>
      </c>
      <c r="CQ149" s="516">
        <f t="shared" si="220"/>
        <v>0</v>
      </c>
      <c r="CR149" s="516">
        <f t="shared" si="221"/>
        <v>0</v>
      </c>
      <c r="CS149" s="516">
        <f t="shared" si="222"/>
        <v>0</v>
      </c>
      <c r="CT149" s="518">
        <f t="shared" si="223"/>
        <v>0</v>
      </c>
      <c r="CU149" s="6"/>
      <c r="DB149" s="1961"/>
      <c r="DC149" s="1961"/>
      <c r="DD149" s="1961"/>
      <c r="DE149" s="1961"/>
      <c r="DF149" s="1961"/>
      <c r="DG149" s="1961"/>
      <c r="DH149" s="1961"/>
      <c r="DI149" s="219"/>
    </row>
    <row r="150" spans="1:113" ht="12" customHeight="1" x14ac:dyDescent="0.25">
      <c r="A150" s="213" t="s">
        <v>152</v>
      </c>
      <c r="B150" s="333"/>
      <c r="C150" s="265">
        <v>0.1</v>
      </c>
      <c r="D150" s="265"/>
      <c r="E150" s="268">
        <v>0</v>
      </c>
      <c r="F150" s="268">
        <f>0-E150</f>
        <v>0</v>
      </c>
      <c r="G150" s="268">
        <f>0-SUM(E150:F150)</f>
        <v>0</v>
      </c>
      <c r="H150" s="268">
        <f>0-SUM(E150:G150)</f>
        <v>0</v>
      </c>
      <c r="I150" s="509">
        <f t="shared" si="202"/>
        <v>0</v>
      </c>
      <c r="J150" s="333">
        <v>0</v>
      </c>
      <c r="K150" s="268">
        <f>0-J150</f>
        <v>0</v>
      </c>
      <c r="L150" s="268">
        <f>0-SUM(J150:K150)</f>
        <v>0</v>
      </c>
      <c r="M150" s="268">
        <f>0-SUM(J150:L150)</f>
        <v>0</v>
      </c>
      <c r="N150" s="510">
        <f t="shared" si="203"/>
        <v>0</v>
      </c>
      <c r="O150" s="333">
        <v>0</v>
      </c>
      <c r="P150" s="516">
        <v>0</v>
      </c>
      <c r="Q150" s="516">
        <v>0</v>
      </c>
      <c r="R150" s="516">
        <v>0</v>
      </c>
      <c r="S150" s="510">
        <f t="shared" si="204"/>
        <v>0</v>
      </c>
      <c r="T150" s="333">
        <v>0</v>
      </c>
      <c r="U150" s="516">
        <v>0</v>
      </c>
      <c r="V150" s="516">
        <f>0-SUM(T150:U150)</f>
        <v>0</v>
      </c>
      <c r="W150" s="232">
        <f>0-T150-U150-V150</f>
        <v>0</v>
      </c>
      <c r="X150" s="118">
        <f t="shared" si="205"/>
        <v>0</v>
      </c>
      <c r="Y150" s="232">
        <v>0</v>
      </c>
      <c r="Z150" s="232">
        <v>0</v>
      </c>
      <c r="AA150" s="232">
        <v>0</v>
      </c>
      <c r="AB150" s="232">
        <v>0</v>
      </c>
      <c r="AC150" s="116">
        <f t="shared" si="206"/>
        <v>0</v>
      </c>
      <c r="AD150" s="232">
        <v>0</v>
      </c>
      <c r="AE150" s="232">
        <v>0</v>
      </c>
      <c r="AF150" s="232">
        <v>0</v>
      </c>
      <c r="AG150" s="232">
        <v>0</v>
      </c>
      <c r="AH150" s="116">
        <f t="shared" si="207"/>
        <v>0</v>
      </c>
      <c r="AI150" s="245">
        <v>0</v>
      </c>
      <c r="AJ150" s="232">
        <v>0</v>
      </c>
      <c r="AK150" s="232">
        <v>0</v>
      </c>
      <c r="AL150" s="232">
        <v>0</v>
      </c>
      <c r="AM150" s="116">
        <f t="shared" ref="AM150:AM155" si="231">SUM(AI150:AL150)</f>
        <v>0</v>
      </c>
      <c r="AN150" s="245">
        <v>0</v>
      </c>
      <c r="AO150" s="232">
        <v>0</v>
      </c>
      <c r="AP150" s="232">
        <v>0</v>
      </c>
      <c r="AQ150" s="232">
        <v>0</v>
      </c>
      <c r="AR150" s="116">
        <f t="shared" ref="AR150:AR155" si="232">SUM(AN150:AQ150)</f>
        <v>0</v>
      </c>
      <c r="AS150" s="245">
        <v>0</v>
      </c>
      <c r="AT150" s="232">
        <f>720.848-AS150</f>
        <v>720.84799999999996</v>
      </c>
      <c r="AU150" s="232">
        <f>720.848-SUM(AS150:AT150)</f>
        <v>0</v>
      </c>
      <c r="AV150" s="232">
        <v>0</v>
      </c>
      <c r="AW150" s="116">
        <f t="shared" si="224"/>
        <v>720.84799999999996</v>
      </c>
      <c r="AX150" s="232">
        <v>0</v>
      </c>
      <c r="AY150" s="232">
        <v>0</v>
      </c>
      <c r="AZ150" s="232">
        <v>0</v>
      </c>
      <c r="BA150" s="232">
        <v>0</v>
      </c>
      <c r="BB150" s="238">
        <f t="shared" si="225"/>
        <v>0</v>
      </c>
      <c r="BC150" s="1893">
        <v>0</v>
      </c>
      <c r="BD150" s="1893">
        <v>0</v>
      </c>
      <c r="BE150" s="1945">
        <v>0</v>
      </c>
      <c r="BF150" s="1945">
        <v>0</v>
      </c>
      <c r="BG150" s="238">
        <f t="shared" si="226"/>
        <v>0</v>
      </c>
      <c r="BH150" s="256">
        <v>0</v>
      </c>
      <c r="BI150" s="256">
        <v>0</v>
      </c>
      <c r="BJ150" s="256">
        <v>0</v>
      </c>
      <c r="BK150" s="256">
        <v>0</v>
      </c>
      <c r="BL150" s="238">
        <f t="shared" si="227"/>
        <v>0</v>
      </c>
      <c r="BM150" s="256">
        <v>0</v>
      </c>
      <c r="BN150" s="256">
        <v>0</v>
      </c>
      <c r="BO150" s="256">
        <v>0</v>
      </c>
      <c r="BP150" s="256">
        <v>0</v>
      </c>
      <c r="BQ150" s="238">
        <f t="shared" si="228"/>
        <v>0</v>
      </c>
      <c r="BR150" s="256">
        <v>0</v>
      </c>
      <c r="BS150" s="256">
        <v>0</v>
      </c>
      <c r="BT150" s="256">
        <v>0</v>
      </c>
      <c r="BU150" s="256">
        <v>0</v>
      </c>
      <c r="BV150" s="238">
        <f t="shared" si="229"/>
        <v>0</v>
      </c>
      <c r="BW150" s="256">
        <v>0</v>
      </c>
      <c r="BX150" s="256">
        <v>0</v>
      </c>
      <c r="BY150" s="256">
        <v>0</v>
      </c>
      <c r="BZ150" s="256">
        <v>0</v>
      </c>
      <c r="CA150" s="238">
        <f t="shared" si="230"/>
        <v>0</v>
      </c>
      <c r="CB150" s="1910" t="s">
        <v>51</v>
      </c>
      <c r="CC150" s="507"/>
      <c r="CD150" s="218" t="str">
        <f t="shared" si="201"/>
        <v>Issuance of Common Stock, Net of Issuance Costs</v>
      </c>
      <c r="CE150" s="516">
        <f t="shared" si="208"/>
        <v>0</v>
      </c>
      <c r="CF150" s="516">
        <f t="shared" si="209"/>
        <v>0</v>
      </c>
      <c r="CG150" s="516">
        <f t="shared" si="210"/>
        <v>0</v>
      </c>
      <c r="CH150" s="516">
        <f t="shared" si="211"/>
        <v>0</v>
      </c>
      <c r="CI150" s="516">
        <f t="shared" si="212"/>
        <v>0</v>
      </c>
      <c r="CJ150" s="516">
        <f t="shared" si="213"/>
        <v>0</v>
      </c>
      <c r="CK150" s="516">
        <f t="shared" si="214"/>
        <v>0</v>
      </c>
      <c r="CL150" s="516">
        <f t="shared" si="215"/>
        <v>0</v>
      </c>
      <c r="CM150" s="516">
        <f t="shared" si="216"/>
        <v>0</v>
      </c>
      <c r="CN150" s="516">
        <f t="shared" si="217"/>
        <v>720.84799999999996</v>
      </c>
      <c r="CO150" s="516">
        <f t="shared" si="218"/>
        <v>0</v>
      </c>
      <c r="CP150" s="516">
        <f t="shared" si="219"/>
        <v>0</v>
      </c>
      <c r="CQ150" s="516">
        <f t="shared" si="220"/>
        <v>0</v>
      </c>
      <c r="CR150" s="516">
        <f t="shared" si="221"/>
        <v>0</v>
      </c>
      <c r="CS150" s="516">
        <f t="shared" si="222"/>
        <v>0</v>
      </c>
      <c r="CT150" s="518">
        <f t="shared" si="223"/>
        <v>0</v>
      </c>
      <c r="CU150" s="6"/>
      <c r="DB150" s="1961"/>
      <c r="DC150" s="1961"/>
      <c r="DD150" s="1961"/>
      <c r="DE150" s="1961"/>
      <c r="DF150" s="1961"/>
      <c r="DG150" s="1961"/>
      <c r="DH150" s="1961"/>
      <c r="DI150" s="256"/>
    </row>
    <row r="151" spans="1:113" ht="12" customHeight="1" x14ac:dyDescent="0.25">
      <c r="A151" s="213" t="s">
        <v>153</v>
      </c>
      <c r="B151" s="333"/>
      <c r="C151" s="265">
        <f>-141.857-39.378</f>
        <v>-181.23500000000001</v>
      </c>
      <c r="D151" s="265">
        <f>-126.857-1.115</f>
        <v>-127.97199999999999</v>
      </c>
      <c r="E151" s="268">
        <f>-33.834-0.506</f>
        <v>-34.340000000000003</v>
      </c>
      <c r="F151" s="268">
        <f>-89.9-2.506-E151</f>
        <v>-58.066000000000003</v>
      </c>
      <c r="G151" s="268">
        <f>-127.777-33.365-SUM(E151:F151)</f>
        <v>-68.73599999999999</v>
      </c>
      <c r="H151" s="268">
        <f>-168.66-36.11-SUM(E151:G151)</f>
        <v>-43.627999999999986</v>
      </c>
      <c r="I151" s="509">
        <f t="shared" si="202"/>
        <v>-204.76999999999998</v>
      </c>
      <c r="J151" s="333">
        <f>-5.001-186.022</f>
        <v>-191.023</v>
      </c>
      <c r="K151" s="268">
        <f>-232.144-5.001-J151</f>
        <v>-46.122000000000014</v>
      </c>
      <c r="L151" s="268">
        <f>-263.744-5.001-SUM(J151:K151)</f>
        <v>-31.599999999999994</v>
      </c>
      <c r="M151" s="268">
        <f>-387.561-5.001-SUM(J151:L151)</f>
        <v>-123.81699999999995</v>
      </c>
      <c r="N151" s="510">
        <f t="shared" si="203"/>
        <v>-392.56199999999995</v>
      </c>
      <c r="O151" s="333">
        <v>-25.881</v>
      </c>
      <c r="P151" s="516">
        <f>-38.282-O151</f>
        <v>-12.400999999999996</v>
      </c>
      <c r="Q151" s="516">
        <f>-46.74-SUM(O151:P151)</f>
        <v>-8.4580000000000055</v>
      </c>
      <c r="R151" s="516">
        <f>-46.74-SUM(O151:Q151)</f>
        <v>0</v>
      </c>
      <c r="S151" s="510">
        <f t="shared" si="204"/>
        <v>-46.74</v>
      </c>
      <c r="T151" s="333">
        <v>0</v>
      </c>
      <c r="U151" s="516">
        <f>-62.266-T151</f>
        <v>-62.265999999999998</v>
      </c>
      <c r="V151" s="516">
        <f>-129.762-SUM(T151:U151)</f>
        <v>-67.496000000000009</v>
      </c>
      <c r="W151" s="516">
        <f>-210.246-199.936-9.879-T151-U151-V151</f>
        <v>-290.29899999999998</v>
      </c>
      <c r="X151" s="522">
        <f t="shared" si="205"/>
        <v>-420.06099999999998</v>
      </c>
      <c r="Y151" s="516">
        <v>-73.578000000000003</v>
      </c>
      <c r="Z151" s="516">
        <f>-214.021-Y151</f>
        <v>-140.44299999999998</v>
      </c>
      <c r="AA151" s="516">
        <f>-340.122-SUM(Y151:Z151)</f>
        <v>-126.10100000000003</v>
      </c>
      <c r="AB151" s="516">
        <f>-381.776-SUM(Y151:AA151)</f>
        <v>-41.653999999999996</v>
      </c>
      <c r="AC151" s="522">
        <f t="shared" si="206"/>
        <v>-381.77600000000001</v>
      </c>
      <c r="AD151" s="562">
        <v>-36.792000000000002</v>
      </c>
      <c r="AE151" s="516">
        <f>-106.305-AD151</f>
        <v>-69.513000000000005</v>
      </c>
      <c r="AF151" s="516">
        <f>-128.073-AE151-AD151</f>
        <v>-21.768000000000001</v>
      </c>
      <c r="AG151" s="516">
        <f>-162.275-SUM(AD151:AF151)</f>
        <v>-34.201999999999998</v>
      </c>
      <c r="AH151" s="522">
        <f t="shared" si="207"/>
        <v>-162.27500000000001</v>
      </c>
      <c r="AI151" s="568">
        <v>-22.13</v>
      </c>
      <c r="AJ151" s="562">
        <f>-135.595-AI151</f>
        <v>-113.465</v>
      </c>
      <c r="AK151" s="562">
        <f>-160.97-SUM(AI151:AJ151)</f>
        <v>-25.375</v>
      </c>
      <c r="AL151" s="562">
        <f>-277.411-SUM(AI151:AK151)</f>
        <v>-116.441</v>
      </c>
      <c r="AM151" s="522">
        <f>SUM(AI151:AL151)</f>
        <v>-277.411</v>
      </c>
      <c r="AN151" s="568">
        <v>-88.161000000000001</v>
      </c>
      <c r="AO151" s="562">
        <f>-122.12-AN151</f>
        <v>-33.959000000000003</v>
      </c>
      <c r="AP151" s="562">
        <f>-183.093-SUM(AN151:AO151)</f>
        <v>-60.972999999999985</v>
      </c>
      <c r="AQ151" s="562">
        <f>-778.484-SUM(AN151:AP151)</f>
        <v>-595.39100000000008</v>
      </c>
      <c r="AR151" s="522">
        <f>SUM(AN151:AQ151)</f>
        <v>-778.48400000000004</v>
      </c>
      <c r="AS151" s="517">
        <v>0</v>
      </c>
      <c r="AT151" s="516">
        <v>0</v>
      </c>
      <c r="AU151" s="516">
        <v>0</v>
      </c>
      <c r="AV151" s="516">
        <f>-20.456-SUM(AS151:AU151)</f>
        <v>-20.456</v>
      </c>
      <c r="AW151" s="116">
        <f t="shared" si="224"/>
        <v>-20.456</v>
      </c>
      <c r="AX151" s="516">
        <v>-116.363</v>
      </c>
      <c r="AY151" s="516">
        <f>+-116.363-AX151</f>
        <v>0</v>
      </c>
      <c r="AZ151" s="516">
        <f>-182.533-SUM(AX151:AY151)</f>
        <v>-66.169999999999987</v>
      </c>
      <c r="BA151" s="516">
        <f>-326.8-SUM(AX151:AZ151)</f>
        <v>-144.26700000000002</v>
      </c>
      <c r="BB151" s="238">
        <f>SUM(AX151:BA151)</f>
        <v>-326.8</v>
      </c>
      <c r="BC151" s="1882">
        <v>-99.3</v>
      </c>
      <c r="BD151" s="1882">
        <f>-266.1-BC151</f>
        <v>-166.8</v>
      </c>
      <c r="BE151" s="1944">
        <f>-276.2-BD151-BC151</f>
        <v>-10.09999999999998</v>
      </c>
      <c r="BF151" s="1944">
        <f>-276.3-SUM(BC151:BE151)</f>
        <v>-0.10000000000002274</v>
      </c>
      <c r="BG151" s="238">
        <f t="shared" si="226"/>
        <v>-276.3</v>
      </c>
      <c r="BH151" s="219">
        <f>-525/4</f>
        <v>-131.25</v>
      </c>
      <c r="BI151" s="219">
        <f>BH151</f>
        <v>-131.25</v>
      </c>
      <c r="BJ151" s="219">
        <f t="shared" ref="BJ151:BK151" si="233">BI151</f>
        <v>-131.25</v>
      </c>
      <c r="BK151" s="219">
        <f t="shared" si="233"/>
        <v>-131.25</v>
      </c>
      <c r="BL151" s="238">
        <f t="shared" si="227"/>
        <v>-525</v>
      </c>
      <c r="BM151" s="219">
        <f>-700/4</f>
        <v>-175</v>
      </c>
      <c r="BN151" s="219">
        <f>BM151</f>
        <v>-175</v>
      </c>
      <c r="BO151" s="219">
        <f t="shared" ref="BO151:BP151" si="234">BN151</f>
        <v>-175</v>
      </c>
      <c r="BP151" s="219">
        <f t="shared" si="234"/>
        <v>-175</v>
      </c>
      <c r="BQ151" s="238">
        <f t="shared" si="228"/>
        <v>-700</v>
      </c>
      <c r="BR151" s="219">
        <f>-800/4</f>
        <v>-200</v>
      </c>
      <c r="BS151" s="219">
        <f>BR151</f>
        <v>-200</v>
      </c>
      <c r="BT151" s="219">
        <f t="shared" ref="BT151:BU151" si="235">BS151</f>
        <v>-200</v>
      </c>
      <c r="BU151" s="219">
        <f t="shared" si="235"/>
        <v>-200</v>
      </c>
      <c r="BV151" s="238">
        <f t="shared" si="229"/>
        <v>-800</v>
      </c>
      <c r="BW151" s="219">
        <f>-800/4</f>
        <v>-200</v>
      </c>
      <c r="BX151" s="219">
        <f>BW151</f>
        <v>-200</v>
      </c>
      <c r="BY151" s="219">
        <f t="shared" ref="BY151:BZ151" si="236">BX151</f>
        <v>-200</v>
      </c>
      <c r="BZ151" s="219">
        <f t="shared" si="236"/>
        <v>-200</v>
      </c>
      <c r="CA151" s="238">
        <f t="shared" si="230"/>
        <v>-800</v>
      </c>
      <c r="CB151" s="1910" t="s">
        <v>51</v>
      </c>
      <c r="CC151" s="507"/>
      <c r="CD151" s="218" t="str">
        <f t="shared" si="201"/>
        <v>Repurchase of Common Stock</v>
      </c>
      <c r="CE151" s="516">
        <f t="shared" si="208"/>
        <v>-127.97199999999999</v>
      </c>
      <c r="CF151" s="516">
        <f t="shared" si="209"/>
        <v>-204.76999999999998</v>
      </c>
      <c r="CG151" s="516">
        <f t="shared" si="210"/>
        <v>-392.56199999999995</v>
      </c>
      <c r="CH151" s="516">
        <f t="shared" si="211"/>
        <v>-46.74</v>
      </c>
      <c r="CI151" s="516">
        <f t="shared" si="212"/>
        <v>-420.06099999999998</v>
      </c>
      <c r="CJ151" s="516">
        <f t="shared" si="213"/>
        <v>-381.77600000000001</v>
      </c>
      <c r="CK151" s="516">
        <f t="shared" si="214"/>
        <v>-162.27500000000001</v>
      </c>
      <c r="CL151" s="516">
        <f t="shared" si="215"/>
        <v>-277.411</v>
      </c>
      <c r="CM151" s="516">
        <f t="shared" si="216"/>
        <v>-778.48400000000004</v>
      </c>
      <c r="CN151" s="516">
        <f t="shared" si="217"/>
        <v>-20.456</v>
      </c>
      <c r="CO151" s="516">
        <f t="shared" si="218"/>
        <v>-326.8</v>
      </c>
      <c r="CP151" s="516">
        <f t="shared" si="219"/>
        <v>-276.3</v>
      </c>
      <c r="CQ151" s="516">
        <f t="shared" si="220"/>
        <v>-525</v>
      </c>
      <c r="CR151" s="516">
        <f t="shared" si="221"/>
        <v>-700</v>
      </c>
      <c r="CS151" s="516">
        <f t="shared" si="222"/>
        <v>-800</v>
      </c>
      <c r="CT151" s="518">
        <f t="shared" si="223"/>
        <v>-800</v>
      </c>
      <c r="CU151" s="6"/>
      <c r="DB151" s="1961"/>
      <c r="DC151" s="1961"/>
      <c r="DD151" s="1961"/>
      <c r="DE151" s="1961"/>
      <c r="DF151" s="1961"/>
      <c r="DG151" s="1961"/>
      <c r="DH151" s="1961"/>
      <c r="DI151" s="219"/>
    </row>
    <row r="152" spans="1:113" ht="12" customHeight="1" x14ac:dyDescent="0.25">
      <c r="A152" s="569" t="s">
        <v>154</v>
      </c>
      <c r="B152" s="333"/>
      <c r="C152" s="265">
        <v>27.852</v>
      </c>
      <c r="D152" s="265">
        <v>31.963999999999999</v>
      </c>
      <c r="E152" s="268">
        <v>8.8209999999999997</v>
      </c>
      <c r="F152" s="268">
        <f>12.428-E152</f>
        <v>3.6070000000000011</v>
      </c>
      <c r="G152" s="268">
        <f>12.461-SUM(E152:F152)</f>
        <v>3.2999999999999474E-2</v>
      </c>
      <c r="H152" s="268">
        <f>12.798-SUM(E152:G152)</f>
        <v>0.33699999999999974</v>
      </c>
      <c r="I152" s="509">
        <f>SUM(E152:H152)</f>
        <v>12.798</v>
      </c>
      <c r="J152" s="333">
        <v>13.683999999999999</v>
      </c>
      <c r="K152" s="268">
        <f>17.032-J152</f>
        <v>3.3480000000000008</v>
      </c>
      <c r="L152" s="268">
        <f>17.101-SUM(J152:K152)</f>
        <v>6.8999999999999062E-2</v>
      </c>
      <c r="M152" s="268">
        <f>26.099-SUM(J152:L152)</f>
        <v>8.9980000000000011</v>
      </c>
      <c r="N152" s="510">
        <f>SUM(J152:M152)</f>
        <v>26.099</v>
      </c>
      <c r="O152" s="333">
        <v>0.17100000000000001</v>
      </c>
      <c r="P152" s="516">
        <f>0.658-O152</f>
        <v>0.48699999999999999</v>
      </c>
      <c r="Q152" s="516">
        <f>1.723-SUM(O152:P152)</f>
        <v>1.0649999999999999</v>
      </c>
      <c r="R152" s="516">
        <f>19.976-SUM(O152:Q152)</f>
        <v>18.253</v>
      </c>
      <c r="S152" s="510">
        <f>SUM(O152:R152)</f>
        <v>19.975999999999999</v>
      </c>
      <c r="T152" s="333">
        <v>0.14699999999999999</v>
      </c>
      <c r="U152" s="516">
        <f>-15.051+10.036-T152</f>
        <v>-5.1620000000000008</v>
      </c>
      <c r="V152" s="516">
        <f>15.083-15.051-SUM(T152:U152)</f>
        <v>5.0470000000000006</v>
      </c>
      <c r="W152" s="232">
        <f>49.015-15.051-T152-U152-V152</f>
        <v>33.932000000000002</v>
      </c>
      <c r="X152" s="118">
        <f>SUM(T152:W152)</f>
        <v>33.963999999999999</v>
      </c>
      <c r="Y152" s="232">
        <v>0</v>
      </c>
      <c r="Z152" s="232">
        <f>5.47-Y152</f>
        <v>5.47</v>
      </c>
      <c r="AA152" s="232">
        <f>5.47-SUM(Y152:Z152)</f>
        <v>0</v>
      </c>
      <c r="AB152" s="232">
        <f>53.195-SUM(Y152:AA152)</f>
        <v>47.725000000000001</v>
      </c>
      <c r="AC152" s="116">
        <f t="shared" si="206"/>
        <v>53.195</v>
      </c>
      <c r="AD152" s="232">
        <v>0</v>
      </c>
      <c r="AE152" s="232">
        <f>31.624-AD152</f>
        <v>31.623999999999999</v>
      </c>
      <c r="AF152" s="232">
        <f>55.056-AE152-AD152</f>
        <v>23.431999999999999</v>
      </c>
      <c r="AG152" s="232">
        <f>60.672-SUM(AD152:AF152)</f>
        <v>5.6159999999999997</v>
      </c>
      <c r="AH152" s="116">
        <f t="shared" si="207"/>
        <v>60.671999999999997</v>
      </c>
      <c r="AI152" s="245">
        <v>36.128</v>
      </c>
      <c r="AJ152" s="232">
        <f>63.934-AI152</f>
        <v>27.805999999999997</v>
      </c>
      <c r="AK152" s="232">
        <f>81.689-SUM(AI152:AJ152)</f>
        <v>17.754999999999995</v>
      </c>
      <c r="AL152" s="232">
        <f>109.946-SUM(AI152:AK152)</f>
        <v>28.257000000000005</v>
      </c>
      <c r="AM152" s="116">
        <f t="shared" si="231"/>
        <v>109.946</v>
      </c>
      <c r="AN152" s="245">
        <v>0</v>
      </c>
      <c r="AO152" s="232">
        <f>6.094-AN152</f>
        <v>6.0940000000000003</v>
      </c>
      <c r="AP152" s="232">
        <f>16.665-SUM(AN152:AO152)</f>
        <v>10.570999999999998</v>
      </c>
      <c r="AQ152" s="232">
        <f>22.566-SUM(AN152:AP152)</f>
        <v>5.9009999999999998</v>
      </c>
      <c r="AR152" s="116">
        <f t="shared" si="232"/>
        <v>22.565999999999999</v>
      </c>
      <c r="AS152" s="245">
        <v>0</v>
      </c>
      <c r="AT152" s="232">
        <f>8.419-AS152</f>
        <v>8.4190000000000005</v>
      </c>
      <c r="AU152" s="232">
        <f>18.214-SUM(AS152:AT152)</f>
        <v>9.7949999999999982</v>
      </c>
      <c r="AV152" s="232">
        <f>40.147-SUM(AS152:AU152)</f>
        <v>21.933</v>
      </c>
      <c r="AW152" s="116">
        <f t="shared" si="224"/>
        <v>40.146999999999998</v>
      </c>
      <c r="AX152" s="232">
        <v>0</v>
      </c>
      <c r="AY152" s="232">
        <f>6.57-AX152</f>
        <v>6.57</v>
      </c>
      <c r="AZ152" s="232">
        <f>20.763-SUM(AX152:AY152)</f>
        <v>14.193000000000001</v>
      </c>
      <c r="BA152" s="232">
        <f>31.4-SUM(AX152:AZ152)</f>
        <v>10.636999999999997</v>
      </c>
      <c r="BB152" s="238">
        <f t="shared" si="225"/>
        <v>31.4</v>
      </c>
      <c r="BC152" s="1893">
        <v>0</v>
      </c>
      <c r="BD152" s="1893">
        <v>0</v>
      </c>
      <c r="BE152" s="1945">
        <v>0</v>
      </c>
      <c r="BF152" s="1945">
        <v>0</v>
      </c>
      <c r="BG152" s="238">
        <f t="shared" si="226"/>
        <v>0</v>
      </c>
      <c r="BH152" s="256">
        <f t="shared" ref="BH152:BK154" si="237">BH120</f>
        <v>0</v>
      </c>
      <c r="BI152" s="256">
        <f t="shared" si="237"/>
        <v>0</v>
      </c>
      <c r="BJ152" s="256">
        <f t="shared" si="237"/>
        <v>0</v>
      </c>
      <c r="BK152" s="256">
        <f t="shared" si="237"/>
        <v>0</v>
      </c>
      <c r="BL152" s="238">
        <f t="shared" si="227"/>
        <v>0</v>
      </c>
      <c r="BM152" s="256">
        <f t="shared" ref="BM152:BP154" si="238">BM120</f>
        <v>0</v>
      </c>
      <c r="BN152" s="256">
        <f t="shared" si="238"/>
        <v>0</v>
      </c>
      <c r="BO152" s="256">
        <f t="shared" si="238"/>
        <v>0</v>
      </c>
      <c r="BP152" s="256">
        <f t="shared" si="238"/>
        <v>0</v>
      </c>
      <c r="BQ152" s="238">
        <f t="shared" si="228"/>
        <v>0</v>
      </c>
      <c r="BR152" s="256">
        <f t="shared" ref="BR152:BU154" si="239">BR120</f>
        <v>0</v>
      </c>
      <c r="BS152" s="256">
        <f t="shared" si="239"/>
        <v>0</v>
      </c>
      <c r="BT152" s="256">
        <f t="shared" si="239"/>
        <v>0</v>
      </c>
      <c r="BU152" s="256">
        <f t="shared" si="239"/>
        <v>0</v>
      </c>
      <c r="BV152" s="238">
        <f t="shared" si="229"/>
        <v>0</v>
      </c>
      <c r="BW152" s="256">
        <f t="shared" ref="BW152:BZ154" si="240">BW120</f>
        <v>0</v>
      </c>
      <c r="BX152" s="256">
        <f t="shared" si="240"/>
        <v>0</v>
      </c>
      <c r="BY152" s="256">
        <f t="shared" si="240"/>
        <v>0</v>
      </c>
      <c r="BZ152" s="256">
        <f t="shared" si="240"/>
        <v>0</v>
      </c>
      <c r="CA152" s="238">
        <f t="shared" si="230"/>
        <v>0</v>
      </c>
      <c r="CB152" s="1910" t="s">
        <v>51</v>
      </c>
      <c r="CC152" s="507"/>
      <c r="CD152" s="519" t="str">
        <f t="shared" si="201"/>
        <v>Excess Tax benefit on stock options exercised</v>
      </c>
      <c r="CE152" s="516">
        <f t="shared" si="208"/>
        <v>31.963999999999999</v>
      </c>
      <c r="CF152" s="516">
        <f t="shared" si="209"/>
        <v>12.798</v>
      </c>
      <c r="CG152" s="516">
        <f t="shared" si="210"/>
        <v>26.099</v>
      </c>
      <c r="CH152" s="516">
        <f t="shared" si="211"/>
        <v>19.975999999999999</v>
      </c>
      <c r="CI152" s="516">
        <f t="shared" si="212"/>
        <v>33.963999999999999</v>
      </c>
      <c r="CJ152" s="516">
        <f t="shared" si="213"/>
        <v>53.195</v>
      </c>
      <c r="CK152" s="516">
        <f t="shared" si="214"/>
        <v>60.671999999999997</v>
      </c>
      <c r="CL152" s="516">
        <f t="shared" si="215"/>
        <v>109.946</v>
      </c>
      <c r="CM152" s="516">
        <f t="shared" si="216"/>
        <v>22.565999999999999</v>
      </c>
      <c r="CN152" s="516">
        <f t="shared" si="217"/>
        <v>40.146999999999998</v>
      </c>
      <c r="CO152" s="516">
        <f t="shared" si="218"/>
        <v>31.4</v>
      </c>
      <c r="CP152" s="516">
        <f t="shared" si="219"/>
        <v>0</v>
      </c>
      <c r="CQ152" s="516">
        <f t="shared" si="220"/>
        <v>0</v>
      </c>
      <c r="CR152" s="516">
        <f t="shared" si="221"/>
        <v>0</v>
      </c>
      <c r="CS152" s="516">
        <f t="shared" si="222"/>
        <v>0</v>
      </c>
      <c r="CT152" s="518">
        <f t="shared" si="223"/>
        <v>0</v>
      </c>
      <c r="CU152" s="6"/>
      <c r="DB152" s="1961"/>
      <c r="DC152" s="1961"/>
      <c r="DD152" s="1961"/>
      <c r="DE152" s="1961"/>
      <c r="DF152" s="1961"/>
      <c r="DG152" s="1961"/>
      <c r="DH152" s="1961"/>
      <c r="DI152" s="256"/>
    </row>
    <row r="153" spans="1:113" ht="12" customHeight="1" x14ac:dyDescent="0.25">
      <c r="A153" s="213" t="s">
        <v>155</v>
      </c>
      <c r="B153" s="333"/>
      <c r="C153" s="265">
        <v>0.21299999999999999</v>
      </c>
      <c r="D153" s="265">
        <v>0.27100000000000002</v>
      </c>
      <c r="E153" s="268">
        <v>0</v>
      </c>
      <c r="F153" s="268">
        <f>0.348-E153</f>
        <v>0.34799999999999998</v>
      </c>
      <c r="G153" s="268">
        <f>0.389-SUM(E153:F153)</f>
        <v>4.1000000000000036E-2</v>
      </c>
      <c r="H153" s="268">
        <f>0.389-SUM(E153:G153)</f>
        <v>0</v>
      </c>
      <c r="I153" s="509">
        <f>SUM(E153:H153)</f>
        <v>0.38900000000000001</v>
      </c>
      <c r="J153" s="333">
        <v>0.155</v>
      </c>
      <c r="K153" s="268">
        <f>0.941-J153</f>
        <v>0.78599999999999992</v>
      </c>
      <c r="L153" s="268">
        <f>0.892-SUM(J153:K153)</f>
        <v>-4.8999999999999932E-2</v>
      </c>
      <c r="M153" s="268">
        <f>0.892-SUM(J153:L153)</f>
        <v>0</v>
      </c>
      <c r="N153" s="510">
        <f>SUM(J153:M153)</f>
        <v>0.89200000000000002</v>
      </c>
      <c r="O153" s="333">
        <v>0.17899999999999999</v>
      </c>
      <c r="P153" s="516">
        <f>1.126-O153</f>
        <v>0.94699999999999984</v>
      </c>
      <c r="Q153" s="516">
        <f>2.612-SUM(O153:P153)</f>
        <v>1.4860000000000002</v>
      </c>
      <c r="R153" s="516">
        <f>7.709-SUM(O153:Q153)</f>
        <v>5.0969999999999995</v>
      </c>
      <c r="S153" s="510">
        <f>SUM(O153:R153)</f>
        <v>7.7089999999999996</v>
      </c>
      <c r="T153" s="333">
        <v>0</v>
      </c>
      <c r="U153" s="516">
        <f>16.733-T153</f>
        <v>16.733000000000001</v>
      </c>
      <c r="V153" s="516">
        <f>20.161-SUM(T153:U153)</f>
        <v>3.4280000000000008</v>
      </c>
      <c r="W153" s="232">
        <f>35.482-T153-U153-V153</f>
        <v>15.320999999999998</v>
      </c>
      <c r="X153" s="118">
        <f>SUM(T153:W153)</f>
        <v>35.481999999999999</v>
      </c>
      <c r="Y153" s="232">
        <v>3.5790000000000002</v>
      </c>
      <c r="Z153" s="232">
        <f>18.032-Y153</f>
        <v>14.452999999999999</v>
      </c>
      <c r="AA153" s="232">
        <f>28.433-SUM(Y153:Z153)</f>
        <v>10.401</v>
      </c>
      <c r="AB153" s="232">
        <f>43.345-SUM(Y153:AA153)</f>
        <v>14.911999999999999</v>
      </c>
      <c r="AC153" s="116">
        <f t="shared" si="206"/>
        <v>43.344999999999999</v>
      </c>
      <c r="AD153" s="235">
        <v>14.589</v>
      </c>
      <c r="AE153" s="232">
        <f>33.453-AD153</f>
        <v>18.864000000000004</v>
      </c>
      <c r="AF153" s="232">
        <f>43.571-AE153-AD153</f>
        <v>10.117999999999993</v>
      </c>
      <c r="AG153" s="232">
        <f>68.388-SUM(AD153:AF153)</f>
        <v>24.817000000000007</v>
      </c>
      <c r="AH153" s="116">
        <f t="shared" si="207"/>
        <v>68.388000000000005</v>
      </c>
      <c r="AI153" s="564">
        <v>12.455</v>
      </c>
      <c r="AJ153" s="235">
        <f>30.528-AI153</f>
        <v>18.073</v>
      </c>
      <c r="AK153" s="235">
        <f>51.326-SUM(AI153:AJ153)</f>
        <v>20.798000000000002</v>
      </c>
      <c r="AL153" s="235">
        <f>80.368-SUM(AI153:AK153)</f>
        <v>29.041999999999994</v>
      </c>
      <c r="AM153" s="116">
        <f t="shared" si="231"/>
        <v>80.367999999999995</v>
      </c>
      <c r="AN153" s="564">
        <v>7.8040000000000003</v>
      </c>
      <c r="AO153" s="235">
        <f>14.923-AN153</f>
        <v>7.1189999999999998</v>
      </c>
      <c r="AP153" s="235">
        <f>20.855-SUM(AN153:AO153)</f>
        <v>5.9320000000000004</v>
      </c>
      <c r="AQ153" s="235">
        <f>24.648-SUM(AN153:AP153)</f>
        <v>3.7929999999999993</v>
      </c>
      <c r="AR153" s="116">
        <f t="shared" si="232"/>
        <v>24.648</v>
      </c>
      <c r="AS153" s="245">
        <v>8.3360000000000003</v>
      </c>
      <c r="AT153" s="232">
        <f>18.103-AS153</f>
        <v>9.7670000000000012</v>
      </c>
      <c r="AU153" s="232">
        <f>31.283-SUM(AS153:AT153)</f>
        <v>13.18</v>
      </c>
      <c r="AV153" s="232">
        <f>38.831-SUM(AS153:AU153)</f>
        <v>7.5480000000000018</v>
      </c>
      <c r="AW153" s="116">
        <f t="shared" si="224"/>
        <v>38.831000000000003</v>
      </c>
      <c r="AX153" s="232">
        <v>4.7270000000000003</v>
      </c>
      <c r="AY153" s="232">
        <f>16.326-AX153</f>
        <v>11.599</v>
      </c>
      <c r="AZ153" s="232">
        <f>32.591-SUM(AX153:AY153)</f>
        <v>16.265000000000001</v>
      </c>
      <c r="BA153" s="232">
        <f>41.1-SUM(AX153:AZ153)</f>
        <v>8.5090000000000003</v>
      </c>
      <c r="BB153" s="238">
        <f t="shared" si="225"/>
        <v>41.1</v>
      </c>
      <c r="BC153" s="1893">
        <v>7.5</v>
      </c>
      <c r="BD153" s="1893">
        <f>22.4-BC153</f>
        <v>14.899999999999999</v>
      </c>
      <c r="BE153" s="1945">
        <f>26-BD153-BC153</f>
        <v>3.6000000000000014</v>
      </c>
      <c r="BF153" s="1945">
        <f>35-SUM(BC153:BE153)</f>
        <v>9</v>
      </c>
      <c r="BG153" s="238">
        <f t="shared" si="226"/>
        <v>35</v>
      </c>
      <c r="BH153" s="256">
        <f t="shared" si="237"/>
        <v>0</v>
      </c>
      <c r="BI153" s="256">
        <f t="shared" si="237"/>
        <v>0</v>
      </c>
      <c r="BJ153" s="256">
        <f t="shared" si="237"/>
        <v>0</v>
      </c>
      <c r="BK153" s="256">
        <f t="shared" si="237"/>
        <v>0</v>
      </c>
      <c r="BL153" s="238">
        <f t="shared" si="227"/>
        <v>0</v>
      </c>
      <c r="BM153" s="256">
        <f t="shared" si="238"/>
        <v>0</v>
      </c>
      <c r="BN153" s="256">
        <f t="shared" si="238"/>
        <v>0</v>
      </c>
      <c r="BO153" s="256">
        <f t="shared" si="238"/>
        <v>0</v>
      </c>
      <c r="BP153" s="256">
        <f t="shared" si="238"/>
        <v>0</v>
      </c>
      <c r="BQ153" s="238">
        <f t="shared" si="228"/>
        <v>0</v>
      </c>
      <c r="BR153" s="256">
        <f t="shared" si="239"/>
        <v>0</v>
      </c>
      <c r="BS153" s="256">
        <f t="shared" si="239"/>
        <v>0</v>
      </c>
      <c r="BT153" s="256">
        <f t="shared" si="239"/>
        <v>0</v>
      </c>
      <c r="BU153" s="256">
        <f t="shared" si="239"/>
        <v>0</v>
      </c>
      <c r="BV153" s="238">
        <f t="shared" si="229"/>
        <v>0</v>
      </c>
      <c r="BW153" s="256">
        <f t="shared" si="240"/>
        <v>0</v>
      </c>
      <c r="BX153" s="256">
        <f t="shared" si="240"/>
        <v>0</v>
      </c>
      <c r="BY153" s="256">
        <f t="shared" si="240"/>
        <v>0</v>
      </c>
      <c r="BZ153" s="256">
        <f t="shared" si="240"/>
        <v>0</v>
      </c>
      <c r="CA153" s="238">
        <f t="shared" si="230"/>
        <v>0</v>
      </c>
      <c r="CB153" s="1910" t="s">
        <v>51</v>
      </c>
      <c r="CC153" s="507"/>
      <c r="CD153" s="218" t="str">
        <f t="shared" si="201"/>
        <v>Proceeds from stock options</v>
      </c>
      <c r="CE153" s="516">
        <f t="shared" si="208"/>
        <v>0.27100000000000002</v>
      </c>
      <c r="CF153" s="516">
        <f t="shared" si="209"/>
        <v>0.38900000000000001</v>
      </c>
      <c r="CG153" s="516">
        <f t="shared" si="210"/>
        <v>0.89200000000000002</v>
      </c>
      <c r="CH153" s="516">
        <f t="shared" si="211"/>
        <v>7.7089999999999996</v>
      </c>
      <c r="CI153" s="516">
        <f t="shared" si="212"/>
        <v>35.481999999999999</v>
      </c>
      <c r="CJ153" s="516">
        <f t="shared" si="213"/>
        <v>43.344999999999999</v>
      </c>
      <c r="CK153" s="516">
        <f t="shared" si="214"/>
        <v>68.388000000000005</v>
      </c>
      <c r="CL153" s="516">
        <f t="shared" si="215"/>
        <v>80.367999999999995</v>
      </c>
      <c r="CM153" s="516">
        <f t="shared" si="216"/>
        <v>24.648</v>
      </c>
      <c r="CN153" s="516">
        <f t="shared" si="217"/>
        <v>38.831000000000003</v>
      </c>
      <c r="CO153" s="516">
        <f t="shared" si="218"/>
        <v>41.1</v>
      </c>
      <c r="CP153" s="516">
        <f t="shared" si="219"/>
        <v>35</v>
      </c>
      <c r="CQ153" s="516">
        <f t="shared" si="220"/>
        <v>0</v>
      </c>
      <c r="CR153" s="516">
        <f t="shared" si="221"/>
        <v>0</v>
      </c>
      <c r="CS153" s="516">
        <f t="shared" si="222"/>
        <v>0</v>
      </c>
      <c r="CT153" s="518">
        <f t="shared" si="223"/>
        <v>0</v>
      </c>
      <c r="CU153" s="6"/>
      <c r="DB153" s="1961"/>
      <c r="DC153" s="1961"/>
      <c r="DD153" s="1961"/>
      <c r="DE153" s="1961"/>
      <c r="DF153" s="1961"/>
      <c r="DG153" s="1961"/>
      <c r="DH153" s="1961"/>
      <c r="DI153" s="256"/>
    </row>
    <row r="154" spans="1:113" ht="12" customHeight="1" x14ac:dyDescent="0.25">
      <c r="A154" s="213" t="s">
        <v>156</v>
      </c>
      <c r="B154" s="333"/>
      <c r="C154" s="265">
        <v>0</v>
      </c>
      <c r="D154" s="265">
        <v>0</v>
      </c>
      <c r="E154" s="268">
        <v>0</v>
      </c>
      <c r="F154" s="268">
        <v>0</v>
      </c>
      <c r="G154" s="268">
        <v>0</v>
      </c>
      <c r="H154" s="268">
        <v>0</v>
      </c>
      <c r="I154" s="509">
        <f>SUM(E154:H154)</f>
        <v>0</v>
      </c>
      <c r="J154" s="333">
        <v>0</v>
      </c>
      <c r="K154" s="268">
        <v>0</v>
      </c>
      <c r="L154" s="268">
        <v>0</v>
      </c>
      <c r="M154" s="268">
        <v>0</v>
      </c>
      <c r="N154" s="510">
        <f>SUM(J154:M154)</f>
        <v>0</v>
      </c>
      <c r="O154" s="268">
        <v>0</v>
      </c>
      <c r="P154" s="516">
        <v>0</v>
      </c>
      <c r="Q154" s="516">
        <v>0</v>
      </c>
      <c r="R154" s="516">
        <v>0</v>
      </c>
      <c r="S154" s="510">
        <f>SUM(O154:R154)</f>
        <v>0</v>
      </c>
      <c r="T154" s="268">
        <v>0</v>
      </c>
      <c r="U154" s="516">
        <v>0</v>
      </c>
      <c r="V154" s="516">
        <v>0</v>
      </c>
      <c r="W154" s="232">
        <f>0-T154-U154-V154</f>
        <v>0</v>
      </c>
      <c r="X154" s="118">
        <f>SUM(T154:W154)</f>
        <v>0</v>
      </c>
      <c r="Y154" s="232">
        <v>0</v>
      </c>
      <c r="Z154" s="232">
        <v>0</v>
      </c>
      <c r="AA154" s="232">
        <v>0</v>
      </c>
      <c r="AB154" s="232">
        <v>0</v>
      </c>
      <c r="AC154" s="116">
        <f t="shared" si="206"/>
        <v>0</v>
      </c>
      <c r="AD154" s="232">
        <v>0</v>
      </c>
      <c r="AE154" s="232">
        <v>0</v>
      </c>
      <c r="AF154" s="232">
        <v>0</v>
      </c>
      <c r="AG154" s="232">
        <v>0</v>
      </c>
      <c r="AH154" s="116">
        <f t="shared" si="207"/>
        <v>0</v>
      </c>
      <c r="AI154" s="245">
        <v>0</v>
      </c>
      <c r="AJ154" s="232">
        <v>0</v>
      </c>
      <c r="AK154" s="232">
        <v>0</v>
      </c>
      <c r="AL154" s="232">
        <v>0</v>
      </c>
      <c r="AM154" s="116">
        <f t="shared" si="231"/>
        <v>0</v>
      </c>
      <c r="AN154" s="245">
        <v>0</v>
      </c>
      <c r="AO154" s="232">
        <v>0</v>
      </c>
      <c r="AP154" s="232">
        <v>0</v>
      </c>
      <c r="AQ154" s="232">
        <v>0</v>
      </c>
      <c r="AR154" s="116">
        <f t="shared" si="232"/>
        <v>0</v>
      </c>
      <c r="AS154" s="245">
        <v>0</v>
      </c>
      <c r="AT154" s="232">
        <v>0</v>
      </c>
      <c r="AU154" s="232">
        <v>0</v>
      </c>
      <c r="AV154" s="232">
        <v>0</v>
      </c>
      <c r="AW154" s="116">
        <f t="shared" si="224"/>
        <v>0</v>
      </c>
      <c r="AX154" s="232">
        <v>0</v>
      </c>
      <c r="AY154" s="232">
        <v>0</v>
      </c>
      <c r="AZ154" s="232">
        <v>0</v>
      </c>
      <c r="BA154" s="232">
        <v>0</v>
      </c>
      <c r="BB154" s="238">
        <f t="shared" si="225"/>
        <v>0</v>
      </c>
      <c r="BC154" s="1893">
        <v>0</v>
      </c>
      <c r="BD154" s="1893">
        <v>0</v>
      </c>
      <c r="BE154" s="1945">
        <v>0</v>
      </c>
      <c r="BF154" s="1945">
        <v>0</v>
      </c>
      <c r="BG154" s="238">
        <f t="shared" si="226"/>
        <v>0</v>
      </c>
      <c r="BH154" s="256">
        <f t="shared" si="237"/>
        <v>0</v>
      </c>
      <c r="BI154" s="256">
        <f t="shared" si="237"/>
        <v>0</v>
      </c>
      <c r="BJ154" s="256">
        <f t="shared" si="237"/>
        <v>0</v>
      </c>
      <c r="BK154" s="256">
        <f t="shared" si="237"/>
        <v>0</v>
      </c>
      <c r="BL154" s="238">
        <f t="shared" si="227"/>
        <v>0</v>
      </c>
      <c r="BM154" s="256">
        <f t="shared" si="238"/>
        <v>0</v>
      </c>
      <c r="BN154" s="256">
        <f t="shared" si="238"/>
        <v>0</v>
      </c>
      <c r="BO154" s="256">
        <f t="shared" si="238"/>
        <v>0</v>
      </c>
      <c r="BP154" s="256">
        <f t="shared" si="238"/>
        <v>0</v>
      </c>
      <c r="BQ154" s="238">
        <f t="shared" si="228"/>
        <v>0</v>
      </c>
      <c r="BR154" s="256">
        <f t="shared" si="239"/>
        <v>0</v>
      </c>
      <c r="BS154" s="256">
        <f t="shared" si="239"/>
        <v>0</v>
      </c>
      <c r="BT154" s="256">
        <f t="shared" si="239"/>
        <v>0</v>
      </c>
      <c r="BU154" s="256">
        <f t="shared" si="239"/>
        <v>0</v>
      </c>
      <c r="BV154" s="238">
        <f t="shared" si="229"/>
        <v>0</v>
      </c>
      <c r="BW154" s="256">
        <f t="shared" si="240"/>
        <v>0</v>
      </c>
      <c r="BX154" s="256">
        <f t="shared" si="240"/>
        <v>0</v>
      </c>
      <c r="BY154" s="256">
        <f t="shared" si="240"/>
        <v>0</v>
      </c>
      <c r="BZ154" s="256">
        <f t="shared" si="240"/>
        <v>0</v>
      </c>
      <c r="CA154" s="238">
        <f t="shared" si="230"/>
        <v>0</v>
      </c>
      <c r="CB154" s="1910" t="s">
        <v>51</v>
      </c>
      <c r="CC154" s="507"/>
      <c r="CD154" s="218" t="str">
        <f t="shared" si="201"/>
        <v>Dividends Paid</v>
      </c>
      <c r="CE154" s="516">
        <f t="shared" si="208"/>
        <v>0</v>
      </c>
      <c r="CF154" s="516">
        <f t="shared" si="209"/>
        <v>0</v>
      </c>
      <c r="CG154" s="516">
        <f t="shared" si="210"/>
        <v>0</v>
      </c>
      <c r="CH154" s="516">
        <f t="shared" si="211"/>
        <v>0</v>
      </c>
      <c r="CI154" s="516">
        <f t="shared" si="212"/>
        <v>0</v>
      </c>
      <c r="CJ154" s="516">
        <f t="shared" si="213"/>
        <v>0</v>
      </c>
      <c r="CK154" s="516">
        <f t="shared" si="214"/>
        <v>0</v>
      </c>
      <c r="CL154" s="516">
        <f t="shared" si="215"/>
        <v>0</v>
      </c>
      <c r="CM154" s="516">
        <f t="shared" si="216"/>
        <v>0</v>
      </c>
      <c r="CN154" s="516">
        <f t="shared" si="217"/>
        <v>0</v>
      </c>
      <c r="CO154" s="516">
        <f t="shared" si="218"/>
        <v>0</v>
      </c>
      <c r="CP154" s="516">
        <f t="shared" si="219"/>
        <v>0</v>
      </c>
      <c r="CQ154" s="516">
        <f t="shared" si="220"/>
        <v>0</v>
      </c>
      <c r="CR154" s="516">
        <f t="shared" si="221"/>
        <v>0</v>
      </c>
      <c r="CS154" s="516">
        <f t="shared" si="222"/>
        <v>0</v>
      </c>
      <c r="CT154" s="518">
        <f t="shared" si="223"/>
        <v>0</v>
      </c>
      <c r="CU154" s="6"/>
      <c r="DB154" s="1961"/>
      <c r="DC154" s="1961"/>
      <c r="DD154" s="1961"/>
      <c r="DE154" s="1961"/>
      <c r="DF154" s="1961"/>
      <c r="DG154" s="1961"/>
      <c r="DH154" s="1961"/>
      <c r="DI154" s="256"/>
    </row>
    <row r="155" spans="1:113" ht="12" customHeight="1" x14ac:dyDescent="0.25">
      <c r="A155" s="213" t="s">
        <v>131</v>
      </c>
      <c r="B155" s="333"/>
      <c r="C155" s="265">
        <v>0</v>
      </c>
      <c r="D155" s="265">
        <v>0</v>
      </c>
      <c r="E155" s="268">
        <v>0</v>
      </c>
      <c r="F155" s="268">
        <f>0-E155</f>
        <v>0</v>
      </c>
      <c r="G155" s="268">
        <f>0-SUM(E155:F155)</f>
        <v>0</v>
      </c>
      <c r="H155" s="268">
        <f>0-SUM(E155:G155)</f>
        <v>0</v>
      </c>
      <c r="I155" s="509">
        <f t="shared" si="202"/>
        <v>0</v>
      </c>
      <c r="J155" s="333">
        <v>0</v>
      </c>
      <c r="K155" s="268">
        <f>0-J155</f>
        <v>0</v>
      </c>
      <c r="L155" s="268">
        <f>29.482--SUM(J155:K155)</f>
        <v>29.481999999999999</v>
      </c>
      <c r="M155" s="268">
        <f>29.482-SUM(J155:L155)</f>
        <v>0</v>
      </c>
      <c r="N155" s="510">
        <f t="shared" si="203"/>
        <v>29.481999999999999</v>
      </c>
      <c r="O155" s="268">
        <v>0</v>
      </c>
      <c r="P155" s="268">
        <f>0-O155</f>
        <v>0</v>
      </c>
      <c r="Q155" s="268">
        <v>0</v>
      </c>
      <c r="R155" s="275">
        <f>-4.51-SUM(O155:Q155)</f>
        <v>-4.51</v>
      </c>
      <c r="S155" s="510">
        <f t="shared" si="204"/>
        <v>-4.51</v>
      </c>
      <c r="T155" s="268">
        <v>0</v>
      </c>
      <c r="U155" s="268">
        <v>0</v>
      </c>
      <c r="V155" s="268">
        <f>-1.781-SUM(T155:U155)</f>
        <v>-1.7809999999999999</v>
      </c>
      <c r="W155" s="232">
        <f>-6.391-1.781-T155-U155-V155</f>
        <v>-6.3910000000000009</v>
      </c>
      <c r="X155" s="118">
        <f t="shared" si="205"/>
        <v>-8.1720000000000006</v>
      </c>
      <c r="Y155" s="232">
        <v>-0.25600000000000001</v>
      </c>
      <c r="Z155" s="232">
        <f>-4.434-Y155</f>
        <v>-4.1779999999999999</v>
      </c>
      <c r="AA155" s="232">
        <f>-4.542-SUM(Y155:Z155)</f>
        <v>-0.10799999999999965</v>
      </c>
      <c r="AB155" s="232">
        <f>-7.835+-3.268-SUM(Y155:AA155)</f>
        <v>-6.5609999999999999</v>
      </c>
      <c r="AC155" s="116">
        <f t="shared" si="206"/>
        <v>-11.103</v>
      </c>
      <c r="AD155" s="235">
        <v>-2.1240000000000001</v>
      </c>
      <c r="AE155" s="232">
        <f>-3.441-AD155</f>
        <v>-1.3169999999999997</v>
      </c>
      <c r="AF155" s="232">
        <f>-5.151-3.623-AE155-AD155</f>
        <v>-5.3330000000000002</v>
      </c>
      <c r="AG155" s="232">
        <f>-3.905-6.549-SUM(AD155:AF155)</f>
        <v>-1.6799999999999997</v>
      </c>
      <c r="AH155" s="116">
        <f t="shared" si="207"/>
        <v>-10.454000000000001</v>
      </c>
      <c r="AI155" s="564">
        <v>-2.157</v>
      </c>
      <c r="AJ155" s="235">
        <f>-4.111-AI155</f>
        <v>-1.9539999999999997</v>
      </c>
      <c r="AK155" s="235">
        <f>-5.35-SUM(AI155:AJ155)</f>
        <v>-1.2389999999999999</v>
      </c>
      <c r="AL155" s="235">
        <f>-6.77-0.605-SUM(AI155:AK155)</f>
        <v>-2.0250000000000004</v>
      </c>
      <c r="AM155" s="116">
        <f t="shared" si="231"/>
        <v>-7.375</v>
      </c>
      <c r="AN155" s="564">
        <v>-1.268</v>
      </c>
      <c r="AO155" s="235">
        <f>-1.234+-2.095-AN155</f>
        <v>-2.0609999999999999</v>
      </c>
      <c r="AP155" s="235">
        <f>-1.613-4.448-SUM(AN155:AO155)</f>
        <v>-2.7320000000000002</v>
      </c>
      <c r="AQ155" s="235">
        <f>-0.465+-1.625+-5.718-SUM(AN155:AP155)</f>
        <v>-1.7469999999999999</v>
      </c>
      <c r="AR155" s="116">
        <f t="shared" si="232"/>
        <v>-7.8079999999999998</v>
      </c>
      <c r="AS155" s="245">
        <f>-9.1+-1.293</f>
        <v>-10.392999999999999</v>
      </c>
      <c r="AT155" s="232">
        <f>-2.35-2.569-AS155</f>
        <v>5.4739999999999984</v>
      </c>
      <c r="AU155" s="232">
        <f>-4.784-2.35-SUM(AS155:AT155)-23.942</f>
        <v>-26.157</v>
      </c>
      <c r="AV155" s="232">
        <f>-6.031-2.35-23.942-SUM(AS155:AU155)</f>
        <v>-1.2469999999999999</v>
      </c>
      <c r="AW155" s="116">
        <f t="shared" si="224"/>
        <v>-32.323</v>
      </c>
      <c r="AX155" s="232">
        <v>-1.169</v>
      </c>
      <c r="AY155" s="232">
        <f>-3.536-AX155-2.93</f>
        <v>-5.2970000000000006</v>
      </c>
      <c r="AZ155" s="232">
        <f>+-4.399-3.065-SUM(AX155:AY155)-0.475</f>
        <v>-1.4729999999999994</v>
      </c>
      <c r="BA155" s="232">
        <f>-4.9-SUM(AX155:AZ155)-3.1-0.5</f>
        <v>-0.56100000000000039</v>
      </c>
      <c r="BB155" s="238">
        <f t="shared" si="225"/>
        <v>-8.5</v>
      </c>
      <c r="BC155" s="1893">
        <v>-0.5</v>
      </c>
      <c r="BD155" s="1893">
        <f>-0.5-2.9-5.7-BC155</f>
        <v>-8.6</v>
      </c>
      <c r="BE155" s="1945">
        <f>-0.5-2.9-7.1-BD155-BC155</f>
        <v>-1.4000000000000004</v>
      </c>
      <c r="BF155" s="1945">
        <f>-0.5-SUM(BC155:BE155)-2.9-7.8</f>
        <v>-0.70000000000000018</v>
      </c>
      <c r="BG155" s="238">
        <f t="shared" si="226"/>
        <v>-11.2</v>
      </c>
      <c r="BH155" s="256">
        <f>(BH214-BG214)+(BH216-BG216)</f>
        <v>0</v>
      </c>
      <c r="BI155" s="256">
        <f>(BI214-BH214)+(BI216-BH216)</f>
        <v>0</v>
      </c>
      <c r="BJ155" s="256">
        <f>(BJ214-BI214)+(BJ216-BI216)</f>
        <v>0</v>
      </c>
      <c r="BK155" s="256">
        <f>(BK214-BJ214)+(BK216-BJ216)</f>
        <v>0</v>
      </c>
      <c r="BL155" s="238">
        <f t="shared" si="227"/>
        <v>0</v>
      </c>
      <c r="BM155" s="256">
        <f>(BM214-BL214)+(BM216-BL216)</f>
        <v>0</v>
      </c>
      <c r="BN155" s="256">
        <f>(BN214-BM214)+(BN216-BM216)</f>
        <v>0</v>
      </c>
      <c r="BO155" s="256">
        <f>(BO214-BN214)+(BO216-BN216)</f>
        <v>0</v>
      </c>
      <c r="BP155" s="256">
        <f>(BP214-BO214)+(BP216-BO216)</f>
        <v>0</v>
      </c>
      <c r="BQ155" s="238">
        <f t="shared" si="228"/>
        <v>0</v>
      </c>
      <c r="BR155" s="256">
        <f>(BR214-BQ214)+(BR216-BQ216)</f>
        <v>0</v>
      </c>
      <c r="BS155" s="256">
        <f>(BS214-BR214)+(BS216-BR216)</f>
        <v>0</v>
      </c>
      <c r="BT155" s="256">
        <f>(BT214-BS214)+(BT216-BS216)</f>
        <v>0</v>
      </c>
      <c r="BU155" s="256">
        <f>(BU214-BT214)+(BU216-BT216)</f>
        <v>0</v>
      </c>
      <c r="BV155" s="238">
        <f t="shared" si="229"/>
        <v>0</v>
      </c>
      <c r="BW155" s="256">
        <f>(BW214-BV214)+(BW216-BV216)</f>
        <v>0</v>
      </c>
      <c r="BX155" s="256">
        <f>(BX214-BW214)+(BX216-BW216)</f>
        <v>0</v>
      </c>
      <c r="BY155" s="256">
        <f>(BY214-BX214)+(BY216-BX216)</f>
        <v>0</v>
      </c>
      <c r="BZ155" s="256">
        <f>(BZ214-BY214)+(BZ216-BY216)</f>
        <v>0</v>
      </c>
      <c r="CA155" s="238">
        <f t="shared" si="230"/>
        <v>0</v>
      </c>
      <c r="CB155" s="1910" t="s">
        <v>51</v>
      </c>
      <c r="CC155" s="507"/>
      <c r="CD155" s="218" t="str">
        <f t="shared" si="201"/>
        <v>Other</v>
      </c>
      <c r="CE155" s="275">
        <f t="shared" si="208"/>
        <v>0</v>
      </c>
      <c r="CF155" s="275">
        <f t="shared" si="209"/>
        <v>0</v>
      </c>
      <c r="CG155" s="275">
        <f t="shared" si="210"/>
        <v>29.481999999999999</v>
      </c>
      <c r="CH155" s="275">
        <f t="shared" si="211"/>
        <v>-4.51</v>
      </c>
      <c r="CI155" s="275">
        <f t="shared" si="212"/>
        <v>-8.1720000000000006</v>
      </c>
      <c r="CJ155" s="275">
        <f t="shared" si="213"/>
        <v>-11.103</v>
      </c>
      <c r="CK155" s="275">
        <f t="shared" si="214"/>
        <v>-10.454000000000001</v>
      </c>
      <c r="CL155" s="275">
        <f t="shared" si="215"/>
        <v>-7.375</v>
      </c>
      <c r="CM155" s="275">
        <f t="shared" si="216"/>
        <v>-7.8079999999999998</v>
      </c>
      <c r="CN155" s="275">
        <f t="shared" si="217"/>
        <v>-32.323</v>
      </c>
      <c r="CO155" s="275">
        <f t="shared" si="218"/>
        <v>-8.5</v>
      </c>
      <c r="CP155" s="275">
        <f t="shared" si="219"/>
        <v>-11.2</v>
      </c>
      <c r="CQ155" s="275">
        <f t="shared" si="220"/>
        <v>0</v>
      </c>
      <c r="CR155" s="275">
        <f t="shared" si="221"/>
        <v>0</v>
      </c>
      <c r="CS155" s="275">
        <f t="shared" si="222"/>
        <v>0</v>
      </c>
      <c r="CT155" s="515">
        <f t="shared" si="223"/>
        <v>0</v>
      </c>
      <c r="CU155" s="6"/>
      <c r="DB155" s="1961"/>
      <c r="DC155" s="1961"/>
      <c r="DD155" s="1961"/>
      <c r="DE155" s="1961"/>
      <c r="DF155" s="1961"/>
      <c r="DG155" s="1961"/>
      <c r="DH155" s="1961"/>
      <c r="DI155" s="256"/>
    </row>
    <row r="156" spans="1:113" ht="5.0999999999999996" customHeight="1" x14ac:dyDescent="0.25">
      <c r="A156" s="552"/>
      <c r="B156" s="205"/>
      <c r="C156" s="134" t="s">
        <v>60</v>
      </c>
      <c r="D156" s="134" t="s">
        <v>60</v>
      </c>
      <c r="E156" s="135" t="s">
        <v>60</v>
      </c>
      <c r="F156" s="135" t="s">
        <v>60</v>
      </c>
      <c r="G156" s="135" t="s">
        <v>60</v>
      </c>
      <c r="H156" s="135" t="s">
        <v>60</v>
      </c>
      <c r="I156" s="205" t="s">
        <v>60</v>
      </c>
      <c r="J156" s="205" t="s">
        <v>60</v>
      </c>
      <c r="K156" s="135" t="s">
        <v>60</v>
      </c>
      <c r="L156" s="135" t="s">
        <v>60</v>
      </c>
      <c r="M156" s="135" t="s">
        <v>60</v>
      </c>
      <c r="N156" s="134" t="s">
        <v>60</v>
      </c>
      <c r="O156" s="135" t="s">
        <v>60</v>
      </c>
      <c r="P156" s="135" t="s">
        <v>60</v>
      </c>
      <c r="Q156" s="135" t="s">
        <v>60</v>
      </c>
      <c r="R156" s="135" t="s">
        <v>60</v>
      </c>
      <c r="S156" s="134" t="s">
        <v>60</v>
      </c>
      <c r="T156" s="135" t="s">
        <v>60</v>
      </c>
      <c r="U156" s="135" t="s">
        <v>60</v>
      </c>
      <c r="V156" s="135" t="s">
        <v>60</v>
      </c>
      <c r="W156" s="135" t="s">
        <v>60</v>
      </c>
      <c r="X156" s="134" t="s">
        <v>60</v>
      </c>
      <c r="Y156" s="135" t="s">
        <v>60</v>
      </c>
      <c r="Z156" s="135" t="s">
        <v>60</v>
      </c>
      <c r="AA156" s="135" t="s">
        <v>60</v>
      </c>
      <c r="AB156" s="135" t="s">
        <v>60</v>
      </c>
      <c r="AC156" s="134" t="s">
        <v>60</v>
      </c>
      <c r="AD156" s="135" t="s">
        <v>60</v>
      </c>
      <c r="AE156" s="135" t="s">
        <v>60</v>
      </c>
      <c r="AF156" s="135" t="s">
        <v>60</v>
      </c>
      <c r="AG156" s="135" t="s">
        <v>60</v>
      </c>
      <c r="AH156" s="134" t="s">
        <v>60</v>
      </c>
      <c r="AI156" s="205" t="s">
        <v>60</v>
      </c>
      <c r="AJ156" s="135" t="s">
        <v>60</v>
      </c>
      <c r="AK156" s="135" t="s">
        <v>60</v>
      </c>
      <c r="AL156" s="135" t="s">
        <v>60</v>
      </c>
      <c r="AM156" s="134" t="s">
        <v>60</v>
      </c>
      <c r="AN156" s="205" t="s">
        <v>60</v>
      </c>
      <c r="AO156" s="135" t="s">
        <v>60</v>
      </c>
      <c r="AP156" s="135" t="s">
        <v>60</v>
      </c>
      <c r="AQ156" s="135" t="s">
        <v>60</v>
      </c>
      <c r="AR156" s="134" t="s">
        <v>60</v>
      </c>
      <c r="AS156" s="205" t="s">
        <v>60</v>
      </c>
      <c r="AT156" s="135" t="s">
        <v>60</v>
      </c>
      <c r="AU156" s="135" t="s">
        <v>60</v>
      </c>
      <c r="AV156" s="135" t="s">
        <v>60</v>
      </c>
      <c r="AW156" s="134" t="s">
        <v>60</v>
      </c>
      <c r="AX156" s="135" t="s">
        <v>60</v>
      </c>
      <c r="AY156" s="135" t="s">
        <v>60</v>
      </c>
      <c r="AZ156" s="135" t="s">
        <v>60</v>
      </c>
      <c r="BA156" s="135" t="s">
        <v>60</v>
      </c>
      <c r="BB156" s="134" t="s">
        <v>60</v>
      </c>
      <c r="BC156" s="135" t="s">
        <v>60</v>
      </c>
      <c r="BD156" s="135" t="s">
        <v>60</v>
      </c>
      <c r="BE156" s="135" t="s">
        <v>60</v>
      </c>
      <c r="BF156" s="135" t="s">
        <v>60</v>
      </c>
      <c r="BG156" s="134" t="s">
        <v>60</v>
      </c>
      <c r="BH156" s="135" t="s">
        <v>60</v>
      </c>
      <c r="BI156" s="135" t="s">
        <v>60</v>
      </c>
      <c r="BJ156" s="135" t="s">
        <v>60</v>
      </c>
      <c r="BK156" s="135" t="s">
        <v>60</v>
      </c>
      <c r="BL156" s="134" t="s">
        <v>60</v>
      </c>
      <c r="BM156" s="135" t="s">
        <v>60</v>
      </c>
      <c r="BN156" s="135" t="s">
        <v>60</v>
      </c>
      <c r="BO156" s="135" t="s">
        <v>60</v>
      </c>
      <c r="BP156" s="135" t="s">
        <v>60</v>
      </c>
      <c r="BQ156" s="134" t="s">
        <v>60</v>
      </c>
      <c r="BR156" s="135" t="s">
        <v>60</v>
      </c>
      <c r="BS156" s="135" t="s">
        <v>60</v>
      </c>
      <c r="BT156" s="135" t="s">
        <v>60</v>
      </c>
      <c r="BU156" s="135" t="s">
        <v>60</v>
      </c>
      <c r="BV156" s="134" t="s">
        <v>60</v>
      </c>
      <c r="BW156" s="135" t="s">
        <v>60</v>
      </c>
      <c r="BX156" s="135" t="s">
        <v>60</v>
      </c>
      <c r="BY156" s="135" t="s">
        <v>60</v>
      </c>
      <c r="BZ156" s="135" t="s">
        <v>60</v>
      </c>
      <c r="CA156" s="134" t="s">
        <v>60</v>
      </c>
      <c r="CB156" s="1910" t="s">
        <v>51</v>
      </c>
      <c r="CC156" s="507"/>
      <c r="CD156" s="530"/>
      <c r="CE156" s="135"/>
      <c r="CF156" s="135"/>
      <c r="CG156" s="135"/>
      <c r="CH156" s="135"/>
      <c r="CI156" s="135"/>
      <c r="CJ156" s="135"/>
      <c r="CK156" s="135"/>
      <c r="CL156" s="135"/>
      <c r="CM156" s="135"/>
      <c r="CN156" s="135"/>
      <c r="CO156" s="135"/>
      <c r="CP156" s="135"/>
      <c r="CQ156" s="135"/>
      <c r="CR156" s="135"/>
      <c r="CS156" s="135"/>
      <c r="CT156" s="210"/>
      <c r="CU156" s="6"/>
      <c r="DB156" s="1961"/>
      <c r="DC156" s="1961"/>
      <c r="DD156" s="1961"/>
      <c r="DE156" s="1961"/>
      <c r="DF156" s="1961"/>
      <c r="DG156" s="1961"/>
      <c r="DH156" s="1961"/>
      <c r="DI156" s="259"/>
    </row>
    <row r="157" spans="1:113" ht="12" customHeight="1" x14ac:dyDescent="0.25">
      <c r="A157" s="211" t="s">
        <v>157</v>
      </c>
      <c r="B157" s="502"/>
      <c r="C157" s="503">
        <f t="shared" ref="C157:AQ157" si="241">SUM(C147:C155)</f>
        <v>-90.954000000000008</v>
      </c>
      <c r="D157" s="503">
        <f t="shared" si="241"/>
        <v>75.907000000000011</v>
      </c>
      <c r="E157" s="504">
        <f t="shared" si="241"/>
        <v>-26.577000000000005</v>
      </c>
      <c r="F157" s="504">
        <f t="shared" si="241"/>
        <v>-100.61699999999999</v>
      </c>
      <c r="G157" s="504">
        <f t="shared" si="241"/>
        <v>-69.745999999999995</v>
      </c>
      <c r="H157" s="504">
        <f t="shared" si="241"/>
        <v>-15.651</v>
      </c>
      <c r="I157" s="570">
        <f t="shared" si="241"/>
        <v>-212.59099999999998</v>
      </c>
      <c r="J157" s="502">
        <f t="shared" si="241"/>
        <v>-98.433999999999997</v>
      </c>
      <c r="K157" s="504">
        <f t="shared" si="241"/>
        <v>81.674999999999983</v>
      </c>
      <c r="L157" s="504">
        <f t="shared" si="241"/>
        <v>-49.730000000000004</v>
      </c>
      <c r="M157" s="504">
        <f t="shared" si="241"/>
        <v>-40.886999999999944</v>
      </c>
      <c r="N157" s="571">
        <f t="shared" si="241"/>
        <v>-107.37599999999998</v>
      </c>
      <c r="O157" s="502">
        <f t="shared" si="241"/>
        <v>-56.213000000000001</v>
      </c>
      <c r="P157" s="504">
        <f t="shared" si="241"/>
        <v>37.056000000000004</v>
      </c>
      <c r="Q157" s="504">
        <f t="shared" si="241"/>
        <v>-40.95000000000001</v>
      </c>
      <c r="R157" s="504">
        <f t="shared" si="241"/>
        <v>-42.701999999999991</v>
      </c>
      <c r="S157" s="571">
        <f t="shared" si="241"/>
        <v>-102.80900000000001</v>
      </c>
      <c r="T157" s="502">
        <f t="shared" si="241"/>
        <v>-62.798000000000002</v>
      </c>
      <c r="U157" s="504">
        <f t="shared" si="241"/>
        <v>-51.819000000000003</v>
      </c>
      <c r="V157" s="504">
        <f t="shared" si="241"/>
        <v>-61.963000000000015</v>
      </c>
      <c r="W157" s="189">
        <f t="shared" si="241"/>
        <v>67.793000000000035</v>
      </c>
      <c r="X157" s="571">
        <f t="shared" si="241"/>
        <v>-108.78699999999998</v>
      </c>
      <c r="Y157" s="505">
        <f t="shared" si="241"/>
        <v>-86.201000000000008</v>
      </c>
      <c r="Z157" s="189">
        <f t="shared" si="241"/>
        <v>68.123000000000047</v>
      </c>
      <c r="AA157" s="189">
        <f t="shared" si="241"/>
        <v>-121.41600000000001</v>
      </c>
      <c r="AB157" s="189">
        <f t="shared" si="241"/>
        <v>104.71399999999994</v>
      </c>
      <c r="AC157" s="571">
        <f t="shared" si="241"/>
        <v>-34.780000000000051</v>
      </c>
      <c r="AD157" s="189">
        <f t="shared" si="241"/>
        <v>100.673</v>
      </c>
      <c r="AE157" s="189">
        <f t="shared" si="241"/>
        <v>4.6579999999999977</v>
      </c>
      <c r="AF157" s="189">
        <f>SUM(AF147:AF155)</f>
        <v>318.673</v>
      </c>
      <c r="AG157" s="189">
        <f t="shared" si="241"/>
        <v>-110.44900000000001</v>
      </c>
      <c r="AH157" s="572">
        <f t="shared" si="241"/>
        <v>313.55500000000001</v>
      </c>
      <c r="AI157" s="505">
        <f t="shared" si="241"/>
        <v>14.296000000000003</v>
      </c>
      <c r="AJ157" s="189">
        <f t="shared" si="241"/>
        <v>-114.53999999999998</v>
      </c>
      <c r="AK157" s="189">
        <f t="shared" si="241"/>
        <v>-88.061000000000007</v>
      </c>
      <c r="AL157" s="189">
        <f t="shared" si="241"/>
        <v>-96.167000000000002</v>
      </c>
      <c r="AM157" s="572">
        <f t="shared" si="241"/>
        <v>-284.47200000000004</v>
      </c>
      <c r="AN157" s="505">
        <f t="shared" si="241"/>
        <v>-81.625</v>
      </c>
      <c r="AO157" s="189">
        <f t="shared" si="241"/>
        <v>-22.807000000000002</v>
      </c>
      <c r="AP157" s="189">
        <f t="shared" si="241"/>
        <v>-47.201999999999984</v>
      </c>
      <c r="AQ157" s="189">
        <f t="shared" si="241"/>
        <v>-427.44400000000007</v>
      </c>
      <c r="AR157" s="572">
        <f>SUM(AR147:AR155)</f>
        <v>-579.07799999999997</v>
      </c>
      <c r="AS157" s="505">
        <f>SUM(AS147:AS155)</f>
        <v>-132.05699999999999</v>
      </c>
      <c r="AT157" s="573">
        <f>SUM(AT147:AT155)</f>
        <v>2735.4209999999998</v>
      </c>
      <c r="AU157" s="189">
        <f>SUM(AU147:AU155)</f>
        <v>-100.129</v>
      </c>
      <c r="AV157" s="189">
        <f>SUM(AV147:AV155)</f>
        <v>-22.222000000000001</v>
      </c>
      <c r="AW157" s="572">
        <f t="shared" ref="AW157:BG157" si="242">SUM(AW147:AW155)</f>
        <v>2481.0129999999999</v>
      </c>
      <c r="AX157" s="189">
        <f t="shared" si="242"/>
        <v>-277.80500000000001</v>
      </c>
      <c r="AY157" s="189">
        <f t="shared" si="242"/>
        <v>-692.12799999999993</v>
      </c>
      <c r="AZ157" s="189">
        <f t="shared" si="242"/>
        <v>-37.184999999999988</v>
      </c>
      <c r="BA157" s="189">
        <f t="shared" si="242"/>
        <v>-25.682000000000023</v>
      </c>
      <c r="BB157" s="571">
        <f t="shared" si="242"/>
        <v>-1032.8</v>
      </c>
      <c r="BC157" s="189">
        <f t="shared" si="242"/>
        <v>-192.3</v>
      </c>
      <c r="BD157" s="189">
        <f t="shared" si="242"/>
        <v>-40.500000000000014</v>
      </c>
      <c r="BE157" s="189">
        <f t="shared" si="242"/>
        <v>467.10000000000008</v>
      </c>
      <c r="BF157" s="189">
        <f t="shared" si="242"/>
        <v>128.19999999999999</v>
      </c>
      <c r="BG157" s="571">
        <f t="shared" si="242"/>
        <v>362.5</v>
      </c>
      <c r="BH157" s="189">
        <f t="shared" ref="BH157:CA157" si="243">SUM(BH147:BH155)</f>
        <v>-131.25</v>
      </c>
      <c r="BI157" s="189">
        <f t="shared" si="243"/>
        <v>-131.25</v>
      </c>
      <c r="BJ157" s="189">
        <f t="shared" si="243"/>
        <v>-131.25</v>
      </c>
      <c r="BK157" s="189">
        <f t="shared" si="243"/>
        <v>-131.25</v>
      </c>
      <c r="BL157" s="571">
        <f t="shared" si="243"/>
        <v>-525</v>
      </c>
      <c r="BM157" s="189">
        <f t="shared" si="243"/>
        <v>-175</v>
      </c>
      <c r="BN157" s="189">
        <f t="shared" si="243"/>
        <v>-175</v>
      </c>
      <c r="BO157" s="189">
        <f t="shared" si="243"/>
        <v>-175</v>
      </c>
      <c r="BP157" s="189">
        <f t="shared" si="243"/>
        <v>-175</v>
      </c>
      <c r="BQ157" s="571">
        <f t="shared" si="243"/>
        <v>-700</v>
      </c>
      <c r="BR157" s="189">
        <f t="shared" si="243"/>
        <v>-200</v>
      </c>
      <c r="BS157" s="189">
        <f t="shared" si="243"/>
        <v>-200</v>
      </c>
      <c r="BT157" s="189">
        <f t="shared" si="243"/>
        <v>-200</v>
      </c>
      <c r="BU157" s="189">
        <f t="shared" si="243"/>
        <v>-200</v>
      </c>
      <c r="BV157" s="571">
        <f t="shared" si="243"/>
        <v>-800</v>
      </c>
      <c r="BW157" s="189">
        <f t="shared" si="243"/>
        <v>-200</v>
      </c>
      <c r="BX157" s="189">
        <f t="shared" si="243"/>
        <v>-200</v>
      </c>
      <c r="BY157" s="189">
        <f t="shared" si="243"/>
        <v>-200</v>
      </c>
      <c r="BZ157" s="189">
        <f t="shared" si="243"/>
        <v>-200</v>
      </c>
      <c r="CA157" s="571">
        <f t="shared" si="243"/>
        <v>-800</v>
      </c>
      <c r="CB157" s="1910" t="s">
        <v>51</v>
      </c>
      <c r="CC157" s="507"/>
      <c r="CD157" s="212" t="str">
        <f>A157</f>
        <v>Net Cash provided by Financing Activities</v>
      </c>
      <c r="CE157" s="504">
        <f>D157</f>
        <v>75.907000000000011</v>
      </c>
      <c r="CF157" s="504">
        <f>I157</f>
        <v>-212.59099999999998</v>
      </c>
      <c r="CG157" s="504">
        <f>N157</f>
        <v>-107.37599999999998</v>
      </c>
      <c r="CH157" s="504">
        <f>S157</f>
        <v>-102.80900000000001</v>
      </c>
      <c r="CI157" s="504">
        <f>X157</f>
        <v>-108.78699999999998</v>
      </c>
      <c r="CJ157" s="504">
        <f>AC157</f>
        <v>-34.780000000000051</v>
      </c>
      <c r="CK157" s="504">
        <f>AH157</f>
        <v>313.55500000000001</v>
      </c>
      <c r="CL157" s="504">
        <f>AM157</f>
        <v>-284.47200000000004</v>
      </c>
      <c r="CM157" s="504">
        <f>AR157</f>
        <v>-579.07799999999997</v>
      </c>
      <c r="CN157" s="504">
        <f>AW157</f>
        <v>2481.0129999999999</v>
      </c>
      <c r="CO157" s="504">
        <f>BB157</f>
        <v>-1032.8</v>
      </c>
      <c r="CP157" s="504">
        <f>BG157</f>
        <v>362.5</v>
      </c>
      <c r="CQ157" s="504">
        <f>BL157</f>
        <v>-525</v>
      </c>
      <c r="CR157" s="504">
        <f>BQ157</f>
        <v>-700</v>
      </c>
      <c r="CS157" s="504">
        <f>BV157</f>
        <v>-800</v>
      </c>
      <c r="CT157" s="508">
        <f>CA157</f>
        <v>-800</v>
      </c>
      <c r="CU157" s="6"/>
      <c r="DB157" s="1961"/>
      <c r="DC157" s="1961"/>
      <c r="DD157" s="1961"/>
      <c r="DE157" s="1961"/>
      <c r="DF157" s="1961"/>
      <c r="DG157" s="1961"/>
      <c r="DH157" s="1961"/>
      <c r="DI157" s="1961"/>
    </row>
    <row r="158" spans="1:113" ht="5.0999999999999996" customHeight="1" x14ac:dyDescent="0.25">
      <c r="A158" s="552"/>
      <c r="B158" s="317"/>
      <c r="C158" s="296"/>
      <c r="D158" s="296"/>
      <c r="E158" s="494"/>
      <c r="F158" s="494"/>
      <c r="G158" s="494"/>
      <c r="H158" s="494"/>
      <c r="I158" s="495"/>
      <c r="J158" s="317"/>
      <c r="K158" s="494"/>
      <c r="L158" s="494"/>
      <c r="M158" s="494"/>
      <c r="N158" s="497"/>
      <c r="O158" s="317"/>
      <c r="P158" s="494"/>
      <c r="Q158" s="494"/>
      <c r="R158" s="494"/>
      <c r="S158" s="497"/>
      <c r="T158" s="317"/>
      <c r="U158" s="494"/>
      <c r="V158" s="494"/>
      <c r="W158" s="494"/>
      <c r="X158" s="497"/>
      <c r="Y158" s="317"/>
      <c r="Z158" s="494"/>
      <c r="AA158" s="494"/>
      <c r="AB158" s="494"/>
      <c r="AC158" s="497"/>
      <c r="AD158" s="574"/>
      <c r="AE158" s="494"/>
      <c r="AF158" s="74"/>
      <c r="AG158" s="494"/>
      <c r="AH158" s="497"/>
      <c r="AI158" s="535"/>
      <c r="AJ158" s="494"/>
      <c r="AK158" s="494"/>
      <c r="AL158" s="494"/>
      <c r="AM158" s="497"/>
      <c r="AN158" s="535"/>
      <c r="AO158" s="494"/>
      <c r="AP158" s="494"/>
      <c r="AQ158" s="494"/>
      <c r="AR158" s="497"/>
      <c r="AS158" s="535"/>
      <c r="AT158" s="574"/>
      <c r="AU158" s="574"/>
      <c r="AV158" s="494"/>
      <c r="AW158" s="575"/>
      <c r="AX158" s="494"/>
      <c r="AY158" s="494"/>
      <c r="AZ158" s="494"/>
      <c r="BA158" s="494"/>
      <c r="BB158" s="497"/>
      <c r="BC158" s="494"/>
      <c r="BD158" s="494"/>
      <c r="BE158" s="494"/>
      <c r="BF158" s="494"/>
      <c r="BG158" s="497"/>
      <c r="BH158" s="494"/>
      <c r="BI158" s="494"/>
      <c r="BJ158" s="494"/>
      <c r="BK158" s="494"/>
      <c r="BL158" s="497"/>
      <c r="BM158" s="494"/>
      <c r="BN158" s="494"/>
      <c r="BO158" s="494"/>
      <c r="BP158" s="494"/>
      <c r="BQ158" s="497"/>
      <c r="BR158" s="494"/>
      <c r="BS158" s="494"/>
      <c r="BT158" s="494"/>
      <c r="BU158" s="494"/>
      <c r="BV158" s="497"/>
      <c r="BW158" s="494"/>
      <c r="BX158" s="494"/>
      <c r="BY158" s="494"/>
      <c r="BZ158" s="494"/>
      <c r="CA158" s="497"/>
      <c r="CB158" s="1910" t="s">
        <v>51</v>
      </c>
      <c r="CC158" s="507"/>
      <c r="CD158" s="530"/>
      <c r="CE158" s="494"/>
      <c r="CF158" s="494"/>
      <c r="CG158" s="494"/>
      <c r="CH158" s="494"/>
      <c r="CI158" s="494"/>
      <c r="CJ158" s="494"/>
      <c r="CK158" s="494"/>
      <c r="CL158" s="494"/>
      <c r="CM158" s="494"/>
      <c r="CN158" s="494"/>
      <c r="CO158" s="494"/>
      <c r="CP158" s="494"/>
      <c r="CQ158" s="494"/>
      <c r="CR158" s="494"/>
      <c r="CS158" s="494"/>
      <c r="CT158" s="542"/>
      <c r="CU158" s="6"/>
      <c r="DB158" s="1961"/>
      <c r="DC158" s="1961"/>
      <c r="DD158" s="1961"/>
      <c r="DE158" s="1961"/>
      <c r="DF158" s="1961"/>
      <c r="DG158" s="1961"/>
      <c r="DH158" s="1961"/>
      <c r="DI158" s="491"/>
    </row>
    <row r="159" spans="1:113" ht="12" customHeight="1" x14ac:dyDescent="0.25">
      <c r="A159" s="552" t="s">
        <v>158</v>
      </c>
      <c r="B159" s="333"/>
      <c r="C159" s="265">
        <v>-0.55100000000000005</v>
      </c>
      <c r="D159" s="265">
        <v>0.376</v>
      </c>
      <c r="E159" s="268">
        <v>2.1999999999999999E-2</v>
      </c>
      <c r="F159" s="268">
        <f>0.135-E159</f>
        <v>0.11300000000000002</v>
      </c>
      <c r="G159" s="268">
        <f>0.295-SUM(E159:F159)</f>
        <v>0.15999999999999998</v>
      </c>
      <c r="H159" s="268">
        <f>-0.202-SUM(E159:G159)</f>
        <v>-0.497</v>
      </c>
      <c r="I159" s="509">
        <f>SUM(E159:H159)</f>
        <v>-0.20200000000000001</v>
      </c>
      <c r="J159" s="333">
        <v>4.0000000000000001E-3</v>
      </c>
      <c r="K159" s="268">
        <f>0.018-J159</f>
        <v>1.3999999999999999E-2</v>
      </c>
      <c r="L159" s="268">
        <f>0.088-SUM(J159:K159)</f>
        <v>6.9999999999999993E-2</v>
      </c>
      <c r="M159" s="268">
        <f>-0.928-SUM(J159:L159)</f>
        <v>-1.016</v>
      </c>
      <c r="N159" s="510">
        <f>SUM(J159:M159)</f>
        <v>-0.92800000000000005</v>
      </c>
      <c r="O159" s="333">
        <v>-0.438</v>
      </c>
      <c r="P159" s="516">
        <f>0.088-O159</f>
        <v>0.52600000000000002</v>
      </c>
      <c r="Q159" s="516">
        <f>0.21-SUM(O159:P159)</f>
        <v>0.12199999999999997</v>
      </c>
      <c r="R159" s="516">
        <f>0.09-SUM(O159:Q159)</f>
        <v>-0.12</v>
      </c>
      <c r="S159" s="510">
        <f>SUM(O159:R159)</f>
        <v>0.09</v>
      </c>
      <c r="T159" s="333">
        <v>3.0000000000000001E-3</v>
      </c>
      <c r="U159" s="516">
        <f>-0.193-T159</f>
        <v>-0.19600000000000001</v>
      </c>
      <c r="V159" s="516">
        <f>-0.011-SUM(T159:U159)</f>
        <v>0.182</v>
      </c>
      <c r="W159" s="232">
        <f>-0.109-T159-U159-V159</f>
        <v>-9.799999999999999E-2</v>
      </c>
      <c r="X159" s="118">
        <f>SUM(T159:W159)</f>
        <v>-0.109</v>
      </c>
      <c r="Y159" s="232">
        <v>0.33800000000000002</v>
      </c>
      <c r="Z159" s="232">
        <f>0.573-Y159</f>
        <v>0.23499999999999993</v>
      </c>
      <c r="AA159" s="232">
        <f>0.018-SUM(Y159:Z159)</f>
        <v>-0.55499999999999994</v>
      </c>
      <c r="AB159" s="232">
        <f>-0.183-SUM(Y159:AA159)</f>
        <v>-0.20100000000000001</v>
      </c>
      <c r="AC159" s="116">
        <f>SUM(Y159:AB159)</f>
        <v>-0.183</v>
      </c>
      <c r="AD159" s="232">
        <v>0.153</v>
      </c>
      <c r="AE159" s="232">
        <f>-0.134-AD159</f>
        <v>-0.28700000000000003</v>
      </c>
      <c r="AF159" s="232">
        <f>-0.13-SUM(AD159:AE159)</f>
        <v>4.0000000000000313E-3</v>
      </c>
      <c r="AG159" s="232">
        <f>0.015-SUM(AD159:AF159)</f>
        <v>0.14500000000000002</v>
      </c>
      <c r="AH159" s="116">
        <f>SUM(AD159:AG159)</f>
        <v>1.5000000000000013E-2</v>
      </c>
      <c r="AI159" s="245">
        <v>-0.40600000000000003</v>
      </c>
      <c r="AJ159" s="232">
        <f>-0.681-AI159</f>
        <v>-0.27500000000000002</v>
      </c>
      <c r="AK159" s="232">
        <f>-0.406-SUM(AI159:AJ159)</f>
        <v>0.27500000000000002</v>
      </c>
      <c r="AL159" s="252">
        <f>-0.84-SUM(AI159:AK159)</f>
        <v>-0.43399999999999994</v>
      </c>
      <c r="AM159" s="116">
        <f>SUM(AI159:AL159)</f>
        <v>-0.84</v>
      </c>
      <c r="AN159" s="245">
        <v>0.50700000000000001</v>
      </c>
      <c r="AO159" s="232">
        <f>0.76-AN159</f>
        <v>0.253</v>
      </c>
      <c r="AP159" s="232">
        <f>0.213-SUM(AN159:AO159)</f>
        <v>-0.54700000000000004</v>
      </c>
      <c r="AQ159" s="232">
        <f>-1.286-SUM(AN159:AP159)</f>
        <v>-1.4990000000000001</v>
      </c>
      <c r="AR159" s="116">
        <f>SUM(AN159:AQ159)</f>
        <v>-1.286</v>
      </c>
      <c r="AS159" s="245">
        <v>-0.22</v>
      </c>
      <c r="AT159" s="232">
        <f>12.525-AS159</f>
        <v>12.745000000000001</v>
      </c>
      <c r="AU159" s="232">
        <f>1.389-SUM(AS159:AT159)</f>
        <v>-11.136000000000001</v>
      </c>
      <c r="AV159" s="232">
        <f>0.606-SUM(AS159:AU159)</f>
        <v>-0.78299999999999936</v>
      </c>
      <c r="AW159" s="116">
        <f>SUM(AS159:AV159)</f>
        <v>0.60599999999999998</v>
      </c>
      <c r="AX159" s="232">
        <v>-1.3140000000000001</v>
      </c>
      <c r="AY159" s="232">
        <f>-1.079-AX159</f>
        <v>0.2350000000000001</v>
      </c>
      <c r="AZ159" s="232">
        <f>-9.44-SUM(AX159:AY159)</f>
        <v>-8.3609999999999989</v>
      </c>
      <c r="BA159" s="232">
        <f>-9.7-SUM(AX159:AZ159)</f>
        <v>-0.25999999999999979</v>
      </c>
      <c r="BB159" s="238">
        <f>SUM(AX159:BA159)</f>
        <v>-9.6999999999999993</v>
      </c>
      <c r="BC159" s="1893">
        <v>1.7</v>
      </c>
      <c r="BD159" s="1893">
        <v>1.6</v>
      </c>
      <c r="BE159" s="1945">
        <f>4.4-BD159-BC159</f>
        <v>1.1000000000000003</v>
      </c>
      <c r="BF159" s="1945">
        <f>6.7-SUM(BC159:BE159)</f>
        <v>2.2999999999999998</v>
      </c>
      <c r="BG159" s="238">
        <f>SUM(BC159:BF159)</f>
        <v>6.7</v>
      </c>
      <c r="BH159" s="256">
        <v>0</v>
      </c>
      <c r="BI159" s="256">
        <v>0</v>
      </c>
      <c r="BJ159" s="256">
        <v>0</v>
      </c>
      <c r="BK159" s="256">
        <v>0</v>
      </c>
      <c r="BL159" s="238">
        <f>SUM(BH159:BK159)</f>
        <v>0</v>
      </c>
      <c r="BM159" s="256">
        <v>0</v>
      </c>
      <c r="BN159" s="256">
        <v>0</v>
      </c>
      <c r="BO159" s="256">
        <v>0</v>
      </c>
      <c r="BP159" s="256">
        <v>0</v>
      </c>
      <c r="BQ159" s="238">
        <f>SUM(BM159:BP159)</f>
        <v>0</v>
      </c>
      <c r="BR159" s="256">
        <v>0</v>
      </c>
      <c r="BS159" s="256">
        <v>0</v>
      </c>
      <c r="BT159" s="256">
        <v>0</v>
      </c>
      <c r="BU159" s="256">
        <v>0</v>
      </c>
      <c r="BV159" s="238">
        <f>SUM(BR159:BU159)</f>
        <v>0</v>
      </c>
      <c r="BW159" s="256">
        <v>0</v>
      </c>
      <c r="BX159" s="256">
        <v>0</v>
      </c>
      <c r="BY159" s="256">
        <v>0</v>
      </c>
      <c r="BZ159" s="256">
        <v>0</v>
      </c>
      <c r="CA159" s="238">
        <f>SUM(BW159:BZ159)</f>
        <v>0</v>
      </c>
      <c r="CB159" s="1910" t="s">
        <v>51</v>
      </c>
      <c r="CC159" s="507"/>
      <c r="CD159" s="530" t="str">
        <f>A159</f>
        <v>Effects Of Exchange Rate On Cash</v>
      </c>
      <c r="CE159" s="516">
        <f>D159</f>
        <v>0.376</v>
      </c>
      <c r="CF159" s="516">
        <f>I159</f>
        <v>-0.20200000000000001</v>
      </c>
      <c r="CG159" s="516">
        <f>N159</f>
        <v>-0.92800000000000005</v>
      </c>
      <c r="CH159" s="516">
        <f>S159</f>
        <v>0.09</v>
      </c>
      <c r="CI159" s="516">
        <f>X159</f>
        <v>-0.109</v>
      </c>
      <c r="CJ159" s="516">
        <f>AC159</f>
        <v>-0.183</v>
      </c>
      <c r="CK159" s="516">
        <f>AH159</f>
        <v>1.5000000000000013E-2</v>
      </c>
      <c r="CL159" s="516">
        <f>AM159</f>
        <v>-0.84</v>
      </c>
      <c r="CM159" s="516">
        <f>AR159</f>
        <v>-1.286</v>
      </c>
      <c r="CN159" s="516">
        <f>AW159</f>
        <v>0.60599999999999998</v>
      </c>
      <c r="CO159" s="516">
        <f>BB159</f>
        <v>-9.6999999999999993</v>
      </c>
      <c r="CP159" s="516">
        <f>BG159</f>
        <v>6.7</v>
      </c>
      <c r="CQ159" s="516">
        <f>BL159</f>
        <v>0</v>
      </c>
      <c r="CR159" s="516">
        <f>BQ159</f>
        <v>0</v>
      </c>
      <c r="CS159" s="516">
        <f>BV159</f>
        <v>0</v>
      </c>
      <c r="CT159" s="518">
        <f>CA159</f>
        <v>0</v>
      </c>
      <c r="CU159" s="6"/>
      <c r="DB159" s="1961"/>
      <c r="DC159" s="1961"/>
      <c r="DD159" s="1961"/>
      <c r="DE159" s="1961"/>
      <c r="DF159" s="1961"/>
      <c r="DG159" s="1961"/>
      <c r="DH159" s="1961"/>
      <c r="DI159" s="256"/>
    </row>
    <row r="160" spans="1:113" ht="5.0999999999999996" customHeight="1" x14ac:dyDescent="0.25">
      <c r="A160" s="552"/>
      <c r="B160" s="317"/>
      <c r="C160" s="296"/>
      <c r="D160" s="296"/>
      <c r="E160" s="494"/>
      <c r="F160" s="494"/>
      <c r="G160" s="494"/>
      <c r="H160" s="494"/>
      <c r="I160" s="495"/>
      <c r="J160" s="317"/>
      <c r="K160" s="494"/>
      <c r="L160" s="494"/>
      <c r="M160" s="494"/>
      <c r="N160" s="497"/>
      <c r="O160" s="317"/>
      <c r="P160" s="494"/>
      <c r="Q160" s="494"/>
      <c r="R160" s="494"/>
      <c r="S160" s="497"/>
      <c r="T160" s="317"/>
      <c r="U160" s="494"/>
      <c r="V160" s="494"/>
      <c r="W160" s="494"/>
      <c r="X160" s="497"/>
      <c r="Y160" s="317"/>
      <c r="Z160" s="494"/>
      <c r="AA160" s="494"/>
      <c r="AB160" s="494"/>
      <c r="AC160" s="497"/>
      <c r="AD160" s="494"/>
      <c r="AE160" s="494"/>
      <c r="AF160" s="494"/>
      <c r="AG160" s="494"/>
      <c r="AH160" s="497"/>
      <c r="AI160" s="317"/>
      <c r="AJ160" s="494"/>
      <c r="AK160" s="494"/>
      <c r="AL160" s="494"/>
      <c r="AM160" s="497"/>
      <c r="AN160" s="317"/>
      <c r="AO160" s="491"/>
      <c r="AP160" s="491"/>
      <c r="AQ160" s="491"/>
      <c r="AR160" s="497"/>
      <c r="AS160" s="317"/>
      <c r="AT160" s="491"/>
      <c r="AU160" s="576"/>
      <c r="AV160" s="491"/>
      <c r="AW160" s="497"/>
      <c r="AX160" s="491"/>
      <c r="AY160" s="491"/>
      <c r="AZ160" s="491"/>
      <c r="BA160" s="491"/>
      <c r="BB160" s="497"/>
      <c r="BC160" s="491"/>
      <c r="BD160" s="491"/>
      <c r="BE160" s="491"/>
      <c r="BF160" s="491"/>
      <c r="BG160" s="497"/>
      <c r="BH160" s="491"/>
      <c r="BI160" s="491"/>
      <c r="BJ160" s="491"/>
      <c r="BK160" s="491"/>
      <c r="BL160" s="497"/>
      <c r="BM160" s="491"/>
      <c r="BN160" s="491"/>
      <c r="BO160" s="491"/>
      <c r="BP160" s="491"/>
      <c r="BQ160" s="497"/>
      <c r="BR160" s="491"/>
      <c r="BS160" s="491"/>
      <c r="BT160" s="491"/>
      <c r="BU160" s="491"/>
      <c r="BV160" s="497"/>
      <c r="BW160" s="491"/>
      <c r="BX160" s="491"/>
      <c r="BY160" s="491"/>
      <c r="BZ160" s="491"/>
      <c r="CA160" s="497"/>
      <c r="CB160" s="1910" t="s">
        <v>51</v>
      </c>
      <c r="CC160" s="507"/>
      <c r="CD160" s="530"/>
      <c r="CE160" s="494"/>
      <c r="CF160" s="494"/>
      <c r="CG160" s="494"/>
      <c r="CH160" s="494"/>
      <c r="CI160" s="494"/>
      <c r="CJ160" s="494"/>
      <c r="CK160" s="494"/>
      <c r="CL160" s="494"/>
      <c r="CM160" s="494"/>
      <c r="CN160" s="494"/>
      <c r="CO160" s="494"/>
      <c r="CP160" s="494"/>
      <c r="CQ160" s="494"/>
      <c r="CR160" s="494"/>
      <c r="CS160" s="494"/>
      <c r="CT160" s="542"/>
      <c r="CU160" s="6"/>
      <c r="DB160" s="1961"/>
      <c r="DC160" s="1961"/>
      <c r="DD160" s="1961"/>
      <c r="DE160" s="1961"/>
      <c r="DF160" s="1961"/>
      <c r="DG160" s="1961"/>
      <c r="DH160" s="1961"/>
      <c r="DI160" s="491"/>
    </row>
    <row r="161" spans="1:113" ht="12" customHeight="1" x14ac:dyDescent="0.25">
      <c r="A161" s="211" t="s">
        <v>159</v>
      </c>
      <c r="B161" s="138"/>
      <c r="C161" s="71">
        <f t="shared" ref="C161:BB161" si="244">(C134+C144+C157+C159)</f>
        <v>-24.877999999999926</v>
      </c>
      <c r="D161" s="71">
        <f t="shared" si="244"/>
        <v>56.330000000000005</v>
      </c>
      <c r="E161" s="74">
        <f t="shared" si="244"/>
        <v>26.726000000000013</v>
      </c>
      <c r="F161" s="74">
        <f t="shared" si="244"/>
        <v>-86.051999999999992</v>
      </c>
      <c r="G161" s="74">
        <f t="shared" si="244"/>
        <v>0.90299999999999492</v>
      </c>
      <c r="H161" s="74">
        <f t="shared" si="244"/>
        <v>-16.679999999999961</v>
      </c>
      <c r="I161" s="138">
        <f t="shared" si="244"/>
        <v>-75.10299999999998</v>
      </c>
      <c r="J161" s="138">
        <f t="shared" si="244"/>
        <v>1.8489999999999704</v>
      </c>
      <c r="K161" s="74">
        <f t="shared" si="244"/>
        <v>24.937000000000015</v>
      </c>
      <c r="L161" s="74">
        <f t="shared" si="244"/>
        <v>0.18899999999999978</v>
      </c>
      <c r="M161" s="74">
        <f t="shared" si="244"/>
        <v>-17.838999999999999</v>
      </c>
      <c r="N161" s="71">
        <f t="shared" si="244"/>
        <v>9.1360000000000205</v>
      </c>
      <c r="O161" s="138">
        <f t="shared" si="244"/>
        <v>11.821000000000007</v>
      </c>
      <c r="P161" s="74">
        <f t="shared" si="244"/>
        <v>0.95600000000001395</v>
      </c>
      <c r="Q161" s="74">
        <f t="shared" si="244"/>
        <v>14.598000000000027</v>
      </c>
      <c r="R161" s="74">
        <f t="shared" si="244"/>
        <v>10.967000000000004</v>
      </c>
      <c r="S161" s="71">
        <f t="shared" si="244"/>
        <v>38.342000000000056</v>
      </c>
      <c r="T161" s="138">
        <f t="shared" si="244"/>
        <v>59.464999999999989</v>
      </c>
      <c r="U161" s="74">
        <f t="shared" si="244"/>
        <v>-24.164999999999996</v>
      </c>
      <c r="V161" s="74">
        <f t="shared" si="244"/>
        <v>0.42800000000003774</v>
      </c>
      <c r="W161" s="74">
        <f t="shared" si="244"/>
        <v>-52.280999999999963</v>
      </c>
      <c r="X161" s="71">
        <f t="shared" si="244"/>
        <v>-16.553000000000104</v>
      </c>
      <c r="Y161" s="74">
        <f t="shared" si="244"/>
        <v>46.26400000000006</v>
      </c>
      <c r="Z161" s="74">
        <f t="shared" si="244"/>
        <v>-49.26799999999993</v>
      </c>
      <c r="AA161" s="74">
        <f t="shared" si="244"/>
        <v>0.87600000000002587</v>
      </c>
      <c r="AB161" s="74">
        <f t="shared" si="244"/>
        <v>138.75699999999992</v>
      </c>
      <c r="AC161" s="71">
        <f t="shared" si="244"/>
        <v>136.62899999999993</v>
      </c>
      <c r="AD161" s="74">
        <f t="shared" si="244"/>
        <v>-76.672999999999988</v>
      </c>
      <c r="AE161" s="74">
        <f t="shared" si="244"/>
        <v>-17.732000000000006</v>
      </c>
      <c r="AF161" s="74">
        <f>(AF134+AF144+AF157+AF159)</f>
        <v>0.57199999999998363</v>
      </c>
      <c r="AG161" s="74">
        <f t="shared" si="244"/>
        <v>-7.9510000000000609</v>
      </c>
      <c r="AH161" s="577">
        <f t="shared" si="244"/>
        <v>-101.78400000000003</v>
      </c>
      <c r="AI161" s="138">
        <f>(AI134+AI144+AI157+AI159)</f>
        <v>177.53899999999996</v>
      </c>
      <c r="AJ161" s="74">
        <f>(AJ134+AJ144+AJ157+AJ159)</f>
        <v>-95.89500000000001</v>
      </c>
      <c r="AK161" s="74">
        <f>(AK134+AK144+AK157+AK159)</f>
        <v>6.521999999999986</v>
      </c>
      <c r="AL161" s="74">
        <f>(AL134+AL144+AL157+AL159)</f>
        <v>-12.16599999999997</v>
      </c>
      <c r="AM161" s="577">
        <f t="shared" si="244"/>
        <v>75.999999999999972</v>
      </c>
      <c r="AN161" s="138">
        <f t="shared" si="244"/>
        <v>261.57500000000005</v>
      </c>
      <c r="AO161" s="74">
        <f t="shared" si="244"/>
        <v>-7.9279999999999617</v>
      </c>
      <c r="AP161" s="74">
        <f t="shared" si="244"/>
        <v>13.042000000000034</v>
      </c>
      <c r="AQ161" s="74">
        <f t="shared" si="244"/>
        <v>-393.13100000000009</v>
      </c>
      <c r="AR161" s="71">
        <f t="shared" si="244"/>
        <v>-126.44199999999995</v>
      </c>
      <c r="AS161" s="138">
        <f t="shared" si="244"/>
        <v>113.48799999999997</v>
      </c>
      <c r="AT161" s="74">
        <f t="shared" si="244"/>
        <v>-7.3530000000004101</v>
      </c>
      <c r="AU161" s="74">
        <f t="shared" si="244"/>
        <v>23.331000000000053</v>
      </c>
      <c r="AV161" s="74">
        <f t="shared" si="244"/>
        <v>-30.456000000000135</v>
      </c>
      <c r="AW161" s="71">
        <f t="shared" si="244"/>
        <v>99.009999999999536</v>
      </c>
      <c r="AX161" s="74">
        <f t="shared" si="244"/>
        <v>-6.5300000000000082</v>
      </c>
      <c r="AY161" s="74">
        <f t="shared" si="244"/>
        <v>64.583999999999932</v>
      </c>
      <c r="AZ161" s="74">
        <f t="shared" si="244"/>
        <v>-31.614999999999817</v>
      </c>
      <c r="BA161" s="74">
        <f t="shared" si="244"/>
        <v>-29.676000000000187</v>
      </c>
      <c r="BB161" s="77">
        <f t="shared" si="244"/>
        <v>-3.2370000000002612</v>
      </c>
      <c r="BC161" s="74">
        <f t="shared" ref="BC161:CA161" si="245">(BC134+BC144+BC157+BC159)</f>
        <v>19.899999999999959</v>
      </c>
      <c r="BD161" s="74">
        <f t="shared" si="245"/>
        <v>-14.299999999999963</v>
      </c>
      <c r="BE161" s="74">
        <f t="shared" si="245"/>
        <v>1.3000000000000458</v>
      </c>
      <c r="BF161" s="74">
        <f t="shared" si="245"/>
        <v>0.29999999999994298</v>
      </c>
      <c r="BG161" s="77">
        <f t="shared" si="245"/>
        <v>7.2</v>
      </c>
      <c r="BH161" s="74">
        <f t="shared" si="245"/>
        <v>230.4927583301187</v>
      </c>
      <c r="BI161" s="74">
        <f t="shared" si="245"/>
        <v>-1.3189863343600337</v>
      </c>
      <c r="BJ161" s="74">
        <f t="shared" si="245"/>
        <v>-25.156887477268711</v>
      </c>
      <c r="BK161" s="74">
        <f t="shared" si="245"/>
        <v>-73.926099428498247</v>
      </c>
      <c r="BL161" s="77">
        <f t="shared" si="245"/>
        <v>130.09078508999175</v>
      </c>
      <c r="BM161" s="74">
        <f t="shared" si="245"/>
        <v>216.11417212142504</v>
      </c>
      <c r="BN161" s="74">
        <f t="shared" si="245"/>
        <v>-28.884385574445361</v>
      </c>
      <c r="BO161" s="74">
        <f t="shared" si="245"/>
        <v>-54.429863775806069</v>
      </c>
      <c r="BP161" s="74">
        <f t="shared" si="245"/>
        <v>-105.76413758616069</v>
      </c>
      <c r="BQ161" s="77">
        <f t="shared" si="245"/>
        <v>27.035785185012855</v>
      </c>
      <c r="BR161" s="74">
        <f t="shared" si="245"/>
        <v>220.71543903378938</v>
      </c>
      <c r="BS161" s="74">
        <f t="shared" si="245"/>
        <v>-38.048704047397138</v>
      </c>
      <c r="BT161" s="74">
        <f t="shared" si="245"/>
        <v>-65.118245218126305</v>
      </c>
      <c r="BU161" s="74">
        <f t="shared" si="245"/>
        <v>-119.036405719398</v>
      </c>
      <c r="BV161" s="77">
        <f t="shared" si="245"/>
        <v>-1.487915951132095</v>
      </c>
      <c r="BW161" s="74">
        <f t="shared" si="245"/>
        <v>249.240806613676</v>
      </c>
      <c r="BX161" s="74">
        <f t="shared" si="245"/>
        <v>-24.024677934787491</v>
      </c>
      <c r="BY161" s="74">
        <f t="shared" si="245"/>
        <v>-52.617680841751564</v>
      </c>
      <c r="BZ161" s="74">
        <f t="shared" si="245"/>
        <v>-109.14340390216356</v>
      </c>
      <c r="CA161" s="77">
        <f t="shared" si="245"/>
        <v>63.455043934973446</v>
      </c>
      <c r="CB161" s="1910" t="s">
        <v>51</v>
      </c>
      <c r="CC161" s="507"/>
      <c r="CD161" s="212" t="str">
        <f>A161</f>
        <v>Net increase (decrease) in Cash and Cash Equivalents</v>
      </c>
      <c r="CE161" s="74">
        <f>D161</f>
        <v>56.330000000000005</v>
      </c>
      <c r="CF161" s="74">
        <f>I161</f>
        <v>-75.10299999999998</v>
      </c>
      <c r="CG161" s="74">
        <f>N161</f>
        <v>9.1360000000000205</v>
      </c>
      <c r="CH161" s="74">
        <f>S161</f>
        <v>38.342000000000056</v>
      </c>
      <c r="CI161" s="74">
        <f>X161</f>
        <v>-16.553000000000104</v>
      </c>
      <c r="CJ161" s="74">
        <f>AC161</f>
        <v>136.62899999999993</v>
      </c>
      <c r="CK161" s="74">
        <f>AH161</f>
        <v>-101.78400000000003</v>
      </c>
      <c r="CL161" s="74">
        <f>AM161</f>
        <v>75.999999999999972</v>
      </c>
      <c r="CM161" s="74">
        <f>AR161</f>
        <v>-126.44199999999995</v>
      </c>
      <c r="CN161" s="74">
        <f>AW161</f>
        <v>99.009999999999536</v>
      </c>
      <c r="CO161" s="74">
        <f>BB161</f>
        <v>-3.2370000000002612</v>
      </c>
      <c r="CP161" s="74">
        <f>BG161</f>
        <v>7.2</v>
      </c>
      <c r="CQ161" s="74">
        <f>BL161</f>
        <v>130.09078508999175</v>
      </c>
      <c r="CR161" s="74">
        <f>BQ161</f>
        <v>27.035785185012855</v>
      </c>
      <c r="CS161" s="74">
        <f>BV161</f>
        <v>-1.487915951132095</v>
      </c>
      <c r="CT161" s="141">
        <f>CA161</f>
        <v>63.455043934973446</v>
      </c>
      <c r="CU161" s="6"/>
      <c r="DB161" s="1961"/>
      <c r="DC161" s="1961"/>
      <c r="DD161" s="1961"/>
      <c r="DE161" s="1961"/>
      <c r="DF161" s="1961"/>
      <c r="DG161" s="1961"/>
      <c r="DH161" s="1961"/>
      <c r="DI161" s="74"/>
    </row>
    <row r="162" spans="1:113" ht="12" customHeight="1" x14ac:dyDescent="0.25">
      <c r="A162" s="211" t="s">
        <v>160</v>
      </c>
      <c r="B162" s="333"/>
      <c r="C162" s="265">
        <v>67.7</v>
      </c>
      <c r="D162" s="116">
        <v>42.822000000000003</v>
      </c>
      <c r="E162" s="275">
        <f>D164</f>
        <v>99.152000000000015</v>
      </c>
      <c r="F162" s="275">
        <f>E164</f>
        <v>125.87800000000003</v>
      </c>
      <c r="G162" s="275">
        <f>F164</f>
        <v>39.826000000000036</v>
      </c>
      <c r="H162" s="275">
        <f>G164</f>
        <v>40.729000000000028</v>
      </c>
      <c r="I162" s="323">
        <f>D164</f>
        <v>99.152000000000015</v>
      </c>
      <c r="J162" s="323">
        <f>I164</f>
        <v>24.049000000000035</v>
      </c>
      <c r="K162" s="275">
        <f>J164</f>
        <v>25.898000000000007</v>
      </c>
      <c r="L162" s="275">
        <f>K164</f>
        <v>50.835000000000022</v>
      </c>
      <c r="M162" s="275">
        <f>L164</f>
        <v>51.024000000000022</v>
      </c>
      <c r="N162" s="116">
        <f>I164</f>
        <v>24.049000000000035</v>
      </c>
      <c r="O162" s="323">
        <f>N164</f>
        <v>33.185000000000059</v>
      </c>
      <c r="P162" s="275">
        <f>O164</f>
        <v>45.006000000000064</v>
      </c>
      <c r="Q162" s="275">
        <f>P164</f>
        <v>45.962000000000081</v>
      </c>
      <c r="R162" s="275">
        <f>Q164</f>
        <v>60.560000000000109</v>
      </c>
      <c r="S162" s="116">
        <f>N164</f>
        <v>33.185000000000059</v>
      </c>
      <c r="T162" s="323">
        <f>S164</f>
        <v>71.527000000000115</v>
      </c>
      <c r="U162" s="275">
        <f>T164</f>
        <v>130.9920000000001</v>
      </c>
      <c r="V162" s="275">
        <f>U164</f>
        <v>106.82700000000011</v>
      </c>
      <c r="W162" s="275">
        <f>V164</f>
        <v>107.25500000000015</v>
      </c>
      <c r="X162" s="116">
        <f>S164</f>
        <v>71.527000000000115</v>
      </c>
      <c r="Y162" s="275">
        <f>X164</f>
        <v>54.974000000000011</v>
      </c>
      <c r="Z162" s="275">
        <f>Y164</f>
        <v>101.23800000000007</v>
      </c>
      <c r="AA162" s="275">
        <f>Z164</f>
        <v>51.970000000000141</v>
      </c>
      <c r="AB162" s="275">
        <f>AA164</f>
        <v>52.846000000000167</v>
      </c>
      <c r="AC162" s="116">
        <f>X164</f>
        <v>54.974000000000011</v>
      </c>
      <c r="AD162" s="275">
        <f>AC164</f>
        <v>191.60299999999995</v>
      </c>
      <c r="AE162" s="275">
        <f>AD164</f>
        <v>114.92999999999996</v>
      </c>
      <c r="AF162" s="275">
        <f>AE164</f>
        <v>97.197999999999951</v>
      </c>
      <c r="AG162" s="275">
        <f>AF164</f>
        <v>97.769999999999939</v>
      </c>
      <c r="AH162" s="116">
        <f>AC164</f>
        <v>191.60299999999995</v>
      </c>
      <c r="AI162" s="323">
        <f>AH164</f>
        <v>89.818999999999917</v>
      </c>
      <c r="AJ162" s="275">
        <f>AI164</f>
        <v>267.35799999999989</v>
      </c>
      <c r="AK162" s="275">
        <f>AJ164</f>
        <v>171.46299999999988</v>
      </c>
      <c r="AL162" s="275">
        <f>AK164</f>
        <v>177.98499999999987</v>
      </c>
      <c r="AM162" s="116">
        <f>AH164</f>
        <v>89.818999999999917</v>
      </c>
      <c r="AN162" s="323">
        <f>AM164</f>
        <v>165.80099999999999</v>
      </c>
      <c r="AO162" s="275">
        <f>AN164</f>
        <v>427.37600000000003</v>
      </c>
      <c r="AP162" s="275">
        <f>AO164</f>
        <v>419.44800000000009</v>
      </c>
      <c r="AQ162" s="275">
        <f>AP164</f>
        <v>432.49000000000012</v>
      </c>
      <c r="AR162" s="116">
        <f>AM164</f>
        <v>165.80099999999999</v>
      </c>
      <c r="AS162" s="323">
        <f>AR164</f>
        <v>39.359000000000037</v>
      </c>
      <c r="AT162" s="275">
        <f>AS164</f>
        <v>152.84700000000001</v>
      </c>
      <c r="AU162" s="275">
        <f>AT164</f>
        <v>145.4939999999996</v>
      </c>
      <c r="AV162" s="275">
        <f>AU164</f>
        <v>168.82499999999965</v>
      </c>
      <c r="AW162" s="116">
        <f>AR164</f>
        <v>39.359000000000037</v>
      </c>
      <c r="AX162" s="275">
        <f>AW164</f>
        <v>138.36899999999957</v>
      </c>
      <c r="AY162" s="275">
        <f>AX164</f>
        <v>131.83899999999957</v>
      </c>
      <c r="AZ162" s="275">
        <f>AY164</f>
        <v>196.42299999999949</v>
      </c>
      <c r="BA162" s="275">
        <f>AZ164</f>
        <v>164.80799999999968</v>
      </c>
      <c r="BB162" s="238">
        <f>AW164</f>
        <v>138.36899999999957</v>
      </c>
      <c r="BC162" s="275">
        <f>BB164</f>
        <v>135.13199999999932</v>
      </c>
      <c r="BD162" s="275">
        <f>BC164</f>
        <v>155.03199999999927</v>
      </c>
      <c r="BE162" s="275">
        <f>BD164</f>
        <v>140.73199999999932</v>
      </c>
      <c r="BF162" s="275">
        <f>BE164</f>
        <v>142.03199999999936</v>
      </c>
      <c r="BG162" s="238">
        <f>BB164</f>
        <v>135.13199999999932</v>
      </c>
      <c r="BH162" s="275">
        <f>BG164</f>
        <v>142.33199999999931</v>
      </c>
      <c r="BI162" s="275">
        <f>BH164</f>
        <v>372.82475833011802</v>
      </c>
      <c r="BJ162" s="275">
        <f>BI164</f>
        <v>371.50577199575798</v>
      </c>
      <c r="BK162" s="275">
        <f>BJ164</f>
        <v>346.34888451848929</v>
      </c>
      <c r="BL162" s="238">
        <f>BG164</f>
        <v>142.33199999999931</v>
      </c>
      <c r="BM162" s="275">
        <f>BL164</f>
        <v>272.42278508999107</v>
      </c>
      <c r="BN162" s="275">
        <f>BM164</f>
        <v>488.53695721141611</v>
      </c>
      <c r="BO162" s="275">
        <f>BN164</f>
        <v>459.65257163697072</v>
      </c>
      <c r="BP162" s="275">
        <f>BO164</f>
        <v>405.22270786116462</v>
      </c>
      <c r="BQ162" s="238">
        <f>BL164</f>
        <v>272.42278508999107</v>
      </c>
      <c r="BR162" s="275">
        <f>BQ164</f>
        <v>299.45857027500392</v>
      </c>
      <c r="BS162" s="275">
        <f>BR164</f>
        <v>520.1740093087933</v>
      </c>
      <c r="BT162" s="275">
        <f>BS164</f>
        <v>482.12530526139619</v>
      </c>
      <c r="BU162" s="275">
        <f>BT164</f>
        <v>417.00706004326992</v>
      </c>
      <c r="BV162" s="238">
        <f>BQ164</f>
        <v>299.45857027500392</v>
      </c>
      <c r="BW162" s="275">
        <f>BV164</f>
        <v>297.97065432387183</v>
      </c>
      <c r="BX162" s="275">
        <f>BW164</f>
        <v>547.21146093754783</v>
      </c>
      <c r="BY162" s="275">
        <f>BX164</f>
        <v>523.18678300276031</v>
      </c>
      <c r="BZ162" s="275">
        <f>BY164</f>
        <v>470.56910216100874</v>
      </c>
      <c r="CA162" s="238">
        <f>BV164</f>
        <v>297.97065432387183</v>
      </c>
      <c r="CB162" s="1910" t="s">
        <v>51</v>
      </c>
      <c r="CC162" s="507"/>
      <c r="CD162" s="212" t="str">
        <f>A162</f>
        <v>Cash &amp; Equivalents - Beginning</v>
      </c>
      <c r="CE162" s="275">
        <f>D162</f>
        <v>42.822000000000003</v>
      </c>
      <c r="CF162" s="275">
        <f>I162</f>
        <v>99.152000000000015</v>
      </c>
      <c r="CG162" s="275">
        <f>N162</f>
        <v>24.049000000000035</v>
      </c>
      <c r="CH162" s="275">
        <f>S162</f>
        <v>33.185000000000059</v>
      </c>
      <c r="CI162" s="275">
        <f>X162</f>
        <v>71.527000000000115</v>
      </c>
      <c r="CJ162" s="275">
        <f>AC162</f>
        <v>54.974000000000011</v>
      </c>
      <c r="CK162" s="275">
        <f>AH162</f>
        <v>191.60299999999995</v>
      </c>
      <c r="CL162" s="275">
        <f>AM162</f>
        <v>89.818999999999917</v>
      </c>
      <c r="CM162" s="275">
        <f>AR162</f>
        <v>165.80099999999999</v>
      </c>
      <c r="CN162" s="275">
        <f>AW162</f>
        <v>39.359000000000037</v>
      </c>
      <c r="CO162" s="275">
        <f>BB162</f>
        <v>138.36899999999957</v>
      </c>
      <c r="CP162" s="275">
        <f>BG162</f>
        <v>135.13199999999932</v>
      </c>
      <c r="CQ162" s="275">
        <f>BL162</f>
        <v>142.33199999999931</v>
      </c>
      <c r="CR162" s="275">
        <f>BQ162</f>
        <v>272.42278508999107</v>
      </c>
      <c r="CS162" s="275">
        <f>BV162</f>
        <v>299.45857027500392</v>
      </c>
      <c r="CT162" s="515">
        <f>CA162</f>
        <v>297.97065432387183</v>
      </c>
      <c r="CU162" s="6"/>
      <c r="DB162" s="1961"/>
      <c r="DC162" s="1961"/>
      <c r="DD162" s="1961"/>
      <c r="DE162" s="1961"/>
      <c r="DF162" s="1961"/>
      <c r="DG162" s="1961"/>
      <c r="DH162" s="1961"/>
      <c r="DI162" s="275"/>
    </row>
    <row r="163" spans="1:113" ht="5.0999999999999996" customHeight="1" x14ac:dyDescent="0.25">
      <c r="A163" s="552"/>
      <c r="B163" s="205"/>
      <c r="C163" s="134"/>
      <c r="D163" s="134"/>
      <c r="E163" s="135"/>
      <c r="F163" s="135"/>
      <c r="G163" s="135"/>
      <c r="H163" s="135"/>
      <c r="I163" s="205"/>
      <c r="J163" s="205"/>
      <c r="K163" s="135"/>
      <c r="L163" s="135"/>
      <c r="M163" s="135"/>
      <c r="N163" s="134"/>
      <c r="O163" s="205"/>
      <c r="P163" s="135"/>
      <c r="Q163" s="135"/>
      <c r="R163" s="135"/>
      <c r="S163" s="134"/>
      <c r="T163" s="205"/>
      <c r="U163" s="135"/>
      <c r="V163" s="135"/>
      <c r="W163" s="135"/>
      <c r="X163" s="134"/>
      <c r="Y163" s="135"/>
      <c r="Z163" s="135"/>
      <c r="AA163" s="135"/>
      <c r="AB163" s="135"/>
      <c r="AC163" s="134"/>
      <c r="AD163" s="135"/>
      <c r="AE163" s="135"/>
      <c r="AF163" s="135"/>
      <c r="AG163" s="135"/>
      <c r="AH163" s="134"/>
      <c r="AI163" s="205"/>
      <c r="AJ163" s="135"/>
      <c r="AK163" s="135"/>
      <c r="AL163" s="135"/>
      <c r="AM163" s="134"/>
      <c r="AN163" s="205"/>
      <c r="AO163" s="135"/>
      <c r="AP163" s="135"/>
      <c r="AQ163" s="135"/>
      <c r="AR163" s="134"/>
      <c r="AS163" s="205"/>
      <c r="AT163" s="135"/>
      <c r="AU163" s="135"/>
      <c r="AV163" s="135"/>
      <c r="AW163" s="258"/>
      <c r="AX163" s="135"/>
      <c r="AY163" s="135"/>
      <c r="AZ163" s="135"/>
      <c r="BA163" s="135"/>
      <c r="BB163" s="258"/>
      <c r="BC163" s="135"/>
      <c r="BD163" s="135"/>
      <c r="BE163" s="135"/>
      <c r="BF163" s="135"/>
      <c r="BG163" s="258"/>
      <c r="BH163" s="135"/>
      <c r="BI163" s="135"/>
      <c r="BJ163" s="135"/>
      <c r="BK163" s="135"/>
      <c r="BL163" s="258"/>
      <c r="BM163" s="135"/>
      <c r="BN163" s="135"/>
      <c r="BO163" s="135"/>
      <c r="BP163" s="135"/>
      <c r="BQ163" s="258"/>
      <c r="BR163" s="135"/>
      <c r="BS163" s="135"/>
      <c r="BT163" s="135"/>
      <c r="BU163" s="135"/>
      <c r="BV163" s="258"/>
      <c r="BW163" s="135"/>
      <c r="BX163" s="135"/>
      <c r="BY163" s="135"/>
      <c r="BZ163" s="135"/>
      <c r="CA163" s="258"/>
      <c r="CB163" s="1910" t="s">
        <v>51</v>
      </c>
      <c r="CC163" s="507"/>
      <c r="CD163" s="530"/>
      <c r="CE163" s="135"/>
      <c r="CF163" s="135"/>
      <c r="CG163" s="135"/>
      <c r="CH163" s="135"/>
      <c r="CI163" s="135"/>
      <c r="CJ163" s="135"/>
      <c r="CK163" s="135"/>
      <c r="CL163" s="135"/>
      <c r="CM163" s="135"/>
      <c r="CN163" s="135"/>
      <c r="CO163" s="135"/>
      <c r="CP163" s="135"/>
      <c r="CQ163" s="135"/>
      <c r="CR163" s="135"/>
      <c r="CS163" s="135"/>
      <c r="CT163" s="210"/>
      <c r="CU163" s="6"/>
      <c r="DB163" s="1961"/>
      <c r="DC163" s="1961"/>
      <c r="DD163" s="1961"/>
      <c r="DE163" s="1961"/>
      <c r="DF163" s="1961"/>
      <c r="DG163" s="1961"/>
      <c r="DH163" s="1961"/>
      <c r="DI163" s="259"/>
    </row>
    <row r="164" spans="1:113" ht="12" customHeight="1" x14ac:dyDescent="0.25">
      <c r="A164" s="211" t="s">
        <v>161</v>
      </c>
      <c r="B164" s="138"/>
      <c r="C164" s="71">
        <f>C161+C162</f>
        <v>42.822000000000074</v>
      </c>
      <c r="D164" s="71">
        <f>D161+D162</f>
        <v>99.152000000000015</v>
      </c>
      <c r="E164" s="74">
        <f t="shared" ref="E164:BG164" si="246">E161+E162</f>
        <v>125.87800000000003</v>
      </c>
      <c r="F164" s="74">
        <f t="shared" si="246"/>
        <v>39.826000000000036</v>
      </c>
      <c r="G164" s="74">
        <f t="shared" si="246"/>
        <v>40.729000000000028</v>
      </c>
      <c r="H164" s="74">
        <f t="shared" si="246"/>
        <v>24.049000000000067</v>
      </c>
      <c r="I164" s="71">
        <f t="shared" si="246"/>
        <v>24.049000000000035</v>
      </c>
      <c r="J164" s="138">
        <f t="shared" si="246"/>
        <v>25.898000000000007</v>
      </c>
      <c r="K164" s="74">
        <f t="shared" si="246"/>
        <v>50.835000000000022</v>
      </c>
      <c r="L164" s="74">
        <f t="shared" si="246"/>
        <v>51.024000000000022</v>
      </c>
      <c r="M164" s="74">
        <f t="shared" si="246"/>
        <v>33.185000000000024</v>
      </c>
      <c r="N164" s="71">
        <f t="shared" si="246"/>
        <v>33.185000000000059</v>
      </c>
      <c r="O164" s="138">
        <f t="shared" si="246"/>
        <v>45.006000000000064</v>
      </c>
      <c r="P164" s="74">
        <f t="shared" si="246"/>
        <v>45.962000000000081</v>
      </c>
      <c r="Q164" s="74">
        <f t="shared" si="246"/>
        <v>60.560000000000109</v>
      </c>
      <c r="R164" s="74">
        <f t="shared" si="246"/>
        <v>71.527000000000115</v>
      </c>
      <c r="S164" s="71">
        <f t="shared" si="246"/>
        <v>71.527000000000115</v>
      </c>
      <c r="T164" s="138">
        <f t="shared" si="246"/>
        <v>130.9920000000001</v>
      </c>
      <c r="U164" s="74">
        <f t="shared" si="246"/>
        <v>106.82700000000011</v>
      </c>
      <c r="V164" s="74">
        <f t="shared" si="246"/>
        <v>107.25500000000015</v>
      </c>
      <c r="W164" s="74">
        <f>W161+W162</f>
        <v>54.974000000000188</v>
      </c>
      <c r="X164" s="71">
        <f t="shared" si="246"/>
        <v>54.974000000000011</v>
      </c>
      <c r="Y164" s="74">
        <f t="shared" si="246"/>
        <v>101.23800000000007</v>
      </c>
      <c r="Z164" s="74">
        <f t="shared" si="246"/>
        <v>51.970000000000141</v>
      </c>
      <c r="AA164" s="74">
        <f t="shared" si="246"/>
        <v>52.846000000000167</v>
      </c>
      <c r="AB164" s="74">
        <f t="shared" si="246"/>
        <v>191.60300000000009</v>
      </c>
      <c r="AC164" s="71">
        <f t="shared" si="246"/>
        <v>191.60299999999995</v>
      </c>
      <c r="AD164" s="74">
        <f>AD161+AD162</f>
        <v>114.92999999999996</v>
      </c>
      <c r="AE164" s="74">
        <f t="shared" si="246"/>
        <v>97.197999999999951</v>
      </c>
      <c r="AF164" s="74">
        <f>AF161+AF162</f>
        <v>97.769999999999939</v>
      </c>
      <c r="AG164" s="74">
        <f t="shared" si="246"/>
        <v>89.818999999999875</v>
      </c>
      <c r="AH164" s="71">
        <f t="shared" si="246"/>
        <v>89.818999999999917</v>
      </c>
      <c r="AI164" s="138">
        <f>AI161+AI162</f>
        <v>267.35799999999989</v>
      </c>
      <c r="AJ164" s="74">
        <f>AJ161+AJ162</f>
        <v>171.46299999999988</v>
      </c>
      <c r="AK164" s="74">
        <f>AK161+AK162</f>
        <v>177.98499999999987</v>
      </c>
      <c r="AL164" s="74">
        <f>AL161+AL162</f>
        <v>165.8189999999999</v>
      </c>
      <c r="AM164" s="142">
        <v>165.80099999999999</v>
      </c>
      <c r="AN164" s="138">
        <f t="shared" si="246"/>
        <v>427.37600000000003</v>
      </c>
      <c r="AO164" s="74">
        <f t="shared" si="246"/>
        <v>419.44800000000009</v>
      </c>
      <c r="AP164" s="74">
        <f t="shared" si="246"/>
        <v>432.49000000000012</v>
      </c>
      <c r="AQ164" s="74">
        <f t="shared" si="246"/>
        <v>39.359000000000037</v>
      </c>
      <c r="AR164" s="71">
        <f t="shared" si="246"/>
        <v>39.359000000000037</v>
      </c>
      <c r="AS164" s="138">
        <f t="shared" si="246"/>
        <v>152.84700000000001</v>
      </c>
      <c r="AT164" s="74">
        <f t="shared" si="246"/>
        <v>145.4939999999996</v>
      </c>
      <c r="AU164" s="74">
        <f t="shared" si="246"/>
        <v>168.82499999999965</v>
      </c>
      <c r="AV164" s="74">
        <f t="shared" si="246"/>
        <v>138.36899999999952</v>
      </c>
      <c r="AW164" s="71">
        <f t="shared" si="246"/>
        <v>138.36899999999957</v>
      </c>
      <c r="AX164" s="74">
        <f t="shared" si="246"/>
        <v>131.83899999999957</v>
      </c>
      <c r="AY164" s="74">
        <f t="shared" si="246"/>
        <v>196.42299999999949</v>
      </c>
      <c r="AZ164" s="74">
        <f t="shared" si="246"/>
        <v>164.80799999999968</v>
      </c>
      <c r="BA164" s="74">
        <f t="shared" si="246"/>
        <v>135.13199999999949</v>
      </c>
      <c r="BB164" s="77">
        <f t="shared" si="246"/>
        <v>135.13199999999932</v>
      </c>
      <c r="BC164" s="74">
        <f t="shared" si="246"/>
        <v>155.03199999999927</v>
      </c>
      <c r="BD164" s="74">
        <f t="shared" si="246"/>
        <v>140.73199999999932</v>
      </c>
      <c r="BE164" s="74">
        <f t="shared" si="246"/>
        <v>142.03199999999936</v>
      </c>
      <c r="BF164" s="74">
        <f t="shared" si="246"/>
        <v>142.33199999999931</v>
      </c>
      <c r="BG164" s="77">
        <f t="shared" si="246"/>
        <v>142.33199999999931</v>
      </c>
      <c r="BH164" s="74">
        <f t="shared" ref="BH164:CA164" si="247">BH161+BH162</f>
        <v>372.82475833011802</v>
      </c>
      <c r="BI164" s="74">
        <f t="shared" si="247"/>
        <v>371.50577199575798</v>
      </c>
      <c r="BJ164" s="74">
        <f t="shared" si="247"/>
        <v>346.34888451848929</v>
      </c>
      <c r="BK164" s="74">
        <f t="shared" si="247"/>
        <v>272.42278508999107</v>
      </c>
      <c r="BL164" s="77">
        <f t="shared" si="247"/>
        <v>272.42278508999107</v>
      </c>
      <c r="BM164" s="74">
        <f t="shared" si="247"/>
        <v>488.53695721141611</v>
      </c>
      <c r="BN164" s="74">
        <f t="shared" si="247"/>
        <v>459.65257163697072</v>
      </c>
      <c r="BO164" s="74">
        <f t="shared" si="247"/>
        <v>405.22270786116462</v>
      </c>
      <c r="BP164" s="74">
        <f t="shared" si="247"/>
        <v>299.45857027500392</v>
      </c>
      <c r="BQ164" s="77">
        <f t="shared" si="247"/>
        <v>299.45857027500392</v>
      </c>
      <c r="BR164" s="74">
        <f t="shared" si="247"/>
        <v>520.1740093087933</v>
      </c>
      <c r="BS164" s="74">
        <f t="shared" si="247"/>
        <v>482.12530526139619</v>
      </c>
      <c r="BT164" s="74">
        <f t="shared" si="247"/>
        <v>417.00706004326992</v>
      </c>
      <c r="BU164" s="74">
        <f t="shared" si="247"/>
        <v>297.97065432387194</v>
      </c>
      <c r="BV164" s="77">
        <f t="shared" si="247"/>
        <v>297.97065432387183</v>
      </c>
      <c r="BW164" s="74">
        <f t="shared" si="247"/>
        <v>547.21146093754783</v>
      </c>
      <c r="BX164" s="74">
        <f t="shared" si="247"/>
        <v>523.18678300276031</v>
      </c>
      <c r="BY164" s="74">
        <f t="shared" si="247"/>
        <v>470.56910216100874</v>
      </c>
      <c r="BZ164" s="74">
        <f t="shared" si="247"/>
        <v>361.42569825884516</v>
      </c>
      <c r="CA164" s="77">
        <f t="shared" si="247"/>
        <v>361.42569825884527</v>
      </c>
      <c r="CB164" s="1910" t="s">
        <v>51</v>
      </c>
      <c r="CC164" s="507"/>
      <c r="CD164" s="578" t="str">
        <f>A164</f>
        <v>Cash &amp; Equivalents - End</v>
      </c>
      <c r="CE164" s="579">
        <f>D164</f>
        <v>99.152000000000015</v>
      </c>
      <c r="CF164" s="579">
        <f>I164</f>
        <v>24.049000000000035</v>
      </c>
      <c r="CG164" s="579">
        <f>N164</f>
        <v>33.185000000000059</v>
      </c>
      <c r="CH164" s="579">
        <f>S164</f>
        <v>71.527000000000115</v>
      </c>
      <c r="CI164" s="579">
        <f>X164</f>
        <v>54.974000000000011</v>
      </c>
      <c r="CJ164" s="579">
        <f>AC164</f>
        <v>191.60299999999995</v>
      </c>
      <c r="CK164" s="579">
        <f>AH164</f>
        <v>89.818999999999917</v>
      </c>
      <c r="CL164" s="579">
        <f>AM164</f>
        <v>165.80099999999999</v>
      </c>
      <c r="CM164" s="579">
        <f>AR164</f>
        <v>39.359000000000037</v>
      </c>
      <c r="CN164" s="579">
        <f>AW164</f>
        <v>138.36899999999957</v>
      </c>
      <c r="CO164" s="579">
        <f>BB164</f>
        <v>135.13199999999932</v>
      </c>
      <c r="CP164" s="579">
        <f>BG164</f>
        <v>142.33199999999931</v>
      </c>
      <c r="CQ164" s="579">
        <f>BL164</f>
        <v>272.42278508999107</v>
      </c>
      <c r="CR164" s="579">
        <f>BQ164</f>
        <v>299.45857027500392</v>
      </c>
      <c r="CS164" s="579">
        <f>BV164</f>
        <v>297.97065432387183</v>
      </c>
      <c r="CT164" s="580">
        <f>CA164</f>
        <v>361.42569825884527</v>
      </c>
      <c r="CU164" s="6"/>
      <c r="DB164" s="1961"/>
      <c r="DC164" s="1961"/>
      <c r="DD164" s="1961"/>
      <c r="DE164" s="1961"/>
      <c r="DF164" s="1961"/>
      <c r="DG164" s="1961"/>
      <c r="DH164" s="1961"/>
      <c r="DI164" s="74"/>
    </row>
    <row r="165" spans="1:113" ht="5.0999999999999996" customHeight="1" x14ac:dyDescent="0.25">
      <c r="A165" s="581"/>
      <c r="B165" s="582"/>
      <c r="C165" s="583"/>
      <c r="D165" s="583"/>
      <c r="E165" s="584"/>
      <c r="F165" s="584"/>
      <c r="G165" s="584"/>
      <c r="H165" s="585"/>
      <c r="I165" s="586"/>
      <c r="J165" s="585"/>
      <c r="K165" s="585"/>
      <c r="L165" s="585"/>
      <c r="M165" s="585"/>
      <c r="N165" s="587"/>
      <c r="O165" s="585"/>
      <c r="P165" s="585"/>
      <c r="Q165" s="585"/>
      <c r="R165" s="585"/>
      <c r="S165" s="587"/>
      <c r="T165" s="585"/>
      <c r="U165" s="585"/>
      <c r="V165" s="585"/>
      <c r="W165" s="585"/>
      <c r="X165" s="587"/>
      <c r="Y165" s="588"/>
      <c r="Z165" s="588"/>
      <c r="AA165" s="588"/>
      <c r="AB165" s="588"/>
      <c r="AC165" s="586"/>
      <c r="AD165" s="589"/>
      <c r="AE165" s="588"/>
      <c r="AF165" s="588"/>
      <c r="AG165" s="588"/>
      <c r="AH165" s="586"/>
      <c r="AI165" s="590"/>
      <c r="AJ165" s="588"/>
      <c r="AK165" s="588"/>
      <c r="AL165" s="588"/>
      <c r="AM165" s="586"/>
      <c r="AN165" s="591"/>
      <c r="AO165" s="591"/>
      <c r="AP165" s="591"/>
      <c r="AQ165" s="591"/>
      <c r="AR165" s="586"/>
      <c r="AS165" s="591"/>
      <c r="AT165" s="591"/>
      <c r="AU165" s="591"/>
      <c r="AV165" s="591"/>
      <c r="AW165" s="592"/>
      <c r="AX165" s="591"/>
      <c r="AY165" s="591"/>
      <c r="AZ165" s="591"/>
      <c r="BA165" s="591"/>
      <c r="BB165" s="592"/>
      <c r="BC165" s="591"/>
      <c r="BD165" s="591"/>
      <c r="BE165" s="591"/>
      <c r="BF165" s="591"/>
      <c r="BG165" s="592"/>
      <c r="BH165" s="591"/>
      <c r="BI165" s="591"/>
      <c r="BJ165" s="591"/>
      <c r="BK165" s="591"/>
      <c r="BL165" s="592"/>
      <c r="BM165" s="591"/>
      <c r="BN165" s="591"/>
      <c r="BO165" s="591"/>
      <c r="BP165" s="591"/>
      <c r="BQ165" s="592"/>
      <c r="BR165" s="591"/>
      <c r="BS165" s="591"/>
      <c r="BT165" s="591"/>
      <c r="BU165" s="591"/>
      <c r="BV165" s="592"/>
      <c r="BW165" s="591"/>
      <c r="BX165" s="591"/>
      <c r="BY165" s="591"/>
      <c r="BZ165" s="591"/>
      <c r="CA165" s="592"/>
      <c r="CB165" s="1910"/>
      <c r="CC165" s="507"/>
      <c r="CD165" s="383"/>
      <c r="CE165" s="593"/>
      <c r="CF165" s="593"/>
      <c r="CG165" s="593"/>
      <c r="CH165" s="593"/>
      <c r="CI165" s="593"/>
      <c r="CJ165" s="593"/>
      <c r="CK165" s="593"/>
      <c r="CL165" s="593"/>
      <c r="CM165" s="593"/>
      <c r="CN165" s="593"/>
      <c r="CO165" s="593"/>
      <c r="CP165" s="593"/>
      <c r="CQ165" s="593"/>
      <c r="CR165" s="593"/>
      <c r="CS165" s="593"/>
      <c r="CT165" s="594"/>
      <c r="CU165" s="1961"/>
      <c r="DB165" s="1961"/>
      <c r="DC165" s="1961"/>
      <c r="DD165" s="1961"/>
      <c r="DE165" s="1961"/>
      <c r="DF165" s="1961"/>
      <c r="DG165" s="1961"/>
      <c r="DH165" s="1961"/>
      <c r="DI165" s="491"/>
    </row>
    <row r="166" spans="1:113" hidden="1" x14ac:dyDescent="0.25">
      <c r="A166" s="29"/>
      <c r="B166" s="595"/>
      <c r="C166" s="402"/>
      <c r="D166" s="402"/>
      <c r="E166" s="402"/>
      <c r="F166" s="402"/>
      <c r="G166" s="402"/>
      <c r="H166" s="402"/>
      <c r="I166" s="402"/>
      <c r="J166" s="402"/>
      <c r="K166" s="402"/>
      <c r="L166" s="402"/>
      <c r="M166" s="402"/>
      <c r="N166" s="402"/>
      <c r="O166" s="402"/>
      <c r="P166" s="402"/>
      <c r="Q166" s="596"/>
      <c r="R166" s="596"/>
      <c r="S166" s="596"/>
      <c r="T166" s="402"/>
      <c r="U166" s="409"/>
      <c r="V166" s="596"/>
      <c r="W166" s="596"/>
      <c r="X166" s="596"/>
      <c r="Y166" s="409"/>
      <c r="Z166" s="409"/>
      <c r="AA166" s="409"/>
      <c r="AB166" s="409"/>
      <c r="AC166" s="596"/>
      <c r="AD166" s="597"/>
      <c r="AE166" s="409"/>
      <c r="AF166" s="598"/>
      <c r="AG166" s="409"/>
      <c r="AH166" s="596"/>
      <c r="AI166" s="597"/>
      <c r="AJ166" s="409"/>
      <c r="AK166" s="409"/>
      <c r="AL166" s="409"/>
      <c r="AM166" s="596"/>
      <c r="AN166" s="599"/>
      <c r="AO166" s="599"/>
      <c r="AP166" s="599"/>
      <c r="AQ166" s="599"/>
      <c r="AR166" s="596"/>
      <c r="AS166" s="599"/>
      <c r="AT166" s="599"/>
      <c r="AU166" s="599"/>
      <c r="AV166" s="599"/>
      <c r="AW166" s="596"/>
      <c r="AX166" s="599"/>
      <c r="AY166" s="599"/>
      <c r="AZ166" s="599"/>
      <c r="BA166" s="599"/>
      <c r="BB166" s="596"/>
      <c r="BC166" s="599"/>
      <c r="BD166" s="599"/>
      <c r="BE166" s="599"/>
      <c r="BF166" s="599"/>
      <c r="BG166" s="596"/>
      <c r="BH166" s="599"/>
      <c r="BI166" s="599"/>
      <c r="BJ166" s="599"/>
      <c r="BK166" s="599"/>
      <c r="BL166" s="596"/>
      <c r="BM166" s="599"/>
      <c r="BN166" s="599"/>
      <c r="BO166" s="599"/>
      <c r="BP166" s="599"/>
      <c r="BQ166" s="596"/>
      <c r="BR166" s="599"/>
      <c r="BS166" s="599"/>
      <c r="BT166" s="599"/>
      <c r="BU166" s="599"/>
      <c r="BV166" s="596"/>
      <c r="BW166" s="599"/>
      <c r="BX166" s="599"/>
      <c r="BY166" s="599"/>
      <c r="BZ166" s="599"/>
      <c r="CA166" s="596"/>
      <c r="CB166" s="1910"/>
      <c r="CC166" s="29"/>
      <c r="CD166" s="29"/>
      <c r="CE166" s="409"/>
      <c r="CF166" s="409"/>
      <c r="CG166" s="409"/>
      <c r="CH166" s="409"/>
      <c r="CI166" s="409"/>
      <c r="CJ166" s="409"/>
      <c r="CK166" s="409"/>
      <c r="CL166" s="409"/>
      <c r="CM166" s="409"/>
      <c r="CN166" s="409"/>
      <c r="CO166" s="409"/>
      <c r="CP166" s="409"/>
      <c r="CQ166" s="409"/>
      <c r="CR166" s="409"/>
      <c r="CS166" s="409"/>
      <c r="CT166" s="600"/>
      <c r="CU166" s="1961"/>
      <c r="DB166" s="1961"/>
      <c r="DC166" s="1961"/>
      <c r="DD166" s="1961"/>
      <c r="DE166" s="1961"/>
      <c r="DF166" s="1961"/>
      <c r="DG166" s="1961"/>
      <c r="DH166" s="1961"/>
      <c r="DI166" s="1961"/>
    </row>
    <row r="167" spans="1:113" hidden="1" x14ac:dyDescent="0.25">
      <c r="A167" s="383"/>
      <c r="B167" s="601"/>
      <c r="C167" s="602"/>
      <c r="D167" s="602"/>
      <c r="E167" s="602"/>
      <c r="F167" s="602"/>
      <c r="G167" s="602"/>
      <c r="H167" s="602"/>
      <c r="I167" s="602"/>
      <c r="J167" s="602"/>
      <c r="K167" s="602"/>
      <c r="L167" s="602"/>
      <c r="M167" s="602"/>
      <c r="N167" s="602"/>
      <c r="O167" s="602"/>
      <c r="P167" s="602"/>
      <c r="Q167" s="602"/>
      <c r="R167" s="602"/>
      <c r="S167" s="602"/>
      <c r="T167" s="602"/>
      <c r="U167" s="602"/>
      <c r="V167" s="422"/>
      <c r="W167" s="422"/>
      <c r="X167" s="603"/>
      <c r="Y167" s="603"/>
      <c r="Z167" s="603"/>
      <c r="AA167" s="603"/>
      <c r="AB167" s="603"/>
      <c r="AC167" s="603"/>
      <c r="AD167" s="604"/>
      <c r="AE167" s="603"/>
      <c r="AF167" s="603"/>
      <c r="AG167" s="603"/>
      <c r="AH167" s="603"/>
      <c r="AI167" s="604"/>
      <c r="AJ167" s="603"/>
      <c r="AK167" s="603"/>
      <c r="AL167" s="603"/>
      <c r="AM167" s="603"/>
      <c r="AN167" s="605"/>
      <c r="AO167" s="605"/>
      <c r="AP167" s="605"/>
      <c r="AQ167" s="605"/>
      <c r="AR167" s="422"/>
      <c r="AS167" s="605"/>
      <c r="AT167" s="605"/>
      <c r="AU167" s="605"/>
      <c r="AV167" s="605"/>
      <c r="AW167" s="422"/>
      <c r="AX167" s="605"/>
      <c r="AY167" s="605"/>
      <c r="AZ167" s="605"/>
      <c r="BA167" s="605"/>
      <c r="BB167" s="422"/>
      <c r="BC167" s="605"/>
      <c r="BD167" s="605"/>
      <c r="BE167" s="605"/>
      <c r="BF167" s="605"/>
      <c r="BG167" s="422"/>
      <c r="BH167" s="605"/>
      <c r="BI167" s="605"/>
      <c r="BJ167" s="605"/>
      <c r="BK167" s="605"/>
      <c r="BL167" s="422"/>
      <c r="BM167" s="605"/>
      <c r="BN167" s="605"/>
      <c r="BO167" s="605"/>
      <c r="BP167" s="605"/>
      <c r="BQ167" s="422"/>
      <c r="BR167" s="605"/>
      <c r="BS167" s="605"/>
      <c r="BT167" s="605"/>
      <c r="BU167" s="605"/>
      <c r="BV167" s="422"/>
      <c r="BW167" s="605"/>
      <c r="BX167" s="605"/>
      <c r="BY167" s="605"/>
      <c r="BZ167" s="605"/>
      <c r="CA167" s="422"/>
      <c r="CB167" s="1910"/>
      <c r="CC167" s="29"/>
      <c r="CD167" s="383"/>
      <c r="CE167" s="603"/>
      <c r="CF167" s="603"/>
      <c r="CG167" s="603"/>
      <c r="CH167" s="603"/>
      <c r="CI167" s="603"/>
      <c r="CJ167" s="603"/>
      <c r="CK167" s="603"/>
      <c r="CL167" s="603"/>
      <c r="CM167" s="603"/>
      <c r="CN167" s="603"/>
      <c r="CO167" s="603"/>
      <c r="CP167" s="603"/>
      <c r="CQ167" s="603"/>
      <c r="CR167" s="603"/>
      <c r="CS167" s="603"/>
      <c r="CT167" s="606"/>
      <c r="CU167" s="1961"/>
      <c r="DB167" s="1961"/>
      <c r="DC167" s="1961"/>
      <c r="DD167" s="1961"/>
      <c r="DE167" s="1961"/>
      <c r="DF167" s="1961"/>
      <c r="DG167" s="1961"/>
      <c r="DH167" s="1961"/>
      <c r="DI167" s="1961"/>
    </row>
    <row r="168" spans="1:113" hidden="1" x14ac:dyDescent="0.25">
      <c r="A168" s="396" t="s">
        <v>162</v>
      </c>
      <c r="B168" s="607"/>
      <c r="C168" s="608"/>
      <c r="D168" s="608"/>
      <c r="E168" s="609"/>
      <c r="F168" s="609"/>
      <c r="G168" s="608"/>
      <c r="H168" s="608"/>
      <c r="I168" s="608"/>
      <c r="J168" s="608"/>
      <c r="K168" s="608"/>
      <c r="L168" s="608"/>
      <c r="M168" s="608"/>
      <c r="N168" s="608"/>
      <c r="O168" s="608"/>
      <c r="P168" s="608"/>
      <c r="Q168" s="608"/>
      <c r="R168" s="608"/>
      <c r="S168" s="608"/>
      <c r="T168" s="608"/>
      <c r="U168" s="608"/>
      <c r="V168" s="608"/>
      <c r="W168" s="608"/>
      <c r="X168" s="608"/>
      <c r="Y168" s="608"/>
      <c r="Z168" s="608"/>
      <c r="AA168" s="608"/>
      <c r="AB168" s="608"/>
      <c r="AC168" s="608"/>
      <c r="AD168" s="610"/>
      <c r="AE168" s="608"/>
      <c r="AF168" s="608"/>
      <c r="AG168" s="608"/>
      <c r="AH168" s="608"/>
      <c r="AI168" s="610"/>
      <c r="AJ168" s="608"/>
      <c r="AK168" s="608"/>
      <c r="AL168" s="608"/>
      <c r="AM168" s="608"/>
      <c r="AN168" s="611"/>
      <c r="AO168" s="611"/>
      <c r="AP168" s="611"/>
      <c r="AQ168" s="611"/>
      <c r="AR168" s="611"/>
      <c r="AS168" s="611"/>
      <c r="AT168" s="611"/>
      <c r="AU168" s="611"/>
      <c r="AV168" s="611"/>
      <c r="AW168" s="611"/>
      <c r="AX168" s="611"/>
      <c r="AY168" s="611"/>
      <c r="AZ168" s="611"/>
      <c r="BA168" s="611"/>
      <c r="BB168" s="528"/>
      <c r="BC168" s="611"/>
      <c r="BD168" s="611"/>
      <c r="BE168" s="611"/>
      <c r="BF168" s="611"/>
      <c r="BG168" s="528"/>
      <c r="BH168" s="611"/>
      <c r="BI168" s="611"/>
      <c r="BJ168" s="611"/>
      <c r="BK168" s="611"/>
      <c r="BL168" s="528"/>
      <c r="BM168" s="611"/>
      <c r="BN168" s="611"/>
      <c r="BO168" s="611"/>
      <c r="BP168" s="611"/>
      <c r="BQ168" s="528"/>
      <c r="BR168" s="611"/>
      <c r="BS168" s="611"/>
      <c r="BT168" s="611"/>
      <c r="BU168" s="611"/>
      <c r="BV168" s="528"/>
      <c r="BW168" s="611"/>
      <c r="BX168" s="611"/>
      <c r="BY168" s="611"/>
      <c r="BZ168" s="611"/>
      <c r="CA168" s="528"/>
      <c r="CB168" s="1910"/>
      <c r="CC168" s="29"/>
      <c r="CD168" s="396"/>
      <c r="CE168" s="608"/>
      <c r="CF168" s="608"/>
      <c r="CG168" s="608"/>
      <c r="CH168" s="608"/>
      <c r="CI168" s="608"/>
      <c r="CJ168" s="608"/>
      <c r="CK168" s="608"/>
      <c r="CL168" s="608"/>
      <c r="CM168" s="608"/>
      <c r="CN168" s="608"/>
      <c r="CO168" s="608"/>
      <c r="CP168" s="608"/>
      <c r="CQ168" s="608"/>
      <c r="CR168" s="608"/>
      <c r="CS168" s="608"/>
      <c r="CT168" s="612"/>
      <c r="CU168" s="1961"/>
      <c r="DB168" s="1961"/>
      <c r="DC168" s="1961"/>
      <c r="DD168" s="1961"/>
      <c r="DE168" s="1961"/>
      <c r="DF168" s="1961"/>
      <c r="DG168" s="1961"/>
      <c r="DH168" s="1961"/>
      <c r="DI168" s="611"/>
    </row>
    <row r="169" spans="1:113" x14ac:dyDescent="0.25">
      <c r="A169" s="1902" t="s">
        <v>48</v>
      </c>
      <c r="B169" s="613"/>
      <c r="C169" s="614"/>
      <c r="D169" s="614"/>
      <c r="E169" s="615"/>
      <c r="F169" s="392"/>
      <c r="G169" s="392"/>
      <c r="H169" s="392"/>
      <c r="I169" s="392"/>
      <c r="J169" s="392"/>
      <c r="K169" s="392"/>
      <c r="L169" s="392"/>
      <c r="M169" s="392"/>
      <c r="N169" s="616"/>
      <c r="O169" s="392"/>
      <c r="P169" s="616"/>
      <c r="Q169" s="616"/>
      <c r="R169" s="616"/>
      <c r="S169" s="616"/>
      <c r="T169" s="392"/>
      <c r="U169" s="616"/>
      <c r="V169" s="616"/>
      <c r="W169" s="616"/>
      <c r="X169" s="616"/>
      <c r="Y169" s="616"/>
      <c r="Z169" s="616"/>
      <c r="AA169" s="616"/>
      <c r="AB169" s="616"/>
      <c r="AC169" s="616"/>
      <c r="AD169" s="617"/>
      <c r="AE169" s="616"/>
      <c r="AF169" s="616"/>
      <c r="AG169" s="616"/>
      <c r="AH169" s="616"/>
      <c r="AI169" s="617"/>
      <c r="AJ169" s="616"/>
      <c r="AK169" s="616"/>
      <c r="AL169" s="616"/>
      <c r="AM169" s="616"/>
      <c r="AN169" s="618"/>
      <c r="AO169" s="618"/>
      <c r="AP169" s="618"/>
      <c r="AQ169" s="618"/>
      <c r="AR169" s="618"/>
      <c r="AS169" s="618"/>
      <c r="AT169" s="618"/>
      <c r="AU169" s="618"/>
      <c r="AV169" s="618"/>
      <c r="AW169" s="618"/>
      <c r="AX169" s="618"/>
      <c r="AY169" s="618"/>
      <c r="AZ169" s="618"/>
      <c r="BA169" s="618"/>
      <c r="BB169" s="619"/>
      <c r="BC169" s="618"/>
      <c r="BD169" s="618"/>
      <c r="BE169" s="618"/>
      <c r="BF169" s="618"/>
      <c r="BG169" s="619"/>
      <c r="BH169" s="618"/>
      <c r="BI169" s="618"/>
      <c r="BJ169" s="618"/>
      <c r="BK169" s="618"/>
      <c r="BL169" s="619"/>
      <c r="BM169" s="618"/>
      <c r="BN169" s="618"/>
      <c r="BO169" s="618"/>
      <c r="BP169" s="618"/>
      <c r="BQ169" s="619"/>
      <c r="BR169" s="618"/>
      <c r="BS169" s="618"/>
      <c r="BT169" s="618"/>
      <c r="BU169" s="618"/>
      <c r="BV169" s="619"/>
      <c r="BW169" s="618"/>
      <c r="BX169" s="618"/>
      <c r="BY169" s="618"/>
      <c r="BZ169" s="618"/>
      <c r="CA169" s="619"/>
      <c r="CB169" s="1910"/>
      <c r="CC169" s="29"/>
      <c r="CD169" s="620"/>
      <c r="CE169" s="616"/>
      <c r="CF169" s="616"/>
      <c r="CG169" s="616"/>
      <c r="CH169" s="616"/>
      <c r="CI169" s="616"/>
      <c r="CJ169" s="616"/>
      <c r="CK169" s="616"/>
      <c r="CL169" s="616"/>
      <c r="CM169" s="616"/>
      <c r="CN169" s="616"/>
      <c r="CO169" s="616"/>
      <c r="CP169" s="616"/>
      <c r="CQ169" s="616"/>
      <c r="CR169" s="616"/>
      <c r="CS169" s="616"/>
      <c r="CT169" s="621"/>
      <c r="CU169" s="1961"/>
      <c r="DB169" s="1961"/>
      <c r="DC169" s="1961"/>
      <c r="DD169" s="1961"/>
      <c r="DE169" s="1961"/>
      <c r="DF169" s="1961"/>
      <c r="DG169" s="1961"/>
      <c r="DH169" s="1961"/>
      <c r="DI169" s="618"/>
    </row>
    <row r="170" spans="1:113" x14ac:dyDescent="0.25">
      <c r="A170" s="397" t="s">
        <v>99</v>
      </c>
      <c r="B170" s="488"/>
      <c r="C170" s="400">
        <f>+C$1</f>
        <v>2005</v>
      </c>
      <c r="D170" s="400">
        <f t="shared" ref="D170:BW170" si="248">+D$1</f>
        <v>2006</v>
      </c>
      <c r="E170" s="401" t="str">
        <f t="shared" si="248"/>
        <v>1Q07</v>
      </c>
      <c r="F170" s="401" t="str">
        <f t="shared" si="248"/>
        <v>2Q07</v>
      </c>
      <c r="G170" s="401" t="str">
        <f t="shared" si="248"/>
        <v>3Q07</v>
      </c>
      <c r="H170" s="401" t="str">
        <f t="shared" si="248"/>
        <v>4Q07</v>
      </c>
      <c r="I170" s="400">
        <f t="shared" si="248"/>
        <v>2007</v>
      </c>
      <c r="J170" s="401" t="str">
        <f t="shared" si="248"/>
        <v>1Q08</v>
      </c>
      <c r="K170" s="401" t="str">
        <f t="shared" si="248"/>
        <v>2Q08</v>
      </c>
      <c r="L170" s="401" t="str">
        <f t="shared" si="248"/>
        <v>3Q08</v>
      </c>
      <c r="M170" s="401" t="str">
        <f t="shared" si="248"/>
        <v>4Q08</v>
      </c>
      <c r="N170" s="400">
        <f t="shared" si="248"/>
        <v>2008</v>
      </c>
      <c r="O170" s="401" t="str">
        <f t="shared" si="248"/>
        <v>1Q09</v>
      </c>
      <c r="P170" s="401" t="str">
        <f t="shared" si="248"/>
        <v>2Q09</v>
      </c>
      <c r="Q170" s="401" t="str">
        <f t="shared" si="248"/>
        <v>3Q09</v>
      </c>
      <c r="R170" s="401" t="str">
        <f t="shared" si="248"/>
        <v>4Q09</v>
      </c>
      <c r="S170" s="400">
        <f t="shared" si="248"/>
        <v>2009</v>
      </c>
      <c r="T170" s="401" t="str">
        <f t="shared" si="248"/>
        <v>1Q10</v>
      </c>
      <c r="U170" s="401" t="str">
        <f t="shared" si="248"/>
        <v>2Q10</v>
      </c>
      <c r="V170" s="401" t="str">
        <f t="shared" si="248"/>
        <v>3Q10</v>
      </c>
      <c r="W170" s="401" t="str">
        <f t="shared" si="248"/>
        <v>4Q10</v>
      </c>
      <c r="X170" s="400">
        <f t="shared" si="248"/>
        <v>2010</v>
      </c>
      <c r="Y170" s="401" t="str">
        <f t="shared" si="248"/>
        <v>1Q11</v>
      </c>
      <c r="Z170" s="401" t="str">
        <f t="shared" si="248"/>
        <v>2Q11</v>
      </c>
      <c r="AA170" s="401" t="str">
        <f t="shared" si="248"/>
        <v>3Q11</v>
      </c>
      <c r="AB170" s="401" t="str">
        <f t="shared" si="248"/>
        <v>4Q11</v>
      </c>
      <c r="AC170" s="400">
        <f t="shared" si="248"/>
        <v>2011</v>
      </c>
      <c r="AD170" s="622" t="str">
        <f t="shared" si="248"/>
        <v>1Q12</v>
      </c>
      <c r="AE170" s="401" t="str">
        <f t="shared" si="248"/>
        <v>2Q12</v>
      </c>
      <c r="AF170" s="401" t="str">
        <f t="shared" si="248"/>
        <v>3Q12</v>
      </c>
      <c r="AG170" s="401" t="str">
        <f t="shared" si="248"/>
        <v>4Q12</v>
      </c>
      <c r="AH170" s="400">
        <f t="shared" si="248"/>
        <v>2012</v>
      </c>
      <c r="AI170" s="623" t="str">
        <f t="shared" si="248"/>
        <v>1Q13</v>
      </c>
      <c r="AJ170" s="401" t="str">
        <f t="shared" si="248"/>
        <v>2Q13</v>
      </c>
      <c r="AK170" s="401" t="str">
        <f t="shared" si="248"/>
        <v>3Q13</v>
      </c>
      <c r="AL170" s="404" t="str">
        <f t="shared" si="248"/>
        <v>4Q13</v>
      </c>
      <c r="AM170" s="400">
        <f t="shared" si="248"/>
        <v>2013</v>
      </c>
      <c r="AN170" s="624" t="str">
        <f t="shared" si="248"/>
        <v>1Q14</v>
      </c>
      <c r="AO170" s="625" t="str">
        <f t="shared" si="248"/>
        <v>2Q14</v>
      </c>
      <c r="AP170" s="625" t="str">
        <f t="shared" si="248"/>
        <v>3Q14</v>
      </c>
      <c r="AQ170" s="626" t="str">
        <f t="shared" si="248"/>
        <v>4Q14</v>
      </c>
      <c r="AR170" s="400">
        <f t="shared" si="248"/>
        <v>2014</v>
      </c>
      <c r="AS170" s="624" t="str">
        <f t="shared" si="248"/>
        <v>1Q15</v>
      </c>
      <c r="AT170" s="625" t="str">
        <f t="shared" si="248"/>
        <v>2Q15</v>
      </c>
      <c r="AU170" s="625" t="str">
        <f t="shared" si="248"/>
        <v>3Q15</v>
      </c>
      <c r="AV170" s="626" t="str">
        <f t="shared" si="248"/>
        <v>4Q15</v>
      </c>
      <c r="AW170" s="489">
        <f t="shared" si="248"/>
        <v>2015</v>
      </c>
      <c r="AX170" s="625" t="str">
        <f t="shared" si="248"/>
        <v>1Q16</v>
      </c>
      <c r="AY170" s="625" t="str">
        <f t="shared" si="248"/>
        <v>2Q16</v>
      </c>
      <c r="AZ170" s="625" t="str">
        <f t="shared" si="248"/>
        <v>3Q16</v>
      </c>
      <c r="BA170" s="626" t="str">
        <f t="shared" si="248"/>
        <v>4Q16</v>
      </c>
      <c r="BB170" s="489">
        <f t="shared" si="248"/>
        <v>2016</v>
      </c>
      <c r="BC170" s="625" t="str">
        <f t="shared" si="248"/>
        <v>1Q17</v>
      </c>
      <c r="BD170" s="625" t="str">
        <f t="shared" si="248"/>
        <v>2Q17</v>
      </c>
      <c r="BE170" s="625" t="str">
        <f t="shared" si="248"/>
        <v>3Q17</v>
      </c>
      <c r="BF170" s="626" t="str">
        <f t="shared" si="248"/>
        <v>4Q17</v>
      </c>
      <c r="BG170" s="489">
        <f t="shared" si="248"/>
        <v>2017</v>
      </c>
      <c r="BH170" s="625" t="str">
        <f t="shared" si="248"/>
        <v>1Q18E</v>
      </c>
      <c r="BI170" s="625" t="str">
        <f t="shared" si="248"/>
        <v>2Q18E</v>
      </c>
      <c r="BJ170" s="625" t="str">
        <f t="shared" si="248"/>
        <v>3Q18E</v>
      </c>
      <c r="BK170" s="626" t="str">
        <f t="shared" si="248"/>
        <v>4Q18E</v>
      </c>
      <c r="BL170" s="489" t="str">
        <f t="shared" si="248"/>
        <v>2018E</v>
      </c>
      <c r="BM170" s="625" t="str">
        <f t="shared" si="248"/>
        <v>1Q19E</v>
      </c>
      <c r="BN170" s="625" t="str">
        <f t="shared" si="248"/>
        <v>2Q19E</v>
      </c>
      <c r="BO170" s="625" t="str">
        <f t="shared" si="248"/>
        <v>3Q19E</v>
      </c>
      <c r="BP170" s="626" t="str">
        <f t="shared" si="248"/>
        <v>4Q19E</v>
      </c>
      <c r="BQ170" s="489" t="str">
        <f t="shared" si="248"/>
        <v>2019E</v>
      </c>
      <c r="BR170" s="625" t="str">
        <f t="shared" si="248"/>
        <v>1Q20E</v>
      </c>
      <c r="BS170" s="625" t="str">
        <f t="shared" si="248"/>
        <v>2Q20E</v>
      </c>
      <c r="BT170" s="625" t="str">
        <f t="shared" si="248"/>
        <v>3Q20E</v>
      </c>
      <c r="BU170" s="626" t="str">
        <f t="shared" si="248"/>
        <v>4Q20E</v>
      </c>
      <c r="BV170" s="489" t="str">
        <f t="shared" si="248"/>
        <v>2020E</v>
      </c>
      <c r="BW170" s="625" t="str">
        <f t="shared" si="248"/>
        <v>1Q21E</v>
      </c>
      <c r="BX170" s="625" t="str">
        <f>+BX$1</f>
        <v>2Q21E</v>
      </c>
      <c r="BY170" s="625" t="str">
        <f>+BY$1</f>
        <v>3Q21E</v>
      </c>
      <c r="BZ170" s="626" t="str">
        <f>+BZ$1</f>
        <v>4Q21E</v>
      </c>
      <c r="CA170" s="489" t="str">
        <f>+CA$1</f>
        <v>2021E</v>
      </c>
      <c r="CB170" s="1910"/>
      <c r="CC170" s="29"/>
      <c r="CD170" s="397" t="str">
        <f t="shared" ref="CD170:CD180" si="249">A170</f>
        <v>Fiscal Year Ending December 31</v>
      </c>
      <c r="CE170" s="401">
        <f>D170</f>
        <v>2006</v>
      </c>
      <c r="CF170" s="401">
        <f>I170</f>
        <v>2007</v>
      </c>
      <c r="CG170" s="401">
        <f>N170</f>
        <v>2008</v>
      </c>
      <c r="CH170" s="401">
        <f>S170</f>
        <v>2009</v>
      </c>
      <c r="CI170" s="401">
        <f>X170</f>
        <v>2010</v>
      </c>
      <c r="CJ170" s="401">
        <f>AC170</f>
        <v>2011</v>
      </c>
      <c r="CK170" s="401">
        <f>AH170</f>
        <v>2012</v>
      </c>
      <c r="CL170" s="401">
        <f>AM170</f>
        <v>2013</v>
      </c>
      <c r="CM170" s="401">
        <f>AR170</f>
        <v>2014</v>
      </c>
      <c r="CN170" s="401">
        <f>AW170</f>
        <v>2015</v>
      </c>
      <c r="CO170" s="401">
        <f>BB170</f>
        <v>2016</v>
      </c>
      <c r="CP170" s="401">
        <f>BG170</f>
        <v>2017</v>
      </c>
      <c r="CQ170" s="401" t="str">
        <f>BL170</f>
        <v>2018E</v>
      </c>
      <c r="CR170" s="401" t="str">
        <f>BQ170</f>
        <v>2019E</v>
      </c>
      <c r="CS170" s="401" t="str">
        <f>BV170</f>
        <v>2020E</v>
      </c>
      <c r="CT170" s="404" t="str">
        <f>CA170</f>
        <v>2021E</v>
      </c>
      <c r="CU170" s="1961"/>
      <c r="DB170" s="627" t="s">
        <v>163</v>
      </c>
      <c r="DC170" s="628" t="s">
        <v>164</v>
      </c>
      <c r="DD170" s="1961"/>
      <c r="DE170" s="1961"/>
      <c r="DF170" s="1961"/>
      <c r="DG170" s="1961"/>
      <c r="DH170" s="1961"/>
      <c r="DI170" s="491"/>
    </row>
    <row r="171" spans="1:113" ht="12" customHeight="1" x14ac:dyDescent="0.25">
      <c r="A171" s="629" t="s">
        <v>165</v>
      </c>
      <c r="B171" s="481"/>
      <c r="C171" s="110"/>
      <c r="D171" s="110"/>
      <c r="E171" s="29"/>
      <c r="F171" s="29"/>
      <c r="G171" s="29"/>
      <c r="H171" s="29"/>
      <c r="I171" s="110"/>
      <c r="J171" s="29"/>
      <c r="K171" s="29"/>
      <c r="L171" s="29"/>
      <c r="M171" s="29"/>
      <c r="N171" s="110"/>
      <c r="O171" s="29"/>
      <c r="P171" s="29"/>
      <c r="Q171" s="29"/>
      <c r="R171" s="29"/>
      <c r="S171" s="110"/>
      <c r="T171" s="29"/>
      <c r="U171" s="29"/>
      <c r="V171" s="29"/>
      <c r="W171" s="29"/>
      <c r="X171" s="110"/>
      <c r="Y171" s="29"/>
      <c r="Z171" s="29"/>
      <c r="AA171" s="29"/>
      <c r="AB171" s="29"/>
      <c r="AC171" s="110"/>
      <c r="AD171" s="630"/>
      <c r="AE171" s="29"/>
      <c r="AF171" s="29"/>
      <c r="AG171" s="29"/>
      <c r="AH171" s="110"/>
      <c r="AI171" s="631"/>
      <c r="AJ171" s="29"/>
      <c r="AK171" s="29"/>
      <c r="AL171" s="455"/>
      <c r="AM171" s="110"/>
      <c r="AN171" s="632"/>
      <c r="AO171" s="9"/>
      <c r="AP171" s="9"/>
      <c r="AQ171" s="633"/>
      <c r="AR171" s="110"/>
      <c r="AS171" s="632"/>
      <c r="AT171" s="9"/>
      <c r="AU171" s="9"/>
      <c r="AV171" s="633"/>
      <c r="AW171" s="634"/>
      <c r="AX171" s="9"/>
      <c r="AY171" s="9"/>
      <c r="AZ171" s="9"/>
      <c r="BA171" s="633"/>
      <c r="BB171" s="635"/>
      <c r="BC171" s="9"/>
      <c r="BD171" s="9"/>
      <c r="BE171" s="9"/>
      <c r="BF171" s="633"/>
      <c r="BG171" s="635"/>
      <c r="BH171" s="9"/>
      <c r="BI171" s="9"/>
      <c r="BJ171" s="9"/>
      <c r="BK171" s="633"/>
      <c r="BL171" s="635"/>
      <c r="BM171" s="9"/>
      <c r="BN171" s="9"/>
      <c r="BO171" s="9"/>
      <c r="BP171" s="633"/>
      <c r="BQ171" s="635"/>
      <c r="BR171" s="9"/>
      <c r="BS171" s="9"/>
      <c r="BT171" s="9"/>
      <c r="BU171" s="633"/>
      <c r="BV171" s="635"/>
      <c r="BW171" s="9"/>
      <c r="BX171" s="9"/>
      <c r="BY171" s="9"/>
      <c r="BZ171" s="633"/>
      <c r="CA171" s="635"/>
      <c r="CB171" s="1910"/>
      <c r="CC171" s="46"/>
      <c r="CD171" s="629" t="str">
        <f t="shared" si="249"/>
        <v>ASSETS</v>
      </c>
      <c r="CE171" s="29"/>
      <c r="CF171" s="29"/>
      <c r="CG171" s="29"/>
      <c r="CH171" s="29"/>
      <c r="CI171" s="29"/>
      <c r="CJ171" s="29"/>
      <c r="CK171" s="29"/>
      <c r="CL171" s="29"/>
      <c r="CM171" s="29"/>
      <c r="CN171" s="29"/>
      <c r="CO171" s="29"/>
      <c r="CP171" s="29"/>
      <c r="CQ171" s="29"/>
      <c r="CR171" s="29"/>
      <c r="CS171" s="29"/>
      <c r="CT171" s="455"/>
      <c r="CU171" s="1961"/>
      <c r="DB171" s="636"/>
      <c r="DC171" s="1961"/>
      <c r="DD171" s="1961"/>
      <c r="DE171" s="1961"/>
      <c r="DF171" s="1961"/>
      <c r="DG171" s="1961"/>
      <c r="DH171" s="1961"/>
      <c r="DI171" s="9"/>
    </row>
    <row r="172" spans="1:113" x14ac:dyDescent="0.25">
      <c r="A172" s="212" t="s">
        <v>166</v>
      </c>
      <c r="B172" s="631"/>
      <c r="C172" s="637"/>
      <c r="D172" s="634"/>
      <c r="E172" s="9"/>
      <c r="F172" s="9"/>
      <c r="G172" s="9"/>
      <c r="H172" s="9"/>
      <c r="I172" s="634"/>
      <c r="J172" s="9"/>
      <c r="K172" s="9"/>
      <c r="L172" s="9"/>
      <c r="M172" s="9"/>
      <c r="N172" s="634"/>
      <c r="O172" s="9"/>
      <c r="P172" s="9"/>
      <c r="Q172" s="9"/>
      <c r="R172" s="9"/>
      <c r="S172" s="634"/>
      <c r="T172" s="9"/>
      <c r="U172" s="9"/>
      <c r="V172" s="9"/>
      <c r="W172" s="9"/>
      <c r="X172" s="634"/>
      <c r="Y172" s="9"/>
      <c r="Z172" s="9"/>
      <c r="AA172" s="9"/>
      <c r="AB172" s="9"/>
      <c r="AC172" s="634"/>
      <c r="AD172" s="630"/>
      <c r="AE172" s="9"/>
      <c r="AF172" s="9"/>
      <c r="AG172" s="9"/>
      <c r="AH172" s="634"/>
      <c r="AI172" s="631"/>
      <c r="AJ172" s="9"/>
      <c r="AK172" s="9"/>
      <c r="AL172" s="633"/>
      <c r="AM172" s="634"/>
      <c r="AN172" s="632"/>
      <c r="AO172" s="9"/>
      <c r="AP172" s="9"/>
      <c r="AQ172" s="633"/>
      <c r="AR172" s="634"/>
      <c r="AS172" s="632"/>
      <c r="AT172" s="9"/>
      <c r="AU172" s="9"/>
      <c r="AV172" s="633"/>
      <c r="AW172" s="634"/>
      <c r="AX172" s="9"/>
      <c r="AY172" s="9"/>
      <c r="AZ172" s="9"/>
      <c r="BA172" s="633"/>
      <c r="BB172" s="635"/>
      <c r="BC172" s="9"/>
      <c r="BD172" s="9"/>
      <c r="BE172" s="9"/>
      <c r="BF172" s="633"/>
      <c r="BG172" s="635"/>
      <c r="BH172" s="9"/>
      <c r="BI172" s="9"/>
      <c r="BJ172" s="9"/>
      <c r="BK172" s="633"/>
      <c r="BL172" s="635"/>
      <c r="BM172" s="9"/>
      <c r="BN172" s="9"/>
      <c r="BO172" s="9"/>
      <c r="BP172" s="633"/>
      <c r="BQ172" s="635"/>
      <c r="BR172" s="9"/>
      <c r="BS172" s="9"/>
      <c r="BT172" s="9"/>
      <c r="BU172" s="633"/>
      <c r="BV172" s="635"/>
      <c r="BW172" s="9"/>
      <c r="BX172" s="9"/>
      <c r="BY172" s="9"/>
      <c r="BZ172" s="633"/>
      <c r="CA172" s="635"/>
      <c r="CB172" s="1910"/>
      <c r="CC172" s="431"/>
      <c r="CD172" s="212" t="str">
        <f t="shared" si="249"/>
        <v>Current Assets</v>
      </c>
      <c r="CE172" s="9"/>
      <c r="CF172" s="9"/>
      <c r="CG172" s="9"/>
      <c r="CH172" s="9"/>
      <c r="CI172" s="9"/>
      <c r="CJ172" s="9"/>
      <c r="CK172" s="9"/>
      <c r="CL172" s="9"/>
      <c r="CM172" s="9"/>
      <c r="CN172" s="9"/>
      <c r="CO172" s="9"/>
      <c r="CP172" s="9"/>
      <c r="CQ172" s="9"/>
      <c r="CR172" s="9"/>
      <c r="CS172" s="9"/>
      <c r="CT172" s="633"/>
      <c r="CU172" s="6"/>
      <c r="DB172" s="636"/>
      <c r="DC172" s="1961"/>
      <c r="DD172" s="1961"/>
      <c r="DE172" s="1961"/>
      <c r="DF172" s="1961"/>
      <c r="DG172" s="1961"/>
      <c r="DH172" s="1961"/>
      <c r="DI172" s="9"/>
    </row>
    <row r="173" spans="1:113" ht="12" customHeight="1" x14ac:dyDescent="0.25">
      <c r="A173" s="218" t="s">
        <v>167</v>
      </c>
      <c r="B173" s="638"/>
      <c r="C173" s="639">
        <f t="shared" ref="C173:S173" si="250">C164</f>
        <v>42.822000000000074</v>
      </c>
      <c r="D173" s="639">
        <f t="shared" si="250"/>
        <v>99.152000000000015</v>
      </c>
      <c r="E173" s="640">
        <f t="shared" si="250"/>
        <v>125.87800000000003</v>
      </c>
      <c r="F173" s="640">
        <f t="shared" si="250"/>
        <v>39.826000000000036</v>
      </c>
      <c r="G173" s="640">
        <f t="shared" si="250"/>
        <v>40.729000000000028</v>
      </c>
      <c r="H173" s="640">
        <f t="shared" si="250"/>
        <v>24.049000000000067</v>
      </c>
      <c r="I173" s="639">
        <f t="shared" si="250"/>
        <v>24.049000000000035</v>
      </c>
      <c r="J173" s="640">
        <f t="shared" si="250"/>
        <v>25.898000000000007</v>
      </c>
      <c r="K173" s="640">
        <f t="shared" si="250"/>
        <v>50.835000000000022</v>
      </c>
      <c r="L173" s="640">
        <f t="shared" si="250"/>
        <v>51.024000000000022</v>
      </c>
      <c r="M173" s="640">
        <f t="shared" si="250"/>
        <v>33.185000000000024</v>
      </c>
      <c r="N173" s="639">
        <f t="shared" si="250"/>
        <v>33.185000000000059</v>
      </c>
      <c r="O173" s="640">
        <f t="shared" si="250"/>
        <v>45.006000000000064</v>
      </c>
      <c r="P173" s="640">
        <f t="shared" si="250"/>
        <v>45.962000000000081</v>
      </c>
      <c r="Q173" s="640">
        <f t="shared" si="250"/>
        <v>60.560000000000109</v>
      </c>
      <c r="R173" s="640">
        <f t="shared" si="250"/>
        <v>71.527000000000115</v>
      </c>
      <c r="S173" s="639">
        <f t="shared" si="250"/>
        <v>71.527000000000115</v>
      </c>
      <c r="T173" s="640">
        <f>T164</f>
        <v>130.9920000000001</v>
      </c>
      <c r="U173" s="640">
        <f>U164</f>
        <v>106.82700000000011</v>
      </c>
      <c r="V173" s="640">
        <f>V164</f>
        <v>107.25500000000015</v>
      </c>
      <c r="W173" s="640">
        <f>W164</f>
        <v>54.974000000000188</v>
      </c>
      <c r="X173" s="639">
        <f t="shared" ref="X173:AC173" si="251">X164</f>
        <v>54.974000000000011</v>
      </c>
      <c r="Y173" s="640">
        <f t="shared" si="251"/>
        <v>101.23800000000007</v>
      </c>
      <c r="Z173" s="640">
        <f t="shared" si="251"/>
        <v>51.970000000000141</v>
      </c>
      <c r="AA173" s="640">
        <f t="shared" si="251"/>
        <v>52.846000000000167</v>
      </c>
      <c r="AB173" s="640">
        <f t="shared" si="251"/>
        <v>191.60300000000009</v>
      </c>
      <c r="AC173" s="639">
        <f t="shared" si="251"/>
        <v>191.60299999999995</v>
      </c>
      <c r="AD173" s="640">
        <f>AD164</f>
        <v>114.92999999999996</v>
      </c>
      <c r="AE173" s="640">
        <f t="shared" ref="AE173:BC173" si="252">AE164</f>
        <v>97.197999999999951</v>
      </c>
      <c r="AF173" s="640">
        <f t="shared" si="252"/>
        <v>97.769999999999939</v>
      </c>
      <c r="AG173" s="640">
        <f t="shared" si="252"/>
        <v>89.818999999999875</v>
      </c>
      <c r="AH173" s="639">
        <f t="shared" si="252"/>
        <v>89.818999999999917</v>
      </c>
      <c r="AI173" s="638">
        <f t="shared" si="252"/>
        <v>267.35799999999989</v>
      </c>
      <c r="AJ173" s="640">
        <f t="shared" si="252"/>
        <v>171.46299999999988</v>
      </c>
      <c r="AK173" s="640">
        <f t="shared" si="252"/>
        <v>177.98499999999987</v>
      </c>
      <c r="AL173" s="640">
        <f t="shared" si="252"/>
        <v>165.8189999999999</v>
      </c>
      <c r="AM173" s="639">
        <f t="shared" si="252"/>
        <v>165.80099999999999</v>
      </c>
      <c r="AN173" s="638">
        <f t="shared" si="252"/>
        <v>427.37600000000003</v>
      </c>
      <c r="AO173" s="640">
        <f t="shared" si="252"/>
        <v>419.44800000000009</v>
      </c>
      <c r="AP173" s="640">
        <f t="shared" si="252"/>
        <v>432.49000000000012</v>
      </c>
      <c r="AQ173" s="641">
        <f t="shared" si="252"/>
        <v>39.359000000000037</v>
      </c>
      <c r="AR173" s="639">
        <f t="shared" si="252"/>
        <v>39.359000000000037</v>
      </c>
      <c r="AS173" s="638">
        <f t="shared" si="252"/>
        <v>152.84700000000001</v>
      </c>
      <c r="AT173" s="640">
        <f t="shared" si="252"/>
        <v>145.4939999999996</v>
      </c>
      <c r="AU173" s="640">
        <f t="shared" si="252"/>
        <v>168.82499999999965</v>
      </c>
      <c r="AV173" s="641">
        <f t="shared" si="252"/>
        <v>138.36899999999952</v>
      </c>
      <c r="AW173" s="639">
        <f t="shared" si="252"/>
        <v>138.36899999999957</v>
      </c>
      <c r="AX173" s="640">
        <f t="shared" si="252"/>
        <v>131.83899999999957</v>
      </c>
      <c r="AY173" s="640">
        <f>AY164</f>
        <v>196.42299999999949</v>
      </c>
      <c r="AZ173" s="640">
        <f t="shared" si="252"/>
        <v>164.80799999999968</v>
      </c>
      <c r="BA173" s="641">
        <f t="shared" si="252"/>
        <v>135.13199999999949</v>
      </c>
      <c r="BB173" s="642">
        <f t="shared" si="252"/>
        <v>135.13199999999932</v>
      </c>
      <c r="BC173" s="640">
        <f t="shared" si="252"/>
        <v>155.03199999999927</v>
      </c>
      <c r="BD173" s="640">
        <f t="shared" ref="BD173:CA173" si="253">BD164</f>
        <v>140.73199999999932</v>
      </c>
      <c r="BE173" s="1947">
        <f t="shared" si="253"/>
        <v>142.03199999999936</v>
      </c>
      <c r="BF173" s="641">
        <f t="shared" si="253"/>
        <v>142.33199999999931</v>
      </c>
      <c r="BG173" s="642">
        <f t="shared" si="253"/>
        <v>142.33199999999931</v>
      </c>
      <c r="BH173" s="640">
        <f t="shared" si="253"/>
        <v>372.82475833011802</v>
      </c>
      <c r="BI173" s="640">
        <f t="shared" si="253"/>
        <v>371.50577199575798</v>
      </c>
      <c r="BJ173" s="640">
        <f t="shared" si="253"/>
        <v>346.34888451848929</v>
      </c>
      <c r="BK173" s="641">
        <f t="shared" si="253"/>
        <v>272.42278508999107</v>
      </c>
      <c r="BL173" s="642">
        <f t="shared" si="253"/>
        <v>272.42278508999107</v>
      </c>
      <c r="BM173" s="640">
        <f t="shared" si="253"/>
        <v>488.53695721141611</v>
      </c>
      <c r="BN173" s="640">
        <f t="shared" si="253"/>
        <v>459.65257163697072</v>
      </c>
      <c r="BO173" s="640">
        <f t="shared" si="253"/>
        <v>405.22270786116462</v>
      </c>
      <c r="BP173" s="641">
        <f t="shared" si="253"/>
        <v>299.45857027500392</v>
      </c>
      <c r="BQ173" s="642">
        <f t="shared" si="253"/>
        <v>299.45857027500392</v>
      </c>
      <c r="BR173" s="640">
        <f t="shared" si="253"/>
        <v>520.1740093087933</v>
      </c>
      <c r="BS173" s="640">
        <f t="shared" si="253"/>
        <v>482.12530526139619</v>
      </c>
      <c r="BT173" s="640">
        <f t="shared" si="253"/>
        <v>417.00706004326992</v>
      </c>
      <c r="BU173" s="641">
        <f t="shared" si="253"/>
        <v>297.97065432387194</v>
      </c>
      <c r="BV173" s="642">
        <f t="shared" si="253"/>
        <v>297.97065432387183</v>
      </c>
      <c r="BW173" s="640">
        <f t="shared" si="253"/>
        <v>547.21146093754783</v>
      </c>
      <c r="BX173" s="640">
        <f t="shared" si="253"/>
        <v>523.18678300276031</v>
      </c>
      <c r="BY173" s="640">
        <f t="shared" si="253"/>
        <v>470.56910216100874</v>
      </c>
      <c r="BZ173" s="641">
        <f t="shared" si="253"/>
        <v>361.42569825884516</v>
      </c>
      <c r="CA173" s="642">
        <f t="shared" si="253"/>
        <v>361.42569825884527</v>
      </c>
      <c r="CB173" s="1910"/>
      <c r="CC173" s="490"/>
      <c r="CD173" s="218" t="str">
        <f t="shared" si="249"/>
        <v xml:space="preserve">Cash and Cash Equivalents </v>
      </c>
      <c r="CE173" s="640">
        <f t="shared" ref="CE173:CE180" si="254">D173</f>
        <v>99.152000000000015</v>
      </c>
      <c r="CF173" s="640">
        <f t="shared" ref="CF173:CF180" si="255">I173</f>
        <v>24.049000000000035</v>
      </c>
      <c r="CG173" s="640">
        <f t="shared" ref="CG173:CG180" si="256">N173</f>
        <v>33.185000000000059</v>
      </c>
      <c r="CH173" s="640">
        <f t="shared" ref="CH173:CH180" si="257">S173</f>
        <v>71.527000000000115</v>
      </c>
      <c r="CI173" s="640">
        <f t="shared" ref="CI173:CI180" si="258">X173</f>
        <v>54.974000000000011</v>
      </c>
      <c r="CJ173" s="640">
        <f t="shared" ref="CJ173:CJ180" si="259">AC173</f>
        <v>191.60299999999995</v>
      </c>
      <c r="CK173" s="640">
        <f t="shared" ref="CK173:CK180" si="260">AH173</f>
        <v>89.818999999999917</v>
      </c>
      <c r="CL173" s="640">
        <f t="shared" ref="CL173:CL180" si="261">AM173</f>
        <v>165.80099999999999</v>
      </c>
      <c r="CM173" s="640">
        <f t="shared" ref="CM173:CM180" si="262">AR173</f>
        <v>39.359000000000037</v>
      </c>
      <c r="CN173" s="640">
        <f t="shared" ref="CN173:CN180" si="263">AW173</f>
        <v>138.36899999999957</v>
      </c>
      <c r="CO173" s="640">
        <f t="shared" ref="CO173:CO180" si="264">BB173</f>
        <v>135.13199999999932</v>
      </c>
      <c r="CP173" s="640">
        <f t="shared" ref="CP173:CP180" si="265">BG173</f>
        <v>142.33199999999931</v>
      </c>
      <c r="CQ173" s="640">
        <f t="shared" ref="CQ173:CQ180" si="266">BL173</f>
        <v>272.42278508999107</v>
      </c>
      <c r="CR173" s="640">
        <f t="shared" ref="CR173:CR180" si="267">BQ173</f>
        <v>299.45857027500392</v>
      </c>
      <c r="CS173" s="640">
        <f t="shared" ref="CS173:CS180" si="268">BV173</f>
        <v>297.97065432387183</v>
      </c>
      <c r="CT173" s="641">
        <f t="shared" ref="CT173:CT180" si="269">CA173</f>
        <v>361.42569825884527</v>
      </c>
      <c r="CU173" s="6"/>
      <c r="DB173" s="636">
        <v>37.22</v>
      </c>
      <c r="DC173" s="1961"/>
      <c r="DD173" s="643"/>
      <c r="DE173" s="1961"/>
      <c r="DF173" s="1961"/>
      <c r="DG173" s="1961"/>
      <c r="DH173" s="1961"/>
      <c r="DI173" s="640"/>
    </row>
    <row r="174" spans="1:113" ht="12" customHeight="1" x14ac:dyDescent="0.25">
      <c r="A174" s="218" t="s">
        <v>168</v>
      </c>
      <c r="B174" s="333"/>
      <c r="C174" s="265"/>
      <c r="D174" s="265">
        <v>7.2569999999999997</v>
      </c>
      <c r="E174" s="326"/>
      <c r="F174" s="268"/>
      <c r="G174" s="268"/>
      <c r="H174" s="268">
        <v>28.35</v>
      </c>
      <c r="I174" s="644">
        <f t="shared" ref="I174:I180" si="270">H174</f>
        <v>28.35</v>
      </c>
      <c r="J174" s="268">
        <v>6.6630000000000003</v>
      </c>
      <c r="K174" s="268">
        <v>6.4340000000000002</v>
      </c>
      <c r="L174" s="268">
        <v>5.899</v>
      </c>
      <c r="M174" s="268">
        <v>5.1139999999999999</v>
      </c>
      <c r="N174" s="644">
        <f t="shared" ref="N174:N180" si="271">M174</f>
        <v>5.1139999999999999</v>
      </c>
      <c r="O174" s="268">
        <v>4.7789999999999999</v>
      </c>
      <c r="P174" s="268">
        <v>5.0229999999999997</v>
      </c>
      <c r="Q174" s="268">
        <v>5.3520000000000003</v>
      </c>
      <c r="R174" s="268">
        <f>5.445</f>
        <v>5.4450000000000003</v>
      </c>
      <c r="S174" s="644">
        <f t="shared" ref="S174:S180" si="272">R174</f>
        <v>5.4450000000000003</v>
      </c>
      <c r="T174" s="268">
        <v>5.5460000000000003</v>
      </c>
      <c r="U174" s="268">
        <v>5.0670000000000002</v>
      </c>
      <c r="V174" s="268">
        <v>5.35</v>
      </c>
      <c r="W174" s="268">
        <v>5.6529999999999996</v>
      </c>
      <c r="X174" s="644">
        <f t="shared" ref="X174:X180" si="273">W174</f>
        <v>5.6529999999999996</v>
      </c>
      <c r="Y174" s="268">
        <v>5.6029999999999998</v>
      </c>
      <c r="Z174" s="268">
        <v>5.351</v>
      </c>
      <c r="AA174" s="268">
        <v>4.8280000000000003</v>
      </c>
      <c r="AB174" s="268">
        <v>5.0659999999999998</v>
      </c>
      <c r="AC174" s="644">
        <f t="shared" ref="AC174:AC180" si="274">AB174</f>
        <v>5.0659999999999998</v>
      </c>
      <c r="AD174" s="268">
        <v>4.968</v>
      </c>
      <c r="AE174" s="268">
        <v>4.782</v>
      </c>
      <c r="AF174" s="268">
        <v>4.8949999999999996</v>
      </c>
      <c r="AG174" s="268">
        <v>4.883</v>
      </c>
      <c r="AH174" s="644">
        <f t="shared" ref="AH174:AH180" si="275">AG174</f>
        <v>4.883</v>
      </c>
      <c r="AI174" s="333">
        <v>5.141</v>
      </c>
      <c r="AJ174" s="268">
        <v>4.2539999999999996</v>
      </c>
      <c r="AK174" s="268">
        <v>4.5140000000000002</v>
      </c>
      <c r="AL174" s="268">
        <v>3.911</v>
      </c>
      <c r="AM174" s="644">
        <f t="shared" ref="AM174:AM180" si="276">AL174</f>
        <v>3.911</v>
      </c>
      <c r="AN174" s="333">
        <v>3.9180000000000001</v>
      </c>
      <c r="AO174" s="268">
        <v>3.8370000000000002</v>
      </c>
      <c r="AP174" s="268">
        <v>3.73</v>
      </c>
      <c r="AQ174" s="268">
        <v>3.8010000000000002</v>
      </c>
      <c r="AR174" s="644">
        <f t="shared" ref="AR174:AR180" si="277">AQ174</f>
        <v>3.8010000000000002</v>
      </c>
      <c r="AS174" s="333">
        <v>3.855</v>
      </c>
      <c r="AT174" s="268">
        <v>3.7250000000000001</v>
      </c>
      <c r="AU174" s="268">
        <v>3.63</v>
      </c>
      <c r="AV174" s="332">
        <v>3.5760000000000001</v>
      </c>
      <c r="AW174" s="644">
        <f t="shared" ref="AW174:AW180" si="278">AV174</f>
        <v>3.5760000000000001</v>
      </c>
      <c r="AX174" s="268">
        <v>3.472</v>
      </c>
      <c r="AY174" s="268">
        <v>3.3719999999999999</v>
      </c>
      <c r="AZ174" s="268">
        <v>3.4569999999999999</v>
      </c>
      <c r="BA174" s="332">
        <v>3.4</v>
      </c>
      <c r="BB174" s="645">
        <f t="shared" ref="BB174:BB180" si="279">BA174</f>
        <v>3.4</v>
      </c>
      <c r="BC174" s="1892">
        <v>3.6</v>
      </c>
      <c r="BD174" s="1892">
        <v>3.6</v>
      </c>
      <c r="BE174" s="1943">
        <v>3.7</v>
      </c>
      <c r="BF174" s="1943">
        <v>3.8</v>
      </c>
      <c r="BG174" s="645">
        <f t="shared" ref="BG174:BG180" si="280">BF174</f>
        <v>3.8</v>
      </c>
      <c r="BH174" s="275">
        <f>BG174+BH140+BH139+BH122</f>
        <v>3.8</v>
      </c>
      <c r="BI174" s="275">
        <f>BH174+BI140+BI139+BI122</f>
        <v>3.8</v>
      </c>
      <c r="BJ174" s="275">
        <f>BI174+BJ140+BJ139+BJ122</f>
        <v>3.8</v>
      </c>
      <c r="BK174" s="515">
        <f>BJ174+BK140+BK139+BK122</f>
        <v>3.8</v>
      </c>
      <c r="BL174" s="645">
        <f t="shared" ref="BL174:BL180" si="281">BK174</f>
        <v>3.8</v>
      </c>
      <c r="BM174" s="275">
        <f>BL174+BM140+BM139+BM122</f>
        <v>3.8</v>
      </c>
      <c r="BN174" s="275">
        <f>BM174+BN140+BN139+BN122</f>
        <v>3.8</v>
      </c>
      <c r="BO174" s="275">
        <f>BN174+BO140+BO139+BO122</f>
        <v>3.8</v>
      </c>
      <c r="BP174" s="515">
        <f>BO174+BP140+BP139+BP122</f>
        <v>3.8</v>
      </c>
      <c r="BQ174" s="645">
        <f t="shared" ref="BQ174:BQ180" si="282">BP174</f>
        <v>3.8</v>
      </c>
      <c r="BR174" s="275">
        <f>BQ174+BR140+BR139+BR122</f>
        <v>3.8</v>
      </c>
      <c r="BS174" s="275">
        <f>BR174+BS140+BS139+BS122</f>
        <v>3.8</v>
      </c>
      <c r="BT174" s="275">
        <f>BS174+BT140+BT139+BT122</f>
        <v>3.8</v>
      </c>
      <c r="BU174" s="515">
        <f>BT174+BU140+BU139+BU122</f>
        <v>3.8</v>
      </c>
      <c r="BV174" s="645">
        <f t="shared" ref="BV174:BV180" si="283">BU174</f>
        <v>3.8</v>
      </c>
      <c r="BW174" s="275">
        <f>BV174+BW140+BW139+BW122</f>
        <v>3.8</v>
      </c>
      <c r="BX174" s="275">
        <f>BW174+BX140+BX139+BX122</f>
        <v>3.8</v>
      </c>
      <c r="BY174" s="275">
        <f>BX174+BY140+BY139+BY122</f>
        <v>3.8</v>
      </c>
      <c r="BZ174" s="515">
        <f>BY174+BZ140+BZ139+BZ122</f>
        <v>3.8</v>
      </c>
      <c r="CA174" s="645">
        <f t="shared" ref="CA174:CA180" si="284">BZ174</f>
        <v>3.8</v>
      </c>
      <c r="CB174" s="1910"/>
      <c r="CC174" s="490"/>
      <c r="CD174" s="218" t="str">
        <f t="shared" si="249"/>
        <v>Securities Available for Sale</v>
      </c>
      <c r="CE174" s="275">
        <f t="shared" si="254"/>
        <v>7.2569999999999997</v>
      </c>
      <c r="CF174" s="275">
        <f t="shared" si="255"/>
        <v>28.35</v>
      </c>
      <c r="CG174" s="275">
        <f t="shared" si="256"/>
        <v>5.1139999999999999</v>
      </c>
      <c r="CH174" s="275">
        <f t="shared" si="257"/>
        <v>5.4450000000000003</v>
      </c>
      <c r="CI174" s="275">
        <f t="shared" si="258"/>
        <v>5.6529999999999996</v>
      </c>
      <c r="CJ174" s="275">
        <f t="shared" si="259"/>
        <v>5.0659999999999998</v>
      </c>
      <c r="CK174" s="275">
        <f t="shared" si="260"/>
        <v>4.883</v>
      </c>
      <c r="CL174" s="275">
        <f t="shared" si="261"/>
        <v>3.911</v>
      </c>
      <c r="CM174" s="275">
        <f t="shared" si="262"/>
        <v>3.8010000000000002</v>
      </c>
      <c r="CN174" s="275">
        <f t="shared" si="263"/>
        <v>3.5760000000000001</v>
      </c>
      <c r="CO174" s="275">
        <f t="shared" si="264"/>
        <v>3.4</v>
      </c>
      <c r="CP174" s="275">
        <f t="shared" si="265"/>
        <v>3.8</v>
      </c>
      <c r="CQ174" s="275">
        <f t="shared" si="266"/>
        <v>3.8</v>
      </c>
      <c r="CR174" s="275">
        <f t="shared" si="267"/>
        <v>3.8</v>
      </c>
      <c r="CS174" s="275">
        <f t="shared" si="268"/>
        <v>3.8</v>
      </c>
      <c r="CT174" s="515">
        <f t="shared" si="269"/>
        <v>3.8</v>
      </c>
      <c r="CU174" s="6"/>
      <c r="DB174" s="636"/>
      <c r="DC174" s="1961"/>
      <c r="DD174" s="1961"/>
      <c r="DE174" s="1961"/>
      <c r="DF174" s="1961"/>
      <c r="DG174" s="1961"/>
      <c r="DH174" s="1961"/>
      <c r="DI174" s="275"/>
    </row>
    <row r="175" spans="1:113" ht="12" customHeight="1" x14ac:dyDescent="0.25">
      <c r="A175" s="218" t="s">
        <v>169</v>
      </c>
      <c r="B175" s="333"/>
      <c r="C175" s="265"/>
      <c r="D175" s="646">
        <v>91.724999999999994</v>
      </c>
      <c r="E175" s="326"/>
      <c r="F175" s="268"/>
      <c r="G175" s="647"/>
      <c r="H175" s="647">
        <v>86.488</v>
      </c>
      <c r="I175" s="644">
        <f t="shared" si="270"/>
        <v>86.488</v>
      </c>
      <c r="J175" s="647">
        <v>106.68300000000001</v>
      </c>
      <c r="K175" s="647">
        <v>90.364000000000004</v>
      </c>
      <c r="L175" s="647">
        <v>82.108999999999995</v>
      </c>
      <c r="M175" s="647">
        <v>83.941000000000003</v>
      </c>
      <c r="N175" s="644">
        <f t="shared" si="271"/>
        <v>83.941000000000003</v>
      </c>
      <c r="O175" s="647">
        <v>115.288</v>
      </c>
      <c r="P175" s="268">
        <v>107.151</v>
      </c>
      <c r="Q175" s="268">
        <v>104.083</v>
      </c>
      <c r="R175" s="268">
        <v>89.436000000000007</v>
      </c>
      <c r="S175" s="644">
        <f t="shared" si="272"/>
        <v>89.436000000000007</v>
      </c>
      <c r="T175" s="647">
        <v>132.89599999999999</v>
      </c>
      <c r="U175" s="647">
        <v>118.47</v>
      </c>
      <c r="V175" s="647">
        <v>130.36000000000001</v>
      </c>
      <c r="W175" s="647">
        <v>126.56399999999999</v>
      </c>
      <c r="X175" s="644">
        <f t="shared" si="273"/>
        <v>126.56399999999999</v>
      </c>
      <c r="Y175" s="268">
        <v>163.88800000000001</v>
      </c>
      <c r="Z175" s="268">
        <v>145.63200000000001</v>
      </c>
      <c r="AA175" s="268">
        <v>152.803</v>
      </c>
      <c r="AB175" s="268">
        <v>153.339</v>
      </c>
      <c r="AC175" s="644">
        <f t="shared" si="274"/>
        <v>153.339</v>
      </c>
      <c r="AD175" s="268">
        <v>194.54</v>
      </c>
      <c r="AE175" s="268">
        <v>173.607</v>
      </c>
      <c r="AF175" s="268">
        <v>175.52</v>
      </c>
      <c r="AG175" s="268">
        <v>178.43</v>
      </c>
      <c r="AH175" s="644">
        <f t="shared" si="275"/>
        <v>178.43</v>
      </c>
      <c r="AI175" s="333">
        <v>190.917</v>
      </c>
      <c r="AJ175" s="268">
        <v>186.54900000000001</v>
      </c>
      <c r="AK175" s="268">
        <v>167.767</v>
      </c>
      <c r="AL175" s="268">
        <v>158.547</v>
      </c>
      <c r="AM175" s="644">
        <f t="shared" si="276"/>
        <v>158.547</v>
      </c>
      <c r="AN175" s="333">
        <v>173.45099999999999</v>
      </c>
      <c r="AO175" s="268">
        <v>177.97300000000001</v>
      </c>
      <c r="AP175" s="268">
        <v>188.71100000000001</v>
      </c>
      <c r="AQ175" s="268">
        <v>220.66800000000001</v>
      </c>
      <c r="AR175" s="644">
        <f t="shared" si="277"/>
        <v>220.66800000000001</v>
      </c>
      <c r="AS175" s="333">
        <v>226.637</v>
      </c>
      <c r="AT175" s="268">
        <v>267.37900000000002</v>
      </c>
      <c r="AU175" s="268">
        <v>266</v>
      </c>
      <c r="AV175" s="332">
        <v>320.09899999999999</v>
      </c>
      <c r="AW175" s="644">
        <f t="shared" si="278"/>
        <v>320.09899999999999</v>
      </c>
      <c r="AX175" s="268">
        <v>297.31200000000001</v>
      </c>
      <c r="AY175" s="268">
        <v>241.32599999999999</v>
      </c>
      <c r="AZ175" s="268">
        <v>229.93899999999999</v>
      </c>
      <c r="BA175" s="332">
        <v>263.89999999999998</v>
      </c>
      <c r="BB175" s="645">
        <f t="shared" si="279"/>
        <v>263.89999999999998</v>
      </c>
      <c r="BC175" s="1892">
        <v>298.7</v>
      </c>
      <c r="BD175" s="1892">
        <v>266.39999999999998</v>
      </c>
      <c r="BE175" s="1943">
        <v>285.8</v>
      </c>
      <c r="BF175" s="1943">
        <v>345.5</v>
      </c>
      <c r="BG175" s="645">
        <f t="shared" si="280"/>
        <v>345.5</v>
      </c>
      <c r="BH175" s="275">
        <f>(BH12*BH365)/90</f>
        <v>337.65937087146835</v>
      </c>
      <c r="BI175" s="275">
        <f>(BI12*BI365)/90</f>
        <v>296.68670642201835</v>
      </c>
      <c r="BJ175" s="275">
        <f>(BJ12*BJ365)/90</f>
        <v>311.37071146724946</v>
      </c>
      <c r="BK175" s="515">
        <f>(BK12*BK365)/90</f>
        <v>369.76254515167454</v>
      </c>
      <c r="BL175" s="645">
        <f t="shared" si="281"/>
        <v>369.76254515167454</v>
      </c>
      <c r="BM175" s="275">
        <f>(BM12*BM365)/90</f>
        <v>356.79634471050537</v>
      </c>
      <c r="BN175" s="275">
        <f>(BN12*BN365)/90</f>
        <v>313.77722621559627</v>
      </c>
      <c r="BO175" s="275">
        <f>(BO12*BO365)/90</f>
        <v>329.39119022354771</v>
      </c>
      <c r="BP175" s="515">
        <f>(BP12*BP365)/90</f>
        <v>391.48511097667904</v>
      </c>
      <c r="BQ175" s="645">
        <f t="shared" si="282"/>
        <v>391.48511097667904</v>
      </c>
      <c r="BR175" s="275">
        <f>(BR12*BR365)/90</f>
        <v>376.79432602430364</v>
      </c>
      <c r="BS175" s="275">
        <f>(BS12*BS365)/90</f>
        <v>331.38940112545868</v>
      </c>
      <c r="BT175" s="275">
        <f>(BT12*BT365)/90</f>
        <v>347.93287959060746</v>
      </c>
      <c r="BU175" s="515">
        <f>(BU12*BU365)/90</f>
        <v>413.49924002910751</v>
      </c>
      <c r="BV175" s="645">
        <f t="shared" si="283"/>
        <v>413.49924002910751</v>
      </c>
      <c r="BW175" s="275">
        <f>(BW12*BW365)/90</f>
        <v>397.96279400707311</v>
      </c>
      <c r="BX175" s="275">
        <f>(BX12*BX365)/90</f>
        <v>350.03434829780502</v>
      </c>
      <c r="BY175" s="275">
        <f>(BY12*BY365)/90</f>
        <v>367.56439809306522</v>
      </c>
      <c r="BZ175" s="515">
        <f>(BZ12*BZ365)/90</f>
        <v>436.80632209855173</v>
      </c>
      <c r="CA175" s="645">
        <f t="shared" si="284"/>
        <v>436.80632209855173</v>
      </c>
      <c r="CB175" s="1910"/>
      <c r="CC175" s="490"/>
      <c r="CD175" s="218" t="str">
        <f t="shared" si="249"/>
        <v>Accounts Receivable, Net of Allowance</v>
      </c>
      <c r="CE175" s="275">
        <f t="shared" si="254"/>
        <v>91.724999999999994</v>
      </c>
      <c r="CF175" s="275">
        <f t="shared" si="255"/>
        <v>86.488</v>
      </c>
      <c r="CG175" s="275">
        <f t="shared" si="256"/>
        <v>83.941000000000003</v>
      </c>
      <c r="CH175" s="275">
        <f t="shared" si="257"/>
        <v>89.436000000000007</v>
      </c>
      <c r="CI175" s="275">
        <f t="shared" si="258"/>
        <v>126.56399999999999</v>
      </c>
      <c r="CJ175" s="275">
        <f t="shared" si="259"/>
        <v>153.339</v>
      </c>
      <c r="CK175" s="275">
        <f t="shared" si="260"/>
        <v>178.43</v>
      </c>
      <c r="CL175" s="275">
        <f t="shared" si="261"/>
        <v>158.547</v>
      </c>
      <c r="CM175" s="275">
        <f t="shared" si="262"/>
        <v>220.66800000000001</v>
      </c>
      <c r="CN175" s="275">
        <f t="shared" si="263"/>
        <v>320.09899999999999</v>
      </c>
      <c r="CO175" s="275">
        <f t="shared" si="264"/>
        <v>263.89999999999998</v>
      </c>
      <c r="CP175" s="275">
        <f t="shared" si="265"/>
        <v>345.5</v>
      </c>
      <c r="CQ175" s="275">
        <f t="shared" si="266"/>
        <v>369.76254515167454</v>
      </c>
      <c r="CR175" s="275">
        <f t="shared" si="267"/>
        <v>391.48511097667904</v>
      </c>
      <c r="CS175" s="275">
        <f t="shared" si="268"/>
        <v>413.49924002910751</v>
      </c>
      <c r="CT175" s="515">
        <f t="shared" si="269"/>
        <v>436.80632209855173</v>
      </c>
      <c r="CU175" s="6"/>
      <c r="DB175" s="636">
        <v>94.361000000000004</v>
      </c>
      <c r="DC175" s="1961"/>
      <c r="DD175" s="643"/>
      <c r="DE175" s="1961"/>
      <c r="DF175" s="1961"/>
      <c r="DG175" s="1961"/>
      <c r="DH175" s="1961"/>
      <c r="DI175" s="275"/>
    </row>
    <row r="176" spans="1:113" ht="12" customHeight="1" x14ac:dyDescent="0.25">
      <c r="A176" s="218" t="s">
        <v>170</v>
      </c>
      <c r="B176" s="333"/>
      <c r="C176" s="265"/>
      <c r="D176" s="646">
        <v>4.2709999999999999</v>
      </c>
      <c r="E176" s="326"/>
      <c r="F176" s="268"/>
      <c r="G176" s="647"/>
      <c r="H176" s="647">
        <v>0.34699999999999998</v>
      </c>
      <c r="I176" s="644">
        <f t="shared" si="270"/>
        <v>0.34699999999999998</v>
      </c>
      <c r="J176" s="647">
        <v>1.246</v>
      </c>
      <c r="K176" s="647">
        <v>9.8789999999999996</v>
      </c>
      <c r="L176" s="647">
        <v>2E-3</v>
      </c>
      <c r="M176" s="647">
        <v>0</v>
      </c>
      <c r="N176" s="644">
        <f t="shared" si="271"/>
        <v>0</v>
      </c>
      <c r="O176" s="647">
        <v>0</v>
      </c>
      <c r="P176" s="268">
        <v>0</v>
      </c>
      <c r="Q176" s="268">
        <v>0</v>
      </c>
      <c r="R176" s="268">
        <v>0</v>
      </c>
      <c r="S176" s="644">
        <f t="shared" si="272"/>
        <v>0</v>
      </c>
      <c r="T176" s="647">
        <v>0</v>
      </c>
      <c r="U176" s="647">
        <v>0</v>
      </c>
      <c r="V176" s="647">
        <v>0</v>
      </c>
      <c r="W176" s="647">
        <v>0</v>
      </c>
      <c r="X176" s="510">
        <f t="shared" si="273"/>
        <v>0</v>
      </c>
      <c r="Y176" s="516">
        <v>0</v>
      </c>
      <c r="Z176" s="516">
        <v>0</v>
      </c>
      <c r="AA176" s="516">
        <v>0</v>
      </c>
      <c r="AB176" s="516">
        <v>0</v>
      </c>
      <c r="AC176" s="510">
        <f t="shared" si="274"/>
        <v>0</v>
      </c>
      <c r="AD176" s="516">
        <f>AC176</f>
        <v>0</v>
      </c>
      <c r="AE176" s="516">
        <v>0</v>
      </c>
      <c r="AF176" s="516">
        <v>0</v>
      </c>
      <c r="AG176" s="516">
        <f>AF176</f>
        <v>0</v>
      </c>
      <c r="AH176" s="510">
        <f t="shared" si="275"/>
        <v>0</v>
      </c>
      <c r="AI176" s="517">
        <v>0</v>
      </c>
      <c r="AJ176" s="516">
        <v>0</v>
      </c>
      <c r="AK176" s="516">
        <v>0</v>
      </c>
      <c r="AL176" s="516">
        <f>AK176</f>
        <v>0</v>
      </c>
      <c r="AM176" s="510">
        <f t="shared" si="276"/>
        <v>0</v>
      </c>
      <c r="AN176" s="517">
        <f>AM176</f>
        <v>0</v>
      </c>
      <c r="AO176" s="516">
        <v>0</v>
      </c>
      <c r="AP176" s="516">
        <v>0</v>
      </c>
      <c r="AQ176" s="516">
        <v>0</v>
      </c>
      <c r="AR176" s="510">
        <f t="shared" si="277"/>
        <v>0</v>
      </c>
      <c r="AS176" s="517">
        <v>0</v>
      </c>
      <c r="AT176" s="516">
        <v>0</v>
      </c>
      <c r="AU176" s="516">
        <v>0</v>
      </c>
      <c r="AV176" s="518">
        <v>0</v>
      </c>
      <c r="AW176" s="510">
        <f t="shared" si="278"/>
        <v>0</v>
      </c>
      <c r="AX176" s="516">
        <v>0</v>
      </c>
      <c r="AY176" s="516">
        <v>0</v>
      </c>
      <c r="AZ176" s="516">
        <v>0</v>
      </c>
      <c r="BA176" s="518">
        <v>0</v>
      </c>
      <c r="BB176" s="510">
        <f t="shared" si="279"/>
        <v>0</v>
      </c>
      <c r="BC176" s="1882">
        <v>0</v>
      </c>
      <c r="BD176" s="1882">
        <v>0</v>
      </c>
      <c r="BE176" s="1944">
        <v>0</v>
      </c>
      <c r="BF176" s="1944">
        <v>0</v>
      </c>
      <c r="BG176" s="510">
        <f t="shared" si="280"/>
        <v>0</v>
      </c>
      <c r="BH176" s="514">
        <f>BG176</f>
        <v>0</v>
      </c>
      <c r="BI176" s="514">
        <f>BH176</f>
        <v>0</v>
      </c>
      <c r="BJ176" s="514">
        <f>BI176</f>
        <v>0</v>
      </c>
      <c r="BK176" s="648">
        <f>BJ176</f>
        <v>0</v>
      </c>
      <c r="BL176" s="510">
        <f t="shared" si="281"/>
        <v>0</v>
      </c>
      <c r="BM176" s="514">
        <f>BL176</f>
        <v>0</v>
      </c>
      <c r="BN176" s="514">
        <f>BM176</f>
        <v>0</v>
      </c>
      <c r="BO176" s="514">
        <f>BN176</f>
        <v>0</v>
      </c>
      <c r="BP176" s="648">
        <f>BO176</f>
        <v>0</v>
      </c>
      <c r="BQ176" s="510">
        <f t="shared" si="282"/>
        <v>0</v>
      </c>
      <c r="BR176" s="514">
        <f>BQ176</f>
        <v>0</v>
      </c>
      <c r="BS176" s="514">
        <f>BR176</f>
        <v>0</v>
      </c>
      <c r="BT176" s="514">
        <f>BS176</f>
        <v>0</v>
      </c>
      <c r="BU176" s="648">
        <f>BT176</f>
        <v>0</v>
      </c>
      <c r="BV176" s="510">
        <f t="shared" si="283"/>
        <v>0</v>
      </c>
      <c r="BW176" s="514">
        <f>BV176</f>
        <v>0</v>
      </c>
      <c r="BX176" s="514">
        <f>BW176</f>
        <v>0</v>
      </c>
      <c r="BY176" s="514">
        <f>BX176</f>
        <v>0</v>
      </c>
      <c r="BZ176" s="648">
        <f>BY176</f>
        <v>0</v>
      </c>
      <c r="CA176" s="510">
        <f t="shared" si="284"/>
        <v>0</v>
      </c>
      <c r="CB176" s="1910"/>
      <c r="CC176" s="490"/>
      <c r="CD176" s="218" t="str">
        <f t="shared" si="249"/>
        <v>Notes Receivable From Stockholders</v>
      </c>
      <c r="CE176" s="275">
        <f t="shared" si="254"/>
        <v>4.2709999999999999</v>
      </c>
      <c r="CF176" s="275">
        <f t="shared" si="255"/>
        <v>0.34699999999999998</v>
      </c>
      <c r="CG176" s="275">
        <f t="shared" si="256"/>
        <v>0</v>
      </c>
      <c r="CH176" s="275">
        <f t="shared" si="257"/>
        <v>0</v>
      </c>
      <c r="CI176" s="275">
        <f t="shared" si="258"/>
        <v>0</v>
      </c>
      <c r="CJ176" s="275">
        <f t="shared" si="259"/>
        <v>0</v>
      </c>
      <c r="CK176" s="275">
        <f t="shared" si="260"/>
        <v>0</v>
      </c>
      <c r="CL176" s="275">
        <f t="shared" si="261"/>
        <v>0</v>
      </c>
      <c r="CM176" s="275">
        <f t="shared" si="262"/>
        <v>0</v>
      </c>
      <c r="CN176" s="275">
        <f t="shared" si="263"/>
        <v>0</v>
      </c>
      <c r="CO176" s="275">
        <f t="shared" si="264"/>
        <v>0</v>
      </c>
      <c r="CP176" s="275">
        <f t="shared" si="265"/>
        <v>0</v>
      </c>
      <c r="CQ176" s="275">
        <f t="shared" si="266"/>
        <v>0</v>
      </c>
      <c r="CR176" s="275">
        <f t="shared" si="267"/>
        <v>0</v>
      </c>
      <c r="CS176" s="275">
        <f t="shared" si="268"/>
        <v>0</v>
      </c>
      <c r="CT176" s="515">
        <f t="shared" si="269"/>
        <v>0</v>
      </c>
      <c r="CU176" s="6"/>
      <c r="DB176" s="636"/>
      <c r="DC176" s="1961"/>
      <c r="DD176" s="1961"/>
      <c r="DE176" s="1961"/>
      <c r="DF176" s="1961"/>
      <c r="DG176" s="1961"/>
      <c r="DH176" s="1961"/>
      <c r="DI176" s="514"/>
    </row>
    <row r="177" spans="1:113" ht="12" customHeight="1" x14ac:dyDescent="0.25">
      <c r="A177" s="218" t="s">
        <v>171</v>
      </c>
      <c r="B177" s="333"/>
      <c r="C177" s="265"/>
      <c r="D177" s="646">
        <v>8.9290000000000003</v>
      </c>
      <c r="E177" s="326"/>
      <c r="F177" s="268"/>
      <c r="G177" s="647"/>
      <c r="H177" s="647">
        <v>7.609</v>
      </c>
      <c r="I177" s="644">
        <f t="shared" si="270"/>
        <v>7.609</v>
      </c>
      <c r="J177" s="647">
        <v>14.497999999999999</v>
      </c>
      <c r="K177" s="647">
        <v>14.750999999999999</v>
      </c>
      <c r="L177" s="647">
        <v>12.702999999999999</v>
      </c>
      <c r="M177" s="647">
        <v>13.01</v>
      </c>
      <c r="N177" s="644">
        <f t="shared" si="271"/>
        <v>13.01</v>
      </c>
      <c r="O177" s="647">
        <v>17.943999999999999</v>
      </c>
      <c r="P177" s="268">
        <v>17.379000000000001</v>
      </c>
      <c r="Q177" s="268">
        <v>16.728999999999999</v>
      </c>
      <c r="R177" s="268">
        <v>16.155000000000001</v>
      </c>
      <c r="S177" s="644">
        <f t="shared" si="272"/>
        <v>16.155000000000001</v>
      </c>
      <c r="T177" s="647">
        <v>21.13</v>
      </c>
      <c r="U177" s="647">
        <v>21.684000000000001</v>
      </c>
      <c r="V177" s="647">
        <v>18.04</v>
      </c>
      <c r="W177" s="647">
        <v>17.791</v>
      </c>
      <c r="X177" s="644">
        <f t="shared" si="273"/>
        <v>17.791</v>
      </c>
      <c r="Y177" s="268">
        <v>25.49</v>
      </c>
      <c r="Z177" s="268">
        <v>26.015000000000001</v>
      </c>
      <c r="AA177" s="268">
        <v>23.591000000000001</v>
      </c>
      <c r="AB177" s="268">
        <v>21.905000000000001</v>
      </c>
      <c r="AC177" s="644">
        <f t="shared" si="274"/>
        <v>21.905000000000001</v>
      </c>
      <c r="AD177" s="268">
        <v>28.619</v>
      </c>
      <c r="AE177" s="268">
        <v>28.492000000000001</v>
      </c>
      <c r="AF177" s="268">
        <v>25.387</v>
      </c>
      <c r="AG177" s="268">
        <v>21.946000000000002</v>
      </c>
      <c r="AH177" s="644">
        <f t="shared" si="275"/>
        <v>21.946000000000002</v>
      </c>
      <c r="AI177" s="333">
        <v>31.954999999999998</v>
      </c>
      <c r="AJ177" s="268">
        <v>31.047999999999998</v>
      </c>
      <c r="AK177" s="268">
        <v>25.986000000000001</v>
      </c>
      <c r="AL177" s="268">
        <v>25.657</v>
      </c>
      <c r="AM177" s="644">
        <f t="shared" si="276"/>
        <v>25.657</v>
      </c>
      <c r="AN177" s="333">
        <v>26.407</v>
      </c>
      <c r="AO177" s="268">
        <v>37.183</v>
      </c>
      <c r="AP177" s="268">
        <v>31.15</v>
      </c>
      <c r="AQ177" s="268">
        <v>31.495999999999999</v>
      </c>
      <c r="AR177" s="644">
        <f t="shared" si="277"/>
        <v>31.495999999999999</v>
      </c>
      <c r="AS177" s="333">
        <v>29.741</v>
      </c>
      <c r="AT177" s="268">
        <v>37.478000000000002</v>
      </c>
      <c r="AU177" s="268">
        <v>46.128999999999998</v>
      </c>
      <c r="AV177" s="332">
        <v>40.741</v>
      </c>
      <c r="AW177" s="644">
        <f t="shared" si="278"/>
        <v>40.741</v>
      </c>
      <c r="AX177" s="268">
        <v>30.827999999999999</v>
      </c>
      <c r="AY177" s="268">
        <v>30.87</v>
      </c>
      <c r="AZ177" s="268">
        <v>28.616</v>
      </c>
      <c r="BA177" s="332">
        <v>28.9</v>
      </c>
      <c r="BB177" s="645">
        <f t="shared" si="279"/>
        <v>28.9</v>
      </c>
      <c r="BC177" s="1892">
        <v>25</v>
      </c>
      <c r="BD177" s="1892">
        <v>39.200000000000003</v>
      </c>
      <c r="BE177" s="1943">
        <v>42.4</v>
      </c>
      <c r="BF177" s="1943">
        <v>38.1</v>
      </c>
      <c r="BG177" s="645">
        <f t="shared" si="280"/>
        <v>38.1</v>
      </c>
      <c r="BH177" s="275">
        <f>BH373*BH12*4</f>
        <v>40.362982286033933</v>
      </c>
      <c r="BI177" s="275">
        <f>BI373*BI12*4</f>
        <v>41.395085213499911</v>
      </c>
      <c r="BJ177" s="275">
        <f>BJ373*BJ12*4</f>
        <v>42.499532910684323</v>
      </c>
      <c r="BK177" s="515">
        <f>BK373*BK12*4</f>
        <v>43.360613276151405</v>
      </c>
      <c r="BL177" s="645">
        <f t="shared" si="281"/>
        <v>43.360613276151405</v>
      </c>
      <c r="BM177" s="275">
        <f>BM373*BM12*4</f>
        <v>44.132551451550974</v>
      </c>
      <c r="BN177" s="275">
        <f>BN373*BN12*4</f>
        <v>45.300845979943603</v>
      </c>
      <c r="BO177" s="275">
        <f>BO373*BO12*4</f>
        <v>46.521378688684223</v>
      </c>
      <c r="BP177" s="515">
        <f>BP373*BP12*4</f>
        <v>47.503099492215803</v>
      </c>
      <c r="BQ177" s="645">
        <f t="shared" si="282"/>
        <v>47.503099492215803</v>
      </c>
      <c r="BR177" s="275">
        <f>BR373*BR12*4</f>
        <v>48.271253055410853</v>
      </c>
      <c r="BS177" s="275">
        <f>BS373*BS12*4</f>
        <v>49.552901115680307</v>
      </c>
      <c r="BT177" s="275">
        <f>BT373*BT12*4</f>
        <v>50.895765100004382</v>
      </c>
      <c r="BU177" s="515">
        <f>BU373*BU12*4</f>
        <v>51.966921751088471</v>
      </c>
      <c r="BV177" s="645">
        <f t="shared" si="283"/>
        <v>51.966921751088471</v>
      </c>
      <c r="BW177" s="275">
        <f>BW373*BW12*4</f>
        <v>52.807398909997211</v>
      </c>
      <c r="BX177" s="275">
        <f>BX373*BX12*4</f>
        <v>54.21372160220745</v>
      </c>
      <c r="BY177" s="275">
        <f>BY373*BY12*4</f>
        <v>55.691344414779799</v>
      </c>
      <c r="BZ177" s="515">
        <f>BZ373*BZ12*4</f>
        <v>56.860317284509769</v>
      </c>
      <c r="CA177" s="645">
        <f t="shared" si="284"/>
        <v>56.860317284509769</v>
      </c>
      <c r="CB177" s="1910"/>
      <c r="CC177" s="490"/>
      <c r="CD177" s="218" t="str">
        <f t="shared" si="249"/>
        <v>Prepaid Expenses and Other Receivables</v>
      </c>
      <c r="CE177" s="275">
        <f t="shared" si="254"/>
        <v>8.9290000000000003</v>
      </c>
      <c r="CF177" s="275">
        <f t="shared" si="255"/>
        <v>7.609</v>
      </c>
      <c r="CG177" s="275">
        <f t="shared" si="256"/>
        <v>13.01</v>
      </c>
      <c r="CH177" s="275">
        <f t="shared" si="257"/>
        <v>16.155000000000001</v>
      </c>
      <c r="CI177" s="275">
        <f t="shared" si="258"/>
        <v>17.791</v>
      </c>
      <c r="CJ177" s="275">
        <f t="shared" si="259"/>
        <v>21.905000000000001</v>
      </c>
      <c r="CK177" s="275">
        <f t="shared" si="260"/>
        <v>21.946000000000002</v>
      </c>
      <c r="CL177" s="275">
        <f t="shared" si="261"/>
        <v>25.657</v>
      </c>
      <c r="CM177" s="275">
        <f t="shared" si="262"/>
        <v>31.495999999999999</v>
      </c>
      <c r="CN177" s="275">
        <f t="shared" si="263"/>
        <v>40.741</v>
      </c>
      <c r="CO177" s="275">
        <f t="shared" si="264"/>
        <v>28.9</v>
      </c>
      <c r="CP177" s="275">
        <f t="shared" si="265"/>
        <v>38.1</v>
      </c>
      <c r="CQ177" s="275">
        <f t="shared" si="266"/>
        <v>43.360613276151405</v>
      </c>
      <c r="CR177" s="275">
        <f t="shared" si="267"/>
        <v>47.503099492215803</v>
      </c>
      <c r="CS177" s="275">
        <f t="shared" si="268"/>
        <v>51.966921751088471</v>
      </c>
      <c r="CT177" s="515">
        <f t="shared" si="269"/>
        <v>56.860317284509769</v>
      </c>
      <c r="CU177" s="6"/>
      <c r="DB177" s="636"/>
      <c r="DC177" s="1961"/>
      <c r="DD177" s="1961"/>
      <c r="DE177" s="1961"/>
      <c r="DF177" s="1961"/>
      <c r="DG177" s="1961"/>
      <c r="DH177" s="1961"/>
      <c r="DI177" s="275"/>
    </row>
    <row r="178" spans="1:113" ht="12" customHeight="1" x14ac:dyDescent="0.25">
      <c r="A178" s="218" t="s">
        <v>126</v>
      </c>
      <c r="B178" s="333"/>
      <c r="C178" s="265"/>
      <c r="D178" s="646">
        <v>19.018999999999998</v>
      </c>
      <c r="E178" s="326"/>
      <c r="F178" s="268"/>
      <c r="G178" s="647"/>
      <c r="H178" s="647">
        <v>22.654</v>
      </c>
      <c r="I178" s="644">
        <f t="shared" si="270"/>
        <v>22.654</v>
      </c>
      <c r="J178" s="647">
        <v>22.087</v>
      </c>
      <c r="K178" s="647">
        <v>22.654</v>
      </c>
      <c r="L178" s="647">
        <v>13.926</v>
      </c>
      <c r="M178" s="647">
        <v>4.49</v>
      </c>
      <c r="N178" s="644">
        <f t="shared" si="271"/>
        <v>4.49</v>
      </c>
      <c r="O178" s="647">
        <v>4.49</v>
      </c>
      <c r="P178" s="516">
        <v>4.49</v>
      </c>
      <c r="Q178" s="516">
        <v>4.49</v>
      </c>
      <c r="R178" s="516">
        <v>4.4050000000000002</v>
      </c>
      <c r="S178" s="644">
        <f t="shared" si="272"/>
        <v>4.4050000000000002</v>
      </c>
      <c r="T178" s="647">
        <v>4.4050000000000002</v>
      </c>
      <c r="U178" s="647">
        <v>4.4050000000000002</v>
      </c>
      <c r="V178" s="647">
        <v>4.4050000000000002</v>
      </c>
      <c r="W178" s="647">
        <v>3.681</v>
      </c>
      <c r="X178" s="510">
        <f t="shared" si="273"/>
        <v>3.681</v>
      </c>
      <c r="Y178" s="516">
        <v>3.681</v>
      </c>
      <c r="Z178" s="516">
        <v>3.681</v>
      </c>
      <c r="AA178" s="516">
        <v>3.681</v>
      </c>
      <c r="AB178" s="516">
        <v>3.8180000000000001</v>
      </c>
      <c r="AC178" s="510">
        <f t="shared" si="274"/>
        <v>3.8180000000000001</v>
      </c>
      <c r="AD178" s="516">
        <v>13.5</v>
      </c>
      <c r="AE178" s="516">
        <v>15.613</v>
      </c>
      <c r="AF178" s="516">
        <v>15.614000000000001</v>
      </c>
      <c r="AG178" s="516">
        <v>10.397</v>
      </c>
      <c r="AH178" s="510">
        <f t="shared" si="275"/>
        <v>10.397</v>
      </c>
      <c r="AI178" s="517">
        <v>10.462999999999999</v>
      </c>
      <c r="AJ178" s="516">
        <v>10.462999999999999</v>
      </c>
      <c r="AK178" s="516">
        <v>11.96</v>
      </c>
      <c r="AL178" s="516">
        <v>5.077</v>
      </c>
      <c r="AM178" s="510">
        <f t="shared" si="276"/>
        <v>5.077</v>
      </c>
      <c r="AN178" s="517">
        <v>5.0750000000000002</v>
      </c>
      <c r="AO178" s="516">
        <v>5.0759999999999996</v>
      </c>
      <c r="AP178" s="516">
        <v>5.0759999999999996</v>
      </c>
      <c r="AQ178" s="516">
        <v>4.7720000000000002</v>
      </c>
      <c r="AR178" s="510">
        <f t="shared" si="277"/>
        <v>4.7720000000000002</v>
      </c>
      <c r="AS178" s="517">
        <v>4.7699999999999996</v>
      </c>
      <c r="AT178" s="516">
        <v>4.7699999999999996</v>
      </c>
      <c r="AU178" s="516">
        <v>4.7690000000000001</v>
      </c>
      <c r="AV178" s="518">
        <v>0</v>
      </c>
      <c r="AW178" s="510">
        <f t="shared" si="278"/>
        <v>0</v>
      </c>
      <c r="AX178" s="516">
        <v>0</v>
      </c>
      <c r="AY178" s="516">
        <v>0</v>
      </c>
      <c r="AZ178" s="516">
        <v>0</v>
      </c>
      <c r="BA178" s="518">
        <v>0</v>
      </c>
      <c r="BB178" s="510">
        <f t="shared" si="279"/>
        <v>0</v>
      </c>
      <c r="BC178" s="1882">
        <v>0</v>
      </c>
      <c r="BD178" s="1882">
        <v>0</v>
      </c>
      <c r="BE178" s="1944">
        <v>0</v>
      </c>
      <c r="BF178" s="1944">
        <f>BE178</f>
        <v>0</v>
      </c>
      <c r="BG178" s="510">
        <f t="shared" si="280"/>
        <v>0</v>
      </c>
      <c r="BH178" s="514">
        <f t="shared" ref="BH178:BK179" si="285">BG178</f>
        <v>0</v>
      </c>
      <c r="BI178" s="514">
        <f t="shared" si="285"/>
        <v>0</v>
      </c>
      <c r="BJ178" s="514">
        <f t="shared" si="285"/>
        <v>0</v>
      </c>
      <c r="BK178" s="648">
        <f t="shared" si="285"/>
        <v>0</v>
      </c>
      <c r="BL178" s="510">
        <f t="shared" si="281"/>
        <v>0</v>
      </c>
      <c r="BM178" s="514">
        <f t="shared" ref="BM178:BP179" si="286">BL178</f>
        <v>0</v>
      </c>
      <c r="BN178" s="514">
        <f t="shared" si="286"/>
        <v>0</v>
      </c>
      <c r="BO178" s="514">
        <f t="shared" si="286"/>
        <v>0</v>
      </c>
      <c r="BP178" s="648">
        <f t="shared" si="286"/>
        <v>0</v>
      </c>
      <c r="BQ178" s="510">
        <f t="shared" si="282"/>
        <v>0</v>
      </c>
      <c r="BR178" s="514">
        <f t="shared" ref="BR178:BU179" si="287">BQ178</f>
        <v>0</v>
      </c>
      <c r="BS178" s="514">
        <f t="shared" si="287"/>
        <v>0</v>
      </c>
      <c r="BT178" s="514">
        <f t="shared" si="287"/>
        <v>0</v>
      </c>
      <c r="BU178" s="648">
        <f t="shared" si="287"/>
        <v>0</v>
      </c>
      <c r="BV178" s="510">
        <f t="shared" si="283"/>
        <v>0</v>
      </c>
      <c r="BW178" s="514">
        <f t="shared" ref="BW178:BZ179" si="288">BV178</f>
        <v>0</v>
      </c>
      <c r="BX178" s="514">
        <f t="shared" si="288"/>
        <v>0</v>
      </c>
      <c r="BY178" s="514">
        <f t="shared" si="288"/>
        <v>0</v>
      </c>
      <c r="BZ178" s="648">
        <f t="shared" si="288"/>
        <v>0</v>
      </c>
      <c r="CA178" s="510">
        <f t="shared" si="284"/>
        <v>0</v>
      </c>
      <c r="CB178" s="1910"/>
      <c r="CC178" s="490"/>
      <c r="CD178" s="218" t="str">
        <f t="shared" si="249"/>
        <v>Deferred Taxes</v>
      </c>
      <c r="CE178" s="126">
        <f t="shared" si="254"/>
        <v>19.018999999999998</v>
      </c>
      <c r="CF178" s="126">
        <f t="shared" si="255"/>
        <v>22.654</v>
      </c>
      <c r="CG178" s="126">
        <f t="shared" si="256"/>
        <v>4.49</v>
      </c>
      <c r="CH178" s="126">
        <f t="shared" si="257"/>
        <v>4.4050000000000002</v>
      </c>
      <c r="CI178" s="126">
        <f t="shared" si="258"/>
        <v>3.681</v>
      </c>
      <c r="CJ178" s="126">
        <f t="shared" si="259"/>
        <v>3.8180000000000001</v>
      </c>
      <c r="CK178" s="126">
        <f t="shared" si="260"/>
        <v>10.397</v>
      </c>
      <c r="CL178" s="126">
        <f t="shared" si="261"/>
        <v>5.077</v>
      </c>
      <c r="CM178" s="126">
        <f t="shared" si="262"/>
        <v>4.7720000000000002</v>
      </c>
      <c r="CN178" s="126">
        <f t="shared" si="263"/>
        <v>0</v>
      </c>
      <c r="CO178" s="126">
        <f t="shared" si="264"/>
        <v>0</v>
      </c>
      <c r="CP178" s="126">
        <f t="shared" si="265"/>
        <v>0</v>
      </c>
      <c r="CQ178" s="126">
        <f t="shared" si="266"/>
        <v>0</v>
      </c>
      <c r="CR178" s="126">
        <f t="shared" si="267"/>
        <v>0</v>
      </c>
      <c r="CS178" s="126">
        <f t="shared" si="268"/>
        <v>0</v>
      </c>
      <c r="CT178" s="520">
        <f t="shared" si="269"/>
        <v>0</v>
      </c>
      <c r="CU178" s="6"/>
      <c r="DB178" s="636"/>
      <c r="DC178" s="1961"/>
      <c r="DD178" s="1961"/>
      <c r="DE178" s="1961"/>
      <c r="DF178" s="1961"/>
      <c r="DG178" s="1961"/>
      <c r="DH178" s="1961"/>
      <c r="DI178" s="514"/>
    </row>
    <row r="179" spans="1:113" ht="12" customHeight="1" x14ac:dyDescent="0.25">
      <c r="A179" s="218" t="s">
        <v>172</v>
      </c>
      <c r="B179" s="333"/>
      <c r="C179" s="265"/>
      <c r="D179" s="646">
        <v>5.4489999999999998</v>
      </c>
      <c r="E179" s="326"/>
      <c r="F179" s="268"/>
      <c r="G179" s="647"/>
      <c r="H179" s="647">
        <f>4.561</f>
        <v>4.5609999999999999</v>
      </c>
      <c r="I179" s="644">
        <f t="shared" si="270"/>
        <v>4.5609999999999999</v>
      </c>
      <c r="J179" s="647">
        <v>0</v>
      </c>
      <c r="K179" s="647">
        <v>14.148</v>
      </c>
      <c r="L179" s="647">
        <v>21.54</v>
      </c>
      <c r="M179" s="647">
        <f>12.311+0.689</f>
        <v>13</v>
      </c>
      <c r="N179" s="644">
        <f t="shared" si="271"/>
        <v>13</v>
      </c>
      <c r="O179" s="647">
        <v>1.6140000000000001</v>
      </c>
      <c r="P179" s="516">
        <f>3.73+4.736</f>
        <v>8.4659999999999993</v>
      </c>
      <c r="Q179" s="516">
        <f>2.935+3.984</f>
        <v>6.9190000000000005</v>
      </c>
      <c r="R179" s="516">
        <f>16.721</f>
        <v>16.721</v>
      </c>
      <c r="S179" s="644">
        <f t="shared" si="272"/>
        <v>16.721</v>
      </c>
      <c r="T179" s="647">
        <v>0</v>
      </c>
      <c r="U179" s="647">
        <f>19.206+1.869</f>
        <v>21.074999999999999</v>
      </c>
      <c r="V179" s="647">
        <v>12.795999999999999</v>
      </c>
      <c r="W179" s="647">
        <f>15.783+8.923</f>
        <v>24.706</v>
      </c>
      <c r="X179" s="510">
        <f t="shared" si="273"/>
        <v>24.706</v>
      </c>
      <c r="Y179" s="516">
        <v>4.093</v>
      </c>
      <c r="Z179" s="516">
        <f>24.61+9.063</f>
        <v>33.673000000000002</v>
      </c>
      <c r="AA179" s="516">
        <f>2.141+3.606</f>
        <v>5.7469999999999999</v>
      </c>
      <c r="AB179" s="516">
        <f>25.242+11.433</f>
        <v>36.674999999999997</v>
      </c>
      <c r="AC179" s="510">
        <f t="shared" si="274"/>
        <v>36.674999999999997</v>
      </c>
      <c r="AD179" s="516">
        <f>18.891+4.856</f>
        <v>23.747</v>
      </c>
      <c r="AE179" s="516">
        <f>27.705+3.638</f>
        <v>31.342999999999996</v>
      </c>
      <c r="AF179" s="516">
        <v>8.5380000000000003</v>
      </c>
      <c r="AG179" s="516">
        <v>45.975000000000001</v>
      </c>
      <c r="AH179" s="510">
        <f t="shared" si="275"/>
        <v>45.975000000000001</v>
      </c>
      <c r="AI179" s="517">
        <v>15.08</v>
      </c>
      <c r="AJ179" s="516">
        <v>54.012999999999998</v>
      </c>
      <c r="AK179" s="516">
        <v>42.191000000000003</v>
      </c>
      <c r="AL179" s="516">
        <v>67.346000000000004</v>
      </c>
      <c r="AM179" s="510">
        <f t="shared" si="276"/>
        <v>67.346000000000004</v>
      </c>
      <c r="AN179" s="517">
        <v>7.4989999999999997</v>
      </c>
      <c r="AO179" s="516">
        <v>28.5</v>
      </c>
      <c r="AP179" s="516">
        <v>30.111999999999998</v>
      </c>
      <c r="AQ179" s="516">
        <v>65.512</v>
      </c>
      <c r="AR179" s="510">
        <f t="shared" si="277"/>
        <v>65.512</v>
      </c>
      <c r="AS179" s="517">
        <v>12.792999999999999</v>
      </c>
      <c r="AT179" s="516">
        <v>65.182000000000002</v>
      </c>
      <c r="AU179" s="516">
        <v>45.209000000000003</v>
      </c>
      <c r="AV179" s="518">
        <v>48.853000000000002</v>
      </c>
      <c r="AW179" s="510">
        <f t="shared" si="278"/>
        <v>48.853000000000002</v>
      </c>
      <c r="AX179" s="516">
        <v>8.5609999999999999</v>
      </c>
      <c r="AY179" s="516">
        <v>5.7480000000000002</v>
      </c>
      <c r="AZ179" s="516">
        <v>11.236000000000001</v>
      </c>
      <c r="BA179" s="518">
        <v>49.3</v>
      </c>
      <c r="BB179" s="510">
        <f t="shared" si="279"/>
        <v>49.3</v>
      </c>
      <c r="BC179" s="1882">
        <v>3.3</v>
      </c>
      <c r="BD179" s="1882">
        <v>52.1</v>
      </c>
      <c r="BE179" s="1944">
        <v>34.299999999999997</v>
      </c>
      <c r="BF179" s="1944">
        <v>28.8</v>
      </c>
      <c r="BG179" s="510">
        <f t="shared" si="280"/>
        <v>28.8</v>
      </c>
      <c r="BH179" s="514">
        <f t="shared" si="285"/>
        <v>28.8</v>
      </c>
      <c r="BI179" s="514">
        <f t="shared" si="285"/>
        <v>28.8</v>
      </c>
      <c r="BJ179" s="514">
        <f t="shared" si="285"/>
        <v>28.8</v>
      </c>
      <c r="BK179" s="648">
        <f t="shared" si="285"/>
        <v>28.8</v>
      </c>
      <c r="BL179" s="510">
        <f t="shared" si="281"/>
        <v>28.8</v>
      </c>
      <c r="BM179" s="514">
        <f t="shared" si="286"/>
        <v>28.8</v>
      </c>
      <c r="BN179" s="514">
        <f t="shared" si="286"/>
        <v>28.8</v>
      </c>
      <c r="BO179" s="514">
        <f t="shared" si="286"/>
        <v>28.8</v>
      </c>
      <c r="BP179" s="648">
        <f t="shared" si="286"/>
        <v>28.8</v>
      </c>
      <c r="BQ179" s="510">
        <f t="shared" si="282"/>
        <v>28.8</v>
      </c>
      <c r="BR179" s="514">
        <f t="shared" si="287"/>
        <v>28.8</v>
      </c>
      <c r="BS179" s="514">
        <f t="shared" si="287"/>
        <v>28.8</v>
      </c>
      <c r="BT179" s="514">
        <f t="shared" si="287"/>
        <v>28.8</v>
      </c>
      <c r="BU179" s="648">
        <f t="shared" si="287"/>
        <v>28.8</v>
      </c>
      <c r="BV179" s="510">
        <f t="shared" si="283"/>
        <v>28.8</v>
      </c>
      <c r="BW179" s="514">
        <f t="shared" si="288"/>
        <v>28.8</v>
      </c>
      <c r="BX179" s="514">
        <f t="shared" si="288"/>
        <v>28.8</v>
      </c>
      <c r="BY179" s="514">
        <f t="shared" si="288"/>
        <v>28.8</v>
      </c>
      <c r="BZ179" s="648">
        <f t="shared" si="288"/>
        <v>28.8</v>
      </c>
      <c r="CA179" s="510">
        <f t="shared" si="284"/>
        <v>28.8</v>
      </c>
      <c r="CB179" s="1910"/>
      <c r="CC179" s="490"/>
      <c r="CD179" s="218" t="str">
        <f t="shared" si="249"/>
        <v>Income Tax  Receivable</v>
      </c>
      <c r="CE179" s="126">
        <f t="shared" si="254"/>
        <v>5.4489999999999998</v>
      </c>
      <c r="CF179" s="126">
        <f t="shared" si="255"/>
        <v>4.5609999999999999</v>
      </c>
      <c r="CG179" s="126">
        <f t="shared" si="256"/>
        <v>13</v>
      </c>
      <c r="CH179" s="126">
        <f t="shared" si="257"/>
        <v>16.721</v>
      </c>
      <c r="CI179" s="126">
        <f t="shared" si="258"/>
        <v>24.706</v>
      </c>
      <c r="CJ179" s="126">
        <f t="shared" si="259"/>
        <v>36.674999999999997</v>
      </c>
      <c r="CK179" s="126">
        <f t="shared" si="260"/>
        <v>45.975000000000001</v>
      </c>
      <c r="CL179" s="126">
        <f t="shared" si="261"/>
        <v>67.346000000000004</v>
      </c>
      <c r="CM179" s="126">
        <f t="shared" si="262"/>
        <v>65.512</v>
      </c>
      <c r="CN179" s="126">
        <f t="shared" si="263"/>
        <v>48.853000000000002</v>
      </c>
      <c r="CO179" s="126">
        <f t="shared" si="264"/>
        <v>49.3</v>
      </c>
      <c r="CP179" s="126">
        <f t="shared" si="265"/>
        <v>28.8</v>
      </c>
      <c r="CQ179" s="126">
        <f t="shared" si="266"/>
        <v>28.8</v>
      </c>
      <c r="CR179" s="126">
        <f t="shared" si="267"/>
        <v>28.8</v>
      </c>
      <c r="CS179" s="126">
        <f t="shared" si="268"/>
        <v>28.8</v>
      </c>
      <c r="CT179" s="520">
        <f t="shared" si="269"/>
        <v>28.8</v>
      </c>
      <c r="CU179" s="6"/>
      <c r="DB179" s="636"/>
      <c r="DC179" s="636"/>
      <c r="DD179" s="1961"/>
      <c r="DE179" s="1961"/>
      <c r="DF179" s="1961"/>
      <c r="DG179" s="1961"/>
      <c r="DH179" s="1961"/>
      <c r="DI179" s="514"/>
    </row>
    <row r="180" spans="1:113" ht="12" customHeight="1" x14ac:dyDescent="0.25">
      <c r="A180" s="218" t="s">
        <v>173</v>
      </c>
      <c r="B180" s="517"/>
      <c r="C180" s="278"/>
      <c r="D180" s="646">
        <v>13.191000000000001</v>
      </c>
      <c r="E180" s="326"/>
      <c r="F180" s="516"/>
      <c r="G180" s="647"/>
      <c r="H180" s="647">
        <v>8.5250000000000004</v>
      </c>
      <c r="I180" s="644">
        <f t="shared" si="270"/>
        <v>8.5250000000000004</v>
      </c>
      <c r="J180" s="647">
        <v>7.7729999999999997</v>
      </c>
      <c r="K180" s="647">
        <v>15.555999999999999</v>
      </c>
      <c r="L180" s="647">
        <v>17.452000000000002</v>
      </c>
      <c r="M180" s="647">
        <v>16.187000000000001</v>
      </c>
      <c r="N180" s="644">
        <f t="shared" si="271"/>
        <v>16.187000000000001</v>
      </c>
      <c r="O180" s="647">
        <v>15.109</v>
      </c>
      <c r="P180" s="516">
        <v>24.024000000000001</v>
      </c>
      <c r="Q180" s="516">
        <f>22.63</f>
        <v>22.63</v>
      </c>
      <c r="R180" s="516">
        <v>21.655999999999999</v>
      </c>
      <c r="S180" s="644">
        <f t="shared" si="272"/>
        <v>21.655999999999999</v>
      </c>
      <c r="T180" s="647">
        <v>20.88</v>
      </c>
      <c r="U180" s="647">
        <v>7.9619999999999997</v>
      </c>
      <c r="V180" s="647">
        <v>7.5659999999999998</v>
      </c>
      <c r="W180" s="647">
        <v>7.0659999999999998</v>
      </c>
      <c r="X180" s="644">
        <f t="shared" si="273"/>
        <v>7.0659999999999998</v>
      </c>
      <c r="Y180" s="516">
        <v>7.7050000000000001</v>
      </c>
      <c r="Z180" s="516">
        <v>29.155000000000001</v>
      </c>
      <c r="AA180" s="516">
        <v>28.268000000000001</v>
      </c>
      <c r="AB180" s="516">
        <v>41.247999999999998</v>
      </c>
      <c r="AC180" s="644">
        <f t="shared" si="274"/>
        <v>41.247999999999998</v>
      </c>
      <c r="AD180" s="516">
        <v>39.536000000000001</v>
      </c>
      <c r="AE180" s="516">
        <v>46.46</v>
      </c>
      <c r="AF180" s="516">
        <v>33.613</v>
      </c>
      <c r="AG180" s="516">
        <f>39.109</f>
        <v>39.109000000000002</v>
      </c>
      <c r="AH180" s="644">
        <f t="shared" si="275"/>
        <v>39.109000000000002</v>
      </c>
      <c r="AI180" s="517">
        <v>31.629000000000001</v>
      </c>
      <c r="AJ180" s="516">
        <v>34.695</v>
      </c>
      <c r="AK180" s="516">
        <v>28.709</v>
      </c>
      <c r="AL180" s="516">
        <f>34.681+13.825</f>
        <v>48.506</v>
      </c>
      <c r="AM180" s="644">
        <f t="shared" si="276"/>
        <v>48.506</v>
      </c>
      <c r="AN180" s="517">
        <v>35.478000000000002</v>
      </c>
      <c r="AO180" s="516">
        <v>32.545999999999999</v>
      </c>
      <c r="AP180" s="516">
        <v>14.382999999999999</v>
      </c>
      <c r="AQ180" s="516">
        <v>18.875</v>
      </c>
      <c r="AR180" s="644">
        <f t="shared" si="277"/>
        <v>18.875</v>
      </c>
      <c r="AS180" s="517">
        <v>23.35</v>
      </c>
      <c r="AT180" s="516">
        <v>85.962000000000003</v>
      </c>
      <c r="AU180" s="516">
        <v>83.2</v>
      </c>
      <c r="AV180" s="518">
        <v>52.951999999999998</v>
      </c>
      <c r="AW180" s="644">
        <f t="shared" si="278"/>
        <v>52.951999999999998</v>
      </c>
      <c r="AX180" s="516">
        <f>52.307+62.485</f>
        <v>114.792</v>
      </c>
      <c r="AY180" s="516">
        <v>19.199000000000002</v>
      </c>
      <c r="AZ180" s="516">
        <v>26.265999999999998</v>
      </c>
      <c r="BA180" s="518">
        <v>20.3</v>
      </c>
      <c r="BB180" s="645">
        <f t="shared" si="279"/>
        <v>20.3</v>
      </c>
      <c r="BC180" s="1882">
        <v>28.2</v>
      </c>
      <c r="BD180" s="1882">
        <v>20.8</v>
      </c>
      <c r="BE180" s="1944">
        <v>36.5</v>
      </c>
      <c r="BF180" s="1944">
        <v>39.1</v>
      </c>
      <c r="BG180" s="645">
        <f t="shared" si="280"/>
        <v>39.1</v>
      </c>
      <c r="BH180" s="126">
        <f>BH369*BH12*4</f>
        <v>31.878119379228018</v>
      </c>
      <c r="BI180" s="126">
        <f>BI369*BI12*4</f>
        <v>23.164727828746177</v>
      </c>
      <c r="BJ180" s="126">
        <f>BJ369*BJ12*4</f>
        <v>39.765678686335228</v>
      </c>
      <c r="BK180" s="520">
        <f>BK369*BK12*4</f>
        <v>41.845775732070841</v>
      </c>
      <c r="BL180" s="645">
        <f t="shared" si="281"/>
        <v>41.845775732070841</v>
      </c>
      <c r="BM180" s="126">
        <f>BM369*BM12*4</f>
        <v>33.684823973338638</v>
      </c>
      <c r="BN180" s="126">
        <f>BN369*BN12*4</f>
        <v>24.499122767584097</v>
      </c>
      <c r="BO180" s="126">
        <f>BO369*BO12*4</f>
        <v>42.067104419732296</v>
      </c>
      <c r="BP180" s="520">
        <f>BP369*BP12*4</f>
        <v>44.304103731369459</v>
      </c>
      <c r="BQ180" s="645">
        <f t="shared" si="282"/>
        <v>44.304103731369459</v>
      </c>
      <c r="BR180" s="126">
        <f>BR369*BR12*4</f>
        <v>35.572815513509759</v>
      </c>
      <c r="BS180" s="126">
        <f>BS369*BS12*4</f>
        <v>25.874247535321103</v>
      </c>
      <c r="BT180" s="126">
        <f>BT369*BT12*4</f>
        <v>44.435094839248329</v>
      </c>
      <c r="BU180" s="520">
        <f>BU369*BU12*4</f>
        <v>46.795427742802033</v>
      </c>
      <c r="BV180" s="645">
        <f t="shared" si="283"/>
        <v>46.795427742802033</v>
      </c>
      <c r="BW180" s="126">
        <f>BW369*BW12*4</f>
        <v>37.571311653831479</v>
      </c>
      <c r="BX180" s="126">
        <f>BX369*BX12*4</f>
        <v>27.330009176405202</v>
      </c>
      <c r="BY180" s="126">
        <f>BY369*BY12*4</f>
        <v>46.942269175636397</v>
      </c>
      <c r="BZ180" s="520">
        <f>BZ369*BZ12*4</f>
        <v>49.433074367737689</v>
      </c>
      <c r="CA180" s="645">
        <f t="shared" si="284"/>
        <v>49.433074367737689</v>
      </c>
      <c r="CB180" s="1910"/>
      <c r="CC180" s="490"/>
      <c r="CD180" s="218" t="str">
        <f t="shared" si="249"/>
        <v>Other Current Assets</v>
      </c>
      <c r="CE180" s="126">
        <f t="shared" si="254"/>
        <v>13.191000000000001</v>
      </c>
      <c r="CF180" s="126">
        <f t="shared" si="255"/>
        <v>8.5250000000000004</v>
      </c>
      <c r="CG180" s="126">
        <f t="shared" si="256"/>
        <v>16.187000000000001</v>
      </c>
      <c r="CH180" s="126">
        <f t="shared" si="257"/>
        <v>21.655999999999999</v>
      </c>
      <c r="CI180" s="126">
        <f t="shared" si="258"/>
        <v>7.0659999999999998</v>
      </c>
      <c r="CJ180" s="126">
        <f t="shared" si="259"/>
        <v>41.247999999999998</v>
      </c>
      <c r="CK180" s="126">
        <f t="shared" si="260"/>
        <v>39.109000000000002</v>
      </c>
      <c r="CL180" s="126">
        <f t="shared" si="261"/>
        <v>48.506</v>
      </c>
      <c r="CM180" s="126">
        <f t="shared" si="262"/>
        <v>18.875</v>
      </c>
      <c r="CN180" s="126">
        <f t="shared" si="263"/>
        <v>52.951999999999998</v>
      </c>
      <c r="CO180" s="126">
        <f t="shared" si="264"/>
        <v>20.3</v>
      </c>
      <c r="CP180" s="126">
        <f t="shared" si="265"/>
        <v>39.1</v>
      </c>
      <c r="CQ180" s="126">
        <f t="shared" si="266"/>
        <v>41.845775732070841</v>
      </c>
      <c r="CR180" s="126">
        <f t="shared" si="267"/>
        <v>44.304103731369459</v>
      </c>
      <c r="CS180" s="126">
        <f t="shared" si="268"/>
        <v>46.795427742802033</v>
      </c>
      <c r="CT180" s="520">
        <f t="shared" si="269"/>
        <v>49.433074367737689</v>
      </c>
      <c r="CU180" s="6"/>
      <c r="DB180" s="636">
        <v>11.46</v>
      </c>
      <c r="DC180" s="636"/>
      <c r="DD180" s="1961"/>
      <c r="DE180" s="1961"/>
      <c r="DF180" s="1961"/>
      <c r="DG180" s="1961"/>
      <c r="DH180" s="1961"/>
      <c r="DI180" s="126"/>
    </row>
    <row r="181" spans="1:113" ht="5.0999999999999996" customHeight="1" x14ac:dyDescent="0.25">
      <c r="A181" s="530"/>
      <c r="B181" s="649"/>
      <c r="C181" s="258" t="s">
        <v>60</v>
      </c>
      <c r="D181" s="258" t="s">
        <v>60</v>
      </c>
      <c r="E181" s="135" t="s">
        <v>60</v>
      </c>
      <c r="F181" s="259" t="s">
        <v>60</v>
      </c>
      <c r="G181" s="259" t="s">
        <v>60</v>
      </c>
      <c r="H181" s="259" t="s">
        <v>60</v>
      </c>
      <c r="I181" s="134" t="s">
        <v>60</v>
      </c>
      <c r="J181" s="259" t="s">
        <v>60</v>
      </c>
      <c r="K181" s="259" t="s">
        <v>60</v>
      </c>
      <c r="L181" s="259" t="s">
        <v>60</v>
      </c>
      <c r="M181" s="259" t="s">
        <v>60</v>
      </c>
      <c r="N181" s="134" t="s">
        <v>60</v>
      </c>
      <c r="O181" s="259" t="s">
        <v>60</v>
      </c>
      <c r="P181" s="259" t="s">
        <v>60</v>
      </c>
      <c r="Q181" s="259" t="s">
        <v>60</v>
      </c>
      <c r="R181" s="259" t="s">
        <v>60</v>
      </c>
      <c r="S181" s="134" t="s">
        <v>60</v>
      </c>
      <c r="T181" s="259" t="s">
        <v>60</v>
      </c>
      <c r="U181" s="259" t="s">
        <v>60</v>
      </c>
      <c r="V181" s="259" t="s">
        <v>60</v>
      </c>
      <c r="W181" s="259" t="s">
        <v>60</v>
      </c>
      <c r="X181" s="134" t="s">
        <v>60</v>
      </c>
      <c r="Y181" s="135" t="s">
        <v>60</v>
      </c>
      <c r="Z181" s="135" t="s">
        <v>60</v>
      </c>
      <c r="AA181" s="135" t="s">
        <v>60</v>
      </c>
      <c r="AB181" s="135" t="s">
        <v>60</v>
      </c>
      <c r="AC181" s="134" t="s">
        <v>60</v>
      </c>
      <c r="AD181" s="135" t="s">
        <v>60</v>
      </c>
      <c r="AE181" s="259" t="s">
        <v>60</v>
      </c>
      <c r="AF181" s="259" t="s">
        <v>60</v>
      </c>
      <c r="AG181" s="259" t="s">
        <v>60</v>
      </c>
      <c r="AH181" s="134" t="s">
        <v>60</v>
      </c>
      <c r="AI181" s="205" t="s">
        <v>60</v>
      </c>
      <c r="AJ181" s="259" t="s">
        <v>60</v>
      </c>
      <c r="AK181" s="259" t="s">
        <v>60</v>
      </c>
      <c r="AL181" s="259" t="s">
        <v>60</v>
      </c>
      <c r="AM181" s="134" t="s">
        <v>60</v>
      </c>
      <c r="AN181" s="205" t="s">
        <v>60</v>
      </c>
      <c r="AO181" s="259" t="s">
        <v>60</v>
      </c>
      <c r="AP181" s="259" t="s">
        <v>60</v>
      </c>
      <c r="AQ181" s="259" t="s">
        <v>60</v>
      </c>
      <c r="AR181" s="134" t="s">
        <v>60</v>
      </c>
      <c r="AS181" s="205" t="s">
        <v>60</v>
      </c>
      <c r="AT181" s="259" t="s">
        <v>60</v>
      </c>
      <c r="AU181" s="259" t="s">
        <v>60</v>
      </c>
      <c r="AV181" s="650" t="s">
        <v>60</v>
      </c>
      <c r="AW181" s="134" t="s">
        <v>60</v>
      </c>
      <c r="AX181" s="259" t="s">
        <v>60</v>
      </c>
      <c r="AY181" s="259" t="s">
        <v>60</v>
      </c>
      <c r="AZ181" s="259" t="s">
        <v>60</v>
      </c>
      <c r="BA181" s="650" t="s">
        <v>60</v>
      </c>
      <c r="BB181" s="134" t="s">
        <v>60</v>
      </c>
      <c r="BC181" s="259" t="s">
        <v>60</v>
      </c>
      <c r="BD181" s="259" t="s">
        <v>60</v>
      </c>
      <c r="BE181" s="259" t="s">
        <v>60</v>
      </c>
      <c r="BF181" s="259" t="s">
        <v>60</v>
      </c>
      <c r="BG181" s="134" t="s">
        <v>60</v>
      </c>
      <c r="BH181" s="259" t="s">
        <v>60</v>
      </c>
      <c r="BI181" s="259" t="s">
        <v>60</v>
      </c>
      <c r="BJ181" s="259" t="s">
        <v>60</v>
      </c>
      <c r="BK181" s="650" t="s">
        <v>60</v>
      </c>
      <c r="BL181" s="134" t="s">
        <v>60</v>
      </c>
      <c r="BM181" s="259" t="s">
        <v>60</v>
      </c>
      <c r="BN181" s="259" t="s">
        <v>60</v>
      </c>
      <c r="BO181" s="259" t="s">
        <v>60</v>
      </c>
      <c r="BP181" s="650" t="s">
        <v>60</v>
      </c>
      <c r="BQ181" s="134" t="s">
        <v>60</v>
      </c>
      <c r="BR181" s="259" t="s">
        <v>60</v>
      </c>
      <c r="BS181" s="259" t="s">
        <v>60</v>
      </c>
      <c r="BT181" s="259" t="s">
        <v>60</v>
      </c>
      <c r="BU181" s="650" t="s">
        <v>60</v>
      </c>
      <c r="BV181" s="134" t="s">
        <v>60</v>
      </c>
      <c r="BW181" s="259" t="s">
        <v>60</v>
      </c>
      <c r="BX181" s="259" t="s">
        <v>60</v>
      </c>
      <c r="BY181" s="259" t="s">
        <v>60</v>
      </c>
      <c r="BZ181" s="650" t="s">
        <v>60</v>
      </c>
      <c r="CA181" s="134" t="s">
        <v>60</v>
      </c>
      <c r="CB181" s="1910"/>
      <c r="CC181" s="651"/>
      <c r="CD181" s="530"/>
      <c r="CE181" s="259"/>
      <c r="CF181" s="259"/>
      <c r="CG181" s="259"/>
      <c r="CH181" s="259"/>
      <c r="CI181" s="259"/>
      <c r="CJ181" s="259"/>
      <c r="CK181" s="259"/>
      <c r="CL181" s="259"/>
      <c r="CM181" s="259"/>
      <c r="CN181" s="259"/>
      <c r="CO181" s="259"/>
      <c r="CP181" s="259"/>
      <c r="CQ181" s="259"/>
      <c r="CR181" s="259"/>
      <c r="CS181" s="259"/>
      <c r="CT181" s="650"/>
      <c r="CU181" s="6"/>
      <c r="DB181" s="636"/>
      <c r="DC181" s="636"/>
      <c r="DD181" s="1961"/>
      <c r="DE181" s="1961"/>
      <c r="DF181" s="1961"/>
      <c r="DG181" s="1961"/>
      <c r="DH181" s="1961"/>
      <c r="DI181" s="259"/>
    </row>
    <row r="182" spans="1:113" ht="12" customHeight="1" x14ac:dyDescent="0.25">
      <c r="A182" s="212" t="s">
        <v>174</v>
      </c>
      <c r="B182" s="138"/>
      <c r="C182" s="71">
        <f t="shared" ref="C182:AQ182" si="289">SUM(C173:C180)</f>
        <v>42.822000000000074</v>
      </c>
      <c r="D182" s="71">
        <f t="shared" si="289"/>
        <v>248.99300000000002</v>
      </c>
      <c r="E182" s="74">
        <f t="shared" si="289"/>
        <v>125.87800000000003</v>
      </c>
      <c r="F182" s="74">
        <f t="shared" si="289"/>
        <v>39.826000000000036</v>
      </c>
      <c r="G182" s="74">
        <f t="shared" si="289"/>
        <v>40.729000000000028</v>
      </c>
      <c r="H182" s="74">
        <f t="shared" si="289"/>
        <v>182.58300000000008</v>
      </c>
      <c r="I182" s="71">
        <f t="shared" si="289"/>
        <v>182.58300000000006</v>
      </c>
      <c r="J182" s="74">
        <f t="shared" si="289"/>
        <v>184.84800000000001</v>
      </c>
      <c r="K182" s="74">
        <f t="shared" si="289"/>
        <v>224.62100000000004</v>
      </c>
      <c r="L182" s="74">
        <f t="shared" si="289"/>
        <v>204.655</v>
      </c>
      <c r="M182" s="74">
        <f t="shared" si="289"/>
        <v>168.92700000000005</v>
      </c>
      <c r="N182" s="71">
        <f t="shared" si="289"/>
        <v>168.92700000000008</v>
      </c>
      <c r="O182" s="74">
        <f t="shared" si="289"/>
        <v>204.23000000000008</v>
      </c>
      <c r="P182" s="74">
        <f t="shared" si="289"/>
        <v>212.49500000000009</v>
      </c>
      <c r="Q182" s="74">
        <f t="shared" si="289"/>
        <v>220.76300000000012</v>
      </c>
      <c r="R182" s="74">
        <f t="shared" si="289"/>
        <v>225.34500000000014</v>
      </c>
      <c r="S182" s="71">
        <f t="shared" si="289"/>
        <v>225.34500000000014</v>
      </c>
      <c r="T182" s="74">
        <f t="shared" si="289"/>
        <v>315.84900000000005</v>
      </c>
      <c r="U182" s="74">
        <f t="shared" si="289"/>
        <v>285.49000000000007</v>
      </c>
      <c r="V182" s="74">
        <f t="shared" si="289"/>
        <v>285.77200000000011</v>
      </c>
      <c r="W182" s="74">
        <f t="shared" si="289"/>
        <v>240.43500000000017</v>
      </c>
      <c r="X182" s="71">
        <f t="shared" si="289"/>
        <v>240.435</v>
      </c>
      <c r="Y182" s="74">
        <f t="shared" si="289"/>
        <v>311.69800000000004</v>
      </c>
      <c r="Z182" s="74">
        <f t="shared" si="289"/>
        <v>295.47700000000009</v>
      </c>
      <c r="AA182" s="74">
        <f t="shared" si="289"/>
        <v>271.76400000000024</v>
      </c>
      <c r="AB182" s="74">
        <f t="shared" si="289"/>
        <v>453.65400000000011</v>
      </c>
      <c r="AC182" s="71">
        <f t="shared" si="289"/>
        <v>453.65399999999988</v>
      </c>
      <c r="AD182" s="74">
        <f t="shared" si="289"/>
        <v>419.84000000000003</v>
      </c>
      <c r="AE182" s="74">
        <f t="shared" si="289"/>
        <v>397.49499999999995</v>
      </c>
      <c r="AF182" s="74">
        <f t="shared" si="289"/>
        <v>361.33699999999993</v>
      </c>
      <c r="AG182" s="74">
        <f t="shared" si="289"/>
        <v>390.55899999999991</v>
      </c>
      <c r="AH182" s="71">
        <f t="shared" si="289"/>
        <v>390.55899999999997</v>
      </c>
      <c r="AI182" s="138">
        <f t="shared" si="289"/>
        <v>552.54300000000001</v>
      </c>
      <c r="AJ182" s="74">
        <f t="shared" si="289"/>
        <v>492.48499999999984</v>
      </c>
      <c r="AK182" s="74">
        <f t="shared" si="289"/>
        <v>459.1119999999998</v>
      </c>
      <c r="AL182" s="74">
        <f t="shared" si="289"/>
        <v>474.86299999999994</v>
      </c>
      <c r="AM182" s="71">
        <f t="shared" si="289"/>
        <v>474.84500000000003</v>
      </c>
      <c r="AN182" s="138">
        <f t="shared" si="289"/>
        <v>679.20400000000006</v>
      </c>
      <c r="AO182" s="74">
        <f t="shared" si="289"/>
        <v>704.5630000000001</v>
      </c>
      <c r="AP182" s="74">
        <f t="shared" si="289"/>
        <v>705.65200000000016</v>
      </c>
      <c r="AQ182" s="74">
        <f t="shared" si="289"/>
        <v>384.483</v>
      </c>
      <c r="AR182" s="71">
        <f>SUM(AR173:AR180)</f>
        <v>384.483</v>
      </c>
      <c r="AS182" s="138">
        <f>SUM(AS173:AS180)</f>
        <v>453.99299999999999</v>
      </c>
      <c r="AT182" s="74">
        <f>SUM(AT173:AT180)</f>
        <v>609.98999999999955</v>
      </c>
      <c r="AU182" s="74">
        <f>SUM(AU173:AU180)</f>
        <v>617.76199999999972</v>
      </c>
      <c r="AV182" s="141">
        <f>SUM(AV173:AV180)</f>
        <v>604.58999999999946</v>
      </c>
      <c r="AW182" s="71">
        <f t="shared" ref="AW182:BG182" si="290">SUM(AW173:AW180)</f>
        <v>604.58999999999946</v>
      </c>
      <c r="AX182" s="74">
        <f t="shared" si="290"/>
        <v>586.80399999999952</v>
      </c>
      <c r="AY182" s="74">
        <f t="shared" si="290"/>
        <v>496.93799999999953</v>
      </c>
      <c r="AZ182" s="74">
        <f t="shared" si="290"/>
        <v>464.32199999999966</v>
      </c>
      <c r="BA182" s="141">
        <f t="shared" si="290"/>
        <v>500.93199999999945</v>
      </c>
      <c r="BB182" s="77">
        <f t="shared" si="290"/>
        <v>500.93199999999933</v>
      </c>
      <c r="BC182" s="74">
        <f t="shared" si="290"/>
        <v>513.83199999999931</v>
      </c>
      <c r="BD182" s="74">
        <f t="shared" si="290"/>
        <v>522.83199999999931</v>
      </c>
      <c r="BE182" s="74">
        <f t="shared" si="290"/>
        <v>544.73199999999929</v>
      </c>
      <c r="BF182" s="74">
        <f t="shared" si="290"/>
        <v>597.63199999999927</v>
      </c>
      <c r="BG182" s="77">
        <f t="shared" si="290"/>
        <v>597.63199999999927</v>
      </c>
      <c r="BH182" s="74">
        <f t="shared" ref="BH182:CA182" si="291">SUM(BH173:BH180)</f>
        <v>815.3252308668483</v>
      </c>
      <c r="BI182" s="74">
        <f t="shared" si="291"/>
        <v>765.35229146002234</v>
      </c>
      <c r="BJ182" s="74">
        <f t="shared" si="291"/>
        <v>772.58480758275834</v>
      </c>
      <c r="BK182" s="141">
        <f t="shared" si="291"/>
        <v>759.99171924988786</v>
      </c>
      <c r="BL182" s="77">
        <f t="shared" si="291"/>
        <v>759.99171924988786</v>
      </c>
      <c r="BM182" s="74">
        <f t="shared" si="291"/>
        <v>955.75067734681102</v>
      </c>
      <c r="BN182" s="74">
        <f t="shared" si="291"/>
        <v>875.82976660009467</v>
      </c>
      <c r="BO182" s="74">
        <f t="shared" si="291"/>
        <v>855.80238119312889</v>
      </c>
      <c r="BP182" s="141">
        <f t="shared" si="291"/>
        <v>815.35088447526823</v>
      </c>
      <c r="BQ182" s="77">
        <f t="shared" si="291"/>
        <v>815.35088447526823</v>
      </c>
      <c r="BR182" s="74">
        <f t="shared" si="291"/>
        <v>1013.4124039020176</v>
      </c>
      <c r="BS182" s="74">
        <f t="shared" si="291"/>
        <v>921.54185503785629</v>
      </c>
      <c r="BT182" s="74">
        <f t="shared" si="291"/>
        <v>892.87079957313006</v>
      </c>
      <c r="BU182" s="141">
        <f t="shared" si="291"/>
        <v>842.83224384686991</v>
      </c>
      <c r="BV182" s="77">
        <f t="shared" si="291"/>
        <v>842.8322438468698</v>
      </c>
      <c r="BW182" s="74">
        <f t="shared" si="291"/>
        <v>1068.1529655084498</v>
      </c>
      <c r="BX182" s="74">
        <f t="shared" si="291"/>
        <v>987.36486207917778</v>
      </c>
      <c r="BY182" s="74">
        <f t="shared" si="291"/>
        <v>973.36711384449018</v>
      </c>
      <c r="BZ182" s="141">
        <f t="shared" si="291"/>
        <v>937.12541200964438</v>
      </c>
      <c r="CA182" s="77">
        <f t="shared" si="291"/>
        <v>937.12541200964438</v>
      </c>
      <c r="CB182" s="1910"/>
      <c r="CC182" s="431"/>
      <c r="CD182" s="212" t="str">
        <f>A182</f>
        <v xml:space="preserve">Total Current Assets </v>
      </c>
      <c r="CE182" s="74">
        <f>D182</f>
        <v>248.99300000000002</v>
      </c>
      <c r="CF182" s="74">
        <f>I182</f>
        <v>182.58300000000006</v>
      </c>
      <c r="CG182" s="74">
        <f>N182</f>
        <v>168.92700000000008</v>
      </c>
      <c r="CH182" s="74">
        <f>S182</f>
        <v>225.34500000000014</v>
      </c>
      <c r="CI182" s="74">
        <f>X182</f>
        <v>240.435</v>
      </c>
      <c r="CJ182" s="74">
        <f>AC182</f>
        <v>453.65399999999988</v>
      </c>
      <c r="CK182" s="74">
        <f>AH182</f>
        <v>390.55899999999997</v>
      </c>
      <c r="CL182" s="74">
        <f>AM182</f>
        <v>474.84500000000003</v>
      </c>
      <c r="CM182" s="74">
        <f>AR182</f>
        <v>384.483</v>
      </c>
      <c r="CN182" s="74">
        <f>AW182</f>
        <v>604.58999999999946</v>
      </c>
      <c r="CO182" s="74">
        <f>BB182</f>
        <v>500.93199999999933</v>
      </c>
      <c r="CP182" s="74">
        <f>BG182</f>
        <v>597.63199999999927</v>
      </c>
      <c r="CQ182" s="74">
        <f>BL182</f>
        <v>759.99171924988786</v>
      </c>
      <c r="CR182" s="74">
        <f>BQ182</f>
        <v>815.35088447526823</v>
      </c>
      <c r="CS182" s="74">
        <f>BV182</f>
        <v>842.8322438468698</v>
      </c>
      <c r="CT182" s="141">
        <f>CA182</f>
        <v>937.12541200964438</v>
      </c>
      <c r="CU182" s="6"/>
      <c r="DB182" s="636"/>
      <c r="DC182" s="636"/>
      <c r="DD182" s="1961"/>
      <c r="DE182" s="1961"/>
      <c r="DF182" s="1961"/>
      <c r="DG182" s="1961"/>
      <c r="DH182" s="1961"/>
      <c r="DI182" s="74"/>
    </row>
    <row r="183" spans="1:113" ht="5.0999999999999996" customHeight="1" x14ac:dyDescent="0.25">
      <c r="A183" s="212"/>
      <c r="B183" s="632"/>
      <c r="C183" s="634"/>
      <c r="D183" s="634"/>
      <c r="E183" s="9"/>
      <c r="F183" s="9"/>
      <c r="G183" s="9"/>
      <c r="H183" s="9"/>
      <c r="I183" s="634"/>
      <c r="J183" s="9"/>
      <c r="K183" s="9"/>
      <c r="L183" s="9"/>
      <c r="M183" s="9"/>
      <c r="N183" s="634"/>
      <c r="O183" s="9"/>
      <c r="P183" s="640"/>
      <c r="Q183" s="9"/>
      <c r="R183" s="9"/>
      <c r="S183" s="634"/>
      <c r="T183" s="9"/>
      <c r="U183" s="9"/>
      <c r="V183" s="9"/>
      <c r="W183" s="9"/>
      <c r="X183" s="634"/>
      <c r="Y183" s="9"/>
      <c r="Z183" s="9"/>
      <c r="AA183" s="9"/>
      <c r="AB183" s="9"/>
      <c r="AC183" s="634"/>
      <c r="AD183" s="9"/>
      <c r="AE183" s="9"/>
      <c r="AF183" s="9"/>
      <c r="AG183" s="9"/>
      <c r="AH183" s="634"/>
      <c r="AI183" s="632"/>
      <c r="AJ183" s="9"/>
      <c r="AK183" s="9"/>
      <c r="AL183" s="9"/>
      <c r="AM183" s="634"/>
      <c r="AN183" s="632"/>
      <c r="AO183" s="9"/>
      <c r="AP183" s="9"/>
      <c r="AQ183" s="9"/>
      <c r="AR183" s="634"/>
      <c r="AS183" s="632"/>
      <c r="AT183" s="9"/>
      <c r="AU183" s="9"/>
      <c r="AV183" s="633"/>
      <c r="AW183" s="634"/>
      <c r="AX183" s="9"/>
      <c r="AY183" s="9"/>
      <c r="AZ183" s="9"/>
      <c r="BA183" s="633"/>
      <c r="BB183" s="635"/>
      <c r="BC183" s="9"/>
      <c r="BD183" s="9"/>
      <c r="BE183" s="9"/>
      <c r="BF183" s="9"/>
      <c r="BG183" s="635"/>
      <c r="BH183" s="9"/>
      <c r="BI183" s="9"/>
      <c r="BJ183" s="9"/>
      <c r="BK183" s="633"/>
      <c r="BL183" s="635"/>
      <c r="BM183" s="9"/>
      <c r="BN183" s="9"/>
      <c r="BO183" s="9"/>
      <c r="BP183" s="633"/>
      <c r="BQ183" s="635"/>
      <c r="BR183" s="9"/>
      <c r="BS183" s="9"/>
      <c r="BT183" s="9"/>
      <c r="BU183" s="633"/>
      <c r="BV183" s="635"/>
      <c r="BW183" s="9"/>
      <c r="BX183" s="9"/>
      <c r="BY183" s="9"/>
      <c r="BZ183" s="633"/>
      <c r="CA183" s="635"/>
      <c r="CB183" s="1910"/>
      <c r="CC183" s="431"/>
      <c r="CD183" s="212"/>
      <c r="CE183" s="9"/>
      <c r="CF183" s="9"/>
      <c r="CG183" s="9"/>
      <c r="CH183" s="9"/>
      <c r="CI183" s="9"/>
      <c r="CJ183" s="9"/>
      <c r="CK183" s="9"/>
      <c r="CL183" s="9"/>
      <c r="CM183" s="9"/>
      <c r="CN183" s="9"/>
      <c r="CO183" s="9"/>
      <c r="CP183" s="9"/>
      <c r="CQ183" s="9"/>
      <c r="CR183" s="9"/>
      <c r="CS183" s="9"/>
      <c r="CT183" s="633"/>
      <c r="CU183" s="6"/>
      <c r="DB183" s="636"/>
      <c r="DC183" s="636"/>
      <c r="DD183" s="1961"/>
      <c r="DE183" s="1961"/>
      <c r="DF183" s="1961"/>
      <c r="DG183" s="1961"/>
      <c r="DH183" s="1961"/>
      <c r="DI183" s="9"/>
    </row>
    <row r="184" spans="1:113" ht="12" customHeight="1" x14ac:dyDescent="0.25">
      <c r="A184" s="212" t="s">
        <v>175</v>
      </c>
      <c r="B184" s="560"/>
      <c r="C184" s="558"/>
      <c r="D184" s="229">
        <v>70.47</v>
      </c>
      <c r="E184" s="326"/>
      <c r="F184" s="150"/>
      <c r="G184" s="234"/>
      <c r="H184" s="234">
        <v>85.436000000000007</v>
      </c>
      <c r="I184" s="639">
        <f t="shared" ref="I184:I190" si="292">H184</f>
        <v>85.436000000000007</v>
      </c>
      <c r="J184" s="234">
        <v>87.224999999999994</v>
      </c>
      <c r="K184" s="234">
        <v>88.19</v>
      </c>
      <c r="L184" s="234">
        <v>84.734999999999999</v>
      </c>
      <c r="M184" s="234">
        <v>82.587000000000003</v>
      </c>
      <c r="N184" s="639">
        <f t="shared" ref="N184:N190" si="293">M184</f>
        <v>82.587000000000003</v>
      </c>
      <c r="O184" s="234">
        <v>87.070999999999998</v>
      </c>
      <c r="P184" s="150">
        <v>84.278000000000006</v>
      </c>
      <c r="Q184" s="150">
        <v>87.228999999999999</v>
      </c>
      <c r="R184" s="150">
        <v>89.165000000000006</v>
      </c>
      <c r="S184" s="639">
        <f t="shared" ref="S184:S190" si="294">R184</f>
        <v>89.165000000000006</v>
      </c>
      <c r="T184" s="234">
        <v>88.272000000000006</v>
      </c>
      <c r="U184" s="234">
        <v>86.253</v>
      </c>
      <c r="V184" s="234">
        <v>83.570999999999998</v>
      </c>
      <c r="W184" s="234">
        <v>93.409000000000006</v>
      </c>
      <c r="X184" s="639">
        <f t="shared" ref="X184:X190" si="295">W184</f>
        <v>93.409000000000006</v>
      </c>
      <c r="Y184" s="150">
        <v>100.774</v>
      </c>
      <c r="Z184" s="150">
        <v>107.645</v>
      </c>
      <c r="AA184" s="150">
        <v>110.328</v>
      </c>
      <c r="AB184" s="150">
        <v>119.411</v>
      </c>
      <c r="AC184" s="652">
        <f t="shared" ref="AC184:AC190" si="296">AB184</f>
        <v>119.411</v>
      </c>
      <c r="AD184" s="150">
        <v>124.78100000000001</v>
      </c>
      <c r="AE184" s="150">
        <v>133.73099999999999</v>
      </c>
      <c r="AF184" s="150">
        <v>144.79900000000001</v>
      </c>
      <c r="AG184" s="150">
        <v>154.084</v>
      </c>
      <c r="AH184" s="652">
        <f t="shared" ref="AH184:AH190" si="297">AG184</f>
        <v>154.084</v>
      </c>
      <c r="AI184" s="560">
        <v>167.12899999999999</v>
      </c>
      <c r="AJ184" s="150">
        <v>185.928</v>
      </c>
      <c r="AK184" s="150">
        <v>219.11600000000001</v>
      </c>
      <c r="AL184" s="150">
        <v>233.37299999999999</v>
      </c>
      <c r="AM184" s="652">
        <f t="shared" ref="AM184:AM190" si="298">AL184</f>
        <v>233.37299999999999</v>
      </c>
      <c r="AN184" s="560">
        <v>251.73099999999999</v>
      </c>
      <c r="AO184" s="150">
        <v>272.875</v>
      </c>
      <c r="AP184" s="150">
        <v>281.34699999999998</v>
      </c>
      <c r="AQ184" s="150">
        <v>302.27300000000002</v>
      </c>
      <c r="AR184" s="652">
        <f t="shared" ref="AR184:AR190" si="299">AQ184</f>
        <v>302.27300000000002</v>
      </c>
      <c r="AS184" s="560">
        <v>303.82900000000001</v>
      </c>
      <c r="AT184" s="150">
        <v>386.09300000000002</v>
      </c>
      <c r="AU184" s="150">
        <v>391.625</v>
      </c>
      <c r="AV184" s="298">
        <v>418.16800000000001</v>
      </c>
      <c r="AW184" s="639">
        <f t="shared" ref="AW184:AW190" si="300">AV184</f>
        <v>418.16800000000001</v>
      </c>
      <c r="AX184" s="150">
        <v>341.98899999999998</v>
      </c>
      <c r="AY184" s="150">
        <v>334.63099999999997</v>
      </c>
      <c r="AZ184" s="150">
        <v>355.86700000000002</v>
      </c>
      <c r="BA184" s="298">
        <v>380.3</v>
      </c>
      <c r="BB184" s="510">
        <f t="shared" ref="BB184:BB190" si="301">BA184</f>
        <v>380.3</v>
      </c>
      <c r="BC184" s="1894">
        <v>377.8</v>
      </c>
      <c r="BD184" s="1894">
        <v>403.5</v>
      </c>
      <c r="BE184" s="1933">
        <v>437.8</v>
      </c>
      <c r="BF184" s="1933">
        <v>478.3</v>
      </c>
      <c r="BG184" s="642">
        <f t="shared" ref="BG184:BG190" si="302">BF184</f>
        <v>478.3</v>
      </c>
      <c r="BH184" s="654">
        <f>BH401</f>
        <v>480.50204569836853</v>
      </c>
      <c r="BI184" s="654">
        <f>BI401</f>
        <v>494.66564358827679</v>
      </c>
      <c r="BJ184" s="654">
        <f>BJ401</f>
        <v>507.3479847228607</v>
      </c>
      <c r="BK184" s="655">
        <f>BK401</f>
        <v>549.30627841916089</v>
      </c>
      <c r="BL184" s="653">
        <f t="shared" ref="BL184:BL190" si="303">BK184</f>
        <v>549.30627841916089</v>
      </c>
      <c r="BM184" s="654">
        <f>BM401</f>
        <v>547.94328238665491</v>
      </c>
      <c r="BN184" s="654">
        <f>BN401</f>
        <v>559.06211224617323</v>
      </c>
      <c r="BO184" s="654">
        <f>BO401</f>
        <v>568.49273465295255</v>
      </c>
      <c r="BP184" s="655">
        <f>BP401</f>
        <v>608.85696021756769</v>
      </c>
      <c r="BQ184" s="653">
        <f t="shared" ref="BQ184:BQ190" si="304">BP184</f>
        <v>608.85696021756769</v>
      </c>
      <c r="BR184" s="654">
        <f>BR401</f>
        <v>604.02631714531913</v>
      </c>
      <c r="BS184" s="654">
        <f>BS401</f>
        <v>612.1835195538755</v>
      </c>
      <c r="BT184" s="654">
        <f>BT401</f>
        <v>618.43664286568719</v>
      </c>
      <c r="BU184" s="655">
        <f>BU401</f>
        <v>657.25929011396897</v>
      </c>
      <c r="BV184" s="653">
        <f t="shared" ref="BV184:BV190" si="305">BU184</f>
        <v>657.25929011396897</v>
      </c>
      <c r="BW184" s="654">
        <f>BW401</f>
        <v>650.58120360789462</v>
      </c>
      <c r="BX184" s="654">
        <f>BX401</f>
        <v>657.47984680810339</v>
      </c>
      <c r="BY184" s="654">
        <f>BY401</f>
        <v>662.30897735768031</v>
      </c>
      <c r="BZ184" s="655">
        <f>BZ401</f>
        <v>701.48957508299804</v>
      </c>
      <c r="CA184" s="653">
        <f t="shared" ref="CA184:CA190" si="306">BZ184</f>
        <v>701.48957508299804</v>
      </c>
      <c r="CB184" s="1910"/>
      <c r="CC184" s="490"/>
      <c r="CD184" s="212" t="str">
        <f t="shared" ref="CD184:CD190" si="307">A184</f>
        <v xml:space="preserve">Property and Equipment, Net </v>
      </c>
      <c r="CE184" s="74">
        <f t="shared" ref="CE184:CE190" si="308">D184</f>
        <v>70.47</v>
      </c>
      <c r="CF184" s="74">
        <f t="shared" ref="CF184:CF190" si="309">I184</f>
        <v>85.436000000000007</v>
      </c>
      <c r="CG184" s="74">
        <f t="shared" ref="CG184:CG190" si="310">N184</f>
        <v>82.587000000000003</v>
      </c>
      <c r="CH184" s="74">
        <f t="shared" ref="CH184:CH190" si="311">S184</f>
        <v>89.165000000000006</v>
      </c>
      <c r="CI184" s="74">
        <f t="shared" ref="CI184:CI190" si="312">X184</f>
        <v>93.409000000000006</v>
      </c>
      <c r="CJ184" s="74">
        <f t="shared" ref="CJ184:CJ190" si="313">AC184</f>
        <v>119.411</v>
      </c>
      <c r="CK184" s="74">
        <f t="shared" ref="CK184:CK190" si="314">AH184</f>
        <v>154.084</v>
      </c>
      <c r="CL184" s="74">
        <f t="shared" ref="CL184:CL190" si="315">AM184</f>
        <v>233.37299999999999</v>
      </c>
      <c r="CM184" s="74">
        <f t="shared" ref="CM184:CM190" si="316">AR184</f>
        <v>302.27300000000002</v>
      </c>
      <c r="CN184" s="74">
        <f t="shared" ref="CN184:CN190" si="317">AW184</f>
        <v>418.16800000000001</v>
      </c>
      <c r="CO184" s="74">
        <f t="shared" ref="CO184:CO190" si="318">BB184</f>
        <v>380.3</v>
      </c>
      <c r="CP184" s="74">
        <f t="shared" ref="CP184:CP190" si="319">BG184</f>
        <v>478.3</v>
      </c>
      <c r="CQ184" s="74">
        <f t="shared" ref="CQ184:CQ190" si="320">BL184</f>
        <v>549.30627841916089</v>
      </c>
      <c r="CR184" s="74">
        <f t="shared" ref="CR184:CR190" si="321">BQ184</f>
        <v>608.85696021756769</v>
      </c>
      <c r="CS184" s="74">
        <f t="shared" ref="CS184:CS190" si="322">BV184</f>
        <v>657.25929011396897</v>
      </c>
      <c r="CT184" s="141">
        <f t="shared" ref="CT184:CT190" si="323">CA184</f>
        <v>701.48957508299804</v>
      </c>
      <c r="CU184" s="6"/>
      <c r="DB184" s="636">
        <v>70.125</v>
      </c>
      <c r="DC184" s="636"/>
      <c r="DD184" s="1961"/>
      <c r="DE184" s="1961"/>
      <c r="DF184" s="1961"/>
      <c r="DG184" s="1961"/>
      <c r="DH184" s="1961"/>
      <c r="DI184" s="654"/>
    </row>
    <row r="185" spans="1:113" ht="12" customHeight="1" x14ac:dyDescent="0.25">
      <c r="A185" s="212" t="s">
        <v>176</v>
      </c>
      <c r="B185" s="333"/>
      <c r="C185" s="265"/>
      <c r="D185" s="646">
        <v>224.68</v>
      </c>
      <c r="E185" s="326"/>
      <c r="F185" s="268"/>
      <c r="G185" s="647"/>
      <c r="H185" s="647">
        <v>339.89100000000002</v>
      </c>
      <c r="I185" s="644">
        <f t="shared" si="292"/>
        <v>339.89100000000002</v>
      </c>
      <c r="J185" s="647">
        <v>346.73200000000003</v>
      </c>
      <c r="K185" s="647">
        <v>362.35399999999998</v>
      </c>
      <c r="L185" s="647">
        <v>366.25400000000002</v>
      </c>
      <c r="M185" s="647">
        <v>447.37200000000001</v>
      </c>
      <c r="N185" s="644">
        <f t="shared" si="293"/>
        <v>447.37200000000001</v>
      </c>
      <c r="O185" s="647">
        <v>487.00299999999999</v>
      </c>
      <c r="P185" s="268">
        <v>487.21899999999999</v>
      </c>
      <c r="Q185" s="268">
        <v>489.245</v>
      </c>
      <c r="R185" s="268">
        <v>490.82900000000001</v>
      </c>
      <c r="S185" s="644">
        <f t="shared" si="294"/>
        <v>490.82900000000001</v>
      </c>
      <c r="T185" s="647">
        <v>494.28300000000002</v>
      </c>
      <c r="U185" s="647">
        <v>501.99599999999998</v>
      </c>
      <c r="V185" s="647">
        <v>503.24</v>
      </c>
      <c r="W185" s="647">
        <v>632.66800000000001</v>
      </c>
      <c r="X185" s="510">
        <f t="shared" si="295"/>
        <v>632.66800000000001</v>
      </c>
      <c r="Y185" s="516">
        <v>632.66800000000001</v>
      </c>
      <c r="Z185" s="516">
        <v>712.56100000000004</v>
      </c>
      <c r="AA185" s="516">
        <v>712.56100000000004</v>
      </c>
      <c r="AB185" s="516">
        <v>709.94399999999996</v>
      </c>
      <c r="AC185" s="510">
        <f t="shared" si="296"/>
        <v>709.94399999999996</v>
      </c>
      <c r="AD185" s="516">
        <v>933.298</v>
      </c>
      <c r="AE185" s="516">
        <v>934.76199999999994</v>
      </c>
      <c r="AF185" s="516">
        <v>1220.384</v>
      </c>
      <c r="AG185" s="516">
        <v>1247.4590000000001</v>
      </c>
      <c r="AH185" s="510">
        <f t="shared" si="297"/>
        <v>1247.4590000000001</v>
      </c>
      <c r="AI185" s="517">
        <v>1248.261</v>
      </c>
      <c r="AJ185" s="516">
        <v>1249.271</v>
      </c>
      <c r="AK185" s="516">
        <v>1250.8879999999999</v>
      </c>
      <c r="AL185" s="516">
        <v>1181.681</v>
      </c>
      <c r="AM185" s="510">
        <f t="shared" si="298"/>
        <v>1181.681</v>
      </c>
      <c r="AN185" s="517">
        <v>1184.374</v>
      </c>
      <c r="AO185" s="516">
        <v>1184.374</v>
      </c>
      <c r="AP185" s="516">
        <v>1184.374</v>
      </c>
      <c r="AQ185" s="516">
        <v>1207.146</v>
      </c>
      <c r="AR185" s="510">
        <f t="shared" si="299"/>
        <v>1207.146</v>
      </c>
      <c r="AS185" s="517">
        <v>1207.144</v>
      </c>
      <c r="AT185" s="516">
        <v>3057.6419999999998</v>
      </c>
      <c r="AU185" s="516">
        <v>3119.4850000000001</v>
      </c>
      <c r="AV185" s="518">
        <v>3134.826</v>
      </c>
      <c r="AW185" s="510">
        <f t="shared" si="300"/>
        <v>3134.826</v>
      </c>
      <c r="AX185" s="516">
        <v>2703.9140000000002</v>
      </c>
      <c r="AY185" s="516">
        <v>2629.9409999999998</v>
      </c>
      <c r="AZ185" s="516">
        <v>2632.1779999999999</v>
      </c>
      <c r="BA185" s="518">
        <v>2578.1</v>
      </c>
      <c r="BB185" s="510">
        <f t="shared" si="301"/>
        <v>2578.1</v>
      </c>
      <c r="BC185" s="1882">
        <v>2653.3</v>
      </c>
      <c r="BD185" s="1882">
        <v>2733.8</v>
      </c>
      <c r="BE185" s="1944">
        <v>3188.8</v>
      </c>
      <c r="BF185" s="1944">
        <v>3368.7</v>
      </c>
      <c r="BG185" s="510">
        <f t="shared" si="302"/>
        <v>3368.7</v>
      </c>
      <c r="BH185" s="514">
        <f>BH415</f>
        <v>3368.7</v>
      </c>
      <c r="BI185" s="514">
        <f>BI415</f>
        <v>3368.7</v>
      </c>
      <c r="BJ185" s="514">
        <f>BJ415</f>
        <v>3368.7</v>
      </c>
      <c r="BK185" s="648">
        <f>BK415</f>
        <v>3368.7</v>
      </c>
      <c r="BL185" s="510">
        <f t="shared" si="303"/>
        <v>3368.7</v>
      </c>
      <c r="BM185" s="514">
        <f>BM415</f>
        <v>3368.7</v>
      </c>
      <c r="BN185" s="514">
        <f>BN415</f>
        <v>3368.7</v>
      </c>
      <c r="BO185" s="514">
        <f>BO415</f>
        <v>3368.7</v>
      </c>
      <c r="BP185" s="648">
        <f>BP415</f>
        <v>3368.7</v>
      </c>
      <c r="BQ185" s="510">
        <f t="shared" si="304"/>
        <v>3368.7</v>
      </c>
      <c r="BR185" s="514">
        <f>BR415</f>
        <v>3368.7</v>
      </c>
      <c r="BS185" s="514">
        <f>BS415</f>
        <v>3368.7</v>
      </c>
      <c r="BT185" s="514">
        <f>BT415</f>
        <v>3368.7</v>
      </c>
      <c r="BU185" s="648">
        <f>BU415</f>
        <v>3368.7</v>
      </c>
      <c r="BV185" s="510">
        <f t="shared" si="305"/>
        <v>3368.7</v>
      </c>
      <c r="BW185" s="514">
        <f>BW415</f>
        <v>3368.7</v>
      </c>
      <c r="BX185" s="514">
        <f>BX415</f>
        <v>3368.7</v>
      </c>
      <c r="BY185" s="514">
        <f>BY415</f>
        <v>3368.7</v>
      </c>
      <c r="BZ185" s="648">
        <f>BZ415</f>
        <v>3368.7</v>
      </c>
      <c r="CA185" s="510">
        <f t="shared" si="306"/>
        <v>3368.7</v>
      </c>
      <c r="CB185" s="1910"/>
      <c r="CC185" s="490"/>
      <c r="CD185" s="212" t="str">
        <f t="shared" si="307"/>
        <v>Goodwill, Net</v>
      </c>
      <c r="CE185" s="275">
        <f t="shared" si="308"/>
        <v>224.68</v>
      </c>
      <c r="CF185" s="275">
        <f t="shared" si="309"/>
        <v>339.89100000000002</v>
      </c>
      <c r="CG185" s="275">
        <f t="shared" si="310"/>
        <v>447.37200000000001</v>
      </c>
      <c r="CH185" s="275">
        <f t="shared" si="311"/>
        <v>490.82900000000001</v>
      </c>
      <c r="CI185" s="275">
        <f t="shared" si="312"/>
        <v>632.66800000000001</v>
      </c>
      <c r="CJ185" s="275">
        <f t="shared" si="313"/>
        <v>709.94399999999996</v>
      </c>
      <c r="CK185" s="275">
        <f t="shared" si="314"/>
        <v>1247.4590000000001</v>
      </c>
      <c r="CL185" s="275">
        <f t="shared" si="315"/>
        <v>1181.681</v>
      </c>
      <c r="CM185" s="275">
        <f t="shared" si="316"/>
        <v>1207.146</v>
      </c>
      <c r="CN185" s="275">
        <f t="shared" si="317"/>
        <v>3134.826</v>
      </c>
      <c r="CO185" s="275">
        <f t="shared" si="318"/>
        <v>2578.1</v>
      </c>
      <c r="CP185" s="275">
        <f t="shared" si="319"/>
        <v>3368.7</v>
      </c>
      <c r="CQ185" s="275">
        <f t="shared" si="320"/>
        <v>3368.7</v>
      </c>
      <c r="CR185" s="275">
        <f t="shared" si="321"/>
        <v>3368.7</v>
      </c>
      <c r="CS185" s="275">
        <f t="shared" si="322"/>
        <v>3368.7</v>
      </c>
      <c r="CT185" s="515">
        <f t="shared" si="323"/>
        <v>3368.7</v>
      </c>
      <c r="CU185" s="6"/>
      <c r="DB185" s="636">
        <f>1790.698-252.269-74.173+39.3</f>
        <v>1503.556</v>
      </c>
      <c r="DC185" s="636"/>
      <c r="DD185" s="1961"/>
      <c r="DE185" s="1961"/>
      <c r="DF185" s="1961"/>
      <c r="DG185" s="1961"/>
      <c r="DH185" s="1961"/>
      <c r="DI185" s="514"/>
    </row>
    <row r="186" spans="1:113" ht="12" customHeight="1" x14ac:dyDescent="0.25">
      <c r="A186" s="212" t="s">
        <v>177</v>
      </c>
      <c r="B186" s="333"/>
      <c r="C186" s="265"/>
      <c r="D186" s="646">
        <v>139.71799999999999</v>
      </c>
      <c r="E186" s="326"/>
      <c r="F186" s="268"/>
      <c r="G186" s="647"/>
      <c r="H186" s="647">
        <v>141.16</v>
      </c>
      <c r="I186" s="644">
        <f t="shared" si="292"/>
        <v>141.16</v>
      </c>
      <c r="J186" s="647">
        <v>133.119</v>
      </c>
      <c r="K186" s="647">
        <v>119.214</v>
      </c>
      <c r="L186" s="647">
        <v>112.17400000000001</v>
      </c>
      <c r="M186" s="647">
        <v>112.71299999999999</v>
      </c>
      <c r="N186" s="644">
        <f t="shared" si="293"/>
        <v>112.71299999999999</v>
      </c>
      <c r="O186" s="647">
        <v>128.011</v>
      </c>
      <c r="P186" s="268">
        <v>119.547</v>
      </c>
      <c r="Q186" s="268">
        <v>118.33799999999999</v>
      </c>
      <c r="R186" s="268">
        <v>108.526</v>
      </c>
      <c r="S186" s="644">
        <f t="shared" si="294"/>
        <v>108.526</v>
      </c>
      <c r="T186" s="647">
        <v>107.248</v>
      </c>
      <c r="U186" s="647">
        <v>100.22799999999999</v>
      </c>
      <c r="V186" s="647">
        <v>94.113</v>
      </c>
      <c r="W186" s="647">
        <v>200.22900000000001</v>
      </c>
      <c r="X186" s="510">
        <f t="shared" si="295"/>
        <v>200.22900000000001</v>
      </c>
      <c r="Y186" s="516">
        <v>191.774</v>
      </c>
      <c r="Z186" s="516">
        <v>241.33</v>
      </c>
      <c r="AA186" s="516">
        <v>232.53299999999999</v>
      </c>
      <c r="AB186" s="516">
        <v>226.42400000000001</v>
      </c>
      <c r="AC186" s="510">
        <f t="shared" si="296"/>
        <v>226.42400000000001</v>
      </c>
      <c r="AD186" s="516">
        <v>375.74200000000002</v>
      </c>
      <c r="AE186" s="516">
        <v>363.55500000000001</v>
      </c>
      <c r="AF186" s="516">
        <v>530.02300000000002</v>
      </c>
      <c r="AG186" s="516">
        <v>520.93499999999995</v>
      </c>
      <c r="AH186" s="510">
        <f t="shared" si="297"/>
        <v>520.93499999999995</v>
      </c>
      <c r="AI186" s="517">
        <v>503.72800000000001</v>
      </c>
      <c r="AJ186" s="516">
        <v>486.53199999999998</v>
      </c>
      <c r="AK186" s="516">
        <v>471.13900000000001</v>
      </c>
      <c r="AL186" s="516">
        <v>447.61799999999999</v>
      </c>
      <c r="AM186" s="510">
        <f t="shared" si="298"/>
        <v>447.61799999999999</v>
      </c>
      <c r="AN186" s="517">
        <v>434.96800000000002</v>
      </c>
      <c r="AO186" s="516">
        <v>420.74700000000001</v>
      </c>
      <c r="AP186" s="516">
        <v>406.56</v>
      </c>
      <c r="AQ186" s="516">
        <v>406.476</v>
      </c>
      <c r="AR186" s="510">
        <f t="shared" si="299"/>
        <v>406.476</v>
      </c>
      <c r="AS186" s="517">
        <v>392.33499999999998</v>
      </c>
      <c r="AT186" s="516">
        <v>1655.5650000000001</v>
      </c>
      <c r="AU186" s="516">
        <v>1415.566</v>
      </c>
      <c r="AV186" s="518">
        <v>1376.7449999999999</v>
      </c>
      <c r="AW186" s="510">
        <f t="shared" si="300"/>
        <v>1376.7449999999999</v>
      </c>
      <c r="AX186" s="516">
        <v>1191.47</v>
      </c>
      <c r="AY186" s="516">
        <v>1104.2619999999999</v>
      </c>
      <c r="AZ186" s="516">
        <v>1069.0889999999999</v>
      </c>
      <c r="BA186" s="518">
        <v>1010.8</v>
      </c>
      <c r="BB186" s="510">
        <f t="shared" si="301"/>
        <v>1010.8</v>
      </c>
      <c r="BC186" s="1882">
        <v>1027.2</v>
      </c>
      <c r="BD186" s="1882">
        <v>1052</v>
      </c>
      <c r="BE186" s="1944">
        <v>1256.2</v>
      </c>
      <c r="BF186" s="1944">
        <v>1345.3</v>
      </c>
      <c r="BG186" s="510">
        <f t="shared" si="302"/>
        <v>1345.3</v>
      </c>
      <c r="BH186" s="514">
        <f>BH408</f>
        <v>1313.0250000000001</v>
      </c>
      <c r="BI186" s="514">
        <f>BI408</f>
        <v>1280.75</v>
      </c>
      <c r="BJ186" s="514">
        <f>BJ408</f>
        <v>1248.4749999999999</v>
      </c>
      <c r="BK186" s="648">
        <f>BK408</f>
        <v>1216.1999999999998</v>
      </c>
      <c r="BL186" s="510">
        <f t="shared" si="303"/>
        <v>1216.1999999999998</v>
      </c>
      <c r="BM186" s="514">
        <f>BM408</f>
        <v>1184.1500000000003</v>
      </c>
      <c r="BN186" s="514">
        <f>BN408</f>
        <v>1152.1000000000004</v>
      </c>
      <c r="BO186" s="514">
        <f>BO408</f>
        <v>1120.0500000000004</v>
      </c>
      <c r="BP186" s="648">
        <f>BP408</f>
        <v>1088.0000000000005</v>
      </c>
      <c r="BQ186" s="510">
        <f t="shared" si="304"/>
        <v>1088.0000000000005</v>
      </c>
      <c r="BR186" s="514">
        <f>BR408</f>
        <v>1056.5000000000002</v>
      </c>
      <c r="BS186" s="514">
        <f>BS408</f>
        <v>1025.0000000000002</v>
      </c>
      <c r="BT186" s="514">
        <f>BT408</f>
        <v>993.50000000000023</v>
      </c>
      <c r="BU186" s="648">
        <f>BU408</f>
        <v>962.00000000000023</v>
      </c>
      <c r="BV186" s="510">
        <f t="shared" si="305"/>
        <v>962.00000000000023</v>
      </c>
      <c r="BW186" s="514">
        <f>BW408</f>
        <v>933.12500000000023</v>
      </c>
      <c r="BX186" s="514">
        <f>BX408</f>
        <v>904.25000000000023</v>
      </c>
      <c r="BY186" s="514">
        <f>BY408</f>
        <v>875.37500000000023</v>
      </c>
      <c r="BZ186" s="648">
        <f>BZ408</f>
        <v>846.50000000000023</v>
      </c>
      <c r="CA186" s="510">
        <f t="shared" si="306"/>
        <v>846.50000000000023</v>
      </c>
      <c r="CB186" s="1910"/>
      <c r="CC186" s="490"/>
      <c r="CD186" s="212" t="str">
        <f t="shared" si="307"/>
        <v>Other Intangibles, Net</v>
      </c>
      <c r="CE186" s="275">
        <f t="shared" si="308"/>
        <v>139.71799999999999</v>
      </c>
      <c r="CF186" s="275">
        <f t="shared" si="309"/>
        <v>141.16</v>
      </c>
      <c r="CG186" s="275">
        <f t="shared" si="310"/>
        <v>112.71299999999999</v>
      </c>
      <c r="CH186" s="275">
        <f t="shared" si="311"/>
        <v>108.526</v>
      </c>
      <c r="CI186" s="275">
        <f t="shared" si="312"/>
        <v>200.22900000000001</v>
      </c>
      <c r="CJ186" s="275">
        <f t="shared" si="313"/>
        <v>226.42400000000001</v>
      </c>
      <c r="CK186" s="275">
        <f t="shared" si="314"/>
        <v>520.93499999999995</v>
      </c>
      <c r="CL186" s="275">
        <f t="shared" si="315"/>
        <v>447.61799999999999</v>
      </c>
      <c r="CM186" s="275">
        <f t="shared" si="316"/>
        <v>406.476</v>
      </c>
      <c r="CN186" s="275">
        <f t="shared" si="317"/>
        <v>1376.7449999999999</v>
      </c>
      <c r="CO186" s="275">
        <f t="shared" si="318"/>
        <v>1010.8</v>
      </c>
      <c r="CP186" s="275">
        <f t="shared" si="319"/>
        <v>1345.3</v>
      </c>
      <c r="CQ186" s="275">
        <f t="shared" si="320"/>
        <v>1216.1999999999998</v>
      </c>
      <c r="CR186" s="275">
        <f t="shared" si="321"/>
        <v>1088.0000000000005</v>
      </c>
      <c r="CS186" s="275">
        <f t="shared" si="322"/>
        <v>962.00000000000023</v>
      </c>
      <c r="CT186" s="515">
        <f t="shared" si="323"/>
        <v>846.50000000000023</v>
      </c>
      <c r="CU186" s="6"/>
      <c r="DB186" s="636">
        <v>1242.011</v>
      </c>
      <c r="DC186" s="636"/>
      <c r="DD186" s="1961"/>
      <c r="DE186" s="1961"/>
      <c r="DF186" s="1961"/>
      <c r="DG186" s="1961"/>
      <c r="DH186" s="1961"/>
      <c r="DI186" s="514"/>
    </row>
    <row r="187" spans="1:113" ht="12" customHeight="1" x14ac:dyDescent="0.25">
      <c r="A187" s="212" t="s">
        <v>170</v>
      </c>
      <c r="B187" s="333"/>
      <c r="C187" s="265"/>
      <c r="D187" s="646">
        <v>11.882999999999999</v>
      </c>
      <c r="E187" s="326"/>
      <c r="F187" s="268"/>
      <c r="G187" s="647"/>
      <c r="H187" s="647">
        <v>12.356</v>
      </c>
      <c r="I187" s="644">
        <f t="shared" si="292"/>
        <v>12.356</v>
      </c>
      <c r="J187" s="647">
        <v>9.282</v>
      </c>
      <c r="K187" s="647">
        <v>0</v>
      </c>
      <c r="L187" s="647">
        <v>0</v>
      </c>
      <c r="M187" s="647">
        <v>0</v>
      </c>
      <c r="N187" s="644">
        <f t="shared" si="293"/>
        <v>0</v>
      </c>
      <c r="O187" s="647">
        <v>0</v>
      </c>
      <c r="P187" s="268">
        <v>0</v>
      </c>
      <c r="Q187" s="268">
        <v>0</v>
      </c>
      <c r="R187" s="268">
        <f>Q187</f>
        <v>0</v>
      </c>
      <c r="S187" s="644">
        <f t="shared" si="294"/>
        <v>0</v>
      </c>
      <c r="T187" s="647">
        <v>0</v>
      </c>
      <c r="U187" s="647">
        <v>0</v>
      </c>
      <c r="V187" s="647">
        <v>0</v>
      </c>
      <c r="W187" s="647">
        <v>0</v>
      </c>
      <c r="X187" s="510">
        <f t="shared" si="295"/>
        <v>0</v>
      </c>
      <c r="Y187" s="516">
        <v>0</v>
      </c>
      <c r="Z187" s="516">
        <v>0</v>
      </c>
      <c r="AA187" s="516">
        <v>0</v>
      </c>
      <c r="AB187" s="516">
        <v>0</v>
      </c>
      <c r="AC187" s="510">
        <f t="shared" si="296"/>
        <v>0</v>
      </c>
      <c r="AD187" s="516">
        <v>0</v>
      </c>
      <c r="AE187" s="516">
        <v>0</v>
      </c>
      <c r="AF187" s="516">
        <v>0</v>
      </c>
      <c r="AG187" s="516">
        <f>AF187</f>
        <v>0</v>
      </c>
      <c r="AH187" s="510">
        <f t="shared" si="297"/>
        <v>0</v>
      </c>
      <c r="AI187" s="517">
        <v>0</v>
      </c>
      <c r="AJ187" s="516">
        <v>0</v>
      </c>
      <c r="AK187" s="516">
        <v>0</v>
      </c>
      <c r="AL187" s="516">
        <f>AK187</f>
        <v>0</v>
      </c>
      <c r="AM187" s="510">
        <f t="shared" si="298"/>
        <v>0</v>
      </c>
      <c r="AN187" s="517">
        <f>AM187</f>
        <v>0</v>
      </c>
      <c r="AO187" s="516">
        <v>0</v>
      </c>
      <c r="AP187" s="516">
        <f>AO187</f>
        <v>0</v>
      </c>
      <c r="AQ187" s="516">
        <v>0</v>
      </c>
      <c r="AR187" s="510">
        <f t="shared" si="299"/>
        <v>0</v>
      </c>
      <c r="AS187" s="517">
        <v>0</v>
      </c>
      <c r="AT187" s="516">
        <f t="shared" ref="AT187:AX189" si="324">AS187</f>
        <v>0</v>
      </c>
      <c r="AU187" s="516">
        <f t="shared" si="324"/>
        <v>0</v>
      </c>
      <c r="AV187" s="518">
        <f t="shared" si="324"/>
        <v>0</v>
      </c>
      <c r="AW187" s="510">
        <f t="shared" si="300"/>
        <v>0</v>
      </c>
      <c r="AX187" s="516">
        <f t="shared" si="324"/>
        <v>0</v>
      </c>
      <c r="AY187" s="516">
        <v>0</v>
      </c>
      <c r="AZ187" s="516">
        <v>0</v>
      </c>
      <c r="BA187" s="518">
        <v>0</v>
      </c>
      <c r="BB187" s="510">
        <f t="shared" si="301"/>
        <v>0</v>
      </c>
      <c r="BC187" s="1882">
        <v>0</v>
      </c>
      <c r="BD187" s="1882">
        <v>0</v>
      </c>
      <c r="BE187" s="1944">
        <v>0</v>
      </c>
      <c r="BF187" s="1944">
        <v>0</v>
      </c>
      <c r="BG187" s="510">
        <f t="shared" si="302"/>
        <v>0</v>
      </c>
      <c r="BH187" s="514">
        <f t="shared" ref="BH187:BK189" si="325">BG187</f>
        <v>0</v>
      </c>
      <c r="BI187" s="514">
        <f t="shared" si="325"/>
        <v>0</v>
      </c>
      <c r="BJ187" s="514">
        <f t="shared" si="325"/>
        <v>0</v>
      </c>
      <c r="BK187" s="648">
        <f t="shared" si="325"/>
        <v>0</v>
      </c>
      <c r="BL187" s="510">
        <f t="shared" si="303"/>
        <v>0</v>
      </c>
      <c r="BM187" s="514">
        <f t="shared" ref="BM187:BP189" si="326">BL187</f>
        <v>0</v>
      </c>
      <c r="BN187" s="514">
        <f t="shared" si="326"/>
        <v>0</v>
      </c>
      <c r="BO187" s="514">
        <f t="shared" si="326"/>
        <v>0</v>
      </c>
      <c r="BP187" s="648">
        <f t="shared" si="326"/>
        <v>0</v>
      </c>
      <c r="BQ187" s="510">
        <f t="shared" si="304"/>
        <v>0</v>
      </c>
      <c r="BR187" s="514">
        <f t="shared" ref="BR187:BU189" si="327">BQ187</f>
        <v>0</v>
      </c>
      <c r="BS187" s="514">
        <f t="shared" si="327"/>
        <v>0</v>
      </c>
      <c r="BT187" s="514">
        <f t="shared" si="327"/>
        <v>0</v>
      </c>
      <c r="BU187" s="648">
        <f t="shared" si="327"/>
        <v>0</v>
      </c>
      <c r="BV187" s="510">
        <f t="shared" si="305"/>
        <v>0</v>
      </c>
      <c r="BW187" s="514">
        <f t="shared" ref="BW187:BZ189" si="328">BV187</f>
        <v>0</v>
      </c>
      <c r="BX187" s="514">
        <f t="shared" si="328"/>
        <v>0</v>
      </c>
      <c r="BY187" s="514">
        <f t="shared" si="328"/>
        <v>0</v>
      </c>
      <c r="BZ187" s="648">
        <f t="shared" si="328"/>
        <v>0</v>
      </c>
      <c r="CA187" s="510">
        <f t="shared" si="306"/>
        <v>0</v>
      </c>
      <c r="CB187" s="1910"/>
      <c r="CC187" s="490"/>
      <c r="CD187" s="212" t="str">
        <f t="shared" si="307"/>
        <v>Notes Receivable From Stockholders</v>
      </c>
      <c r="CE187" s="275">
        <f t="shared" si="308"/>
        <v>11.882999999999999</v>
      </c>
      <c r="CF187" s="275">
        <f t="shared" si="309"/>
        <v>12.356</v>
      </c>
      <c r="CG187" s="275">
        <f t="shared" si="310"/>
        <v>0</v>
      </c>
      <c r="CH187" s="275">
        <f t="shared" si="311"/>
        <v>0</v>
      </c>
      <c r="CI187" s="275">
        <f t="shared" si="312"/>
        <v>0</v>
      </c>
      <c r="CJ187" s="275">
        <f t="shared" si="313"/>
        <v>0</v>
      </c>
      <c r="CK187" s="275">
        <f t="shared" si="314"/>
        <v>0</v>
      </c>
      <c r="CL187" s="275">
        <f t="shared" si="315"/>
        <v>0</v>
      </c>
      <c r="CM187" s="275">
        <f t="shared" si="316"/>
        <v>0</v>
      </c>
      <c r="CN187" s="275">
        <f t="shared" si="317"/>
        <v>0</v>
      </c>
      <c r="CO187" s="275">
        <f t="shared" si="318"/>
        <v>0</v>
      </c>
      <c r="CP187" s="275">
        <f t="shared" si="319"/>
        <v>0</v>
      </c>
      <c r="CQ187" s="275">
        <f t="shared" si="320"/>
        <v>0</v>
      </c>
      <c r="CR187" s="275">
        <f t="shared" si="321"/>
        <v>0</v>
      </c>
      <c r="CS187" s="275">
        <f t="shared" si="322"/>
        <v>0</v>
      </c>
      <c r="CT187" s="515">
        <f t="shared" si="323"/>
        <v>0</v>
      </c>
      <c r="CU187" s="6"/>
      <c r="DB187" s="636"/>
      <c r="DC187" s="636"/>
      <c r="DD187" s="1961"/>
      <c r="DE187" s="1961"/>
      <c r="DF187" s="1961"/>
      <c r="DG187" s="1961"/>
      <c r="DH187" s="1961"/>
      <c r="DI187" s="514"/>
    </row>
    <row r="188" spans="1:113" ht="12" customHeight="1" x14ac:dyDescent="0.25">
      <c r="A188" s="212" t="s">
        <v>126</v>
      </c>
      <c r="B188" s="333"/>
      <c r="C188" s="265"/>
      <c r="D188" s="646">
        <v>37.293999999999997</v>
      </c>
      <c r="E188" s="326"/>
      <c r="F188" s="268"/>
      <c r="G188" s="647"/>
      <c r="H188" s="647">
        <v>55.679000000000002</v>
      </c>
      <c r="I188" s="644">
        <f t="shared" si="292"/>
        <v>55.679000000000002</v>
      </c>
      <c r="J188" s="647">
        <v>68.126000000000005</v>
      </c>
      <c r="K188" s="647">
        <v>69.819999999999993</v>
      </c>
      <c r="L188" s="647">
        <v>84.448999999999998</v>
      </c>
      <c r="M188" s="647">
        <v>100.256</v>
      </c>
      <c r="N188" s="644">
        <f t="shared" si="293"/>
        <v>100.256</v>
      </c>
      <c r="O188" s="647">
        <v>90.063999999999993</v>
      </c>
      <c r="P188" s="268">
        <v>89.893000000000001</v>
      </c>
      <c r="Q188" s="268">
        <v>83.629000000000005</v>
      </c>
      <c r="R188" s="268">
        <v>66.257000000000005</v>
      </c>
      <c r="S188" s="644">
        <f t="shared" si="294"/>
        <v>66.257000000000005</v>
      </c>
      <c r="T188" s="647">
        <v>63.948</v>
      </c>
      <c r="U188" s="647">
        <v>63.92</v>
      </c>
      <c r="V188" s="647">
        <v>66.054000000000002</v>
      </c>
      <c r="W188" s="647">
        <v>21.879000000000001</v>
      </c>
      <c r="X188" s="510">
        <f t="shared" si="295"/>
        <v>21.879000000000001</v>
      </c>
      <c r="Y188" s="516">
        <v>21.547999999999998</v>
      </c>
      <c r="Z188" s="516">
        <v>20.977</v>
      </c>
      <c r="AA188" s="516">
        <v>23.34</v>
      </c>
      <c r="AB188" s="516">
        <v>10.48</v>
      </c>
      <c r="AC188" s="510">
        <f t="shared" si="296"/>
        <v>10.48</v>
      </c>
      <c r="AD188" s="516">
        <v>0</v>
      </c>
      <c r="AE188" s="516">
        <v>0</v>
      </c>
      <c r="AF188" s="516">
        <v>0</v>
      </c>
      <c r="AG188" s="516">
        <f>AF188</f>
        <v>0</v>
      </c>
      <c r="AH188" s="510">
        <f t="shared" si="297"/>
        <v>0</v>
      </c>
      <c r="AI188" s="517">
        <v>0</v>
      </c>
      <c r="AJ188" s="516">
        <v>0</v>
      </c>
      <c r="AK188" s="516">
        <v>0</v>
      </c>
      <c r="AL188" s="516">
        <f>AK188</f>
        <v>0</v>
      </c>
      <c r="AM188" s="510">
        <f t="shared" si="298"/>
        <v>0</v>
      </c>
      <c r="AN188" s="517">
        <f>AM188</f>
        <v>0</v>
      </c>
      <c r="AO188" s="516">
        <v>0</v>
      </c>
      <c r="AP188" s="516">
        <f>AO188</f>
        <v>0</v>
      </c>
      <c r="AQ188" s="516">
        <v>0</v>
      </c>
      <c r="AR188" s="510">
        <f t="shared" si="299"/>
        <v>0</v>
      </c>
      <c r="AS188" s="517">
        <v>0</v>
      </c>
      <c r="AT188" s="516">
        <f t="shared" si="324"/>
        <v>0</v>
      </c>
      <c r="AU188" s="516">
        <f t="shared" si="324"/>
        <v>0</v>
      </c>
      <c r="AV188" s="518">
        <f t="shared" si="324"/>
        <v>0</v>
      </c>
      <c r="AW188" s="510">
        <f t="shared" si="300"/>
        <v>0</v>
      </c>
      <c r="AX188" s="516">
        <f t="shared" si="324"/>
        <v>0</v>
      </c>
      <c r="AY188" s="516">
        <v>0</v>
      </c>
      <c r="AZ188" s="516">
        <v>0</v>
      </c>
      <c r="BA188" s="518">
        <v>15.6</v>
      </c>
      <c r="BB188" s="510">
        <f t="shared" si="301"/>
        <v>15.6</v>
      </c>
      <c r="BC188" s="1882">
        <v>15.8</v>
      </c>
      <c r="BD188" s="1882">
        <v>16.399999999999999</v>
      </c>
      <c r="BE188" s="1944">
        <v>16.899999999999999</v>
      </c>
      <c r="BF188" s="1944">
        <v>15.9</v>
      </c>
      <c r="BG188" s="510">
        <f t="shared" si="302"/>
        <v>15.9</v>
      </c>
      <c r="BH188" s="514">
        <f t="shared" si="325"/>
        <v>15.9</v>
      </c>
      <c r="BI188" s="514">
        <f t="shared" si="325"/>
        <v>15.9</v>
      </c>
      <c r="BJ188" s="514">
        <f t="shared" si="325"/>
        <v>15.9</v>
      </c>
      <c r="BK188" s="648">
        <f t="shared" si="325"/>
        <v>15.9</v>
      </c>
      <c r="BL188" s="510">
        <f t="shared" si="303"/>
        <v>15.9</v>
      </c>
      <c r="BM188" s="514">
        <f t="shared" si="326"/>
        <v>15.9</v>
      </c>
      <c r="BN188" s="514">
        <f t="shared" si="326"/>
        <v>15.9</v>
      </c>
      <c r="BO188" s="514">
        <f t="shared" si="326"/>
        <v>15.9</v>
      </c>
      <c r="BP188" s="648">
        <f t="shared" si="326"/>
        <v>15.9</v>
      </c>
      <c r="BQ188" s="510">
        <f t="shared" si="304"/>
        <v>15.9</v>
      </c>
      <c r="BR188" s="514">
        <f t="shared" si="327"/>
        <v>15.9</v>
      </c>
      <c r="BS188" s="514">
        <f t="shared" si="327"/>
        <v>15.9</v>
      </c>
      <c r="BT188" s="514">
        <f t="shared" si="327"/>
        <v>15.9</v>
      </c>
      <c r="BU188" s="648">
        <f t="shared" si="327"/>
        <v>15.9</v>
      </c>
      <c r="BV188" s="510">
        <f t="shared" si="305"/>
        <v>15.9</v>
      </c>
      <c r="BW188" s="514">
        <f t="shared" si="328"/>
        <v>15.9</v>
      </c>
      <c r="BX188" s="514">
        <f t="shared" si="328"/>
        <v>15.9</v>
      </c>
      <c r="BY188" s="514">
        <f t="shared" si="328"/>
        <v>15.9</v>
      </c>
      <c r="BZ188" s="648">
        <f t="shared" si="328"/>
        <v>15.9</v>
      </c>
      <c r="CA188" s="510">
        <f t="shared" si="306"/>
        <v>15.9</v>
      </c>
      <c r="CB188" s="1910"/>
      <c r="CC188" s="490"/>
      <c r="CD188" s="212" t="str">
        <f t="shared" si="307"/>
        <v>Deferred Taxes</v>
      </c>
      <c r="CE188" s="275">
        <f t="shared" si="308"/>
        <v>37.293999999999997</v>
      </c>
      <c r="CF188" s="275">
        <f t="shared" si="309"/>
        <v>55.679000000000002</v>
      </c>
      <c r="CG188" s="275">
        <f t="shared" si="310"/>
        <v>100.256</v>
      </c>
      <c r="CH188" s="275">
        <f t="shared" si="311"/>
        <v>66.257000000000005</v>
      </c>
      <c r="CI188" s="275">
        <f t="shared" si="312"/>
        <v>21.879000000000001</v>
      </c>
      <c r="CJ188" s="275">
        <f t="shared" si="313"/>
        <v>10.48</v>
      </c>
      <c r="CK188" s="275">
        <f t="shared" si="314"/>
        <v>0</v>
      </c>
      <c r="CL188" s="275">
        <f t="shared" si="315"/>
        <v>0</v>
      </c>
      <c r="CM188" s="275">
        <f t="shared" si="316"/>
        <v>0</v>
      </c>
      <c r="CN188" s="275">
        <f t="shared" si="317"/>
        <v>0</v>
      </c>
      <c r="CO188" s="275">
        <f t="shared" si="318"/>
        <v>15.6</v>
      </c>
      <c r="CP188" s="275">
        <f t="shared" si="319"/>
        <v>15.9</v>
      </c>
      <c r="CQ188" s="275">
        <f t="shared" si="320"/>
        <v>15.9</v>
      </c>
      <c r="CR188" s="275">
        <f t="shared" si="321"/>
        <v>15.9</v>
      </c>
      <c r="CS188" s="275">
        <f t="shared" si="322"/>
        <v>15.9</v>
      </c>
      <c r="CT188" s="515">
        <f t="shared" si="323"/>
        <v>15.9</v>
      </c>
      <c r="CU188" s="6"/>
      <c r="DB188" s="636"/>
      <c r="DC188" s="636"/>
      <c r="DD188" s="1961"/>
      <c r="DE188" s="1961"/>
      <c r="DF188" s="1961"/>
      <c r="DG188" s="1961"/>
      <c r="DH188" s="1961"/>
      <c r="DI188" s="514"/>
    </row>
    <row r="189" spans="1:113" ht="12" customHeight="1" x14ac:dyDescent="0.25">
      <c r="A189" s="212" t="s">
        <v>172</v>
      </c>
      <c r="B189" s="333"/>
      <c r="C189" s="265"/>
      <c r="D189" s="646">
        <v>0</v>
      </c>
      <c r="E189" s="326"/>
      <c r="F189" s="268"/>
      <c r="G189" s="647"/>
      <c r="H189" s="647">
        <v>0</v>
      </c>
      <c r="I189" s="644">
        <f t="shared" si="292"/>
        <v>0</v>
      </c>
      <c r="J189" s="647">
        <v>0</v>
      </c>
      <c r="K189" s="647">
        <v>0</v>
      </c>
      <c r="L189" s="647">
        <v>0</v>
      </c>
      <c r="M189" s="647">
        <v>8.1120000000000001</v>
      </c>
      <c r="N189" s="644">
        <f t="shared" si="293"/>
        <v>8.1120000000000001</v>
      </c>
      <c r="O189" s="647">
        <v>8.1120000000000001</v>
      </c>
      <c r="P189" s="516">
        <v>8.0310000000000006</v>
      </c>
      <c r="Q189" s="516">
        <v>7.7930000000000001</v>
      </c>
      <c r="R189" s="516">
        <v>6.5359999999999996</v>
      </c>
      <c r="S189" s="644">
        <f t="shared" si="294"/>
        <v>6.5359999999999996</v>
      </c>
      <c r="T189" s="647">
        <v>4.9329999999999998</v>
      </c>
      <c r="U189" s="647">
        <v>4.9329999999999998</v>
      </c>
      <c r="V189" s="647">
        <v>4.9329999999999998</v>
      </c>
      <c r="W189" s="647">
        <v>1.7729999999999999</v>
      </c>
      <c r="X189" s="510">
        <f t="shared" si="295"/>
        <v>1.7729999999999999</v>
      </c>
      <c r="Y189" s="516">
        <v>1.7729999999999999</v>
      </c>
      <c r="Z189" s="516">
        <v>1.7729999999999999</v>
      </c>
      <c r="AA189" s="516">
        <v>1.708</v>
      </c>
      <c r="AB189" s="516">
        <v>0</v>
      </c>
      <c r="AC189" s="510">
        <f t="shared" si="296"/>
        <v>0</v>
      </c>
      <c r="AD189" s="516">
        <v>0</v>
      </c>
      <c r="AE189" s="516">
        <v>0</v>
      </c>
      <c r="AF189" s="516">
        <v>0</v>
      </c>
      <c r="AG189" s="516">
        <f>AF189</f>
        <v>0</v>
      </c>
      <c r="AH189" s="510">
        <f t="shared" si="297"/>
        <v>0</v>
      </c>
      <c r="AI189" s="517">
        <v>0</v>
      </c>
      <c r="AJ189" s="516">
        <v>0</v>
      </c>
      <c r="AK189" s="516">
        <v>0</v>
      </c>
      <c r="AL189" s="516">
        <f>AK189</f>
        <v>0</v>
      </c>
      <c r="AM189" s="510">
        <f t="shared" si="298"/>
        <v>0</v>
      </c>
      <c r="AN189" s="517">
        <f>AM189</f>
        <v>0</v>
      </c>
      <c r="AO189" s="516">
        <v>0</v>
      </c>
      <c r="AP189" s="516">
        <f>AO189</f>
        <v>0</v>
      </c>
      <c r="AQ189" s="516">
        <v>0</v>
      </c>
      <c r="AR189" s="510">
        <f t="shared" si="299"/>
        <v>0</v>
      </c>
      <c r="AS189" s="517">
        <v>0</v>
      </c>
      <c r="AT189" s="516">
        <f t="shared" si="324"/>
        <v>0</v>
      </c>
      <c r="AU189" s="516">
        <f t="shared" si="324"/>
        <v>0</v>
      </c>
      <c r="AV189" s="518">
        <f t="shared" si="324"/>
        <v>0</v>
      </c>
      <c r="AW189" s="510">
        <f t="shared" si="300"/>
        <v>0</v>
      </c>
      <c r="AX189" s="516">
        <f t="shared" si="324"/>
        <v>0</v>
      </c>
      <c r="AY189" s="516">
        <v>0</v>
      </c>
      <c r="AZ189" s="516">
        <v>0</v>
      </c>
      <c r="BA189" s="518">
        <f>AZ189</f>
        <v>0</v>
      </c>
      <c r="BB189" s="510">
        <f t="shared" si="301"/>
        <v>0</v>
      </c>
      <c r="BC189" s="1882">
        <f>BB189</f>
        <v>0</v>
      </c>
      <c r="BD189" s="1882">
        <v>0</v>
      </c>
      <c r="BE189" s="1944">
        <v>0</v>
      </c>
      <c r="BF189" s="1944">
        <v>0</v>
      </c>
      <c r="BG189" s="510">
        <f t="shared" si="302"/>
        <v>0</v>
      </c>
      <c r="BH189" s="514">
        <f t="shared" si="325"/>
        <v>0</v>
      </c>
      <c r="BI189" s="514">
        <f t="shared" si="325"/>
        <v>0</v>
      </c>
      <c r="BJ189" s="514">
        <f t="shared" si="325"/>
        <v>0</v>
      </c>
      <c r="BK189" s="648">
        <f t="shared" si="325"/>
        <v>0</v>
      </c>
      <c r="BL189" s="510">
        <f t="shared" si="303"/>
        <v>0</v>
      </c>
      <c r="BM189" s="514">
        <f t="shared" si="326"/>
        <v>0</v>
      </c>
      <c r="BN189" s="514">
        <f t="shared" si="326"/>
        <v>0</v>
      </c>
      <c r="BO189" s="514">
        <f t="shared" si="326"/>
        <v>0</v>
      </c>
      <c r="BP189" s="648">
        <f t="shared" si="326"/>
        <v>0</v>
      </c>
      <c r="BQ189" s="510">
        <f t="shared" si="304"/>
        <v>0</v>
      </c>
      <c r="BR189" s="514">
        <f t="shared" si="327"/>
        <v>0</v>
      </c>
      <c r="BS189" s="514">
        <f t="shared" si="327"/>
        <v>0</v>
      </c>
      <c r="BT189" s="514">
        <f t="shared" si="327"/>
        <v>0</v>
      </c>
      <c r="BU189" s="648">
        <f t="shared" si="327"/>
        <v>0</v>
      </c>
      <c r="BV189" s="510">
        <f t="shared" si="305"/>
        <v>0</v>
      </c>
      <c r="BW189" s="514">
        <f t="shared" si="328"/>
        <v>0</v>
      </c>
      <c r="BX189" s="514">
        <f t="shared" si="328"/>
        <v>0</v>
      </c>
      <c r="BY189" s="514">
        <f t="shared" si="328"/>
        <v>0</v>
      </c>
      <c r="BZ189" s="648">
        <f t="shared" si="328"/>
        <v>0</v>
      </c>
      <c r="CA189" s="510">
        <f t="shared" si="306"/>
        <v>0</v>
      </c>
      <c r="CB189" s="1910"/>
      <c r="CC189" s="490"/>
      <c r="CD189" s="212" t="str">
        <f t="shared" si="307"/>
        <v>Income Tax  Receivable</v>
      </c>
      <c r="CE189" s="126">
        <f t="shared" si="308"/>
        <v>0</v>
      </c>
      <c r="CF189" s="126">
        <f t="shared" si="309"/>
        <v>0</v>
      </c>
      <c r="CG189" s="126">
        <f t="shared" si="310"/>
        <v>8.1120000000000001</v>
      </c>
      <c r="CH189" s="126">
        <f t="shared" si="311"/>
        <v>6.5359999999999996</v>
      </c>
      <c r="CI189" s="126">
        <f t="shared" si="312"/>
        <v>1.7729999999999999</v>
      </c>
      <c r="CJ189" s="126">
        <f t="shared" si="313"/>
        <v>0</v>
      </c>
      <c r="CK189" s="126">
        <f t="shared" si="314"/>
        <v>0</v>
      </c>
      <c r="CL189" s="126">
        <f t="shared" si="315"/>
        <v>0</v>
      </c>
      <c r="CM189" s="126">
        <f t="shared" si="316"/>
        <v>0</v>
      </c>
      <c r="CN189" s="126">
        <f t="shared" si="317"/>
        <v>0</v>
      </c>
      <c r="CO189" s="126">
        <f t="shared" si="318"/>
        <v>0</v>
      </c>
      <c r="CP189" s="126">
        <f t="shared" si="319"/>
        <v>0</v>
      </c>
      <c r="CQ189" s="126">
        <f t="shared" si="320"/>
        <v>0</v>
      </c>
      <c r="CR189" s="126">
        <f t="shared" si="321"/>
        <v>0</v>
      </c>
      <c r="CS189" s="126">
        <f t="shared" si="322"/>
        <v>0</v>
      </c>
      <c r="CT189" s="520">
        <f t="shared" si="323"/>
        <v>0</v>
      </c>
      <c r="CU189" s="6"/>
      <c r="DB189" s="636"/>
      <c r="DC189" s="636"/>
      <c r="DD189" s="1961"/>
      <c r="DE189" s="1961"/>
      <c r="DF189" s="1961"/>
      <c r="DG189" s="1961"/>
      <c r="DH189" s="1961"/>
      <c r="DI189" s="514"/>
    </row>
    <row r="190" spans="1:113" ht="12" customHeight="1" x14ac:dyDescent="0.25">
      <c r="A190" s="212" t="s">
        <v>178</v>
      </c>
      <c r="B190" s="333"/>
      <c r="C190" s="265"/>
      <c r="D190" s="646">
        <v>11.693</v>
      </c>
      <c r="E190" s="326"/>
      <c r="F190" s="268"/>
      <c r="G190" s="647"/>
      <c r="H190" s="647">
        <v>12.936</v>
      </c>
      <c r="I190" s="644">
        <f t="shared" si="292"/>
        <v>12.936</v>
      </c>
      <c r="J190" s="647">
        <v>13.113</v>
      </c>
      <c r="K190" s="647">
        <v>2.64</v>
      </c>
      <c r="L190" s="647">
        <v>5.6669999999999998</v>
      </c>
      <c r="M190" s="647">
        <v>8.91</v>
      </c>
      <c r="N190" s="644">
        <f t="shared" si="293"/>
        <v>8.91</v>
      </c>
      <c r="O190" s="647">
        <v>15.895</v>
      </c>
      <c r="P190" s="268">
        <v>7.8719999999999999</v>
      </c>
      <c r="Q190" s="268">
        <v>12.379</v>
      </c>
      <c r="R190" s="268">
        <v>10.295</v>
      </c>
      <c r="S190" s="644">
        <f t="shared" si="294"/>
        <v>10.295</v>
      </c>
      <c r="T190" s="647">
        <v>11.146000000000001</v>
      </c>
      <c r="U190" s="647">
        <v>10.448</v>
      </c>
      <c r="V190" s="647">
        <v>11.728</v>
      </c>
      <c r="W190" s="647">
        <v>26.696999999999999</v>
      </c>
      <c r="X190" s="644">
        <f t="shared" si="295"/>
        <v>26.696999999999999</v>
      </c>
      <c r="Y190" s="268">
        <v>26.196000000000002</v>
      </c>
      <c r="Z190" s="268">
        <v>28.326000000000001</v>
      </c>
      <c r="AA190" s="268">
        <v>27.699000000000002</v>
      </c>
      <c r="AB190" s="268">
        <v>21.193000000000001</v>
      </c>
      <c r="AC190" s="644">
        <f t="shared" si="296"/>
        <v>21.193000000000001</v>
      </c>
      <c r="AD190" s="268">
        <v>38.381999999999998</v>
      </c>
      <c r="AE190" s="268">
        <v>23.8</v>
      </c>
      <c r="AF190" s="268">
        <v>46.89</v>
      </c>
      <c r="AG190" s="268">
        <v>47.298999999999999</v>
      </c>
      <c r="AH190" s="644">
        <f t="shared" si="297"/>
        <v>47.298999999999999</v>
      </c>
      <c r="AI190" s="333">
        <v>44.686</v>
      </c>
      <c r="AJ190" s="268">
        <v>24.010999999999999</v>
      </c>
      <c r="AK190" s="268">
        <v>27.399000000000001</v>
      </c>
      <c r="AL190" s="268">
        <f>60.955+20.034+85.945</f>
        <v>166.934</v>
      </c>
      <c r="AM190" s="644">
        <f t="shared" si="298"/>
        <v>166.934</v>
      </c>
      <c r="AN190" s="333">
        <f>64.801+24.926</f>
        <v>89.727000000000004</v>
      </c>
      <c r="AO190" s="268">
        <f>68.659+24.059</f>
        <v>92.718000000000004</v>
      </c>
      <c r="AP190" s="268">
        <f>72.512+27.255</f>
        <v>99.766999999999996</v>
      </c>
      <c r="AQ190" s="268">
        <f>18.589+26.363</f>
        <v>44.951999999999998</v>
      </c>
      <c r="AR190" s="644">
        <f t="shared" si="299"/>
        <v>44.951999999999998</v>
      </c>
      <c r="AS190" s="333">
        <f>22.723+24.475</f>
        <v>47.198</v>
      </c>
      <c r="AT190" s="268">
        <f>27.026+39.35</f>
        <v>66.376000000000005</v>
      </c>
      <c r="AU190" s="268">
        <f>43.414+31.245</f>
        <v>74.659000000000006</v>
      </c>
      <c r="AV190" s="332">
        <f>48.697+32.922</f>
        <v>81.619</v>
      </c>
      <c r="AW190" s="644">
        <f t="shared" si="300"/>
        <v>81.619</v>
      </c>
      <c r="AX190" s="268">
        <f>24.558+36.188+574.245</f>
        <v>634.99099999999999</v>
      </c>
      <c r="AY190" s="268">
        <f>119.778+39.534</f>
        <v>159.31200000000001</v>
      </c>
      <c r="AZ190" s="268">
        <f>42.524+121.092</f>
        <v>163.61599999999999</v>
      </c>
      <c r="BA190" s="332">
        <f>125.9+19.6</f>
        <v>145.5</v>
      </c>
      <c r="BB190" s="645">
        <f t="shared" si="301"/>
        <v>145.5</v>
      </c>
      <c r="BC190" s="1892">
        <v>160.80000000000001</v>
      </c>
      <c r="BD190" s="1892">
        <v>170.2</v>
      </c>
      <c r="BE190" s="1943">
        <v>183.8</v>
      </c>
      <c r="BF190" s="1943">
        <v>214.5</v>
      </c>
      <c r="BG190" s="645">
        <f t="shared" si="302"/>
        <v>214.5</v>
      </c>
      <c r="BH190" s="275">
        <f>BH370*BH12*4</f>
        <v>181.77310624751297</v>
      </c>
      <c r="BI190" s="275">
        <f>BI370*BI12*4</f>
        <v>189.54984021406725</v>
      </c>
      <c r="BJ190" s="275">
        <f>BJ370*BJ12*4</f>
        <v>200.24470527529905</v>
      </c>
      <c r="BK190" s="515">
        <f>BK370*BK12*4</f>
        <v>229.56314308258811</v>
      </c>
      <c r="BL190" s="645">
        <f t="shared" si="303"/>
        <v>229.56314308258811</v>
      </c>
      <c r="BM190" s="275">
        <f>BM370*BM12*4</f>
        <v>192.07516648627143</v>
      </c>
      <c r="BN190" s="275">
        <f>BN370*BN12*4</f>
        <v>200.46878341551985</v>
      </c>
      <c r="BO190" s="275">
        <f>BO370*BO12*4</f>
        <v>211.83380253004924</v>
      </c>
      <c r="BP190" s="515">
        <f>BP370*BP12*4</f>
        <v>243.04936701735932</v>
      </c>
      <c r="BQ190" s="645">
        <f t="shared" si="304"/>
        <v>243.04936701735932</v>
      </c>
      <c r="BR190" s="275">
        <f>BR370*BR12*4</f>
        <v>202.84073526852373</v>
      </c>
      <c r="BS190" s="275">
        <f>BS370*BS12*4</f>
        <v>211.72100627459861</v>
      </c>
      <c r="BT190" s="275">
        <f>BT370*BT12*4</f>
        <v>223.75809401243407</v>
      </c>
      <c r="BU190" s="515">
        <f>BU370*BU12*4</f>
        <v>256.71660488058916</v>
      </c>
      <c r="BV190" s="645">
        <f t="shared" si="305"/>
        <v>256.71660488058916</v>
      </c>
      <c r="BW190" s="275">
        <f>BW370*BW12*4</f>
        <v>214.23641538780507</v>
      </c>
      <c r="BX190" s="275">
        <f>BX370*BX12*4</f>
        <v>223.63305585693098</v>
      </c>
      <c r="BY190" s="275">
        <f>BY370*BY12*4</f>
        <v>236.38326231457455</v>
      </c>
      <c r="BZ190" s="515">
        <f>BZ370*BZ12*4</f>
        <v>271.18655887160446</v>
      </c>
      <c r="CA190" s="645">
        <f t="shared" si="306"/>
        <v>271.18655887160446</v>
      </c>
      <c r="CB190" s="1910"/>
      <c r="CC190" s="490"/>
      <c r="CD190" s="212" t="str">
        <f t="shared" si="307"/>
        <v>Other Assets</v>
      </c>
      <c r="CE190" s="275">
        <f t="shared" si="308"/>
        <v>11.693</v>
      </c>
      <c r="CF190" s="275">
        <f t="shared" si="309"/>
        <v>12.936</v>
      </c>
      <c r="CG190" s="275">
        <f t="shared" si="310"/>
        <v>8.91</v>
      </c>
      <c r="CH190" s="275">
        <f t="shared" si="311"/>
        <v>10.295</v>
      </c>
      <c r="CI190" s="275">
        <f t="shared" si="312"/>
        <v>26.696999999999999</v>
      </c>
      <c r="CJ190" s="275">
        <f t="shared" si="313"/>
        <v>21.193000000000001</v>
      </c>
      <c r="CK190" s="275">
        <f t="shared" si="314"/>
        <v>47.298999999999999</v>
      </c>
      <c r="CL190" s="275">
        <f t="shared" si="315"/>
        <v>166.934</v>
      </c>
      <c r="CM190" s="275">
        <f t="shared" si="316"/>
        <v>44.951999999999998</v>
      </c>
      <c r="CN190" s="275">
        <f t="shared" si="317"/>
        <v>81.619</v>
      </c>
      <c r="CO190" s="275">
        <f t="shared" si="318"/>
        <v>145.5</v>
      </c>
      <c r="CP190" s="275">
        <f t="shared" si="319"/>
        <v>214.5</v>
      </c>
      <c r="CQ190" s="275">
        <f t="shared" si="320"/>
        <v>229.56314308258811</v>
      </c>
      <c r="CR190" s="275">
        <f t="shared" si="321"/>
        <v>243.04936701735932</v>
      </c>
      <c r="CS190" s="275">
        <f t="shared" si="322"/>
        <v>256.71660488058916</v>
      </c>
      <c r="CT190" s="515">
        <f t="shared" si="323"/>
        <v>271.18655887160446</v>
      </c>
      <c r="CU190" s="6"/>
      <c r="DB190" s="636">
        <v>74.319999999999993</v>
      </c>
      <c r="DC190" s="636"/>
      <c r="DD190" s="1961"/>
      <c r="DE190" s="1961"/>
      <c r="DF190" s="1961"/>
      <c r="DG190" s="1961"/>
      <c r="DH190" s="1961"/>
      <c r="DI190" s="275"/>
    </row>
    <row r="191" spans="1:113" ht="5.0999999999999996" customHeight="1" x14ac:dyDescent="0.25">
      <c r="A191" s="530"/>
      <c r="B191" s="649"/>
      <c r="C191" s="258" t="s">
        <v>60</v>
      </c>
      <c r="D191" s="258" t="s">
        <v>60</v>
      </c>
      <c r="E191" s="135" t="s">
        <v>60</v>
      </c>
      <c r="F191" s="259" t="s">
        <v>60</v>
      </c>
      <c r="G191" s="259" t="s">
        <v>60</v>
      </c>
      <c r="H191" s="259" t="s">
        <v>60</v>
      </c>
      <c r="I191" s="134" t="s">
        <v>60</v>
      </c>
      <c r="J191" s="259" t="s">
        <v>60</v>
      </c>
      <c r="K191" s="259" t="s">
        <v>60</v>
      </c>
      <c r="L191" s="259" t="s">
        <v>60</v>
      </c>
      <c r="M191" s="259" t="s">
        <v>60</v>
      </c>
      <c r="N191" s="134" t="s">
        <v>60</v>
      </c>
      <c r="O191" s="259" t="s">
        <v>60</v>
      </c>
      <c r="P191" s="259" t="s">
        <v>60</v>
      </c>
      <c r="Q191" s="259" t="s">
        <v>60</v>
      </c>
      <c r="R191" s="259" t="s">
        <v>60</v>
      </c>
      <c r="S191" s="134" t="s">
        <v>60</v>
      </c>
      <c r="T191" s="259" t="s">
        <v>60</v>
      </c>
      <c r="U191" s="259" t="s">
        <v>60</v>
      </c>
      <c r="V191" s="259" t="s">
        <v>60</v>
      </c>
      <c r="W191" s="259" t="s">
        <v>60</v>
      </c>
      <c r="X191" s="134" t="s">
        <v>60</v>
      </c>
      <c r="Y191" s="135" t="s">
        <v>60</v>
      </c>
      <c r="Z191" s="135" t="s">
        <v>60</v>
      </c>
      <c r="AA191" s="259" t="s">
        <v>60</v>
      </c>
      <c r="AB191" s="259" t="s">
        <v>60</v>
      </c>
      <c r="AC191" s="134" t="s">
        <v>60</v>
      </c>
      <c r="AD191" s="259" t="s">
        <v>60</v>
      </c>
      <c r="AE191" s="259" t="s">
        <v>60</v>
      </c>
      <c r="AF191" s="259" t="s">
        <v>60</v>
      </c>
      <c r="AG191" s="259" t="s">
        <v>60</v>
      </c>
      <c r="AH191" s="134" t="s">
        <v>60</v>
      </c>
      <c r="AI191" s="649" t="s">
        <v>60</v>
      </c>
      <c r="AJ191" s="259" t="s">
        <v>60</v>
      </c>
      <c r="AK191" s="259" t="s">
        <v>60</v>
      </c>
      <c r="AL191" s="259" t="s">
        <v>60</v>
      </c>
      <c r="AM191" s="134" t="s">
        <v>60</v>
      </c>
      <c r="AN191" s="649" t="s">
        <v>60</v>
      </c>
      <c r="AO191" s="259" t="s">
        <v>60</v>
      </c>
      <c r="AP191" s="259" t="s">
        <v>60</v>
      </c>
      <c r="AQ191" s="650" t="s">
        <v>60</v>
      </c>
      <c r="AR191" s="134" t="s">
        <v>60</v>
      </c>
      <c r="AS191" s="649" t="s">
        <v>60</v>
      </c>
      <c r="AT191" s="259" t="s">
        <v>60</v>
      </c>
      <c r="AU191" s="259" t="s">
        <v>60</v>
      </c>
      <c r="AV191" s="650" t="s">
        <v>60</v>
      </c>
      <c r="AW191" s="134" t="s">
        <v>60</v>
      </c>
      <c r="AX191" s="259" t="s">
        <v>60</v>
      </c>
      <c r="AY191" s="259" t="s">
        <v>60</v>
      </c>
      <c r="AZ191" s="259" t="s">
        <v>60</v>
      </c>
      <c r="BA191" s="650" t="s">
        <v>60</v>
      </c>
      <c r="BB191" s="134" t="s">
        <v>60</v>
      </c>
      <c r="BC191" s="259" t="s">
        <v>60</v>
      </c>
      <c r="BD191" s="259" t="s">
        <v>60</v>
      </c>
      <c r="BE191" s="259" t="s">
        <v>60</v>
      </c>
      <c r="BF191" s="259" t="s">
        <v>60</v>
      </c>
      <c r="BG191" s="134" t="s">
        <v>60</v>
      </c>
      <c r="BH191" s="259" t="s">
        <v>60</v>
      </c>
      <c r="BI191" s="259" t="s">
        <v>60</v>
      </c>
      <c r="BJ191" s="259" t="s">
        <v>60</v>
      </c>
      <c r="BK191" s="650" t="s">
        <v>60</v>
      </c>
      <c r="BL191" s="134" t="s">
        <v>60</v>
      </c>
      <c r="BM191" s="259" t="s">
        <v>60</v>
      </c>
      <c r="BN191" s="259" t="s">
        <v>60</v>
      </c>
      <c r="BO191" s="259" t="s">
        <v>60</v>
      </c>
      <c r="BP191" s="650" t="s">
        <v>60</v>
      </c>
      <c r="BQ191" s="134" t="s">
        <v>60</v>
      </c>
      <c r="BR191" s="259" t="s">
        <v>60</v>
      </c>
      <c r="BS191" s="259" t="s">
        <v>60</v>
      </c>
      <c r="BT191" s="259" t="s">
        <v>60</v>
      </c>
      <c r="BU191" s="650" t="s">
        <v>60</v>
      </c>
      <c r="BV191" s="134" t="s">
        <v>60</v>
      </c>
      <c r="BW191" s="259" t="s">
        <v>60</v>
      </c>
      <c r="BX191" s="259" t="s">
        <v>60</v>
      </c>
      <c r="BY191" s="259" t="s">
        <v>60</v>
      </c>
      <c r="BZ191" s="650" t="s">
        <v>60</v>
      </c>
      <c r="CA191" s="134" t="s">
        <v>60</v>
      </c>
      <c r="CB191" s="1910"/>
      <c r="CC191" s="490"/>
      <c r="CD191" s="530"/>
      <c r="CE191" s="259"/>
      <c r="CF191" s="259"/>
      <c r="CG191" s="259"/>
      <c r="CH191" s="259"/>
      <c r="CI191" s="259"/>
      <c r="CJ191" s="259"/>
      <c r="CK191" s="259"/>
      <c r="CL191" s="259"/>
      <c r="CM191" s="259"/>
      <c r="CN191" s="259"/>
      <c r="CO191" s="259"/>
      <c r="CP191" s="259"/>
      <c r="CQ191" s="259"/>
      <c r="CR191" s="259"/>
      <c r="CS191" s="259"/>
      <c r="CT191" s="650"/>
      <c r="CU191" s="6"/>
      <c r="DB191" s="636"/>
      <c r="DC191" s="636"/>
      <c r="DD191" s="1961"/>
      <c r="DE191" s="1961"/>
      <c r="DF191" s="1961"/>
      <c r="DG191" s="1961"/>
      <c r="DH191" s="1961"/>
      <c r="DI191" s="259"/>
    </row>
    <row r="192" spans="1:113" ht="12" customHeight="1" x14ac:dyDescent="0.25">
      <c r="A192" s="212" t="s">
        <v>179</v>
      </c>
      <c r="B192" s="138"/>
      <c r="C192" s="71">
        <f t="shared" ref="C192:AQ192" si="329">SUM(C182,C184:C190)</f>
        <v>42.822000000000074</v>
      </c>
      <c r="D192" s="71">
        <f t="shared" si="329"/>
        <v>744.73099999999999</v>
      </c>
      <c r="E192" s="74">
        <f t="shared" si="329"/>
        <v>125.87800000000003</v>
      </c>
      <c r="F192" s="74">
        <f t="shared" si="329"/>
        <v>39.826000000000036</v>
      </c>
      <c r="G192" s="74">
        <f t="shared" si="329"/>
        <v>40.729000000000028</v>
      </c>
      <c r="H192" s="74">
        <f t="shared" si="329"/>
        <v>830.04100000000005</v>
      </c>
      <c r="I192" s="71">
        <f t="shared" si="329"/>
        <v>830.04100000000005</v>
      </c>
      <c r="J192" s="74">
        <f t="shared" si="329"/>
        <v>842.44500000000016</v>
      </c>
      <c r="K192" s="74">
        <f t="shared" si="329"/>
        <v>866.83899999999983</v>
      </c>
      <c r="L192" s="74">
        <f t="shared" si="329"/>
        <v>857.93399999999997</v>
      </c>
      <c r="M192" s="74">
        <f t="shared" si="329"/>
        <v>928.87699999999995</v>
      </c>
      <c r="N192" s="71">
        <f t="shared" si="329"/>
        <v>928.87699999999995</v>
      </c>
      <c r="O192" s="74">
        <f t="shared" si="329"/>
        <v>1020.386</v>
      </c>
      <c r="P192" s="74">
        <f t="shared" si="329"/>
        <v>1009.335</v>
      </c>
      <c r="Q192" s="74">
        <f t="shared" si="329"/>
        <v>1019.3760000000001</v>
      </c>
      <c r="R192" s="74">
        <f t="shared" si="329"/>
        <v>996.95299999999997</v>
      </c>
      <c r="S192" s="71">
        <f t="shared" si="329"/>
        <v>996.95299999999997</v>
      </c>
      <c r="T192" s="74">
        <f t="shared" si="329"/>
        <v>1085.6790000000001</v>
      </c>
      <c r="U192" s="74">
        <f t="shared" si="329"/>
        <v>1053.268</v>
      </c>
      <c r="V192" s="74">
        <f t="shared" si="329"/>
        <v>1049.4110000000003</v>
      </c>
      <c r="W192" s="74">
        <f t="shared" si="329"/>
        <v>1217.0899999999999</v>
      </c>
      <c r="X192" s="71">
        <f t="shared" si="329"/>
        <v>1217.0899999999997</v>
      </c>
      <c r="Y192" s="74">
        <f t="shared" si="329"/>
        <v>1286.431</v>
      </c>
      <c r="Z192" s="74">
        <f t="shared" si="329"/>
        <v>1408.0889999999999</v>
      </c>
      <c r="AA192" s="74">
        <f t="shared" si="329"/>
        <v>1379.9330000000002</v>
      </c>
      <c r="AB192" s="74">
        <f t="shared" si="329"/>
        <v>1541.106</v>
      </c>
      <c r="AC192" s="71">
        <f t="shared" si="329"/>
        <v>1541.1059999999998</v>
      </c>
      <c r="AD192" s="74">
        <f t="shared" si="329"/>
        <v>1892.0430000000001</v>
      </c>
      <c r="AE192" s="74">
        <f t="shared" si="329"/>
        <v>1853.3429999999998</v>
      </c>
      <c r="AF192" s="74">
        <f t="shared" si="329"/>
        <v>2303.433</v>
      </c>
      <c r="AG192" s="74">
        <f t="shared" si="329"/>
        <v>2360.3359999999998</v>
      </c>
      <c r="AH192" s="71">
        <f t="shared" si="329"/>
        <v>2360.3360000000002</v>
      </c>
      <c r="AI192" s="138">
        <f t="shared" si="329"/>
        <v>2516.3470000000002</v>
      </c>
      <c r="AJ192" s="74">
        <f t="shared" si="329"/>
        <v>2438.2269999999999</v>
      </c>
      <c r="AK192" s="74">
        <f t="shared" si="329"/>
        <v>2427.6539999999995</v>
      </c>
      <c r="AL192" s="74">
        <f t="shared" si="329"/>
        <v>2504.4690000000001</v>
      </c>
      <c r="AM192" s="71">
        <f t="shared" si="329"/>
        <v>2504.4510000000005</v>
      </c>
      <c r="AN192" s="138">
        <f t="shared" si="329"/>
        <v>2640.0039999999999</v>
      </c>
      <c r="AO192" s="74">
        <f t="shared" si="329"/>
        <v>2675.2769999999996</v>
      </c>
      <c r="AP192" s="74">
        <f t="shared" si="329"/>
        <v>2677.7</v>
      </c>
      <c r="AQ192" s="141">
        <f t="shared" si="329"/>
        <v>2345.33</v>
      </c>
      <c r="AR192" s="71">
        <f>SUM(AR182,AR184:AR190)</f>
        <v>2345.33</v>
      </c>
      <c r="AS192" s="138">
        <f>SUM(AS182,AS184:AS190)</f>
        <v>2404.4989999999998</v>
      </c>
      <c r="AT192" s="74">
        <f>SUM(AT182,AT184:AT190)</f>
        <v>5775.6659999999993</v>
      </c>
      <c r="AU192" s="74">
        <f>SUM(AU182,AU184:AU190)</f>
        <v>5619.0969999999988</v>
      </c>
      <c r="AV192" s="141">
        <f>SUM(AV182,AV184:AV190)</f>
        <v>5615.9479999999994</v>
      </c>
      <c r="AW192" s="71">
        <f t="shared" ref="AW192:BG192" si="330">SUM(AW182,AW184:AW190)</f>
        <v>5615.9479999999994</v>
      </c>
      <c r="AX192" s="74">
        <f t="shared" si="330"/>
        <v>5459.1679999999997</v>
      </c>
      <c r="AY192" s="74">
        <f t="shared" si="330"/>
        <v>4725.0839999999989</v>
      </c>
      <c r="AZ192" s="74">
        <f t="shared" si="330"/>
        <v>4685.0719999999992</v>
      </c>
      <c r="BA192" s="141">
        <f t="shared" si="330"/>
        <v>4631.232</v>
      </c>
      <c r="BB192" s="77">
        <f t="shared" si="330"/>
        <v>4631.232</v>
      </c>
      <c r="BC192" s="74">
        <f t="shared" si="330"/>
        <v>4748.732</v>
      </c>
      <c r="BD192" s="74">
        <f t="shared" si="330"/>
        <v>4898.7319999999991</v>
      </c>
      <c r="BE192" s="74">
        <f t="shared" si="330"/>
        <v>5628.2319999999991</v>
      </c>
      <c r="BF192" s="74">
        <f t="shared" si="330"/>
        <v>6020.3319999999994</v>
      </c>
      <c r="BG192" s="77">
        <f t="shared" si="330"/>
        <v>6020.3319999999994</v>
      </c>
      <c r="BH192" s="74">
        <f t="shared" ref="BH192:CA192" si="331">SUM(BH182,BH184:BH190)</f>
        <v>6175.2253828127295</v>
      </c>
      <c r="BI192" s="74">
        <f t="shared" si="331"/>
        <v>6114.9177752623655</v>
      </c>
      <c r="BJ192" s="74">
        <f t="shared" si="331"/>
        <v>6113.2524975809165</v>
      </c>
      <c r="BK192" s="141">
        <f t="shared" si="331"/>
        <v>6139.6611407516357</v>
      </c>
      <c r="BL192" s="77">
        <f t="shared" si="331"/>
        <v>6139.6611407516357</v>
      </c>
      <c r="BM192" s="74">
        <f t="shared" si="331"/>
        <v>6264.5191262197368</v>
      </c>
      <c r="BN192" s="74">
        <f t="shared" si="331"/>
        <v>6172.0606622617879</v>
      </c>
      <c r="BO192" s="74">
        <f t="shared" si="331"/>
        <v>6140.7789183761297</v>
      </c>
      <c r="BP192" s="141">
        <f t="shared" si="331"/>
        <v>6139.8572117101949</v>
      </c>
      <c r="BQ192" s="77">
        <f t="shared" si="331"/>
        <v>6139.8572117101949</v>
      </c>
      <c r="BR192" s="74">
        <f t="shared" si="331"/>
        <v>6261.3794563158599</v>
      </c>
      <c r="BS192" s="74">
        <f t="shared" si="331"/>
        <v>6155.0463808663308</v>
      </c>
      <c r="BT192" s="74">
        <f t="shared" si="331"/>
        <v>6113.1655364512508</v>
      </c>
      <c r="BU192" s="141">
        <f t="shared" si="331"/>
        <v>6103.4081388414279</v>
      </c>
      <c r="BV192" s="77">
        <f t="shared" si="331"/>
        <v>6103.4081388414279</v>
      </c>
      <c r="BW192" s="74">
        <f t="shared" si="331"/>
        <v>6250.6955845041493</v>
      </c>
      <c r="BX192" s="74">
        <f t="shared" si="331"/>
        <v>6157.327764744211</v>
      </c>
      <c r="BY192" s="74">
        <f t="shared" si="331"/>
        <v>6132.034353516744</v>
      </c>
      <c r="BZ192" s="141">
        <f t="shared" si="331"/>
        <v>6140.9015459642469</v>
      </c>
      <c r="CA192" s="77">
        <f t="shared" si="331"/>
        <v>6140.9015459642469</v>
      </c>
      <c r="CB192" s="1910"/>
      <c r="CC192" s="217"/>
      <c r="CD192" s="212" t="str">
        <f>A192</f>
        <v>Total Assets</v>
      </c>
      <c r="CE192" s="74">
        <f>D192</f>
        <v>744.73099999999999</v>
      </c>
      <c r="CF192" s="74">
        <f>I192</f>
        <v>830.04100000000005</v>
      </c>
      <c r="CG192" s="74">
        <f>N192</f>
        <v>928.87699999999995</v>
      </c>
      <c r="CH192" s="74">
        <f>S192</f>
        <v>996.95299999999997</v>
      </c>
      <c r="CI192" s="74">
        <f>X192</f>
        <v>1217.0899999999997</v>
      </c>
      <c r="CJ192" s="74">
        <f>AC192</f>
        <v>1541.1059999999998</v>
      </c>
      <c r="CK192" s="74">
        <f>AH192</f>
        <v>2360.3360000000002</v>
      </c>
      <c r="CL192" s="74">
        <f>AM192</f>
        <v>2504.4510000000005</v>
      </c>
      <c r="CM192" s="74">
        <f>AR192</f>
        <v>2345.33</v>
      </c>
      <c r="CN192" s="74">
        <f>AW192</f>
        <v>5615.9479999999994</v>
      </c>
      <c r="CO192" s="74">
        <f>BB192</f>
        <v>4631.232</v>
      </c>
      <c r="CP192" s="74">
        <f>BG192</f>
        <v>6020.3319999999994</v>
      </c>
      <c r="CQ192" s="74">
        <f>BL192</f>
        <v>6139.6611407516357</v>
      </c>
      <c r="CR192" s="74">
        <f>BQ192</f>
        <v>6139.8572117101949</v>
      </c>
      <c r="CS192" s="74">
        <f>BV192</f>
        <v>6103.4081388414279</v>
      </c>
      <c r="CT192" s="141">
        <f>CA192</f>
        <v>6140.9015459642469</v>
      </c>
      <c r="CU192" s="6"/>
      <c r="DB192" s="636"/>
      <c r="DC192" s="636"/>
      <c r="DD192" s="1961"/>
      <c r="DE192" s="1961"/>
      <c r="DF192" s="1961"/>
      <c r="DG192" s="1961"/>
      <c r="DH192" s="1961"/>
      <c r="DI192" s="74"/>
    </row>
    <row r="193" spans="1:113" ht="5.0999999999999996" customHeight="1" x14ac:dyDescent="0.25">
      <c r="A193" s="530"/>
      <c r="B193" s="632"/>
      <c r="C193" s="634"/>
      <c r="D193" s="634"/>
      <c r="E193" s="640"/>
      <c r="F193" s="9"/>
      <c r="G193" s="9"/>
      <c r="H193" s="9"/>
      <c r="I193" s="634"/>
      <c r="J193" s="656"/>
      <c r="K193" s="9"/>
      <c r="L193" s="9"/>
      <c r="M193" s="9"/>
      <c r="N193" s="634"/>
      <c r="O193" s="9"/>
      <c r="P193" s="657"/>
      <c r="Q193" s="657"/>
      <c r="R193" s="657"/>
      <c r="S193" s="634"/>
      <c r="T193" s="9"/>
      <c r="U193" s="9"/>
      <c r="V193" s="9"/>
      <c r="W193" s="9"/>
      <c r="X193" s="634"/>
      <c r="Y193" s="640"/>
      <c r="Z193" s="640"/>
      <c r="AA193" s="9"/>
      <c r="AB193" s="9"/>
      <c r="AC193" s="634"/>
      <c r="AD193" s="9"/>
      <c r="AE193" s="9"/>
      <c r="AF193" s="9"/>
      <c r="AG193" s="9"/>
      <c r="AH193" s="634"/>
      <c r="AI193" s="632"/>
      <c r="AJ193" s="9"/>
      <c r="AK193" s="658"/>
      <c r="AL193" s="658"/>
      <c r="AM193" s="634"/>
      <c r="AN193" s="632"/>
      <c r="AO193" s="9"/>
      <c r="AP193" s="9"/>
      <c r="AQ193" s="633"/>
      <c r="AR193" s="634"/>
      <c r="AS193" s="632"/>
      <c r="AT193" s="9"/>
      <c r="AU193" s="9"/>
      <c r="AV193" s="633"/>
      <c r="AW193" s="634"/>
      <c r="AX193" s="9"/>
      <c r="AY193" s="9"/>
      <c r="AZ193" s="9"/>
      <c r="BA193" s="633"/>
      <c r="BB193" s="635"/>
      <c r="BC193" s="9"/>
      <c r="BD193" s="9"/>
      <c r="BE193" s="9"/>
      <c r="BF193" s="9"/>
      <c r="BG193" s="635"/>
      <c r="BH193" s="9"/>
      <c r="BI193" s="9"/>
      <c r="BJ193" s="9"/>
      <c r="BK193" s="633"/>
      <c r="BL193" s="635"/>
      <c r="BM193" s="9"/>
      <c r="BN193" s="9"/>
      <c r="BO193" s="9"/>
      <c r="BP193" s="633"/>
      <c r="BQ193" s="635"/>
      <c r="BR193" s="9"/>
      <c r="BS193" s="9"/>
      <c r="BT193" s="9"/>
      <c r="BU193" s="633"/>
      <c r="BV193" s="635"/>
      <c r="BW193" s="9"/>
      <c r="BX193" s="9"/>
      <c r="BY193" s="9"/>
      <c r="BZ193" s="633"/>
      <c r="CA193" s="635"/>
      <c r="CB193" s="1910"/>
      <c r="CC193" s="217"/>
      <c r="CD193" s="530"/>
      <c r="CE193" s="9"/>
      <c r="CF193" s="9"/>
      <c r="CG193" s="9"/>
      <c r="CH193" s="9"/>
      <c r="CI193" s="9"/>
      <c r="CJ193" s="9"/>
      <c r="CK193" s="9"/>
      <c r="CL193" s="9"/>
      <c r="CM193" s="9"/>
      <c r="CN193" s="9"/>
      <c r="CO193" s="9"/>
      <c r="CP193" s="9"/>
      <c r="CQ193" s="9"/>
      <c r="CR193" s="9"/>
      <c r="CS193" s="9"/>
      <c r="CT193" s="633"/>
      <c r="CU193" s="6"/>
      <c r="DB193" s="636"/>
      <c r="DC193" s="636"/>
      <c r="DD193" s="1961"/>
      <c r="DE193" s="1961"/>
      <c r="DF193" s="1961"/>
      <c r="DG193" s="1961"/>
      <c r="DH193" s="1961"/>
      <c r="DI193" s="9"/>
    </row>
    <row r="194" spans="1:113" ht="12" customHeight="1" x14ac:dyDescent="0.25">
      <c r="A194" s="212" t="s">
        <v>180</v>
      </c>
      <c r="B194" s="632"/>
      <c r="C194" s="634"/>
      <c r="D194" s="634"/>
      <c r="E194" s="640"/>
      <c r="F194" s="9"/>
      <c r="G194" s="9"/>
      <c r="H194" s="9"/>
      <c r="I194" s="634"/>
      <c r="J194" s="9"/>
      <c r="K194" s="9"/>
      <c r="L194" s="9"/>
      <c r="M194" s="9"/>
      <c r="N194" s="634"/>
      <c r="O194" s="9"/>
      <c r="P194" s="9"/>
      <c r="Q194" s="9"/>
      <c r="R194" s="9"/>
      <c r="S194" s="634"/>
      <c r="T194" s="9"/>
      <c r="U194" s="9"/>
      <c r="V194" s="9"/>
      <c r="W194" s="9"/>
      <c r="X194" s="634"/>
      <c r="Y194" s="640"/>
      <c r="Z194" s="640"/>
      <c r="AA194" s="9"/>
      <c r="AB194" s="9"/>
      <c r="AC194" s="634"/>
      <c r="AD194" s="9"/>
      <c r="AE194" s="9"/>
      <c r="AF194" s="9"/>
      <c r="AG194" s="9"/>
      <c r="AH194" s="634"/>
      <c r="AI194" s="632"/>
      <c r="AJ194" s="9"/>
      <c r="AK194" s="9"/>
      <c r="AL194" s="9"/>
      <c r="AM194" s="634"/>
      <c r="AN194" s="632"/>
      <c r="AO194" s="9"/>
      <c r="AP194" s="9"/>
      <c r="AQ194" s="633"/>
      <c r="AR194" s="634"/>
      <c r="AS194" s="632"/>
      <c r="AT194" s="9"/>
      <c r="AU194" s="9"/>
      <c r="AV194" s="633"/>
      <c r="AW194" s="634"/>
      <c r="AX194" s="9"/>
      <c r="AY194" s="9"/>
      <c r="AZ194" s="9"/>
      <c r="BA194" s="633"/>
      <c r="BB194" s="635"/>
      <c r="BC194" s="9"/>
      <c r="BD194" s="9"/>
      <c r="BE194" s="9"/>
      <c r="BF194" s="9"/>
      <c r="BG194" s="635"/>
      <c r="BH194" s="9"/>
      <c r="BI194" s="9"/>
      <c r="BJ194" s="9"/>
      <c r="BK194" s="633"/>
      <c r="BL194" s="635"/>
      <c r="BM194" s="9"/>
      <c r="BN194" s="9"/>
      <c r="BO194" s="9"/>
      <c r="BP194" s="633"/>
      <c r="BQ194" s="635"/>
      <c r="BR194" s="9"/>
      <c r="BS194" s="9"/>
      <c r="BT194" s="9"/>
      <c r="BU194" s="633"/>
      <c r="BV194" s="635"/>
      <c r="BW194" s="9"/>
      <c r="BX194" s="9"/>
      <c r="BY194" s="9"/>
      <c r="BZ194" s="633"/>
      <c r="CA194" s="635"/>
      <c r="CB194" s="1910"/>
      <c r="CC194" s="217"/>
      <c r="CD194" s="212" t="str">
        <f t="shared" ref="CD194:CD202" si="332">A194</f>
        <v>LIABILITIES AND STOCKHOLDERS’ EQUITY</v>
      </c>
      <c r="CE194" s="9"/>
      <c r="CF194" s="9"/>
      <c r="CG194" s="9"/>
      <c r="CH194" s="9"/>
      <c r="CI194" s="9"/>
      <c r="CJ194" s="9"/>
      <c r="CK194" s="9"/>
      <c r="CL194" s="9"/>
      <c r="CM194" s="9"/>
      <c r="CN194" s="9"/>
      <c r="CO194" s="9"/>
      <c r="CP194" s="9"/>
      <c r="CQ194" s="9"/>
      <c r="CR194" s="9"/>
      <c r="CS194" s="9"/>
      <c r="CT194" s="633"/>
      <c r="CU194" s="6"/>
      <c r="DB194" s="636"/>
      <c r="DC194" s="636"/>
      <c r="DD194" s="1961"/>
      <c r="DE194" s="1961"/>
      <c r="DF194" s="1961"/>
      <c r="DG194" s="1961"/>
      <c r="DH194" s="1961"/>
      <c r="DI194" s="9"/>
    </row>
    <row r="195" spans="1:113" x14ac:dyDescent="0.25">
      <c r="A195" s="212" t="s">
        <v>181</v>
      </c>
      <c r="B195" s="632"/>
      <c r="C195" s="634"/>
      <c r="D195" s="634"/>
      <c r="E195" s="9"/>
      <c r="F195" s="9"/>
      <c r="G195" s="9"/>
      <c r="H195" s="9"/>
      <c r="I195" s="634"/>
      <c r="J195" s="9"/>
      <c r="K195" s="9"/>
      <c r="L195" s="9"/>
      <c r="M195" s="9"/>
      <c r="N195" s="634"/>
      <c r="O195" s="9"/>
      <c r="P195" s="9"/>
      <c r="Q195" s="9"/>
      <c r="R195" s="9"/>
      <c r="S195" s="634"/>
      <c r="T195" s="9"/>
      <c r="U195" s="9"/>
      <c r="V195" s="9"/>
      <c r="W195" s="9"/>
      <c r="X195" s="634"/>
      <c r="Y195" s="9"/>
      <c r="Z195" s="9"/>
      <c r="AA195" s="9"/>
      <c r="AB195" s="9"/>
      <c r="AC195" s="634"/>
      <c r="AD195" s="9"/>
      <c r="AE195" s="9"/>
      <c r="AF195" s="9"/>
      <c r="AG195" s="9"/>
      <c r="AH195" s="634"/>
      <c r="AI195" s="632"/>
      <c r="AJ195" s="9"/>
      <c r="AK195" s="9"/>
      <c r="AL195" s="9"/>
      <c r="AM195" s="634"/>
      <c r="AN195" s="632"/>
      <c r="AO195" s="9"/>
      <c r="AP195" s="9"/>
      <c r="AQ195" s="633"/>
      <c r="AR195" s="634"/>
      <c r="AS195" s="632"/>
      <c r="AT195" s="658"/>
      <c r="AU195" s="9"/>
      <c r="AV195" s="633"/>
      <c r="AW195" s="634"/>
      <c r="AX195" s="9"/>
      <c r="AY195" s="9"/>
      <c r="AZ195" s="9"/>
      <c r="BA195" s="633"/>
      <c r="BB195" s="635"/>
      <c r="BC195" s="9"/>
      <c r="BD195" s="9"/>
      <c r="BE195" s="9"/>
      <c r="BF195" s="9"/>
      <c r="BG195" s="635"/>
      <c r="BH195" s="9"/>
      <c r="BI195" s="9"/>
      <c r="BJ195" s="9"/>
      <c r="BK195" s="633"/>
      <c r="BL195" s="635"/>
      <c r="BM195" s="9"/>
      <c r="BN195" s="9"/>
      <c r="BO195" s="9"/>
      <c r="BP195" s="633"/>
      <c r="BQ195" s="635"/>
      <c r="BR195" s="9"/>
      <c r="BS195" s="9"/>
      <c r="BT195" s="9"/>
      <c r="BU195" s="633"/>
      <c r="BV195" s="635"/>
      <c r="BW195" s="9"/>
      <c r="BX195" s="9"/>
      <c r="BY195" s="9"/>
      <c r="BZ195" s="633"/>
      <c r="CA195" s="635"/>
      <c r="CB195" s="1910"/>
      <c r="CC195" s="217"/>
      <c r="CD195" s="212" t="str">
        <f t="shared" si="332"/>
        <v>Current Liabilities</v>
      </c>
      <c r="CE195" s="9"/>
      <c r="CF195" s="9"/>
      <c r="CG195" s="9"/>
      <c r="CH195" s="9"/>
      <c r="CI195" s="9"/>
      <c r="CJ195" s="9"/>
      <c r="CK195" s="9"/>
      <c r="CL195" s="9"/>
      <c r="CM195" s="9"/>
      <c r="CN195" s="9"/>
      <c r="CO195" s="9"/>
      <c r="CP195" s="9"/>
      <c r="CQ195" s="9"/>
      <c r="CR195" s="9"/>
      <c r="CS195" s="9"/>
      <c r="CT195" s="633"/>
      <c r="CU195" s="6"/>
      <c r="DB195" s="636"/>
      <c r="DC195" s="636"/>
      <c r="DD195" s="1961"/>
      <c r="DE195" s="1961"/>
      <c r="DF195" s="1961"/>
      <c r="DG195" s="1961"/>
      <c r="DH195" s="1961"/>
      <c r="DI195" s="9"/>
    </row>
    <row r="196" spans="1:113" ht="12" customHeight="1" x14ac:dyDescent="0.25">
      <c r="A196" s="218" t="s">
        <v>182</v>
      </c>
      <c r="B196" s="560"/>
      <c r="C196" s="558"/>
      <c r="D196" s="229">
        <v>66.709999999999994</v>
      </c>
      <c r="E196" s="326"/>
      <c r="F196" s="150"/>
      <c r="G196" s="235"/>
      <c r="H196" s="234">
        <v>78.233999999999995</v>
      </c>
      <c r="I196" s="639">
        <f t="shared" ref="I196:I202" si="333">H196</f>
        <v>78.233999999999995</v>
      </c>
      <c r="J196" s="234">
        <v>47.780999999999999</v>
      </c>
      <c r="K196" s="234">
        <v>65.259</v>
      </c>
      <c r="L196" s="234">
        <v>72.552999999999997</v>
      </c>
      <c r="M196" s="234">
        <v>83.381</v>
      </c>
      <c r="N196" s="639">
        <f t="shared" ref="N196:N202" si="334">M196</f>
        <v>83.381</v>
      </c>
      <c r="O196" s="234">
        <v>66.388000000000005</v>
      </c>
      <c r="P196" s="150">
        <v>84.668000000000006</v>
      </c>
      <c r="Q196" s="150">
        <v>100.979</v>
      </c>
      <c r="R196" s="150">
        <v>101.401</v>
      </c>
      <c r="S196" s="639">
        <f t="shared" ref="S196:S202" si="335">R196</f>
        <v>101.401</v>
      </c>
      <c r="T196" s="234">
        <v>78.001000000000005</v>
      </c>
      <c r="U196" s="234">
        <v>81.570999999999998</v>
      </c>
      <c r="V196" s="234">
        <v>99.284999999999997</v>
      </c>
      <c r="W196" s="234">
        <v>111.995</v>
      </c>
      <c r="X196" s="639">
        <f t="shared" ref="X196:X202" si="336">W196</f>
        <v>111.995</v>
      </c>
      <c r="Y196" s="234">
        <v>88.457999999999998</v>
      </c>
      <c r="Z196" s="234">
        <v>121.285</v>
      </c>
      <c r="AA196" s="234">
        <v>146.358</v>
      </c>
      <c r="AB196" s="234">
        <v>162.99199999999999</v>
      </c>
      <c r="AC196" s="639">
        <f t="shared" ref="AC196:AC202" si="337">AB196</f>
        <v>162.99199999999999</v>
      </c>
      <c r="AD196" s="234">
        <v>144.97399999999999</v>
      </c>
      <c r="AE196" s="150">
        <v>153.684</v>
      </c>
      <c r="AF196" s="150">
        <v>176.464</v>
      </c>
      <c r="AG196" s="150">
        <v>187.648</v>
      </c>
      <c r="AH196" s="639">
        <f t="shared" ref="AH196:AH202" si="338">AG196</f>
        <v>187.648</v>
      </c>
      <c r="AI196" s="543">
        <v>150.261</v>
      </c>
      <c r="AJ196" s="234">
        <v>157.96100000000001</v>
      </c>
      <c r="AK196" s="234">
        <v>171.285</v>
      </c>
      <c r="AL196" s="234">
        <v>188.26400000000001</v>
      </c>
      <c r="AM196" s="639">
        <f t="shared" ref="AM196:AM202" si="339">AL196</f>
        <v>188.26400000000001</v>
      </c>
      <c r="AN196" s="543">
        <v>156.893</v>
      </c>
      <c r="AO196" s="234">
        <v>157.35</v>
      </c>
      <c r="AP196" s="234">
        <v>164.28800000000001</v>
      </c>
      <c r="AQ196" s="234">
        <v>180.726</v>
      </c>
      <c r="AR196" s="639">
        <f t="shared" ref="AR196:AR202" si="340">AQ196</f>
        <v>180.726</v>
      </c>
      <c r="AS196" s="543">
        <v>142.471</v>
      </c>
      <c r="AT196" s="150">
        <v>246.36099999999999</v>
      </c>
      <c r="AU196" s="150">
        <v>266.46699999999998</v>
      </c>
      <c r="AV196" s="298">
        <v>245.66399999999999</v>
      </c>
      <c r="AW196" s="639">
        <f t="shared" ref="AW196:AW202" si="341">AV196</f>
        <v>245.66399999999999</v>
      </c>
      <c r="AX196" s="150">
        <v>179.67099999999999</v>
      </c>
      <c r="AY196" s="150">
        <v>163.41300000000001</v>
      </c>
      <c r="AZ196" s="150">
        <v>192.30099999999999</v>
      </c>
      <c r="BA196" s="298">
        <v>183.1</v>
      </c>
      <c r="BB196" s="642">
        <f t="shared" ref="BB196:BB202" si="342">BA196</f>
        <v>183.1</v>
      </c>
      <c r="BC196" s="1894">
        <v>162.1</v>
      </c>
      <c r="BD196" s="1894">
        <v>161.4</v>
      </c>
      <c r="BE196" s="1933">
        <v>210.2</v>
      </c>
      <c r="BF196" s="1933">
        <v>225.4</v>
      </c>
      <c r="BG196" s="642">
        <f t="shared" ref="BG196:BG202" si="343">BF196</f>
        <v>225.4</v>
      </c>
      <c r="BH196" s="74">
        <f>(BH366*BH17)/90</f>
        <v>191.27505733569524</v>
      </c>
      <c r="BI196" s="74">
        <f>(BI366*BI17)/90</f>
        <v>183.90791988112008</v>
      </c>
      <c r="BJ196" s="74">
        <f>(BJ366*BJ17)/90</f>
        <v>229.68672436684528</v>
      </c>
      <c r="BK196" s="141">
        <f>(BK366*BK17)/90</f>
        <v>241.66132074302828</v>
      </c>
      <c r="BL196" s="642">
        <f t="shared" ref="BL196:BL202" si="344">BK196</f>
        <v>241.66132074302828</v>
      </c>
      <c r="BM196" s="74">
        <f>(BM366*BM17)/90</f>
        <v>201.40022741098812</v>
      </c>
      <c r="BN196" s="74">
        <f>(BN366*BN17)/90</f>
        <v>193.80417072140764</v>
      </c>
      <c r="BO196" s="74">
        <f>(BO366*BO17)/90</f>
        <v>242.04193462804034</v>
      </c>
      <c r="BP196" s="141">
        <f>(BP366*BP17)/90</f>
        <v>254.9097664144175</v>
      </c>
      <c r="BQ196" s="642">
        <f t="shared" ref="BQ196:BQ202" si="345">BP196</f>
        <v>254.9097664144175</v>
      </c>
      <c r="BR196" s="74">
        <f>(BR366*BR17)/90</f>
        <v>211.91353581456295</v>
      </c>
      <c r="BS196" s="74">
        <f>(BS366*BS17)/90</f>
        <v>203.91124470835268</v>
      </c>
      <c r="BT196" s="74">
        <f>(BT366*BT17)/90</f>
        <v>254.6346163594157</v>
      </c>
      <c r="BU196" s="141">
        <f>(BU366*BU17)/90</f>
        <v>268.1724921533733</v>
      </c>
      <c r="BV196" s="642">
        <f t="shared" ref="BV196:BV202" si="346">BU196</f>
        <v>268.1724921533733</v>
      </c>
      <c r="BW196" s="74">
        <f>(BW366*BW17)/90</f>
        <v>223.00066633587352</v>
      </c>
      <c r="BX196" s="74">
        <f>(BX366*BX17)/90</f>
        <v>214.56924978594259</v>
      </c>
      <c r="BY196" s="74">
        <f>(BY366*BY17)/90</f>
        <v>267.91093716275753</v>
      </c>
      <c r="BZ196" s="141">
        <f>(BZ366*BZ17)/90</f>
        <v>282.15581385751403</v>
      </c>
      <c r="CA196" s="642">
        <f t="shared" ref="CA196:CA202" si="347">BZ196</f>
        <v>282.15581385751403</v>
      </c>
      <c r="CB196" s="1910"/>
      <c r="CC196" s="490"/>
      <c r="CD196" s="218" t="str">
        <f t="shared" si="332"/>
        <v>Accounts Payable</v>
      </c>
      <c r="CE196" s="74">
        <f t="shared" ref="CE196:CE202" si="348">D196</f>
        <v>66.709999999999994</v>
      </c>
      <c r="CF196" s="74">
        <f t="shared" ref="CF196:CF202" si="349">I196</f>
        <v>78.233999999999995</v>
      </c>
      <c r="CG196" s="74">
        <f t="shared" ref="CG196:CG202" si="350">N196</f>
        <v>83.381</v>
      </c>
      <c r="CH196" s="74">
        <f t="shared" ref="CH196:CH202" si="351">S196</f>
        <v>101.401</v>
      </c>
      <c r="CI196" s="74">
        <f t="shared" ref="CI196:CI202" si="352">X196</f>
        <v>111.995</v>
      </c>
      <c r="CJ196" s="74">
        <f t="shared" ref="CJ196:CJ202" si="353">AC196</f>
        <v>162.99199999999999</v>
      </c>
      <c r="CK196" s="74">
        <f t="shared" ref="CK196:CK202" si="354">AH196</f>
        <v>187.648</v>
      </c>
      <c r="CL196" s="74">
        <f t="shared" ref="CL196:CL202" si="355">AM196</f>
        <v>188.26400000000001</v>
      </c>
      <c r="CM196" s="74">
        <f t="shared" ref="CM196:CM202" si="356">AR196</f>
        <v>180.726</v>
      </c>
      <c r="CN196" s="74">
        <f t="shared" ref="CN196:CN202" si="357">AW196</f>
        <v>245.66399999999999</v>
      </c>
      <c r="CO196" s="74">
        <f t="shared" ref="CO196:CO202" si="358">BB196</f>
        <v>183.1</v>
      </c>
      <c r="CP196" s="74">
        <f t="shared" ref="CP196:CP202" si="359">BG196</f>
        <v>225.4</v>
      </c>
      <c r="CQ196" s="74">
        <f t="shared" ref="CQ196:CQ202" si="360">BL196</f>
        <v>241.66132074302828</v>
      </c>
      <c r="CR196" s="74">
        <f t="shared" ref="CR196:CR202" si="361">BQ196</f>
        <v>254.9097664144175</v>
      </c>
      <c r="CS196" s="74">
        <f t="shared" ref="CS196:CS202" si="362">BV196</f>
        <v>268.1724921533733</v>
      </c>
      <c r="CT196" s="141">
        <f t="shared" ref="CT196:CT202" si="363">CA196</f>
        <v>282.15581385751403</v>
      </c>
      <c r="CU196" s="6"/>
      <c r="DB196" s="636"/>
      <c r="DC196" s="636"/>
      <c r="DD196" s="1961"/>
      <c r="DE196" s="1961"/>
      <c r="DF196" s="1961"/>
      <c r="DG196" s="1961"/>
      <c r="DH196" s="1961"/>
      <c r="DI196" s="74"/>
    </row>
    <row r="197" spans="1:113" ht="12" customHeight="1" x14ac:dyDescent="0.25">
      <c r="A197" s="218" t="s">
        <v>183</v>
      </c>
      <c r="B197" s="560"/>
      <c r="C197" s="558"/>
      <c r="D197" s="244">
        <v>13.414</v>
      </c>
      <c r="E197" s="326"/>
      <c r="F197" s="150"/>
      <c r="G197" s="235"/>
      <c r="H197" s="232">
        <v>100.3</v>
      </c>
      <c r="I197" s="644">
        <f t="shared" si="333"/>
        <v>100.3</v>
      </c>
      <c r="J197" s="232">
        <v>104.05</v>
      </c>
      <c r="K197" s="232">
        <v>11.85</v>
      </c>
      <c r="L197" s="232">
        <v>15.75</v>
      </c>
      <c r="M197" s="232">
        <v>82.7</v>
      </c>
      <c r="N197" s="644">
        <f t="shared" si="334"/>
        <v>82.7</v>
      </c>
      <c r="O197" s="232">
        <v>78.099999999999994</v>
      </c>
      <c r="P197" s="516">
        <v>0</v>
      </c>
      <c r="Q197" s="516">
        <v>0</v>
      </c>
      <c r="R197" s="516">
        <v>0</v>
      </c>
      <c r="S197" s="644">
        <f t="shared" si="335"/>
        <v>0</v>
      </c>
      <c r="T197" s="232">
        <v>0.54400000000000004</v>
      </c>
      <c r="U197" s="232">
        <v>0.54400000000000004</v>
      </c>
      <c r="V197" s="232">
        <v>2</v>
      </c>
      <c r="W197" s="232">
        <v>3.5</v>
      </c>
      <c r="X197" s="510">
        <f t="shared" si="336"/>
        <v>3.5</v>
      </c>
      <c r="Y197" s="232">
        <v>3.5</v>
      </c>
      <c r="Z197" s="232">
        <v>0</v>
      </c>
      <c r="AA197" s="232">
        <v>0</v>
      </c>
      <c r="AB197" s="232">
        <v>0.25</v>
      </c>
      <c r="AC197" s="510">
        <f t="shared" si="337"/>
        <v>0.25</v>
      </c>
      <c r="AD197" s="232">
        <v>0.25</v>
      </c>
      <c r="AE197" s="516">
        <v>0</v>
      </c>
      <c r="AF197" s="516">
        <v>0</v>
      </c>
      <c r="AG197" s="516">
        <f>AF197</f>
        <v>0</v>
      </c>
      <c r="AH197" s="510">
        <f t="shared" si="338"/>
        <v>0</v>
      </c>
      <c r="AI197" s="245">
        <v>0</v>
      </c>
      <c r="AJ197" s="232">
        <v>0</v>
      </c>
      <c r="AK197" s="232">
        <v>0</v>
      </c>
      <c r="AL197" s="232">
        <f>AK197</f>
        <v>0</v>
      </c>
      <c r="AM197" s="510">
        <f t="shared" si="339"/>
        <v>0</v>
      </c>
      <c r="AN197" s="245">
        <f>AM197</f>
        <v>0</v>
      </c>
      <c r="AO197" s="232">
        <f>AN197</f>
        <v>0</v>
      </c>
      <c r="AP197" s="232">
        <f>AO197</f>
        <v>0</v>
      </c>
      <c r="AQ197" s="232">
        <v>0</v>
      </c>
      <c r="AR197" s="510">
        <f t="shared" si="340"/>
        <v>0</v>
      </c>
      <c r="AS197" s="245">
        <v>0</v>
      </c>
      <c r="AT197" s="516">
        <f>AS197</f>
        <v>0</v>
      </c>
      <c r="AU197" s="516">
        <v>0</v>
      </c>
      <c r="AV197" s="518">
        <v>0</v>
      </c>
      <c r="AW197" s="510">
        <f t="shared" si="341"/>
        <v>0</v>
      </c>
      <c r="AX197" s="516">
        <v>0</v>
      </c>
      <c r="AY197" s="516">
        <v>0</v>
      </c>
      <c r="AZ197" s="516">
        <v>0</v>
      </c>
      <c r="BA197" s="518">
        <v>0</v>
      </c>
      <c r="BB197" s="510">
        <f t="shared" si="342"/>
        <v>0</v>
      </c>
      <c r="BC197" s="1882">
        <v>0</v>
      </c>
      <c r="BD197" s="1882">
        <v>0</v>
      </c>
      <c r="BE197" s="1944">
        <v>0</v>
      </c>
      <c r="BF197" s="1944">
        <v>0</v>
      </c>
      <c r="BG197" s="510">
        <f t="shared" si="343"/>
        <v>0</v>
      </c>
      <c r="BH197" s="514">
        <f>BG197</f>
        <v>0</v>
      </c>
      <c r="BI197" s="514">
        <f>BH197</f>
        <v>0</v>
      </c>
      <c r="BJ197" s="514">
        <f>BI197</f>
        <v>0</v>
      </c>
      <c r="BK197" s="648">
        <f>BJ197</f>
        <v>0</v>
      </c>
      <c r="BL197" s="510">
        <f t="shared" si="344"/>
        <v>0</v>
      </c>
      <c r="BM197" s="514">
        <f>BL197</f>
        <v>0</v>
      </c>
      <c r="BN197" s="514">
        <f>BM197</f>
        <v>0</v>
      </c>
      <c r="BO197" s="514">
        <f>BN197</f>
        <v>0</v>
      </c>
      <c r="BP197" s="648">
        <f>BO197</f>
        <v>0</v>
      </c>
      <c r="BQ197" s="510">
        <f t="shared" si="345"/>
        <v>0</v>
      </c>
      <c r="BR197" s="514">
        <f>BQ197</f>
        <v>0</v>
      </c>
      <c r="BS197" s="514">
        <f>BR197</f>
        <v>0</v>
      </c>
      <c r="BT197" s="514">
        <f>BS197</f>
        <v>0</v>
      </c>
      <c r="BU197" s="648">
        <f>BT197</f>
        <v>0</v>
      </c>
      <c r="BV197" s="510">
        <f t="shared" si="346"/>
        <v>0</v>
      </c>
      <c r="BW197" s="514">
        <f>BV197</f>
        <v>0</v>
      </c>
      <c r="BX197" s="514">
        <f>BW197</f>
        <v>0</v>
      </c>
      <c r="BY197" s="514">
        <f>BX197</f>
        <v>0</v>
      </c>
      <c r="BZ197" s="648">
        <f>BY197</f>
        <v>0</v>
      </c>
      <c r="CA197" s="510">
        <f t="shared" si="347"/>
        <v>0</v>
      </c>
      <c r="CB197" s="1910"/>
      <c r="CC197" s="490"/>
      <c r="CD197" s="218" t="str">
        <f t="shared" si="332"/>
        <v>Acquisition Related Liabilities</v>
      </c>
      <c r="CE197" s="126">
        <f t="shared" si="348"/>
        <v>13.414</v>
      </c>
      <c r="CF197" s="126">
        <f t="shared" si="349"/>
        <v>100.3</v>
      </c>
      <c r="CG197" s="126">
        <f t="shared" si="350"/>
        <v>82.7</v>
      </c>
      <c r="CH197" s="126">
        <f t="shared" si="351"/>
        <v>0</v>
      </c>
      <c r="CI197" s="126">
        <f t="shared" si="352"/>
        <v>3.5</v>
      </c>
      <c r="CJ197" s="126">
        <f t="shared" si="353"/>
        <v>0.25</v>
      </c>
      <c r="CK197" s="126">
        <f t="shared" si="354"/>
        <v>0</v>
      </c>
      <c r="CL197" s="126">
        <f t="shared" si="355"/>
        <v>0</v>
      </c>
      <c r="CM197" s="126">
        <f t="shared" si="356"/>
        <v>0</v>
      </c>
      <c r="CN197" s="126">
        <f t="shared" si="357"/>
        <v>0</v>
      </c>
      <c r="CO197" s="126">
        <f t="shared" si="358"/>
        <v>0</v>
      </c>
      <c r="CP197" s="126">
        <f t="shared" si="359"/>
        <v>0</v>
      </c>
      <c r="CQ197" s="126">
        <f t="shared" si="360"/>
        <v>0</v>
      </c>
      <c r="CR197" s="126">
        <f t="shared" si="361"/>
        <v>0</v>
      </c>
      <c r="CS197" s="126">
        <f t="shared" si="362"/>
        <v>0</v>
      </c>
      <c r="CT197" s="520">
        <f t="shared" si="363"/>
        <v>0</v>
      </c>
      <c r="CU197" s="6"/>
      <c r="DB197" s="636"/>
      <c r="DC197" s="636"/>
      <c r="DD197" s="1961"/>
      <c r="DE197" s="1961"/>
      <c r="DF197" s="1961"/>
      <c r="DG197" s="1961"/>
      <c r="DH197" s="1961"/>
      <c r="DI197" s="514"/>
    </row>
    <row r="198" spans="1:113" ht="12" customHeight="1" x14ac:dyDescent="0.25">
      <c r="A198" s="218" t="s">
        <v>184</v>
      </c>
      <c r="B198" s="517"/>
      <c r="C198" s="278"/>
      <c r="D198" s="244">
        <v>120.851</v>
      </c>
      <c r="E198" s="326"/>
      <c r="F198" s="516"/>
      <c r="G198" s="647"/>
      <c r="H198" s="232">
        <v>35.170999999999999</v>
      </c>
      <c r="I198" s="644">
        <f t="shared" si="333"/>
        <v>35.170999999999999</v>
      </c>
      <c r="J198" s="232">
        <v>113.82</v>
      </c>
      <c r="K198" s="232">
        <v>190.19200000000001</v>
      </c>
      <c r="L198" s="232">
        <v>145.042</v>
      </c>
      <c r="M198" s="232">
        <v>219.398</v>
      </c>
      <c r="N198" s="644">
        <f t="shared" si="334"/>
        <v>219.398</v>
      </c>
      <c r="O198" s="232">
        <v>189.96600000000001</v>
      </c>
      <c r="P198" s="516">
        <v>160.37200000000001</v>
      </c>
      <c r="Q198" s="516">
        <v>131.52799999999999</v>
      </c>
      <c r="R198" s="516">
        <v>66.66</v>
      </c>
      <c r="S198" s="644">
        <f t="shared" si="335"/>
        <v>66.66</v>
      </c>
      <c r="T198" s="232">
        <v>4.7229999999999999</v>
      </c>
      <c r="U198" s="232">
        <v>53.935000000000002</v>
      </c>
      <c r="V198" s="232">
        <v>128.32499999999999</v>
      </c>
      <c r="W198" s="232">
        <v>437.71699999999998</v>
      </c>
      <c r="X198" s="644">
        <f t="shared" si="336"/>
        <v>437.71699999999998</v>
      </c>
      <c r="Y198" s="232">
        <v>129.99700000000001</v>
      </c>
      <c r="Z198" s="232">
        <v>170.66300000000001</v>
      </c>
      <c r="AA198" s="232">
        <v>165.67</v>
      </c>
      <c r="AB198" s="232">
        <v>5.5540000000000003</v>
      </c>
      <c r="AC198" s="644">
        <f t="shared" si="337"/>
        <v>5.5540000000000003</v>
      </c>
      <c r="AD198" s="232">
        <v>130.47800000000001</v>
      </c>
      <c r="AE198" s="516">
        <v>201.78299999999999</v>
      </c>
      <c r="AF198" s="516">
        <v>265.79399999999998</v>
      </c>
      <c r="AG198" s="516">
        <v>195.26300000000001</v>
      </c>
      <c r="AH198" s="644">
        <f t="shared" si="338"/>
        <v>195.26300000000001</v>
      </c>
      <c r="AI198" s="245">
        <v>183.97900000000001</v>
      </c>
      <c r="AJ198" s="232">
        <v>137.87</v>
      </c>
      <c r="AK198" s="232">
        <v>39.459000000000003</v>
      </c>
      <c r="AL198" s="232">
        <v>4.4480000000000004</v>
      </c>
      <c r="AM198" s="644">
        <f t="shared" si="339"/>
        <v>4.4480000000000004</v>
      </c>
      <c r="AN198" s="245">
        <v>4.3170000000000002</v>
      </c>
      <c r="AO198" s="232">
        <v>139.78100000000001</v>
      </c>
      <c r="AP198" s="232">
        <v>140.45500000000001</v>
      </c>
      <c r="AQ198" s="232">
        <v>336.05799999999999</v>
      </c>
      <c r="AR198" s="644">
        <f t="shared" si="340"/>
        <v>336.05799999999999</v>
      </c>
      <c r="AS198" s="245">
        <v>205.87799999999999</v>
      </c>
      <c r="AT198" s="516">
        <v>1025.797</v>
      </c>
      <c r="AU198" s="516">
        <v>905.47299999999996</v>
      </c>
      <c r="AV198" s="518">
        <v>874.81100000000004</v>
      </c>
      <c r="AW198" s="644">
        <f t="shared" si="341"/>
        <v>874.81100000000004</v>
      </c>
      <c r="AX198" s="516">
        <v>709.14300000000003</v>
      </c>
      <c r="AY198" s="516">
        <v>2.2559999999999998</v>
      </c>
      <c r="AZ198" s="516">
        <v>6.899</v>
      </c>
      <c r="BA198" s="518">
        <v>106.8</v>
      </c>
      <c r="BB198" s="645">
        <f t="shared" si="342"/>
        <v>106.8</v>
      </c>
      <c r="BC198" s="1882">
        <v>6.6</v>
      </c>
      <c r="BD198" s="1882">
        <v>126.8</v>
      </c>
      <c r="BE198" s="1944">
        <v>602.9</v>
      </c>
      <c r="BF198" s="1944">
        <v>724.4</v>
      </c>
      <c r="BG198" s="645">
        <f t="shared" si="343"/>
        <v>724.4</v>
      </c>
      <c r="BH198" s="126">
        <f>BG198+BH147+BH148</f>
        <v>724.4</v>
      </c>
      <c r="BI198" s="126">
        <f>BH198+BI147+BI148</f>
        <v>724.4</v>
      </c>
      <c r="BJ198" s="126">
        <f>BI198+BJ147+BJ148</f>
        <v>724.4</v>
      </c>
      <c r="BK198" s="520">
        <f>BJ198+BK147+BK148</f>
        <v>724.4</v>
      </c>
      <c r="BL198" s="645">
        <f t="shared" si="344"/>
        <v>724.4</v>
      </c>
      <c r="BM198" s="126">
        <f>BL198+BM147+BM148</f>
        <v>724.4</v>
      </c>
      <c r="BN198" s="126">
        <f>BM198+BN147+BN148</f>
        <v>724.4</v>
      </c>
      <c r="BO198" s="126">
        <f>BN198+BO147+BO148</f>
        <v>724.4</v>
      </c>
      <c r="BP198" s="520">
        <f>BO198+BP147+BP148</f>
        <v>724.4</v>
      </c>
      <c r="BQ198" s="645">
        <f t="shared" si="345"/>
        <v>724.4</v>
      </c>
      <c r="BR198" s="126">
        <f>BQ198+BR147+BR148</f>
        <v>724.4</v>
      </c>
      <c r="BS198" s="126">
        <f>BR198+BS147+BS148</f>
        <v>724.4</v>
      </c>
      <c r="BT198" s="126">
        <f>BS198+BT147+BT148</f>
        <v>724.4</v>
      </c>
      <c r="BU198" s="520">
        <f>BT198+BU147+BU148</f>
        <v>724.4</v>
      </c>
      <c r="BV198" s="645">
        <f t="shared" si="346"/>
        <v>724.4</v>
      </c>
      <c r="BW198" s="126">
        <f>BV198+BW147+BW148</f>
        <v>724.4</v>
      </c>
      <c r="BX198" s="126">
        <f>BW198+BX147+BX148</f>
        <v>724.4</v>
      </c>
      <c r="BY198" s="126">
        <f>BX198+BY147+BY148</f>
        <v>724.4</v>
      </c>
      <c r="BZ198" s="520">
        <f>BY198+BZ147+BZ148</f>
        <v>724.4</v>
      </c>
      <c r="CA198" s="645">
        <f t="shared" si="347"/>
        <v>724.4</v>
      </c>
      <c r="CB198" s="1910"/>
      <c r="CC198" s="490"/>
      <c r="CD198" s="218" t="str">
        <f t="shared" si="332"/>
        <v>Short Term Debt</v>
      </c>
      <c r="CE198" s="126">
        <f t="shared" si="348"/>
        <v>120.851</v>
      </c>
      <c r="CF198" s="126">
        <f t="shared" si="349"/>
        <v>35.170999999999999</v>
      </c>
      <c r="CG198" s="126">
        <f t="shared" si="350"/>
        <v>219.398</v>
      </c>
      <c r="CH198" s="126">
        <f t="shared" si="351"/>
        <v>66.66</v>
      </c>
      <c r="CI198" s="126">
        <f t="shared" si="352"/>
        <v>437.71699999999998</v>
      </c>
      <c r="CJ198" s="126">
        <f t="shared" si="353"/>
        <v>5.5540000000000003</v>
      </c>
      <c r="CK198" s="126">
        <f t="shared" si="354"/>
        <v>195.26300000000001</v>
      </c>
      <c r="CL198" s="126">
        <f t="shared" si="355"/>
        <v>4.4480000000000004</v>
      </c>
      <c r="CM198" s="126">
        <f t="shared" si="356"/>
        <v>336.05799999999999</v>
      </c>
      <c r="CN198" s="126">
        <f t="shared" si="357"/>
        <v>874.81100000000004</v>
      </c>
      <c r="CO198" s="126">
        <f t="shared" si="358"/>
        <v>106.8</v>
      </c>
      <c r="CP198" s="126">
        <f t="shared" si="359"/>
        <v>724.4</v>
      </c>
      <c r="CQ198" s="126">
        <f t="shared" si="360"/>
        <v>724.4</v>
      </c>
      <c r="CR198" s="126">
        <f t="shared" si="361"/>
        <v>724.4</v>
      </c>
      <c r="CS198" s="126">
        <f t="shared" si="362"/>
        <v>724.4</v>
      </c>
      <c r="CT198" s="520">
        <f t="shared" si="363"/>
        <v>724.4</v>
      </c>
      <c r="CU198" s="6"/>
      <c r="DB198" s="636"/>
      <c r="DC198" s="636">
        <f>2830.499-DC206-DC217</f>
        <v>858.4989999999998</v>
      </c>
      <c r="DD198" s="1961"/>
      <c r="DE198" s="1961"/>
      <c r="DF198" s="1961"/>
      <c r="DG198" s="1961"/>
      <c r="DH198" s="1961"/>
      <c r="DI198" s="126"/>
    </row>
    <row r="199" spans="1:113" ht="12" customHeight="1" x14ac:dyDescent="0.25">
      <c r="A199" s="218" t="s">
        <v>185</v>
      </c>
      <c r="B199" s="333"/>
      <c r="C199" s="265"/>
      <c r="D199" s="646">
        <v>4.3239999999999998</v>
      </c>
      <c r="E199" s="326"/>
      <c r="F199" s="268"/>
      <c r="G199" s="647"/>
      <c r="H199" s="647">
        <v>4.6360000000000001</v>
      </c>
      <c r="I199" s="644">
        <f t="shared" si="333"/>
        <v>4.6360000000000001</v>
      </c>
      <c r="J199" s="647">
        <v>4.7539999999999996</v>
      </c>
      <c r="K199" s="647">
        <v>4.7329999999999997</v>
      </c>
      <c r="L199" s="647">
        <v>4.7119999999999997</v>
      </c>
      <c r="M199" s="647">
        <v>5.3970000000000002</v>
      </c>
      <c r="N199" s="644">
        <f t="shared" si="334"/>
        <v>5.3970000000000002</v>
      </c>
      <c r="O199" s="647">
        <v>5.3970000000000002</v>
      </c>
      <c r="P199" s="268">
        <v>5.3970000000000002</v>
      </c>
      <c r="Q199" s="268">
        <v>5.3970000000000002</v>
      </c>
      <c r="R199" s="268">
        <v>5.2839999999999998</v>
      </c>
      <c r="S199" s="644">
        <f t="shared" si="335"/>
        <v>5.2839999999999998</v>
      </c>
      <c r="T199" s="647">
        <v>5.2839999999999998</v>
      </c>
      <c r="U199" s="647">
        <v>5.2839999999999998</v>
      </c>
      <c r="V199" s="647">
        <v>5.2839999999999998</v>
      </c>
      <c r="W199" s="647">
        <v>4.6630000000000003</v>
      </c>
      <c r="X199" s="510">
        <f t="shared" si="336"/>
        <v>4.6630000000000003</v>
      </c>
      <c r="Y199" s="647">
        <v>4.6630000000000003</v>
      </c>
      <c r="Z199" s="647">
        <v>4.6630000000000003</v>
      </c>
      <c r="AA199" s="647">
        <v>4.6630000000000003</v>
      </c>
      <c r="AB199" s="647">
        <v>4.0119999999999996</v>
      </c>
      <c r="AC199" s="510">
        <f t="shared" si="337"/>
        <v>4.0119999999999996</v>
      </c>
      <c r="AD199" s="647">
        <v>2.9119999999999999</v>
      </c>
      <c r="AE199" s="516">
        <v>2.9119999999999999</v>
      </c>
      <c r="AF199" s="516">
        <v>2.9119999999999999</v>
      </c>
      <c r="AG199" s="516">
        <v>1.734</v>
      </c>
      <c r="AH199" s="510">
        <f t="shared" si="338"/>
        <v>1.734</v>
      </c>
      <c r="AI199" s="659">
        <v>1.734</v>
      </c>
      <c r="AJ199" s="647">
        <v>1.734</v>
      </c>
      <c r="AK199" s="647">
        <v>1.734</v>
      </c>
      <c r="AL199" s="647">
        <v>2.4369999999999998</v>
      </c>
      <c r="AM199" s="510">
        <f t="shared" si="339"/>
        <v>2.4369999999999998</v>
      </c>
      <c r="AN199" s="659">
        <v>2.4369999999999998</v>
      </c>
      <c r="AO199" s="647">
        <v>2.4369999999999998</v>
      </c>
      <c r="AP199" s="647">
        <v>2.4369999999999998</v>
      </c>
      <c r="AQ199" s="647">
        <v>1.8939999999999999</v>
      </c>
      <c r="AR199" s="510">
        <f t="shared" si="340"/>
        <v>1.8939999999999999</v>
      </c>
      <c r="AS199" s="659">
        <v>1.8939999999999999</v>
      </c>
      <c r="AT199" s="516">
        <v>1.8939999999999999</v>
      </c>
      <c r="AU199" s="516">
        <v>1.8939999999999999</v>
      </c>
      <c r="AV199" s="518">
        <v>1.831</v>
      </c>
      <c r="AW199" s="510">
        <f t="shared" si="341"/>
        <v>1.831</v>
      </c>
      <c r="AX199" s="516">
        <v>1.831</v>
      </c>
      <c r="AY199" s="516">
        <v>1.831</v>
      </c>
      <c r="AZ199" s="516">
        <v>1.831</v>
      </c>
      <c r="BA199" s="518">
        <v>0.9</v>
      </c>
      <c r="BB199" s="510">
        <f t="shared" si="342"/>
        <v>0.9</v>
      </c>
      <c r="BC199" s="1882">
        <v>0</v>
      </c>
      <c r="BD199" s="1882">
        <v>0</v>
      </c>
      <c r="BE199" s="1944">
        <v>0</v>
      </c>
      <c r="BF199" s="1944">
        <v>0</v>
      </c>
      <c r="BG199" s="510">
        <f t="shared" si="343"/>
        <v>0</v>
      </c>
      <c r="BH199" s="514">
        <f>BG199</f>
        <v>0</v>
      </c>
      <c r="BI199" s="514">
        <f>BH199</f>
        <v>0</v>
      </c>
      <c r="BJ199" s="514">
        <f>BI199</f>
        <v>0</v>
      </c>
      <c r="BK199" s="648">
        <f>BJ199</f>
        <v>0</v>
      </c>
      <c r="BL199" s="510">
        <f t="shared" si="344"/>
        <v>0</v>
      </c>
      <c r="BM199" s="514">
        <f>BL199</f>
        <v>0</v>
      </c>
      <c r="BN199" s="514">
        <f>BM199</f>
        <v>0</v>
      </c>
      <c r="BO199" s="514">
        <f>BN199</f>
        <v>0</v>
      </c>
      <c r="BP199" s="648">
        <f>BO199</f>
        <v>0</v>
      </c>
      <c r="BQ199" s="510">
        <f t="shared" si="345"/>
        <v>0</v>
      </c>
      <c r="BR199" s="514">
        <f>BQ199</f>
        <v>0</v>
      </c>
      <c r="BS199" s="514">
        <f>BR199</f>
        <v>0</v>
      </c>
      <c r="BT199" s="514">
        <f>BS199</f>
        <v>0</v>
      </c>
      <c r="BU199" s="648">
        <f>BT199</f>
        <v>0</v>
      </c>
      <c r="BV199" s="510">
        <f t="shared" si="346"/>
        <v>0</v>
      </c>
      <c r="BW199" s="514">
        <f>BV199</f>
        <v>0</v>
      </c>
      <c r="BX199" s="514">
        <f>BW199</f>
        <v>0</v>
      </c>
      <c r="BY199" s="514">
        <f>BX199</f>
        <v>0</v>
      </c>
      <c r="BZ199" s="648">
        <f>BY199</f>
        <v>0</v>
      </c>
      <c r="CA199" s="510">
        <f t="shared" si="347"/>
        <v>0</v>
      </c>
      <c r="CB199" s="1910"/>
      <c r="CC199" s="490"/>
      <c r="CD199" s="218" t="str">
        <f t="shared" si="332"/>
        <v>Pension and postretirement benefits</v>
      </c>
      <c r="CE199" s="275">
        <f t="shared" si="348"/>
        <v>4.3239999999999998</v>
      </c>
      <c r="CF199" s="275">
        <f t="shared" si="349"/>
        <v>4.6360000000000001</v>
      </c>
      <c r="CG199" s="275">
        <f t="shared" si="350"/>
        <v>5.3970000000000002</v>
      </c>
      <c r="CH199" s="275">
        <f t="shared" si="351"/>
        <v>5.2839999999999998</v>
      </c>
      <c r="CI199" s="275">
        <f t="shared" si="352"/>
        <v>4.6630000000000003</v>
      </c>
      <c r="CJ199" s="275">
        <f t="shared" si="353"/>
        <v>4.0119999999999996</v>
      </c>
      <c r="CK199" s="275">
        <f t="shared" si="354"/>
        <v>1.734</v>
      </c>
      <c r="CL199" s="275">
        <f t="shared" si="355"/>
        <v>2.4369999999999998</v>
      </c>
      <c r="CM199" s="275">
        <f t="shared" si="356"/>
        <v>1.8939999999999999</v>
      </c>
      <c r="CN199" s="275">
        <f t="shared" si="357"/>
        <v>1.831</v>
      </c>
      <c r="CO199" s="275">
        <f t="shared" si="358"/>
        <v>0.9</v>
      </c>
      <c r="CP199" s="275">
        <f t="shared" si="359"/>
        <v>0</v>
      </c>
      <c r="CQ199" s="275">
        <f t="shared" si="360"/>
        <v>0</v>
      </c>
      <c r="CR199" s="275">
        <f t="shared" si="361"/>
        <v>0</v>
      </c>
      <c r="CS199" s="275">
        <f t="shared" si="362"/>
        <v>0</v>
      </c>
      <c r="CT199" s="515">
        <f t="shared" si="363"/>
        <v>0</v>
      </c>
      <c r="CU199" s="6"/>
      <c r="DB199" s="636"/>
      <c r="DC199" s="636"/>
      <c r="DD199" s="1961"/>
      <c r="DE199" s="1961"/>
      <c r="DF199" s="1961"/>
      <c r="DG199" s="1961"/>
      <c r="DH199" s="1961"/>
      <c r="DI199" s="514"/>
    </row>
    <row r="200" spans="1:113" ht="12" customHeight="1" x14ac:dyDescent="0.25">
      <c r="A200" s="218" t="s">
        <v>186</v>
      </c>
      <c r="B200" s="333"/>
      <c r="C200" s="265"/>
      <c r="D200" s="646">
        <v>124.136</v>
      </c>
      <c r="E200" s="326"/>
      <c r="F200" s="268"/>
      <c r="G200" s="647"/>
      <c r="H200" s="647">
        <v>127.907</v>
      </c>
      <c r="I200" s="644">
        <f t="shared" si="333"/>
        <v>127.907</v>
      </c>
      <c r="J200" s="647">
        <v>197.52600000000001</v>
      </c>
      <c r="K200" s="647">
        <v>177.05799999999999</v>
      </c>
      <c r="L200" s="647">
        <v>150.73699999999999</v>
      </c>
      <c r="M200" s="647">
        <v>114.023</v>
      </c>
      <c r="N200" s="644">
        <f t="shared" si="334"/>
        <v>114.023</v>
      </c>
      <c r="O200" s="647">
        <v>203.69300000000001</v>
      </c>
      <c r="P200" s="268">
        <v>175.453</v>
      </c>
      <c r="Q200" s="268">
        <v>153.41499999999999</v>
      </c>
      <c r="R200" s="268">
        <v>125.52</v>
      </c>
      <c r="S200" s="644">
        <f t="shared" si="335"/>
        <v>125.52</v>
      </c>
      <c r="T200" s="647">
        <v>214.29499999999999</v>
      </c>
      <c r="U200" s="647">
        <v>182.27500000000001</v>
      </c>
      <c r="V200" s="647">
        <v>155.86699999999999</v>
      </c>
      <c r="W200" s="647">
        <v>163.00700000000001</v>
      </c>
      <c r="X200" s="644">
        <f t="shared" si="336"/>
        <v>163.00700000000001</v>
      </c>
      <c r="Y200" s="647">
        <v>247.06399999999999</v>
      </c>
      <c r="Z200" s="647">
        <v>214.989</v>
      </c>
      <c r="AA200" s="647">
        <v>189.31</v>
      </c>
      <c r="AB200" s="647">
        <v>176.84200000000001</v>
      </c>
      <c r="AC200" s="644">
        <f t="shared" si="337"/>
        <v>176.84200000000001</v>
      </c>
      <c r="AD200" s="647">
        <v>288.94200000000001</v>
      </c>
      <c r="AE200" s="268">
        <v>253.88</v>
      </c>
      <c r="AF200" s="268">
        <v>219.8</v>
      </c>
      <c r="AG200" s="268">
        <v>200.70500000000001</v>
      </c>
      <c r="AH200" s="644">
        <f t="shared" si="338"/>
        <v>200.70500000000001</v>
      </c>
      <c r="AI200" s="659">
        <v>314.44799999999998</v>
      </c>
      <c r="AJ200" s="647">
        <v>287.57100000000003</v>
      </c>
      <c r="AK200" s="647">
        <v>244.16</v>
      </c>
      <c r="AL200" s="647">
        <v>226.58099999999999</v>
      </c>
      <c r="AM200" s="644">
        <f t="shared" si="339"/>
        <v>226.58099999999999</v>
      </c>
      <c r="AN200" s="659">
        <v>343.827</v>
      </c>
      <c r="AO200" s="647">
        <v>309.17500000000001</v>
      </c>
      <c r="AP200" s="647">
        <v>254.16</v>
      </c>
      <c r="AQ200" s="647">
        <v>252.59200000000001</v>
      </c>
      <c r="AR200" s="644">
        <f t="shared" si="340"/>
        <v>252.59200000000001</v>
      </c>
      <c r="AS200" s="659">
        <v>359.52699999999999</v>
      </c>
      <c r="AT200" s="268">
        <v>436.00099999999998</v>
      </c>
      <c r="AU200" s="268">
        <v>366.92399999999998</v>
      </c>
      <c r="AV200" s="332">
        <v>356.95100000000002</v>
      </c>
      <c r="AW200" s="644">
        <f t="shared" si="341"/>
        <v>356.95100000000002</v>
      </c>
      <c r="AX200" s="268">
        <v>486.55099999999999</v>
      </c>
      <c r="AY200" s="268">
        <v>431.17099999999999</v>
      </c>
      <c r="AZ200" s="268">
        <v>355.459</v>
      </c>
      <c r="BA200" s="332">
        <v>330.8</v>
      </c>
      <c r="BB200" s="645">
        <f t="shared" si="342"/>
        <v>330.8</v>
      </c>
      <c r="BC200" s="1892">
        <v>501.6</v>
      </c>
      <c r="BD200" s="1892">
        <v>449</v>
      </c>
      <c r="BE200" s="1943">
        <v>390</v>
      </c>
      <c r="BF200" s="1943">
        <v>384.7</v>
      </c>
      <c r="BG200" s="645">
        <f t="shared" si="343"/>
        <v>384.7</v>
      </c>
      <c r="BH200" s="275">
        <f>(BH367*BH12)/90</f>
        <v>567.02357023477919</v>
      </c>
      <c r="BI200" s="275">
        <f>(BI367*BI12)/90</f>
        <v>500.04628822629974</v>
      </c>
      <c r="BJ200" s="275">
        <f>(BJ367*BJ12)/90</f>
        <v>424.89355308686953</v>
      </c>
      <c r="BK200" s="515">
        <f>(BK367*BK12)/90</f>
        <v>411.71534332807295</v>
      </c>
      <c r="BL200" s="645">
        <f t="shared" si="344"/>
        <v>411.71534332807295</v>
      </c>
      <c r="BM200" s="275">
        <f>(BM367*BM12)/90</f>
        <v>599.15984769598094</v>
      </c>
      <c r="BN200" s="275">
        <f>(BN367*BN12)/90</f>
        <v>528.85125589640677</v>
      </c>
      <c r="BO200" s="275">
        <f>(BO367*BO12)/90</f>
        <v>449.48412941631767</v>
      </c>
      <c r="BP200" s="515">
        <f>(BP367*BP12)/90</f>
        <v>435.90252443626167</v>
      </c>
      <c r="BQ200" s="645">
        <f t="shared" si="345"/>
        <v>435.90252443626167</v>
      </c>
      <c r="BR200" s="275">
        <f>(BR367*BR12)/90</f>
        <v>632.74199509136508</v>
      </c>
      <c r="BS200" s="275">
        <f>(BS367*BS12)/90</f>
        <v>558.53543958457567</v>
      </c>
      <c r="BT200" s="275">
        <f>(BT367*BT12)/90</f>
        <v>474.78594485772186</v>
      </c>
      <c r="BU200" s="515">
        <f>(BU367*BU12)/90</f>
        <v>460.41434917278627</v>
      </c>
      <c r="BV200" s="645">
        <f t="shared" si="346"/>
        <v>460.41434917278627</v>
      </c>
      <c r="BW200" s="275">
        <f>(BW367*BW12)/90</f>
        <v>668.28971367240672</v>
      </c>
      <c r="BX200" s="275">
        <f>(BX367*BX12)/90</f>
        <v>589.9602942406699</v>
      </c>
      <c r="BY200" s="275">
        <f>(BY367*BY12)/90</f>
        <v>501.57493091775871</v>
      </c>
      <c r="BZ200" s="515">
        <f>(BZ367*BZ12)/90</f>
        <v>486.36582376646265</v>
      </c>
      <c r="CA200" s="645">
        <f t="shared" si="347"/>
        <v>486.36582376646265</v>
      </c>
      <c r="CB200" s="1910"/>
      <c r="CC200" s="490"/>
      <c r="CD200" s="218" t="str">
        <f t="shared" si="332"/>
        <v>Fees received in advance</v>
      </c>
      <c r="CE200" s="275">
        <f t="shared" si="348"/>
        <v>124.136</v>
      </c>
      <c r="CF200" s="275">
        <f t="shared" si="349"/>
        <v>127.907</v>
      </c>
      <c r="CG200" s="275">
        <f t="shared" si="350"/>
        <v>114.023</v>
      </c>
      <c r="CH200" s="275">
        <f t="shared" si="351"/>
        <v>125.52</v>
      </c>
      <c r="CI200" s="275">
        <f t="shared" si="352"/>
        <v>163.00700000000001</v>
      </c>
      <c r="CJ200" s="275">
        <f t="shared" si="353"/>
        <v>176.84200000000001</v>
      </c>
      <c r="CK200" s="275">
        <f t="shared" si="354"/>
        <v>200.70500000000001</v>
      </c>
      <c r="CL200" s="275">
        <f t="shared" si="355"/>
        <v>226.58099999999999</v>
      </c>
      <c r="CM200" s="275">
        <f t="shared" si="356"/>
        <v>252.59200000000001</v>
      </c>
      <c r="CN200" s="275">
        <f t="shared" si="357"/>
        <v>356.95100000000002</v>
      </c>
      <c r="CO200" s="275">
        <f t="shared" si="358"/>
        <v>330.8</v>
      </c>
      <c r="CP200" s="275">
        <f t="shared" si="359"/>
        <v>384.7</v>
      </c>
      <c r="CQ200" s="275">
        <f t="shared" si="360"/>
        <v>411.71534332807295</v>
      </c>
      <c r="CR200" s="275">
        <f t="shared" si="361"/>
        <v>435.90252443626167</v>
      </c>
      <c r="CS200" s="275">
        <f t="shared" si="362"/>
        <v>460.41434917278627</v>
      </c>
      <c r="CT200" s="515">
        <f t="shared" si="363"/>
        <v>486.36582376646265</v>
      </c>
      <c r="CU200" s="6"/>
      <c r="DB200" s="636">
        <v>-140.476</v>
      </c>
      <c r="DC200" s="636"/>
      <c r="DD200" s="1961"/>
      <c r="DE200" s="1961"/>
      <c r="DF200" s="1961"/>
      <c r="DG200" s="1961"/>
      <c r="DH200" s="1961"/>
      <c r="DI200" s="275"/>
    </row>
    <row r="201" spans="1:113" ht="12" customHeight="1" x14ac:dyDescent="0.25">
      <c r="A201" s="218" t="s">
        <v>187</v>
      </c>
      <c r="B201" s="333"/>
      <c r="C201" s="265"/>
      <c r="D201" s="660">
        <v>0</v>
      </c>
      <c r="E201" s="326"/>
      <c r="F201" s="268"/>
      <c r="G201" s="661"/>
      <c r="H201" s="661">
        <v>9.1780000000000008</v>
      </c>
      <c r="I201" s="644">
        <f t="shared" si="333"/>
        <v>9.1780000000000008</v>
      </c>
      <c r="J201" s="661">
        <v>11.749000000000001</v>
      </c>
      <c r="K201" s="661">
        <v>0</v>
      </c>
      <c r="L201" s="661">
        <v>0</v>
      </c>
      <c r="M201" s="661">
        <v>0</v>
      </c>
      <c r="N201" s="644">
        <f t="shared" si="334"/>
        <v>0</v>
      </c>
      <c r="O201" s="661">
        <v>15.004</v>
      </c>
      <c r="P201" s="516">
        <v>0</v>
      </c>
      <c r="Q201" s="516">
        <f>P201</f>
        <v>0</v>
      </c>
      <c r="R201" s="516">
        <v>1.4139999999999999</v>
      </c>
      <c r="S201" s="644">
        <f t="shared" si="335"/>
        <v>1.4139999999999999</v>
      </c>
      <c r="T201" s="661">
        <f>16.216+6.069</f>
        <v>22.285</v>
      </c>
      <c r="U201" s="661">
        <v>0</v>
      </c>
      <c r="V201" s="661">
        <v>2.2170000000000001</v>
      </c>
      <c r="W201" s="661">
        <v>0</v>
      </c>
      <c r="X201" s="510">
        <f t="shared" si="336"/>
        <v>0</v>
      </c>
      <c r="Y201" s="661">
        <v>18.788</v>
      </c>
      <c r="Z201" s="661">
        <v>0</v>
      </c>
      <c r="AA201" s="661">
        <v>0</v>
      </c>
      <c r="AB201" s="661">
        <f>AA201</f>
        <v>0</v>
      </c>
      <c r="AC201" s="510">
        <f t="shared" si="337"/>
        <v>0</v>
      </c>
      <c r="AD201" s="661">
        <v>0</v>
      </c>
      <c r="AE201" s="516">
        <v>0</v>
      </c>
      <c r="AF201" s="516">
        <v>3.2869999999999999</v>
      </c>
      <c r="AG201" s="516">
        <v>0</v>
      </c>
      <c r="AH201" s="510">
        <f t="shared" si="338"/>
        <v>0</v>
      </c>
      <c r="AI201" s="662">
        <v>0</v>
      </c>
      <c r="AJ201" s="661">
        <v>0</v>
      </c>
      <c r="AK201" s="661">
        <v>0</v>
      </c>
      <c r="AL201" s="661">
        <f>AK201</f>
        <v>0</v>
      </c>
      <c r="AM201" s="510">
        <f t="shared" si="339"/>
        <v>0</v>
      </c>
      <c r="AN201" s="662">
        <f>AM201</f>
        <v>0</v>
      </c>
      <c r="AO201" s="661">
        <f>AN201</f>
        <v>0</v>
      </c>
      <c r="AP201" s="661">
        <v>0</v>
      </c>
      <c r="AQ201" s="661">
        <v>0</v>
      </c>
      <c r="AR201" s="510">
        <f t="shared" si="340"/>
        <v>0</v>
      </c>
      <c r="AS201" s="662">
        <v>0</v>
      </c>
      <c r="AT201" s="516">
        <v>0</v>
      </c>
      <c r="AU201" s="516">
        <v>0</v>
      </c>
      <c r="AV201" s="518">
        <v>0</v>
      </c>
      <c r="AW201" s="510">
        <f t="shared" si="341"/>
        <v>0</v>
      </c>
      <c r="AX201" s="516">
        <v>7.9180000000000001</v>
      </c>
      <c r="AY201" s="516">
        <v>16.495000000000001</v>
      </c>
      <c r="AZ201" s="516">
        <v>0</v>
      </c>
      <c r="BA201" s="518">
        <f>AZ201</f>
        <v>0</v>
      </c>
      <c r="BB201" s="510">
        <f t="shared" si="342"/>
        <v>0</v>
      </c>
      <c r="BC201" s="1882">
        <v>2.1</v>
      </c>
      <c r="BD201" s="1882">
        <v>0</v>
      </c>
      <c r="BE201" s="1944">
        <v>0</v>
      </c>
      <c r="BF201" s="1944">
        <v>3.1</v>
      </c>
      <c r="BG201" s="510">
        <f t="shared" si="343"/>
        <v>3.1</v>
      </c>
      <c r="BH201" s="514">
        <f t="shared" ref="BH201:BK202" si="364">BG201</f>
        <v>3.1</v>
      </c>
      <c r="BI201" s="514">
        <f t="shared" si="364"/>
        <v>3.1</v>
      </c>
      <c r="BJ201" s="514">
        <f t="shared" si="364"/>
        <v>3.1</v>
      </c>
      <c r="BK201" s="648">
        <f t="shared" si="364"/>
        <v>3.1</v>
      </c>
      <c r="BL201" s="510">
        <f t="shared" si="344"/>
        <v>3.1</v>
      </c>
      <c r="BM201" s="514">
        <f t="shared" ref="BM201:BP202" si="365">BL201</f>
        <v>3.1</v>
      </c>
      <c r="BN201" s="514">
        <f t="shared" si="365"/>
        <v>3.1</v>
      </c>
      <c r="BO201" s="514">
        <f t="shared" si="365"/>
        <v>3.1</v>
      </c>
      <c r="BP201" s="648">
        <f t="shared" si="365"/>
        <v>3.1</v>
      </c>
      <c r="BQ201" s="510">
        <f t="shared" si="345"/>
        <v>3.1</v>
      </c>
      <c r="BR201" s="514">
        <f t="shared" ref="BR201:BU202" si="366">BQ201</f>
        <v>3.1</v>
      </c>
      <c r="BS201" s="514">
        <f t="shared" si="366"/>
        <v>3.1</v>
      </c>
      <c r="BT201" s="514">
        <f t="shared" si="366"/>
        <v>3.1</v>
      </c>
      <c r="BU201" s="648">
        <f t="shared" si="366"/>
        <v>3.1</v>
      </c>
      <c r="BV201" s="510">
        <f t="shared" si="346"/>
        <v>3.1</v>
      </c>
      <c r="BW201" s="514">
        <f t="shared" ref="BW201:BZ202" si="367">BV201</f>
        <v>3.1</v>
      </c>
      <c r="BX201" s="514">
        <f t="shared" si="367"/>
        <v>3.1</v>
      </c>
      <c r="BY201" s="514">
        <f t="shared" si="367"/>
        <v>3.1</v>
      </c>
      <c r="BZ201" s="648">
        <f t="shared" si="367"/>
        <v>3.1</v>
      </c>
      <c r="CA201" s="510">
        <f t="shared" si="347"/>
        <v>3.1</v>
      </c>
      <c r="CB201" s="1910"/>
      <c r="CC201" s="490"/>
      <c r="CD201" s="218" t="str">
        <f t="shared" si="332"/>
        <v>Income Tax Payable</v>
      </c>
      <c r="CE201" s="126">
        <f t="shared" si="348"/>
        <v>0</v>
      </c>
      <c r="CF201" s="126">
        <f t="shared" si="349"/>
        <v>9.1780000000000008</v>
      </c>
      <c r="CG201" s="126">
        <f t="shared" si="350"/>
        <v>0</v>
      </c>
      <c r="CH201" s="126">
        <f t="shared" si="351"/>
        <v>1.4139999999999999</v>
      </c>
      <c r="CI201" s="126">
        <f t="shared" si="352"/>
        <v>0</v>
      </c>
      <c r="CJ201" s="126">
        <f t="shared" si="353"/>
        <v>0</v>
      </c>
      <c r="CK201" s="126">
        <f t="shared" si="354"/>
        <v>0</v>
      </c>
      <c r="CL201" s="126">
        <f t="shared" si="355"/>
        <v>0</v>
      </c>
      <c r="CM201" s="126">
        <f t="shared" si="356"/>
        <v>0</v>
      </c>
      <c r="CN201" s="126">
        <f t="shared" si="357"/>
        <v>0</v>
      </c>
      <c r="CO201" s="126">
        <f t="shared" si="358"/>
        <v>0</v>
      </c>
      <c r="CP201" s="126">
        <f t="shared" si="359"/>
        <v>3.1</v>
      </c>
      <c r="CQ201" s="126">
        <f t="shared" si="360"/>
        <v>3.1</v>
      </c>
      <c r="CR201" s="126">
        <f t="shared" si="361"/>
        <v>3.1</v>
      </c>
      <c r="CS201" s="126">
        <f t="shared" si="362"/>
        <v>3.1</v>
      </c>
      <c r="CT201" s="520">
        <f t="shared" si="363"/>
        <v>3.1</v>
      </c>
      <c r="CU201" s="6"/>
      <c r="DB201" s="636"/>
      <c r="DC201" s="636"/>
      <c r="DD201" s="1961"/>
      <c r="DE201" s="1961"/>
      <c r="DF201" s="1961"/>
      <c r="DG201" s="1961"/>
      <c r="DH201" s="1961"/>
      <c r="DI201" s="514"/>
    </row>
    <row r="202" spans="1:113" ht="12" customHeight="1" x14ac:dyDescent="0.25">
      <c r="A202" s="218" t="s">
        <v>188</v>
      </c>
      <c r="B202" s="333"/>
      <c r="C202" s="265"/>
      <c r="D202" s="265">
        <v>0</v>
      </c>
      <c r="E202" s="326"/>
      <c r="F202" s="268"/>
      <c r="G202" s="268"/>
      <c r="H202" s="268">
        <v>0</v>
      </c>
      <c r="I202" s="644">
        <f t="shared" si="333"/>
        <v>0</v>
      </c>
      <c r="J202" s="268">
        <v>0</v>
      </c>
      <c r="K202" s="268">
        <v>0</v>
      </c>
      <c r="L202" s="268">
        <v>0</v>
      </c>
      <c r="M202" s="268">
        <v>0</v>
      </c>
      <c r="N202" s="644">
        <f t="shared" si="334"/>
        <v>0</v>
      </c>
      <c r="O202" s="268">
        <v>0</v>
      </c>
      <c r="P202" s="516">
        <v>0</v>
      </c>
      <c r="Q202" s="516">
        <v>0</v>
      </c>
      <c r="R202" s="516">
        <v>0</v>
      </c>
      <c r="S202" s="644">
        <f t="shared" si="335"/>
        <v>0</v>
      </c>
      <c r="T202" s="268">
        <v>0</v>
      </c>
      <c r="U202" s="268">
        <f>T202</f>
        <v>0</v>
      </c>
      <c r="V202" s="268">
        <v>0</v>
      </c>
      <c r="W202" s="268">
        <v>0</v>
      </c>
      <c r="X202" s="510">
        <f t="shared" si="336"/>
        <v>0</v>
      </c>
      <c r="Y202" s="268">
        <v>0</v>
      </c>
      <c r="Z202" s="268">
        <v>0</v>
      </c>
      <c r="AA202" s="268">
        <v>0</v>
      </c>
      <c r="AB202" s="268">
        <f>AA202</f>
        <v>0</v>
      </c>
      <c r="AC202" s="510">
        <f t="shared" si="337"/>
        <v>0</v>
      </c>
      <c r="AD202" s="268">
        <v>0</v>
      </c>
      <c r="AE202" s="516">
        <v>0</v>
      </c>
      <c r="AF202" s="516">
        <v>0</v>
      </c>
      <c r="AG202" s="516">
        <f>AF202</f>
        <v>0</v>
      </c>
      <c r="AH202" s="510">
        <f t="shared" si="338"/>
        <v>0</v>
      </c>
      <c r="AI202" s="333">
        <v>0</v>
      </c>
      <c r="AJ202" s="268">
        <v>0</v>
      </c>
      <c r="AK202" s="268">
        <v>0</v>
      </c>
      <c r="AL202" s="268">
        <v>9.4489999999999998</v>
      </c>
      <c r="AM202" s="510">
        <f t="shared" si="339"/>
        <v>9.4489999999999998</v>
      </c>
      <c r="AN202" s="333">
        <v>8.1660000000000004</v>
      </c>
      <c r="AO202" s="268">
        <v>0</v>
      </c>
      <c r="AP202" s="268">
        <v>0</v>
      </c>
      <c r="AQ202" s="268">
        <v>0</v>
      </c>
      <c r="AR202" s="510">
        <f t="shared" si="340"/>
        <v>0</v>
      </c>
      <c r="AS202" s="333">
        <v>0</v>
      </c>
      <c r="AT202" s="516">
        <v>0</v>
      </c>
      <c r="AU202" s="516">
        <v>0</v>
      </c>
      <c r="AV202" s="518">
        <v>0</v>
      </c>
      <c r="AW202" s="510">
        <f t="shared" si="341"/>
        <v>0</v>
      </c>
      <c r="AX202" s="516">
        <v>31.765000000000001</v>
      </c>
      <c r="AY202" s="516">
        <v>0</v>
      </c>
      <c r="AZ202" s="516">
        <v>0</v>
      </c>
      <c r="BA202" s="518">
        <f>AZ202</f>
        <v>0</v>
      </c>
      <c r="BB202" s="510">
        <f t="shared" si="342"/>
        <v>0</v>
      </c>
      <c r="BC202" s="1882">
        <v>0</v>
      </c>
      <c r="BD202" s="1882">
        <v>0</v>
      </c>
      <c r="BE202" s="1944">
        <v>0</v>
      </c>
      <c r="BF202" s="1944">
        <v>0</v>
      </c>
      <c r="BG202" s="510">
        <f t="shared" si="343"/>
        <v>0</v>
      </c>
      <c r="BH202" s="514">
        <f t="shared" si="364"/>
        <v>0</v>
      </c>
      <c r="BI202" s="514">
        <f t="shared" si="364"/>
        <v>0</v>
      </c>
      <c r="BJ202" s="514">
        <f t="shared" si="364"/>
        <v>0</v>
      </c>
      <c r="BK202" s="648">
        <f t="shared" si="364"/>
        <v>0</v>
      </c>
      <c r="BL202" s="510">
        <f t="shared" si="344"/>
        <v>0</v>
      </c>
      <c r="BM202" s="514">
        <f t="shared" si="365"/>
        <v>0</v>
      </c>
      <c r="BN202" s="514">
        <f t="shared" si="365"/>
        <v>0</v>
      </c>
      <c r="BO202" s="514">
        <f t="shared" si="365"/>
        <v>0</v>
      </c>
      <c r="BP202" s="648">
        <f t="shared" si="365"/>
        <v>0</v>
      </c>
      <c r="BQ202" s="510">
        <f t="shared" si="345"/>
        <v>0</v>
      </c>
      <c r="BR202" s="514">
        <f t="shared" si="366"/>
        <v>0</v>
      </c>
      <c r="BS202" s="514">
        <f t="shared" si="366"/>
        <v>0</v>
      </c>
      <c r="BT202" s="514">
        <f t="shared" si="366"/>
        <v>0</v>
      </c>
      <c r="BU202" s="648">
        <f t="shared" si="366"/>
        <v>0</v>
      </c>
      <c r="BV202" s="510">
        <f t="shared" si="346"/>
        <v>0</v>
      </c>
      <c r="BW202" s="514">
        <f t="shared" si="367"/>
        <v>0</v>
      </c>
      <c r="BX202" s="514">
        <f t="shared" si="367"/>
        <v>0</v>
      </c>
      <c r="BY202" s="514">
        <f t="shared" si="367"/>
        <v>0</v>
      </c>
      <c r="BZ202" s="648">
        <f t="shared" si="367"/>
        <v>0</v>
      </c>
      <c r="CA202" s="510">
        <f t="shared" si="347"/>
        <v>0</v>
      </c>
      <c r="CB202" s="1910"/>
      <c r="CC202" s="490"/>
      <c r="CD202" s="218" t="str">
        <f t="shared" si="332"/>
        <v>Other Liabilities</v>
      </c>
      <c r="CE202" s="126">
        <f t="shared" si="348"/>
        <v>0</v>
      </c>
      <c r="CF202" s="126">
        <f t="shared" si="349"/>
        <v>0</v>
      </c>
      <c r="CG202" s="126">
        <f t="shared" si="350"/>
        <v>0</v>
      </c>
      <c r="CH202" s="126">
        <f t="shared" si="351"/>
        <v>0</v>
      </c>
      <c r="CI202" s="126">
        <f t="shared" si="352"/>
        <v>0</v>
      </c>
      <c r="CJ202" s="126">
        <f t="shared" si="353"/>
        <v>0</v>
      </c>
      <c r="CK202" s="126">
        <f t="shared" si="354"/>
        <v>0</v>
      </c>
      <c r="CL202" s="126">
        <f t="shared" si="355"/>
        <v>9.4489999999999998</v>
      </c>
      <c r="CM202" s="126">
        <f t="shared" si="356"/>
        <v>0</v>
      </c>
      <c r="CN202" s="126">
        <f t="shared" si="357"/>
        <v>0</v>
      </c>
      <c r="CO202" s="126">
        <f t="shared" si="358"/>
        <v>0</v>
      </c>
      <c r="CP202" s="126">
        <f t="shared" si="359"/>
        <v>0</v>
      </c>
      <c r="CQ202" s="126">
        <f t="shared" si="360"/>
        <v>0</v>
      </c>
      <c r="CR202" s="126">
        <f t="shared" si="361"/>
        <v>0</v>
      </c>
      <c r="CS202" s="126">
        <f t="shared" si="362"/>
        <v>0</v>
      </c>
      <c r="CT202" s="520">
        <f t="shared" si="363"/>
        <v>0</v>
      </c>
      <c r="CU202" s="6"/>
      <c r="DB202" s="636">
        <v>-22.777999999999999</v>
      </c>
      <c r="DC202" s="636"/>
      <c r="DD202" s="1961"/>
      <c r="DE202" s="1961"/>
      <c r="DF202" s="1961"/>
      <c r="DG202" s="1961"/>
      <c r="DH202" s="1961"/>
      <c r="DI202" s="514"/>
    </row>
    <row r="203" spans="1:113" ht="5.0999999999999996" customHeight="1" x14ac:dyDescent="0.25">
      <c r="A203" s="530"/>
      <c r="B203" s="649"/>
      <c r="C203" s="258" t="s">
        <v>60</v>
      </c>
      <c r="D203" s="258" t="s">
        <v>60</v>
      </c>
      <c r="E203" s="135" t="s">
        <v>60</v>
      </c>
      <c r="F203" s="259" t="s">
        <v>60</v>
      </c>
      <c r="G203" s="259" t="s">
        <v>60</v>
      </c>
      <c r="H203" s="259" t="s">
        <v>60</v>
      </c>
      <c r="I203" s="134" t="s">
        <v>60</v>
      </c>
      <c r="J203" s="259" t="s">
        <v>60</v>
      </c>
      <c r="K203" s="259" t="s">
        <v>60</v>
      </c>
      <c r="L203" s="259" t="s">
        <v>60</v>
      </c>
      <c r="M203" s="259" t="s">
        <v>60</v>
      </c>
      <c r="N203" s="134" t="s">
        <v>60</v>
      </c>
      <c r="O203" s="259" t="s">
        <v>60</v>
      </c>
      <c r="P203" s="259" t="s">
        <v>60</v>
      </c>
      <c r="Q203" s="259" t="s">
        <v>60</v>
      </c>
      <c r="R203" s="259" t="s">
        <v>60</v>
      </c>
      <c r="S203" s="134" t="s">
        <v>60</v>
      </c>
      <c r="T203" s="259" t="s">
        <v>60</v>
      </c>
      <c r="U203" s="259" t="s">
        <v>60</v>
      </c>
      <c r="V203" s="259" t="s">
        <v>60</v>
      </c>
      <c r="W203" s="259" t="s">
        <v>60</v>
      </c>
      <c r="X203" s="134" t="s">
        <v>60</v>
      </c>
      <c r="Y203" s="259" t="s">
        <v>60</v>
      </c>
      <c r="Z203" s="259" t="s">
        <v>60</v>
      </c>
      <c r="AA203" s="259" t="s">
        <v>60</v>
      </c>
      <c r="AB203" s="259" t="s">
        <v>60</v>
      </c>
      <c r="AC203" s="134" t="s">
        <v>60</v>
      </c>
      <c r="AD203" s="259" t="s">
        <v>60</v>
      </c>
      <c r="AE203" s="259" t="s">
        <v>60</v>
      </c>
      <c r="AF203" s="259" t="s">
        <v>60</v>
      </c>
      <c r="AG203" s="259" t="s">
        <v>60</v>
      </c>
      <c r="AH203" s="134" t="s">
        <v>60</v>
      </c>
      <c r="AI203" s="649" t="s">
        <v>60</v>
      </c>
      <c r="AJ203" s="259" t="s">
        <v>60</v>
      </c>
      <c r="AK203" s="259" t="s">
        <v>60</v>
      </c>
      <c r="AL203" s="259" t="s">
        <v>60</v>
      </c>
      <c r="AM203" s="134" t="s">
        <v>60</v>
      </c>
      <c r="AN203" s="649" t="s">
        <v>60</v>
      </c>
      <c r="AO203" s="259" t="s">
        <v>60</v>
      </c>
      <c r="AP203" s="259" t="s">
        <v>60</v>
      </c>
      <c r="AQ203" s="259" t="s">
        <v>60</v>
      </c>
      <c r="AR203" s="134" t="s">
        <v>60</v>
      </c>
      <c r="AS203" s="649" t="s">
        <v>60</v>
      </c>
      <c r="AT203" s="259" t="s">
        <v>60</v>
      </c>
      <c r="AU203" s="259" t="s">
        <v>60</v>
      </c>
      <c r="AV203" s="650" t="s">
        <v>60</v>
      </c>
      <c r="AW203" s="134" t="s">
        <v>60</v>
      </c>
      <c r="AX203" s="259" t="s">
        <v>60</v>
      </c>
      <c r="AY203" s="259" t="s">
        <v>60</v>
      </c>
      <c r="AZ203" s="259" t="s">
        <v>60</v>
      </c>
      <c r="BA203" s="650" t="s">
        <v>60</v>
      </c>
      <c r="BB203" s="134" t="s">
        <v>60</v>
      </c>
      <c r="BC203" s="259" t="s">
        <v>60</v>
      </c>
      <c r="BD203" s="259" t="s">
        <v>60</v>
      </c>
      <c r="BE203" s="259" t="s">
        <v>60</v>
      </c>
      <c r="BF203" s="259" t="s">
        <v>60</v>
      </c>
      <c r="BG203" s="134" t="s">
        <v>60</v>
      </c>
      <c r="BH203" s="259" t="s">
        <v>60</v>
      </c>
      <c r="BI203" s="259" t="s">
        <v>60</v>
      </c>
      <c r="BJ203" s="259" t="s">
        <v>60</v>
      </c>
      <c r="BK203" s="650" t="s">
        <v>60</v>
      </c>
      <c r="BL203" s="134" t="s">
        <v>60</v>
      </c>
      <c r="BM203" s="259" t="s">
        <v>60</v>
      </c>
      <c r="BN203" s="259" t="s">
        <v>60</v>
      </c>
      <c r="BO203" s="259" t="s">
        <v>60</v>
      </c>
      <c r="BP203" s="650" t="s">
        <v>60</v>
      </c>
      <c r="BQ203" s="134" t="s">
        <v>60</v>
      </c>
      <c r="BR203" s="259" t="s">
        <v>60</v>
      </c>
      <c r="BS203" s="259" t="s">
        <v>60</v>
      </c>
      <c r="BT203" s="259" t="s">
        <v>60</v>
      </c>
      <c r="BU203" s="650" t="s">
        <v>60</v>
      </c>
      <c r="BV203" s="134" t="s">
        <v>60</v>
      </c>
      <c r="BW203" s="259" t="s">
        <v>60</v>
      </c>
      <c r="BX203" s="259" t="s">
        <v>60</v>
      </c>
      <c r="BY203" s="259" t="s">
        <v>60</v>
      </c>
      <c r="BZ203" s="650" t="s">
        <v>60</v>
      </c>
      <c r="CA203" s="134" t="s">
        <v>60</v>
      </c>
      <c r="CB203" s="1910"/>
      <c r="CC203" s="431"/>
      <c r="CD203" s="530"/>
      <c r="CE203" s="259"/>
      <c r="CF203" s="259"/>
      <c r="CG203" s="259"/>
      <c r="CH203" s="259"/>
      <c r="CI203" s="259"/>
      <c r="CJ203" s="259"/>
      <c r="CK203" s="259"/>
      <c r="CL203" s="259"/>
      <c r="CM203" s="259"/>
      <c r="CN203" s="259"/>
      <c r="CO203" s="259"/>
      <c r="CP203" s="259"/>
      <c r="CQ203" s="259"/>
      <c r="CR203" s="259"/>
      <c r="CS203" s="259"/>
      <c r="CT203" s="650"/>
      <c r="CU203" s="6"/>
      <c r="DB203" s="636"/>
      <c r="DC203" s="636"/>
      <c r="DD203" s="1961"/>
      <c r="DE203" s="1961"/>
      <c r="DF203" s="1961"/>
      <c r="DG203" s="1961"/>
      <c r="DH203" s="1961"/>
      <c r="DI203" s="259"/>
    </row>
    <row r="204" spans="1:113" ht="12" customHeight="1" x14ac:dyDescent="0.25">
      <c r="A204" s="212" t="s">
        <v>189</v>
      </c>
      <c r="B204" s="138"/>
      <c r="C204" s="71">
        <f>SUM(C196:C202)</f>
        <v>0</v>
      </c>
      <c r="D204" s="71">
        <f>SUM(D196:D202)</f>
        <v>329.435</v>
      </c>
      <c r="E204" s="74">
        <f>SUM(E195,E198:E202)</f>
        <v>0</v>
      </c>
      <c r="F204" s="74">
        <f>SUM(F195,F198:F202)</f>
        <v>0</v>
      </c>
      <c r="G204" s="74">
        <f t="shared" ref="G204:AQ204" si="368">SUM(G196:G202)</f>
        <v>0</v>
      </c>
      <c r="H204" s="74">
        <f t="shared" si="368"/>
        <v>355.42599999999999</v>
      </c>
      <c r="I204" s="71">
        <f t="shared" si="368"/>
        <v>355.42599999999999</v>
      </c>
      <c r="J204" s="74">
        <f t="shared" si="368"/>
        <v>479.68</v>
      </c>
      <c r="K204" s="74">
        <f t="shared" si="368"/>
        <v>449.09199999999998</v>
      </c>
      <c r="L204" s="74">
        <f t="shared" si="368"/>
        <v>388.79399999999998</v>
      </c>
      <c r="M204" s="74">
        <f t="shared" si="368"/>
        <v>504.899</v>
      </c>
      <c r="N204" s="71">
        <f t="shared" si="368"/>
        <v>504.899</v>
      </c>
      <c r="O204" s="74">
        <f t="shared" si="368"/>
        <v>558.548</v>
      </c>
      <c r="P204" s="74">
        <f t="shared" si="368"/>
        <v>425.89</v>
      </c>
      <c r="Q204" s="74">
        <f t="shared" si="368"/>
        <v>391.31899999999996</v>
      </c>
      <c r="R204" s="74">
        <f t="shared" si="368"/>
        <v>300.27899999999994</v>
      </c>
      <c r="S204" s="71">
        <f t="shared" si="368"/>
        <v>300.27899999999994</v>
      </c>
      <c r="T204" s="74">
        <f t="shared" si="368"/>
        <v>325.13200000000001</v>
      </c>
      <c r="U204" s="74">
        <f t="shared" si="368"/>
        <v>323.60900000000004</v>
      </c>
      <c r="V204" s="74">
        <f t="shared" si="368"/>
        <v>392.97799999999995</v>
      </c>
      <c r="W204" s="74">
        <f t="shared" si="368"/>
        <v>720.88200000000006</v>
      </c>
      <c r="X204" s="71">
        <f t="shared" si="368"/>
        <v>720.88200000000006</v>
      </c>
      <c r="Y204" s="74">
        <f t="shared" si="368"/>
        <v>492.47</v>
      </c>
      <c r="Z204" s="74">
        <f t="shared" si="368"/>
        <v>511.6</v>
      </c>
      <c r="AA204" s="74">
        <f t="shared" si="368"/>
        <v>506.00100000000003</v>
      </c>
      <c r="AB204" s="74">
        <f t="shared" si="368"/>
        <v>349.65</v>
      </c>
      <c r="AC204" s="71">
        <f t="shared" si="368"/>
        <v>349.65</v>
      </c>
      <c r="AD204" s="74">
        <f t="shared" si="368"/>
        <v>567.55600000000004</v>
      </c>
      <c r="AE204" s="74">
        <f t="shared" si="368"/>
        <v>612.25900000000001</v>
      </c>
      <c r="AF204" s="74">
        <f t="shared" si="368"/>
        <v>668.25700000000006</v>
      </c>
      <c r="AG204" s="74">
        <f t="shared" si="368"/>
        <v>585.35</v>
      </c>
      <c r="AH204" s="71">
        <f t="shared" si="368"/>
        <v>585.35</v>
      </c>
      <c r="AI204" s="138">
        <f t="shared" si="368"/>
        <v>650.42200000000003</v>
      </c>
      <c r="AJ204" s="74">
        <f t="shared" si="368"/>
        <v>585.13599999999997</v>
      </c>
      <c r="AK204" s="74">
        <f t="shared" si="368"/>
        <v>456.63800000000003</v>
      </c>
      <c r="AL204" s="74">
        <f t="shared" si="368"/>
        <v>431.17900000000003</v>
      </c>
      <c r="AM204" s="71">
        <f t="shared" si="368"/>
        <v>431.17900000000003</v>
      </c>
      <c r="AN204" s="138">
        <f t="shared" si="368"/>
        <v>515.6400000000001</v>
      </c>
      <c r="AO204" s="74">
        <f t="shared" si="368"/>
        <v>608.74299999999994</v>
      </c>
      <c r="AP204" s="74">
        <f t="shared" si="368"/>
        <v>561.34</v>
      </c>
      <c r="AQ204" s="74">
        <f t="shared" si="368"/>
        <v>771.27</v>
      </c>
      <c r="AR204" s="71">
        <f>SUM(AR196:AR202)</f>
        <v>771.27</v>
      </c>
      <c r="AS204" s="138">
        <f>SUM(AS196:AS202)</f>
        <v>709.77</v>
      </c>
      <c r="AT204" s="74">
        <f>SUM(AT196:AT202)</f>
        <v>1710.0529999999999</v>
      </c>
      <c r="AU204" s="74">
        <f>SUM(AU196:AU202)</f>
        <v>1540.758</v>
      </c>
      <c r="AV204" s="141">
        <f>SUM(AV196:AV202)</f>
        <v>1479.2569999999998</v>
      </c>
      <c r="AW204" s="71">
        <f t="shared" ref="AW204:BG204" si="369">SUM(AW196:AW202)</f>
        <v>1479.2569999999998</v>
      </c>
      <c r="AX204" s="74">
        <f t="shared" si="369"/>
        <v>1416.8790000000001</v>
      </c>
      <c r="AY204" s="74">
        <f t="shared" si="369"/>
        <v>615.16600000000005</v>
      </c>
      <c r="AZ204" s="74">
        <f t="shared" si="369"/>
        <v>556.49</v>
      </c>
      <c r="BA204" s="141">
        <f t="shared" si="369"/>
        <v>621.59999999999991</v>
      </c>
      <c r="BB204" s="77">
        <f t="shared" si="369"/>
        <v>621.59999999999991</v>
      </c>
      <c r="BC204" s="74">
        <f t="shared" si="369"/>
        <v>672.4</v>
      </c>
      <c r="BD204" s="74">
        <f t="shared" si="369"/>
        <v>737.2</v>
      </c>
      <c r="BE204" s="74">
        <f t="shared" si="369"/>
        <v>1203.0999999999999</v>
      </c>
      <c r="BF204" s="74">
        <f t="shared" si="369"/>
        <v>1337.6</v>
      </c>
      <c r="BG204" s="77">
        <f t="shared" si="369"/>
        <v>1337.6</v>
      </c>
      <c r="BH204" s="74">
        <f t="shared" ref="BH204:CA204" si="370">SUM(BH196:BH202)</f>
        <v>1485.7986275704743</v>
      </c>
      <c r="BI204" s="74">
        <f t="shared" si="370"/>
        <v>1411.4542081074196</v>
      </c>
      <c r="BJ204" s="74">
        <f t="shared" si="370"/>
        <v>1382.0802774537146</v>
      </c>
      <c r="BK204" s="141">
        <f t="shared" si="370"/>
        <v>1380.8766640711012</v>
      </c>
      <c r="BL204" s="77">
        <f t="shared" si="370"/>
        <v>1380.8766640711012</v>
      </c>
      <c r="BM204" s="74">
        <f t="shared" si="370"/>
        <v>1528.060075106969</v>
      </c>
      <c r="BN204" s="74">
        <f t="shared" si="370"/>
        <v>1450.1554266178143</v>
      </c>
      <c r="BO204" s="74">
        <f t="shared" si="370"/>
        <v>1419.026064044358</v>
      </c>
      <c r="BP204" s="141">
        <f t="shared" si="370"/>
        <v>1418.3122908506791</v>
      </c>
      <c r="BQ204" s="77">
        <f t="shared" si="370"/>
        <v>1418.3122908506791</v>
      </c>
      <c r="BR204" s="74">
        <f t="shared" si="370"/>
        <v>1572.1555309059279</v>
      </c>
      <c r="BS204" s="74">
        <f t="shared" si="370"/>
        <v>1489.9466842929282</v>
      </c>
      <c r="BT204" s="74">
        <f t="shared" si="370"/>
        <v>1456.9205612171374</v>
      </c>
      <c r="BU204" s="141">
        <f t="shared" si="370"/>
        <v>1456.0868413261596</v>
      </c>
      <c r="BV204" s="77">
        <f t="shared" si="370"/>
        <v>1456.0868413261596</v>
      </c>
      <c r="BW204" s="74">
        <f t="shared" si="370"/>
        <v>1618.79038000828</v>
      </c>
      <c r="BX204" s="74">
        <f t="shared" si="370"/>
        <v>1532.0295440266123</v>
      </c>
      <c r="BY204" s="74">
        <f t="shared" si="370"/>
        <v>1496.985868080516</v>
      </c>
      <c r="BZ204" s="141">
        <f t="shared" si="370"/>
        <v>1496.0216376239766</v>
      </c>
      <c r="CA204" s="77">
        <f t="shared" si="370"/>
        <v>1496.0216376239766</v>
      </c>
      <c r="CB204" s="1910"/>
      <c r="CC204" s="431"/>
      <c r="CD204" s="212" t="str">
        <f>A204</f>
        <v xml:space="preserve">Total Current Liabilities </v>
      </c>
      <c r="CE204" s="74">
        <f>D204</f>
        <v>329.435</v>
      </c>
      <c r="CF204" s="74">
        <f>I204</f>
        <v>355.42599999999999</v>
      </c>
      <c r="CG204" s="74">
        <f>N204</f>
        <v>504.899</v>
      </c>
      <c r="CH204" s="74">
        <f>S204</f>
        <v>300.27899999999994</v>
      </c>
      <c r="CI204" s="74">
        <f>X204</f>
        <v>720.88200000000006</v>
      </c>
      <c r="CJ204" s="74">
        <f>AC204</f>
        <v>349.65</v>
      </c>
      <c r="CK204" s="74">
        <f>AH204</f>
        <v>585.35</v>
      </c>
      <c r="CL204" s="74">
        <f>AM204</f>
        <v>431.17900000000003</v>
      </c>
      <c r="CM204" s="74">
        <f>AR204</f>
        <v>771.27</v>
      </c>
      <c r="CN204" s="74">
        <f>AW204</f>
        <v>1479.2569999999998</v>
      </c>
      <c r="CO204" s="74">
        <f>BB204</f>
        <v>621.59999999999991</v>
      </c>
      <c r="CP204" s="74">
        <f>BG204</f>
        <v>1337.6</v>
      </c>
      <c r="CQ204" s="74">
        <f>BL204</f>
        <v>1380.8766640711012</v>
      </c>
      <c r="CR204" s="74">
        <f>BQ204</f>
        <v>1418.3122908506791</v>
      </c>
      <c r="CS204" s="74">
        <f>BV204</f>
        <v>1456.0868413261596</v>
      </c>
      <c r="CT204" s="141">
        <f>CA204</f>
        <v>1496.0216376239766</v>
      </c>
      <c r="CU204" s="6"/>
      <c r="DB204" s="636"/>
      <c r="DC204" s="636"/>
      <c r="DD204" s="1961"/>
      <c r="DE204" s="1961"/>
      <c r="DF204" s="1961"/>
      <c r="DG204" s="1961"/>
      <c r="DH204" s="1961"/>
      <c r="DI204" s="74"/>
    </row>
    <row r="205" spans="1:113" ht="5.0999999999999996" customHeight="1" x14ac:dyDescent="0.25">
      <c r="A205" s="212"/>
      <c r="B205" s="632"/>
      <c r="C205" s="634"/>
      <c r="D205" s="634"/>
      <c r="E205" s="9"/>
      <c r="F205" s="9"/>
      <c r="G205" s="9"/>
      <c r="H205" s="9"/>
      <c r="I205" s="634"/>
      <c r="J205" s="9"/>
      <c r="K205" s="9"/>
      <c r="L205" s="9"/>
      <c r="M205" s="9"/>
      <c r="N205" s="634"/>
      <c r="O205" s="9"/>
      <c r="P205" s="9"/>
      <c r="Q205" s="9"/>
      <c r="R205" s="9"/>
      <c r="S205" s="634"/>
      <c r="T205" s="9"/>
      <c r="U205" s="9"/>
      <c r="V205" s="9"/>
      <c r="W205" s="9"/>
      <c r="X205" s="634"/>
      <c r="Y205" s="9"/>
      <c r="Z205" s="9"/>
      <c r="AA205" s="9"/>
      <c r="AB205" s="9"/>
      <c r="AC205" s="634"/>
      <c r="AD205" s="9"/>
      <c r="AE205" s="9"/>
      <c r="AF205" s="9"/>
      <c r="AG205" s="9"/>
      <c r="AH205" s="634"/>
      <c r="AI205" s="632"/>
      <c r="AJ205" s="640"/>
      <c r="AK205" s="640"/>
      <c r="AL205" s="640"/>
      <c r="AM205" s="634"/>
      <c r="AN205" s="632"/>
      <c r="AO205" s="9"/>
      <c r="AP205" s="9"/>
      <c r="AQ205" s="9"/>
      <c r="AR205" s="634"/>
      <c r="AS205" s="632"/>
      <c r="AT205" s="9"/>
      <c r="AU205" s="9"/>
      <c r="AV205" s="633"/>
      <c r="AW205" s="634"/>
      <c r="AX205" s="9"/>
      <c r="AY205" s="9"/>
      <c r="AZ205" s="9"/>
      <c r="BA205" s="633"/>
      <c r="BB205" s="635"/>
      <c r="BC205" s="9"/>
      <c r="BD205" s="9"/>
      <c r="BE205" s="9"/>
      <c r="BF205" s="9"/>
      <c r="BG205" s="635"/>
      <c r="BH205" s="9"/>
      <c r="BI205" s="9"/>
      <c r="BJ205" s="9"/>
      <c r="BK205" s="633"/>
      <c r="BL205" s="635"/>
      <c r="BM205" s="9"/>
      <c r="BN205" s="9"/>
      <c r="BO205" s="9"/>
      <c r="BP205" s="633"/>
      <c r="BQ205" s="635"/>
      <c r="BR205" s="9"/>
      <c r="BS205" s="9"/>
      <c r="BT205" s="9"/>
      <c r="BU205" s="633"/>
      <c r="BV205" s="635"/>
      <c r="BW205" s="9"/>
      <c r="BX205" s="9"/>
      <c r="BY205" s="9"/>
      <c r="BZ205" s="633"/>
      <c r="CA205" s="635"/>
      <c r="CB205" s="1910"/>
      <c r="CC205" s="431"/>
      <c r="CD205" s="212"/>
      <c r="CE205" s="9"/>
      <c r="CF205" s="9"/>
      <c r="CG205" s="9"/>
      <c r="CH205" s="9"/>
      <c r="CI205" s="9"/>
      <c r="CJ205" s="9"/>
      <c r="CK205" s="9"/>
      <c r="CL205" s="9"/>
      <c r="CM205" s="9"/>
      <c r="CN205" s="9"/>
      <c r="CO205" s="9"/>
      <c r="CP205" s="9"/>
      <c r="CQ205" s="9"/>
      <c r="CR205" s="9"/>
      <c r="CS205" s="9"/>
      <c r="CT205" s="633"/>
      <c r="CU205" s="6"/>
      <c r="DB205" s="636"/>
      <c r="DC205" s="636"/>
      <c r="DD205" s="1961"/>
      <c r="DE205" s="1961"/>
      <c r="DF205" s="1961"/>
      <c r="DG205" s="1961"/>
      <c r="DH205" s="1961"/>
      <c r="DI205" s="9"/>
    </row>
    <row r="206" spans="1:113" ht="12" customHeight="1" x14ac:dyDescent="0.25">
      <c r="A206" s="212" t="s">
        <v>190</v>
      </c>
      <c r="B206" s="560"/>
      <c r="C206" s="558"/>
      <c r="D206" s="663">
        <v>327.84699999999998</v>
      </c>
      <c r="E206" s="326"/>
      <c r="F206" s="150"/>
      <c r="G206" s="234"/>
      <c r="H206" s="664">
        <v>403.15899999999999</v>
      </c>
      <c r="I206" s="639">
        <f>H206</f>
        <v>403.15899999999999</v>
      </c>
      <c r="J206" s="664">
        <v>403.19400000000002</v>
      </c>
      <c r="K206" s="664">
        <v>451.99</v>
      </c>
      <c r="L206" s="664">
        <v>450.64</v>
      </c>
      <c r="M206" s="664">
        <v>450.35599999999999</v>
      </c>
      <c r="N206" s="639">
        <f>M206</f>
        <v>450.35599999999999</v>
      </c>
      <c r="O206" s="664">
        <v>449.12099999999998</v>
      </c>
      <c r="P206" s="150">
        <v>528.69399999999996</v>
      </c>
      <c r="Q206" s="150">
        <v>527.89400000000001</v>
      </c>
      <c r="R206" s="150">
        <v>527.50900000000001</v>
      </c>
      <c r="S206" s="639">
        <f>R206</f>
        <v>527.50900000000001</v>
      </c>
      <c r="T206" s="664">
        <v>527.07600000000002</v>
      </c>
      <c r="U206" s="664">
        <v>476.767</v>
      </c>
      <c r="V206" s="664">
        <v>401.87900000000002</v>
      </c>
      <c r="W206" s="664">
        <v>401.82600000000002</v>
      </c>
      <c r="X206" s="639">
        <f>W206</f>
        <v>401.82600000000002</v>
      </c>
      <c r="Y206" s="664">
        <v>700.52</v>
      </c>
      <c r="Z206" s="664">
        <v>854.49900000000002</v>
      </c>
      <c r="AA206" s="664">
        <v>853.58</v>
      </c>
      <c r="AB206" s="664">
        <v>1100.3320000000001</v>
      </c>
      <c r="AC206" s="639">
        <f>AB206</f>
        <v>1100.3320000000001</v>
      </c>
      <c r="AD206" s="150">
        <v>1099.2850000000001</v>
      </c>
      <c r="AE206" s="150">
        <v>1054.395</v>
      </c>
      <c r="AF206" s="150">
        <v>1301.683</v>
      </c>
      <c r="AG206" s="150">
        <v>1266.162</v>
      </c>
      <c r="AH206" s="639">
        <f>AG206</f>
        <v>1266.162</v>
      </c>
      <c r="AI206" s="560">
        <v>1266.4670000000001</v>
      </c>
      <c r="AJ206" s="150">
        <v>1266.9100000000001</v>
      </c>
      <c r="AK206" s="150">
        <v>1271.17</v>
      </c>
      <c r="AL206" s="150">
        <v>1271.4390000000001</v>
      </c>
      <c r="AM206" s="639">
        <f>AL206</f>
        <v>1271.4390000000001</v>
      </c>
      <c r="AN206" s="560">
        <v>1270.992</v>
      </c>
      <c r="AO206" s="150">
        <v>1135.645</v>
      </c>
      <c r="AP206" s="150">
        <v>1136.2049999999999</v>
      </c>
      <c r="AQ206" s="150">
        <v>1100.874</v>
      </c>
      <c r="AR206" s="639">
        <f>AQ206</f>
        <v>1100.874</v>
      </c>
      <c r="AS206" s="560">
        <v>1100.3579999999999</v>
      </c>
      <c r="AT206" s="150">
        <v>2293.864</v>
      </c>
      <c r="AU206" s="150">
        <v>2292.8919999999998</v>
      </c>
      <c r="AV206" s="298">
        <v>2293.1790000000001</v>
      </c>
      <c r="AW206" s="639">
        <f>AV206</f>
        <v>2293.1790000000001</v>
      </c>
      <c r="AX206" s="150">
        <v>2271.8789999999999</v>
      </c>
      <c r="AY206" s="150">
        <v>2273.0320000000002</v>
      </c>
      <c r="AZ206" s="150">
        <v>2279.4430000000002</v>
      </c>
      <c r="BA206" s="298">
        <v>2280.1999999999998</v>
      </c>
      <c r="BB206" s="642">
        <f>BA206</f>
        <v>2280.1999999999998</v>
      </c>
      <c r="BC206" s="1894">
        <v>2281</v>
      </c>
      <c r="BD206" s="1894">
        <v>2276.6</v>
      </c>
      <c r="BE206" s="1933">
        <v>2278.8000000000002</v>
      </c>
      <c r="BF206" s="1933">
        <v>2284.4</v>
      </c>
      <c r="BG206" s="642">
        <f>BF206</f>
        <v>2284.4</v>
      </c>
      <c r="BH206" s="74">
        <f>BG206+BH149</f>
        <v>2284.4</v>
      </c>
      <c r="BI206" s="74">
        <f>BH206+BI149</f>
        <v>2284.4</v>
      </c>
      <c r="BJ206" s="74">
        <f>BI206+BJ149</f>
        <v>2284.4</v>
      </c>
      <c r="BK206" s="141">
        <f>BJ206+BK149</f>
        <v>2284.4</v>
      </c>
      <c r="BL206" s="642">
        <f>BK206</f>
        <v>2284.4</v>
      </c>
      <c r="BM206" s="74">
        <f>BL206+BM149</f>
        <v>2284.4</v>
      </c>
      <c r="BN206" s="74">
        <f>BM206+BN149</f>
        <v>2284.4</v>
      </c>
      <c r="BO206" s="74">
        <f>BN206+BO149</f>
        <v>2284.4</v>
      </c>
      <c r="BP206" s="141">
        <f>BO206+BP149</f>
        <v>2284.4</v>
      </c>
      <c r="BQ206" s="642">
        <f>BP206</f>
        <v>2284.4</v>
      </c>
      <c r="BR206" s="74">
        <f>BQ206+BR149</f>
        <v>2284.4</v>
      </c>
      <c r="BS206" s="74">
        <f>BR206+BS149</f>
        <v>2284.4</v>
      </c>
      <c r="BT206" s="74">
        <f>BS206+BT149</f>
        <v>2284.4</v>
      </c>
      <c r="BU206" s="141">
        <f>BT206+BU149</f>
        <v>2284.4</v>
      </c>
      <c r="BV206" s="642">
        <f>BU206</f>
        <v>2284.4</v>
      </c>
      <c r="BW206" s="74">
        <f>BV206+BW149</f>
        <v>2284.4</v>
      </c>
      <c r="BX206" s="74">
        <f>BW206+BX149</f>
        <v>2284.4</v>
      </c>
      <c r="BY206" s="74">
        <f>BX206+BY149</f>
        <v>2284.4</v>
      </c>
      <c r="BZ206" s="141">
        <f>BY206+BZ149</f>
        <v>2284.4</v>
      </c>
      <c r="CA206" s="642">
        <f>BZ206</f>
        <v>2284.4</v>
      </c>
      <c r="CB206" s="1910"/>
      <c r="CC206" s="490"/>
      <c r="CD206" s="212" t="str">
        <f>A206</f>
        <v xml:space="preserve">Long-Term Debt </v>
      </c>
      <c r="CE206" s="74">
        <f>D206</f>
        <v>327.84699999999998</v>
      </c>
      <c r="CF206" s="74">
        <f>I206</f>
        <v>403.15899999999999</v>
      </c>
      <c r="CG206" s="74">
        <f>N206</f>
        <v>450.35599999999999</v>
      </c>
      <c r="CH206" s="74">
        <f>S206</f>
        <v>527.50900000000001</v>
      </c>
      <c r="CI206" s="74">
        <f>X206</f>
        <v>401.82600000000002</v>
      </c>
      <c r="CJ206" s="74">
        <f>AC206</f>
        <v>1100.3320000000001</v>
      </c>
      <c r="CK206" s="74">
        <f>AH206</f>
        <v>1266.162</v>
      </c>
      <c r="CL206" s="74">
        <f>AM206</f>
        <v>1271.4390000000001</v>
      </c>
      <c r="CM206" s="74">
        <f>AR206</f>
        <v>1100.874</v>
      </c>
      <c r="CN206" s="74">
        <f>AW206</f>
        <v>2293.1790000000001</v>
      </c>
      <c r="CO206" s="74">
        <f>BB206</f>
        <v>2280.1999999999998</v>
      </c>
      <c r="CP206" s="74">
        <f>BG206</f>
        <v>2284.4</v>
      </c>
      <c r="CQ206" s="74">
        <f>BL206</f>
        <v>2284.4</v>
      </c>
      <c r="CR206" s="74">
        <f>BQ206</f>
        <v>2284.4</v>
      </c>
      <c r="CS206" s="74">
        <f>BV206</f>
        <v>2284.4</v>
      </c>
      <c r="CT206" s="141">
        <f>CA206</f>
        <v>2284.4</v>
      </c>
      <c r="CU206" s="6"/>
      <c r="DB206" s="636"/>
      <c r="DC206" s="636">
        <f>1250</f>
        <v>1250</v>
      </c>
      <c r="DD206" s="1961"/>
      <c r="DE206" s="1961"/>
      <c r="DF206" s="1961"/>
      <c r="DG206" s="1961"/>
      <c r="DH206" s="1961"/>
      <c r="DI206" s="74"/>
    </row>
    <row r="207" spans="1:113" ht="12" customHeight="1" x14ac:dyDescent="0.25">
      <c r="A207" s="212" t="s">
        <v>191</v>
      </c>
      <c r="B207" s="333"/>
      <c r="C207" s="265"/>
      <c r="D207" s="244">
        <v>29.184999999999999</v>
      </c>
      <c r="E207" s="326"/>
      <c r="F207" s="268"/>
      <c r="G207" s="232"/>
      <c r="H207" s="232">
        <v>17.637</v>
      </c>
      <c r="I207" s="644">
        <f>H207</f>
        <v>17.637</v>
      </c>
      <c r="J207" s="232">
        <v>46.5</v>
      </c>
      <c r="K207" s="232">
        <v>51.555999999999997</v>
      </c>
      <c r="L207" s="232">
        <v>95.382999999999996</v>
      </c>
      <c r="M207" s="232">
        <v>133.91399999999999</v>
      </c>
      <c r="N207" s="644">
        <f>M207</f>
        <v>133.91399999999999</v>
      </c>
      <c r="O207" s="232">
        <v>135.16</v>
      </c>
      <c r="P207" s="268">
        <v>136.35499999999999</v>
      </c>
      <c r="Q207" s="268">
        <v>137.417</v>
      </c>
      <c r="R207" s="268">
        <v>102.04600000000001</v>
      </c>
      <c r="S207" s="644">
        <f>R207</f>
        <v>102.04600000000001</v>
      </c>
      <c r="T207" s="232">
        <v>99.326999999999998</v>
      </c>
      <c r="U207" s="232">
        <v>94.9</v>
      </c>
      <c r="V207" s="232">
        <v>90.67</v>
      </c>
      <c r="W207" s="232">
        <v>95.528000000000006</v>
      </c>
      <c r="X207" s="644">
        <f>W207</f>
        <v>95.528000000000006</v>
      </c>
      <c r="Y207" s="232">
        <v>89.908000000000001</v>
      </c>
      <c r="Z207" s="232">
        <v>83.995000000000005</v>
      </c>
      <c r="AA207" s="232">
        <v>78.09</v>
      </c>
      <c r="AB207" s="232">
        <v>109.161</v>
      </c>
      <c r="AC207" s="644">
        <f>AB207</f>
        <v>109.161</v>
      </c>
      <c r="AD207" s="268">
        <v>99.757000000000005</v>
      </c>
      <c r="AE207" s="268">
        <v>24.997</v>
      </c>
      <c r="AF207" s="268">
        <v>22.521999999999998</v>
      </c>
      <c r="AG207" s="268">
        <v>38.655000000000001</v>
      </c>
      <c r="AH207" s="644">
        <f>AG207</f>
        <v>38.655000000000001</v>
      </c>
      <c r="AI207" s="333">
        <v>35.386000000000003</v>
      </c>
      <c r="AJ207" s="268">
        <v>32.137999999999998</v>
      </c>
      <c r="AK207" s="268">
        <v>28.533999999999999</v>
      </c>
      <c r="AL207" s="268">
        <v>13.007</v>
      </c>
      <c r="AM207" s="644">
        <f>AL207</f>
        <v>13.007</v>
      </c>
      <c r="AN207" s="333">
        <v>12.957000000000001</v>
      </c>
      <c r="AO207" s="268">
        <v>13.023999999999999</v>
      </c>
      <c r="AP207" s="268">
        <v>12.401</v>
      </c>
      <c r="AQ207" s="268">
        <v>13.805</v>
      </c>
      <c r="AR207" s="644">
        <f>AQ207</f>
        <v>13.805</v>
      </c>
      <c r="AS207" s="333">
        <v>13.721</v>
      </c>
      <c r="AT207" s="268">
        <v>13.576000000000001</v>
      </c>
      <c r="AU207" s="268">
        <v>13.413</v>
      </c>
      <c r="AV207" s="332">
        <v>12.971</v>
      </c>
      <c r="AW207" s="644">
        <f>AV207</f>
        <v>12.971</v>
      </c>
      <c r="AX207" s="268">
        <v>12.781000000000001</v>
      </c>
      <c r="AY207" s="268">
        <v>12.698</v>
      </c>
      <c r="AZ207" s="268">
        <v>12.526</v>
      </c>
      <c r="BA207" s="332">
        <v>12.6</v>
      </c>
      <c r="BB207" s="645">
        <f>BA207</f>
        <v>12.6</v>
      </c>
      <c r="BC207" s="1892">
        <v>0</v>
      </c>
      <c r="BD207" s="1892">
        <v>0</v>
      </c>
      <c r="BE207" s="1943">
        <v>0</v>
      </c>
      <c r="BF207" s="1943">
        <v>0</v>
      </c>
      <c r="BG207" s="645">
        <f>BF207</f>
        <v>0</v>
      </c>
      <c r="BH207" s="275">
        <f>BH371*BH12*4</f>
        <v>0</v>
      </c>
      <c r="BI207" s="275">
        <f>BI371*BI12*4</f>
        <v>0</v>
      </c>
      <c r="BJ207" s="275">
        <f>BJ371*BJ12*4</f>
        <v>0</v>
      </c>
      <c r="BK207" s="515">
        <f>BK371*BK12*4</f>
        <v>0</v>
      </c>
      <c r="BL207" s="645">
        <f>BK207</f>
        <v>0</v>
      </c>
      <c r="BM207" s="275">
        <f>BM371*BM12*4</f>
        <v>0</v>
      </c>
      <c r="BN207" s="275">
        <f>BN371*BN12*4</f>
        <v>0</v>
      </c>
      <c r="BO207" s="275">
        <f>BO371*BO12*4</f>
        <v>0</v>
      </c>
      <c r="BP207" s="515">
        <f>BP371*BP12*4</f>
        <v>0</v>
      </c>
      <c r="BQ207" s="645">
        <f>BP207</f>
        <v>0</v>
      </c>
      <c r="BR207" s="275">
        <f>BR371*BR12*4</f>
        <v>0</v>
      </c>
      <c r="BS207" s="275">
        <f>BS371*BS12*4</f>
        <v>0</v>
      </c>
      <c r="BT207" s="275">
        <f>BT371*BT12*4</f>
        <v>0</v>
      </c>
      <c r="BU207" s="515">
        <f>BU371*BU12*4</f>
        <v>0</v>
      </c>
      <c r="BV207" s="645">
        <f>BU207</f>
        <v>0</v>
      </c>
      <c r="BW207" s="275">
        <f>BW371*BW12*4</f>
        <v>0</v>
      </c>
      <c r="BX207" s="275">
        <f>BX371*BX12*4</f>
        <v>0</v>
      </c>
      <c r="BY207" s="275">
        <f>BY371*BY12*4</f>
        <v>0</v>
      </c>
      <c r="BZ207" s="515">
        <f>BZ371*BZ12*4</f>
        <v>0</v>
      </c>
      <c r="CA207" s="645">
        <f>BZ207</f>
        <v>0</v>
      </c>
      <c r="CB207" s="1910"/>
      <c r="CC207" s="490"/>
      <c r="CD207" s="212" t="str">
        <f>A207</f>
        <v>Pension benefits</v>
      </c>
      <c r="CE207" s="275">
        <f>D207</f>
        <v>29.184999999999999</v>
      </c>
      <c r="CF207" s="275">
        <f>I207</f>
        <v>17.637</v>
      </c>
      <c r="CG207" s="275">
        <f>N207</f>
        <v>133.91399999999999</v>
      </c>
      <c r="CH207" s="275">
        <f>S207</f>
        <v>102.04600000000001</v>
      </c>
      <c r="CI207" s="275">
        <f>X207</f>
        <v>95.528000000000006</v>
      </c>
      <c r="CJ207" s="275">
        <f>AC207</f>
        <v>109.161</v>
      </c>
      <c r="CK207" s="275">
        <f>AH207</f>
        <v>38.655000000000001</v>
      </c>
      <c r="CL207" s="275">
        <f>AM207</f>
        <v>13.007</v>
      </c>
      <c r="CM207" s="275">
        <f>AR207</f>
        <v>13.805</v>
      </c>
      <c r="CN207" s="275">
        <f>AW207</f>
        <v>12.971</v>
      </c>
      <c r="CO207" s="275">
        <f>BB207</f>
        <v>12.6</v>
      </c>
      <c r="CP207" s="275">
        <f>BG207</f>
        <v>0</v>
      </c>
      <c r="CQ207" s="275">
        <f>BL207</f>
        <v>0</v>
      </c>
      <c r="CR207" s="275">
        <f>BQ207</f>
        <v>0</v>
      </c>
      <c r="CS207" s="275">
        <f>BV207</f>
        <v>0</v>
      </c>
      <c r="CT207" s="515">
        <f>CA207</f>
        <v>0</v>
      </c>
      <c r="CU207" s="6"/>
      <c r="DB207" s="636"/>
      <c r="DC207" s="636"/>
      <c r="DD207" s="1961"/>
      <c r="DE207" s="1961"/>
      <c r="DF207" s="1961"/>
      <c r="DG207" s="1961"/>
      <c r="DH207" s="1961"/>
      <c r="DI207" s="275"/>
    </row>
    <row r="208" spans="1:113" ht="12" customHeight="1" x14ac:dyDescent="0.25">
      <c r="A208" s="212" t="s">
        <v>192</v>
      </c>
      <c r="B208" s="333"/>
      <c r="C208" s="265"/>
      <c r="D208" s="244">
        <v>26.524999999999999</v>
      </c>
      <c r="E208" s="326"/>
      <c r="F208" s="268"/>
      <c r="G208" s="232"/>
      <c r="H208" s="232">
        <v>23.893999999999998</v>
      </c>
      <c r="I208" s="644">
        <f>H208</f>
        <v>23.893999999999998</v>
      </c>
      <c r="J208" s="232">
        <v>23.988</v>
      </c>
      <c r="K208" s="232">
        <v>23.044</v>
      </c>
      <c r="L208" s="232">
        <v>22.527000000000001</v>
      </c>
      <c r="M208" s="232">
        <v>23.797999999999998</v>
      </c>
      <c r="N208" s="644">
        <f>M208</f>
        <v>23.797999999999998</v>
      </c>
      <c r="O208" s="232">
        <v>23.172000000000001</v>
      </c>
      <c r="P208" s="268">
        <v>22.803000000000001</v>
      </c>
      <c r="Q208" s="268">
        <v>21.936</v>
      </c>
      <c r="R208" s="268">
        <v>25.108000000000001</v>
      </c>
      <c r="S208" s="644">
        <f>R208</f>
        <v>25.108000000000001</v>
      </c>
      <c r="T208" s="232">
        <v>24.672999999999998</v>
      </c>
      <c r="U208" s="232">
        <v>23.585999999999999</v>
      </c>
      <c r="V208" s="232">
        <v>23.071999999999999</v>
      </c>
      <c r="W208" s="232">
        <v>23.082999999999998</v>
      </c>
      <c r="X208" s="644">
        <f>W208</f>
        <v>23.082999999999998</v>
      </c>
      <c r="Y208" s="232">
        <v>23.018999999999998</v>
      </c>
      <c r="Z208" s="232">
        <v>22.202999999999999</v>
      </c>
      <c r="AA208" s="232">
        <v>21.329000000000001</v>
      </c>
      <c r="AB208" s="232">
        <v>18.587</v>
      </c>
      <c r="AC208" s="644">
        <f>AB208</f>
        <v>18.587</v>
      </c>
      <c r="AD208" s="268">
        <v>15.792</v>
      </c>
      <c r="AE208" s="268">
        <v>10.624000000000001</v>
      </c>
      <c r="AF208" s="268">
        <v>5.3689999999999998</v>
      </c>
      <c r="AG208" s="268">
        <v>2.6269999999999998</v>
      </c>
      <c r="AH208" s="644">
        <f>AG208</f>
        <v>2.6269999999999998</v>
      </c>
      <c r="AI208" s="333">
        <v>2.5649999999999999</v>
      </c>
      <c r="AJ208" s="268">
        <v>2.2669999999999999</v>
      </c>
      <c r="AK208" s="268">
        <v>1.9219999999999999</v>
      </c>
      <c r="AL208" s="268">
        <v>2.0609999999999999</v>
      </c>
      <c r="AM208" s="644">
        <f>AL208</f>
        <v>2.0609999999999999</v>
      </c>
      <c r="AN208" s="333">
        <v>2.1589999999999998</v>
      </c>
      <c r="AO208" s="268">
        <v>3.14</v>
      </c>
      <c r="AP208" s="268">
        <v>3.6410999999999998</v>
      </c>
      <c r="AQ208" s="268">
        <v>2.41</v>
      </c>
      <c r="AR208" s="644">
        <f>AQ208</f>
        <v>2.41</v>
      </c>
      <c r="AS208" s="333">
        <v>2.4500000000000002</v>
      </c>
      <c r="AT208" s="268">
        <v>2.302</v>
      </c>
      <c r="AU208" s="268">
        <v>2.4750000000000001</v>
      </c>
      <c r="AV208" s="332">
        <v>1.9810000000000001</v>
      </c>
      <c r="AW208" s="644">
        <f>AV208</f>
        <v>1.9810000000000001</v>
      </c>
      <c r="AX208" s="268">
        <v>2.0150000000000001</v>
      </c>
      <c r="AY208" s="268">
        <v>1.8680000000000001</v>
      </c>
      <c r="AZ208" s="268">
        <v>1.407</v>
      </c>
      <c r="BA208" s="332">
        <v>1.7</v>
      </c>
      <c r="BB208" s="645">
        <f>BA208</f>
        <v>1.7</v>
      </c>
      <c r="BC208" s="1892">
        <v>0</v>
      </c>
      <c r="BD208" s="1892">
        <v>0</v>
      </c>
      <c r="BE208" s="1943">
        <v>0</v>
      </c>
      <c r="BF208" s="1943">
        <v>0</v>
      </c>
      <c r="BG208" s="645">
        <f>BF208</f>
        <v>0</v>
      </c>
      <c r="BH208" s="275">
        <f>BH372*BH12*4</f>
        <v>0</v>
      </c>
      <c r="BI208" s="275">
        <f>BI372*BI12*4</f>
        <v>0</v>
      </c>
      <c r="BJ208" s="275">
        <f>BJ372*BJ12*4</f>
        <v>0</v>
      </c>
      <c r="BK208" s="515">
        <f>BK372*BK12*4</f>
        <v>0</v>
      </c>
      <c r="BL208" s="645">
        <f>BK208</f>
        <v>0</v>
      </c>
      <c r="BM208" s="275">
        <f>BM372*BM12*4</f>
        <v>0</v>
      </c>
      <c r="BN208" s="275">
        <f>BN372*BN12*4</f>
        <v>0</v>
      </c>
      <c r="BO208" s="275">
        <f>BO372*BO12*4</f>
        <v>0</v>
      </c>
      <c r="BP208" s="515">
        <f>BP372*BP12*4</f>
        <v>0</v>
      </c>
      <c r="BQ208" s="645">
        <f>BP208</f>
        <v>0</v>
      </c>
      <c r="BR208" s="275">
        <f>BR372*BR12*4</f>
        <v>0</v>
      </c>
      <c r="BS208" s="275">
        <f>BS372*BS12*4</f>
        <v>0</v>
      </c>
      <c r="BT208" s="275">
        <f>BT372*BT12*4</f>
        <v>0</v>
      </c>
      <c r="BU208" s="515">
        <f>BU372*BU12*4</f>
        <v>0</v>
      </c>
      <c r="BV208" s="645">
        <f>BU208</f>
        <v>0</v>
      </c>
      <c r="BW208" s="275">
        <f>BW372*BW12*4</f>
        <v>0</v>
      </c>
      <c r="BX208" s="275">
        <f>BX372*BX12*4</f>
        <v>0</v>
      </c>
      <c r="BY208" s="275">
        <f>BY372*BY12*4</f>
        <v>0</v>
      </c>
      <c r="BZ208" s="515">
        <f>BZ372*BZ12*4</f>
        <v>0</v>
      </c>
      <c r="CA208" s="645">
        <f>BZ208</f>
        <v>0</v>
      </c>
      <c r="CB208" s="1910"/>
      <c r="CC208" s="490"/>
      <c r="CD208" s="212" t="str">
        <f>A208</f>
        <v>Postretirement</v>
      </c>
      <c r="CE208" s="275">
        <f>D208</f>
        <v>26.524999999999999</v>
      </c>
      <c r="CF208" s="275">
        <f>I208</f>
        <v>23.893999999999998</v>
      </c>
      <c r="CG208" s="275">
        <f>N208</f>
        <v>23.797999999999998</v>
      </c>
      <c r="CH208" s="275">
        <f>S208</f>
        <v>25.108000000000001</v>
      </c>
      <c r="CI208" s="275">
        <f>X208</f>
        <v>23.082999999999998</v>
      </c>
      <c r="CJ208" s="275">
        <f>AC208</f>
        <v>18.587</v>
      </c>
      <c r="CK208" s="275">
        <f>AH208</f>
        <v>2.6269999999999998</v>
      </c>
      <c r="CL208" s="275">
        <f>AM208</f>
        <v>2.0609999999999999</v>
      </c>
      <c r="CM208" s="275">
        <f>AR208</f>
        <v>2.41</v>
      </c>
      <c r="CN208" s="275">
        <f>AW208</f>
        <v>1.9810000000000001</v>
      </c>
      <c r="CO208" s="275">
        <f>BB208</f>
        <v>1.7</v>
      </c>
      <c r="CP208" s="275">
        <f>BG208</f>
        <v>0</v>
      </c>
      <c r="CQ208" s="275">
        <f>BL208</f>
        <v>0</v>
      </c>
      <c r="CR208" s="275">
        <f>BQ208</f>
        <v>0</v>
      </c>
      <c r="CS208" s="275">
        <f>BV208</f>
        <v>0</v>
      </c>
      <c r="CT208" s="515">
        <f>CA208</f>
        <v>0</v>
      </c>
      <c r="CU208" s="6"/>
      <c r="DB208" s="636"/>
      <c r="DC208" s="636"/>
      <c r="DD208" s="1961"/>
      <c r="DE208" s="1961"/>
      <c r="DF208" s="1961"/>
      <c r="DG208" s="1961"/>
      <c r="DH208" s="1961"/>
      <c r="DI208" s="275"/>
    </row>
    <row r="209" spans="1:113" ht="12" customHeight="1" x14ac:dyDescent="0.25">
      <c r="A209" s="212" t="s">
        <v>193</v>
      </c>
      <c r="B209" s="333"/>
      <c r="C209" s="265"/>
      <c r="D209" s="244">
        <v>22.163</v>
      </c>
      <c r="E209" s="326"/>
      <c r="F209" s="268"/>
      <c r="G209" s="232"/>
      <c r="H209" s="232">
        <v>62.085000000000001</v>
      </c>
      <c r="I209" s="644">
        <f>H209</f>
        <v>62.085000000000001</v>
      </c>
      <c r="J209" s="232">
        <v>61.942</v>
      </c>
      <c r="K209" s="232">
        <v>63.817</v>
      </c>
      <c r="L209" s="232">
        <v>56.881999999999998</v>
      </c>
      <c r="M209" s="232">
        <v>76.194000000000003</v>
      </c>
      <c r="N209" s="644">
        <f>M209</f>
        <v>76.194000000000003</v>
      </c>
      <c r="O209" s="232">
        <v>87.058000000000007</v>
      </c>
      <c r="P209" s="268">
        <v>81.965000000000003</v>
      </c>
      <c r="Q209" s="268">
        <v>77.257999999999996</v>
      </c>
      <c r="R209" s="268">
        <v>76.959999999999994</v>
      </c>
      <c r="S209" s="644">
        <f>R209</f>
        <v>76.959999999999994</v>
      </c>
      <c r="T209" s="232">
        <v>81.218999999999994</v>
      </c>
      <c r="U209" s="232">
        <v>80.831000000000003</v>
      </c>
      <c r="V209" s="232">
        <v>78.668000000000006</v>
      </c>
      <c r="W209" s="232">
        <v>90.212999999999994</v>
      </c>
      <c r="X209" s="510">
        <f>W209</f>
        <v>90.212999999999994</v>
      </c>
      <c r="Y209" s="232">
        <v>89.605000000000004</v>
      </c>
      <c r="Z209" s="232">
        <v>80.231999999999999</v>
      </c>
      <c r="AA209" s="232">
        <v>79.805999999999997</v>
      </c>
      <c r="AB209" s="232">
        <v>61.866</v>
      </c>
      <c r="AC209" s="510">
        <f>AB209</f>
        <v>61.866</v>
      </c>
      <c r="AD209" s="516">
        <f>39.868+80.043</f>
        <v>119.911</v>
      </c>
      <c r="AE209" s="516">
        <f>41.88+62.506</f>
        <v>104.386</v>
      </c>
      <c r="AF209" s="516">
        <f>80.755+82.799</f>
        <v>163.554</v>
      </c>
      <c r="AG209" s="516">
        <f>133.761+78.19</f>
        <v>211.95099999999999</v>
      </c>
      <c r="AH209" s="510">
        <f>AG209</f>
        <v>211.95099999999999</v>
      </c>
      <c r="AI209" s="517">
        <f>134.499+74.484</f>
        <v>208.983</v>
      </c>
      <c r="AJ209" s="516">
        <f>135.257+52.138</f>
        <v>187.39500000000001</v>
      </c>
      <c r="AK209" s="516">
        <f>143.432+45.174</f>
        <v>188.60599999999999</v>
      </c>
      <c r="AL209" s="516">
        <f>198.604+36.043+4.529</f>
        <v>239.17600000000002</v>
      </c>
      <c r="AM209" s="510">
        <f>AL209</f>
        <v>239.17600000000002</v>
      </c>
      <c r="AN209" s="517">
        <f>194.305+44.425</f>
        <v>238.73000000000002</v>
      </c>
      <c r="AO209" s="516">
        <f>194.523+43.917</f>
        <v>238.44</v>
      </c>
      <c r="AP209" s="516">
        <f>194.871+43.288</f>
        <v>238.15899999999999</v>
      </c>
      <c r="AQ209" s="516">
        <f>202.54+43.388</f>
        <v>245.928</v>
      </c>
      <c r="AR209" s="510">
        <f>AQ209</f>
        <v>245.928</v>
      </c>
      <c r="AS209" s="517">
        <f>203.383+43.095</f>
        <v>246.47800000000001</v>
      </c>
      <c r="AT209" s="516">
        <f>463.561+47.985</f>
        <v>511.54599999999999</v>
      </c>
      <c r="AU209" s="516">
        <f>401.422+54.501</f>
        <v>455.923</v>
      </c>
      <c r="AV209" s="518">
        <f>396.43+60.098</f>
        <v>456.52800000000002</v>
      </c>
      <c r="AW209" s="510">
        <f>AV209</f>
        <v>456.52800000000002</v>
      </c>
      <c r="AX209" s="516">
        <f>342.166+53.302+69.66</f>
        <v>465.12800000000004</v>
      </c>
      <c r="AY209" s="516">
        <f>314.705+57.73</f>
        <v>372.435</v>
      </c>
      <c r="AZ209" s="516">
        <f>305.694+54.061</f>
        <v>359.755</v>
      </c>
      <c r="BA209" s="518">
        <f>322.2+60.5</f>
        <v>382.7</v>
      </c>
      <c r="BB209" s="510">
        <f>BA209</f>
        <v>382.7</v>
      </c>
      <c r="BC209" s="1882">
        <f>329.4+80.3</f>
        <v>409.7</v>
      </c>
      <c r="BD209" s="1882">
        <f>337.5+81.5</f>
        <v>419</v>
      </c>
      <c r="BE209" s="1944">
        <f>384.1+89.6</f>
        <v>473.70000000000005</v>
      </c>
      <c r="BF209" s="1944">
        <f>337.8+135.1</f>
        <v>472.9</v>
      </c>
      <c r="BG209" s="510">
        <f>BF209</f>
        <v>472.9</v>
      </c>
      <c r="BH209" s="514">
        <f>BG209</f>
        <v>472.9</v>
      </c>
      <c r="BI209" s="514">
        <f>BH209</f>
        <v>472.9</v>
      </c>
      <c r="BJ209" s="514">
        <f>BI209</f>
        <v>472.9</v>
      </c>
      <c r="BK209" s="648">
        <f>BJ209</f>
        <v>472.9</v>
      </c>
      <c r="BL209" s="510">
        <f>BK209</f>
        <v>472.9</v>
      </c>
      <c r="BM209" s="514">
        <f>BL209</f>
        <v>472.9</v>
      </c>
      <c r="BN209" s="514">
        <f>BM209</f>
        <v>472.9</v>
      </c>
      <c r="BO209" s="514">
        <f>BN209</f>
        <v>472.9</v>
      </c>
      <c r="BP209" s="648">
        <f>BO209</f>
        <v>472.9</v>
      </c>
      <c r="BQ209" s="510">
        <f>BP209</f>
        <v>472.9</v>
      </c>
      <c r="BR209" s="514">
        <f>BQ209</f>
        <v>472.9</v>
      </c>
      <c r="BS209" s="514">
        <f>BR209</f>
        <v>472.9</v>
      </c>
      <c r="BT209" s="514">
        <f>BS209</f>
        <v>472.9</v>
      </c>
      <c r="BU209" s="648">
        <f>BT209</f>
        <v>472.9</v>
      </c>
      <c r="BV209" s="510">
        <f>BU209</f>
        <v>472.9</v>
      </c>
      <c r="BW209" s="514">
        <f>BV209</f>
        <v>472.9</v>
      </c>
      <c r="BX209" s="514">
        <f>BW209</f>
        <v>472.9</v>
      </c>
      <c r="BY209" s="514">
        <f>BX209</f>
        <v>472.9</v>
      </c>
      <c r="BZ209" s="648">
        <f>BY209</f>
        <v>472.9</v>
      </c>
      <c r="CA209" s="510">
        <f>BZ209</f>
        <v>472.9</v>
      </c>
      <c r="CB209" s="1910"/>
      <c r="CC209" s="490"/>
      <c r="CD209" s="212" t="str">
        <f>A209</f>
        <v>Deferred Taxes and Other Long Term Liabilities</v>
      </c>
      <c r="CE209" s="275">
        <f>D209</f>
        <v>22.163</v>
      </c>
      <c r="CF209" s="275">
        <f>I209</f>
        <v>62.085000000000001</v>
      </c>
      <c r="CG209" s="275">
        <f>N209</f>
        <v>76.194000000000003</v>
      </c>
      <c r="CH209" s="275">
        <f>S209</f>
        <v>76.959999999999994</v>
      </c>
      <c r="CI209" s="275">
        <f>X209</f>
        <v>90.212999999999994</v>
      </c>
      <c r="CJ209" s="275">
        <f>AC209</f>
        <v>61.866</v>
      </c>
      <c r="CK209" s="275">
        <f>AH209</f>
        <v>211.95099999999999</v>
      </c>
      <c r="CL209" s="275">
        <f>AM209</f>
        <v>239.17600000000002</v>
      </c>
      <c r="CM209" s="275">
        <f>AR209</f>
        <v>245.928</v>
      </c>
      <c r="CN209" s="275">
        <f>AW209</f>
        <v>456.52800000000002</v>
      </c>
      <c r="CO209" s="275">
        <f>BB209</f>
        <v>382.7</v>
      </c>
      <c r="CP209" s="275">
        <f>BG209</f>
        <v>472.9</v>
      </c>
      <c r="CQ209" s="275">
        <f>BL209</f>
        <v>472.9</v>
      </c>
      <c r="CR209" s="275">
        <f>BQ209</f>
        <v>472.9</v>
      </c>
      <c r="CS209" s="275">
        <f>BV209</f>
        <v>472.9</v>
      </c>
      <c r="CT209" s="515">
        <f>CA209</f>
        <v>472.9</v>
      </c>
      <c r="CU209" s="6"/>
      <c r="DB209" s="636"/>
      <c r="DC209" s="636"/>
      <c r="DD209" s="1961"/>
      <c r="DE209" s="1961"/>
      <c r="DF209" s="1961"/>
      <c r="DG209" s="1961"/>
      <c r="DH209" s="1961"/>
      <c r="DI209" s="514"/>
    </row>
    <row r="210" spans="1:113" ht="5.0999999999999996" customHeight="1" x14ac:dyDescent="0.25">
      <c r="A210" s="212"/>
      <c r="B210" s="649"/>
      <c r="C210" s="258" t="s">
        <v>60</v>
      </c>
      <c r="D210" s="258" t="s">
        <v>60</v>
      </c>
      <c r="E210" s="135" t="s">
        <v>60</v>
      </c>
      <c r="F210" s="259" t="s">
        <v>60</v>
      </c>
      <c r="G210" s="259" t="s">
        <v>60</v>
      </c>
      <c r="H210" s="259" t="s">
        <v>60</v>
      </c>
      <c r="I210" s="134" t="s">
        <v>60</v>
      </c>
      <c r="J210" s="259" t="s">
        <v>60</v>
      </c>
      <c r="K210" s="259" t="s">
        <v>60</v>
      </c>
      <c r="L210" s="259" t="s">
        <v>60</v>
      </c>
      <c r="M210" s="259" t="s">
        <v>60</v>
      </c>
      <c r="N210" s="134" t="s">
        <v>60</v>
      </c>
      <c r="O210" s="259" t="s">
        <v>60</v>
      </c>
      <c r="P210" s="259" t="s">
        <v>60</v>
      </c>
      <c r="Q210" s="259" t="s">
        <v>60</v>
      </c>
      <c r="R210" s="259" t="s">
        <v>60</v>
      </c>
      <c r="S210" s="134" t="s">
        <v>60</v>
      </c>
      <c r="T210" s="259" t="s">
        <v>60</v>
      </c>
      <c r="U210" s="259" t="s">
        <v>60</v>
      </c>
      <c r="V210" s="259" t="s">
        <v>60</v>
      </c>
      <c r="W210" s="259" t="s">
        <v>60</v>
      </c>
      <c r="X210" s="134" t="s">
        <v>60</v>
      </c>
      <c r="Y210" s="135" t="s">
        <v>60</v>
      </c>
      <c r="Z210" s="135" t="s">
        <v>60</v>
      </c>
      <c r="AA210" s="135" t="s">
        <v>60</v>
      </c>
      <c r="AB210" s="135" t="s">
        <v>60</v>
      </c>
      <c r="AC210" s="134" t="s">
        <v>60</v>
      </c>
      <c r="AD210" s="259" t="s">
        <v>60</v>
      </c>
      <c r="AE210" s="259" t="s">
        <v>60</v>
      </c>
      <c r="AF210" s="259" t="s">
        <v>60</v>
      </c>
      <c r="AG210" s="259" t="s">
        <v>60</v>
      </c>
      <c r="AH210" s="134" t="s">
        <v>60</v>
      </c>
      <c r="AI210" s="649" t="s">
        <v>60</v>
      </c>
      <c r="AJ210" s="259" t="s">
        <v>60</v>
      </c>
      <c r="AK210" s="259" t="s">
        <v>60</v>
      </c>
      <c r="AL210" s="259" t="s">
        <v>60</v>
      </c>
      <c r="AM210" s="134" t="s">
        <v>60</v>
      </c>
      <c r="AN210" s="649" t="s">
        <v>60</v>
      </c>
      <c r="AO210" s="259" t="s">
        <v>60</v>
      </c>
      <c r="AP210" s="259" t="s">
        <v>60</v>
      </c>
      <c r="AQ210" s="259" t="s">
        <v>60</v>
      </c>
      <c r="AR210" s="134" t="s">
        <v>60</v>
      </c>
      <c r="AS210" s="649" t="s">
        <v>60</v>
      </c>
      <c r="AT210" s="259" t="s">
        <v>60</v>
      </c>
      <c r="AU210" s="259" t="s">
        <v>60</v>
      </c>
      <c r="AV210" s="650" t="s">
        <v>60</v>
      </c>
      <c r="AW210" s="134" t="s">
        <v>60</v>
      </c>
      <c r="AX210" s="259" t="s">
        <v>60</v>
      </c>
      <c r="AY210" s="259" t="s">
        <v>60</v>
      </c>
      <c r="AZ210" s="259" t="s">
        <v>60</v>
      </c>
      <c r="BA210" s="650" t="s">
        <v>60</v>
      </c>
      <c r="BB210" s="134" t="s">
        <v>60</v>
      </c>
      <c r="BC210" s="259" t="s">
        <v>60</v>
      </c>
      <c r="BD210" s="259" t="s">
        <v>60</v>
      </c>
      <c r="BE210" s="259" t="s">
        <v>60</v>
      </c>
      <c r="BF210" s="259" t="s">
        <v>60</v>
      </c>
      <c r="BG210" s="134" t="s">
        <v>60</v>
      </c>
      <c r="BH210" s="259" t="s">
        <v>60</v>
      </c>
      <c r="BI210" s="259" t="s">
        <v>60</v>
      </c>
      <c r="BJ210" s="259" t="s">
        <v>60</v>
      </c>
      <c r="BK210" s="650" t="s">
        <v>60</v>
      </c>
      <c r="BL210" s="134" t="s">
        <v>60</v>
      </c>
      <c r="BM210" s="259" t="s">
        <v>60</v>
      </c>
      <c r="BN210" s="259" t="s">
        <v>60</v>
      </c>
      <c r="BO210" s="259" t="s">
        <v>60</v>
      </c>
      <c r="BP210" s="650" t="s">
        <v>60</v>
      </c>
      <c r="BQ210" s="134" t="s">
        <v>60</v>
      </c>
      <c r="BR210" s="259" t="s">
        <v>60</v>
      </c>
      <c r="BS210" s="259" t="s">
        <v>60</v>
      </c>
      <c r="BT210" s="259" t="s">
        <v>60</v>
      </c>
      <c r="BU210" s="650" t="s">
        <v>60</v>
      </c>
      <c r="BV210" s="134" t="s">
        <v>60</v>
      </c>
      <c r="BW210" s="259" t="s">
        <v>60</v>
      </c>
      <c r="BX210" s="259" t="s">
        <v>60</v>
      </c>
      <c r="BY210" s="259" t="s">
        <v>60</v>
      </c>
      <c r="BZ210" s="650" t="s">
        <v>60</v>
      </c>
      <c r="CA210" s="134" t="s">
        <v>60</v>
      </c>
      <c r="CB210" s="1910"/>
      <c r="CC210" s="341"/>
      <c r="CD210" s="212"/>
      <c r="CE210" s="259"/>
      <c r="CF210" s="259"/>
      <c r="CG210" s="259"/>
      <c r="CH210" s="259"/>
      <c r="CI210" s="259"/>
      <c r="CJ210" s="259"/>
      <c r="CK210" s="259"/>
      <c r="CL210" s="259"/>
      <c r="CM210" s="259"/>
      <c r="CN210" s="259"/>
      <c r="CO210" s="259"/>
      <c r="CP210" s="259"/>
      <c r="CQ210" s="259"/>
      <c r="CR210" s="259"/>
      <c r="CS210" s="259"/>
      <c r="CT210" s="650"/>
      <c r="CU210" s="6"/>
      <c r="DB210" s="636"/>
      <c r="DC210" s="636"/>
      <c r="DD210" s="1961"/>
      <c r="DE210" s="1961"/>
      <c r="DF210" s="1961"/>
      <c r="DG210" s="1961"/>
      <c r="DH210" s="1961"/>
      <c r="DI210" s="259"/>
    </row>
    <row r="211" spans="1:113" ht="12" customHeight="1" x14ac:dyDescent="0.25">
      <c r="A211" s="212" t="s">
        <v>194</v>
      </c>
      <c r="B211" s="138"/>
      <c r="C211" s="71">
        <f t="shared" ref="C211:BG211" si="371">SUM(C204,C206:C209)</f>
        <v>0</v>
      </c>
      <c r="D211" s="71">
        <f t="shared" si="371"/>
        <v>735.15499999999986</v>
      </c>
      <c r="E211" s="74">
        <f t="shared" si="371"/>
        <v>0</v>
      </c>
      <c r="F211" s="74">
        <f t="shared" si="371"/>
        <v>0</v>
      </c>
      <c r="G211" s="74">
        <f t="shared" si="371"/>
        <v>0</v>
      </c>
      <c r="H211" s="74">
        <f t="shared" si="371"/>
        <v>862.20100000000002</v>
      </c>
      <c r="I211" s="71">
        <f t="shared" si="371"/>
        <v>862.20100000000002</v>
      </c>
      <c r="J211" s="74">
        <f t="shared" si="371"/>
        <v>1015.3040000000001</v>
      </c>
      <c r="K211" s="74">
        <f t="shared" si="371"/>
        <v>1039.499</v>
      </c>
      <c r="L211" s="74">
        <f t="shared" si="371"/>
        <v>1014.226</v>
      </c>
      <c r="M211" s="74">
        <f t="shared" si="371"/>
        <v>1189.1609999999998</v>
      </c>
      <c r="N211" s="71">
        <f t="shared" si="371"/>
        <v>1189.1609999999998</v>
      </c>
      <c r="O211" s="74">
        <f t="shared" si="371"/>
        <v>1253.059</v>
      </c>
      <c r="P211" s="74">
        <f t="shared" si="371"/>
        <v>1195.7069999999999</v>
      </c>
      <c r="Q211" s="74">
        <f t="shared" si="371"/>
        <v>1155.8239999999998</v>
      </c>
      <c r="R211" s="74">
        <f t="shared" si="371"/>
        <v>1031.902</v>
      </c>
      <c r="S211" s="71">
        <f t="shared" si="371"/>
        <v>1031.902</v>
      </c>
      <c r="T211" s="74">
        <f t="shared" si="371"/>
        <v>1057.4270000000001</v>
      </c>
      <c r="U211" s="74">
        <f t="shared" si="371"/>
        <v>999.69299999999998</v>
      </c>
      <c r="V211" s="74">
        <f t="shared" si="371"/>
        <v>987.26699999999994</v>
      </c>
      <c r="W211" s="74">
        <f t="shared" si="371"/>
        <v>1331.5320000000002</v>
      </c>
      <c r="X211" s="71">
        <f t="shared" si="371"/>
        <v>1331.5320000000002</v>
      </c>
      <c r="Y211" s="74">
        <f t="shared" si="371"/>
        <v>1395.5219999999999</v>
      </c>
      <c r="Z211" s="74">
        <f t="shared" si="371"/>
        <v>1552.529</v>
      </c>
      <c r="AA211" s="74">
        <f t="shared" si="371"/>
        <v>1538.806</v>
      </c>
      <c r="AB211" s="74">
        <f t="shared" si="371"/>
        <v>1639.596</v>
      </c>
      <c r="AC211" s="71">
        <f t="shared" si="371"/>
        <v>1639.596</v>
      </c>
      <c r="AD211" s="74">
        <f t="shared" si="371"/>
        <v>1902.3010000000002</v>
      </c>
      <c r="AE211" s="74">
        <f t="shared" si="371"/>
        <v>1806.6610000000001</v>
      </c>
      <c r="AF211" s="74">
        <f t="shared" si="371"/>
        <v>2161.3849999999998</v>
      </c>
      <c r="AG211" s="74">
        <f t="shared" si="371"/>
        <v>2104.7449999999999</v>
      </c>
      <c r="AH211" s="71">
        <f t="shared" si="371"/>
        <v>2104.7449999999999</v>
      </c>
      <c r="AI211" s="138">
        <f t="shared" si="371"/>
        <v>2163.8230000000003</v>
      </c>
      <c r="AJ211" s="74">
        <f t="shared" si="371"/>
        <v>2073.846</v>
      </c>
      <c r="AK211" s="74">
        <f t="shared" si="371"/>
        <v>1946.8700000000001</v>
      </c>
      <c r="AL211" s="74">
        <f t="shared" si="371"/>
        <v>1956.8620000000001</v>
      </c>
      <c r="AM211" s="71">
        <f t="shared" si="371"/>
        <v>1956.8620000000001</v>
      </c>
      <c r="AN211" s="138">
        <f t="shared" si="371"/>
        <v>2040.4780000000003</v>
      </c>
      <c r="AO211" s="74">
        <f t="shared" si="371"/>
        <v>1998.992</v>
      </c>
      <c r="AP211" s="74">
        <f t="shared" si="371"/>
        <v>1951.7461000000003</v>
      </c>
      <c r="AQ211" s="74">
        <f t="shared" si="371"/>
        <v>2134.2870000000003</v>
      </c>
      <c r="AR211" s="71">
        <f t="shared" si="371"/>
        <v>2134.2870000000003</v>
      </c>
      <c r="AS211" s="138">
        <f t="shared" si="371"/>
        <v>2072.777</v>
      </c>
      <c r="AT211" s="74">
        <f t="shared" si="371"/>
        <v>4531.3410000000003</v>
      </c>
      <c r="AU211" s="74">
        <f t="shared" si="371"/>
        <v>4305.4609999999993</v>
      </c>
      <c r="AV211" s="141">
        <f t="shared" si="371"/>
        <v>4243.9160000000002</v>
      </c>
      <c r="AW211" s="71">
        <f t="shared" si="371"/>
        <v>4243.9160000000002</v>
      </c>
      <c r="AX211" s="74">
        <f t="shared" si="371"/>
        <v>4168.6819999999998</v>
      </c>
      <c r="AY211" s="74">
        <f t="shared" si="371"/>
        <v>3275.1990000000001</v>
      </c>
      <c r="AZ211" s="74">
        <f t="shared" si="371"/>
        <v>3209.6210000000001</v>
      </c>
      <c r="BA211" s="141">
        <f t="shared" si="371"/>
        <v>3298.7999999999993</v>
      </c>
      <c r="BB211" s="77">
        <f t="shared" si="371"/>
        <v>3298.7999999999993</v>
      </c>
      <c r="BC211" s="74">
        <f t="shared" si="371"/>
        <v>3363.1</v>
      </c>
      <c r="BD211" s="74">
        <f t="shared" si="371"/>
        <v>3432.8</v>
      </c>
      <c r="BE211" s="74">
        <f t="shared" si="371"/>
        <v>3955.6000000000004</v>
      </c>
      <c r="BF211" s="74">
        <f t="shared" si="371"/>
        <v>4094.9</v>
      </c>
      <c r="BG211" s="77">
        <f t="shared" si="371"/>
        <v>4094.9</v>
      </c>
      <c r="BH211" s="74">
        <f t="shared" ref="BH211:CA211" si="372">SUM(BH204,BH206:BH209)</f>
        <v>4243.0986275704745</v>
      </c>
      <c r="BI211" s="74">
        <f t="shared" si="372"/>
        <v>4168.7542081074198</v>
      </c>
      <c r="BJ211" s="74">
        <f t="shared" si="372"/>
        <v>4139.3802774537144</v>
      </c>
      <c r="BK211" s="141">
        <f t="shared" si="372"/>
        <v>4138.1766640711012</v>
      </c>
      <c r="BL211" s="77">
        <f t="shared" si="372"/>
        <v>4138.1766640711012</v>
      </c>
      <c r="BM211" s="74">
        <f t="shared" si="372"/>
        <v>4285.3600751069689</v>
      </c>
      <c r="BN211" s="74">
        <f t="shared" si="372"/>
        <v>4207.4554266178138</v>
      </c>
      <c r="BO211" s="74">
        <f t="shared" si="372"/>
        <v>4176.3260640443577</v>
      </c>
      <c r="BP211" s="141">
        <f t="shared" si="372"/>
        <v>4175.6122908506786</v>
      </c>
      <c r="BQ211" s="77">
        <f t="shared" si="372"/>
        <v>4175.6122908506786</v>
      </c>
      <c r="BR211" s="74">
        <f t="shared" si="372"/>
        <v>4329.4555309059278</v>
      </c>
      <c r="BS211" s="74">
        <f t="shared" si="372"/>
        <v>4247.246684292928</v>
      </c>
      <c r="BT211" s="74">
        <f t="shared" si="372"/>
        <v>4214.2205612171374</v>
      </c>
      <c r="BU211" s="141">
        <f t="shared" si="372"/>
        <v>4213.3868413261598</v>
      </c>
      <c r="BV211" s="77">
        <f t="shared" si="372"/>
        <v>4213.3868413261598</v>
      </c>
      <c r="BW211" s="74">
        <f t="shared" si="372"/>
        <v>4376.0903800082797</v>
      </c>
      <c r="BX211" s="74">
        <f t="shared" si="372"/>
        <v>4289.329544026612</v>
      </c>
      <c r="BY211" s="74">
        <f t="shared" si="372"/>
        <v>4254.2858680805157</v>
      </c>
      <c r="BZ211" s="141">
        <f t="shared" si="372"/>
        <v>4253.3216376239761</v>
      </c>
      <c r="CA211" s="77">
        <f t="shared" si="372"/>
        <v>4253.3216376239761</v>
      </c>
      <c r="CB211" s="1910"/>
      <c r="CC211" s="665"/>
      <c r="CD211" s="212" t="str">
        <f>A211</f>
        <v>Total Liabilities</v>
      </c>
      <c r="CE211" s="74">
        <f>D211</f>
        <v>735.15499999999986</v>
      </c>
      <c r="CF211" s="74">
        <f>I211</f>
        <v>862.20100000000002</v>
      </c>
      <c r="CG211" s="74">
        <f>N211</f>
        <v>1189.1609999999998</v>
      </c>
      <c r="CH211" s="74">
        <f>S211</f>
        <v>1031.902</v>
      </c>
      <c r="CI211" s="74">
        <f>X211</f>
        <v>1331.5320000000002</v>
      </c>
      <c r="CJ211" s="74">
        <f>AC211</f>
        <v>1639.596</v>
      </c>
      <c r="CK211" s="74">
        <f>AH211</f>
        <v>2104.7449999999999</v>
      </c>
      <c r="CL211" s="74">
        <f>AM211</f>
        <v>1956.8620000000001</v>
      </c>
      <c r="CM211" s="74">
        <f>AR211</f>
        <v>2134.2870000000003</v>
      </c>
      <c r="CN211" s="74">
        <f>AW211</f>
        <v>4243.9160000000002</v>
      </c>
      <c r="CO211" s="74">
        <f>BB211</f>
        <v>3298.7999999999993</v>
      </c>
      <c r="CP211" s="74">
        <f>BG211</f>
        <v>4094.9</v>
      </c>
      <c r="CQ211" s="74">
        <f>BL211</f>
        <v>4138.1766640711012</v>
      </c>
      <c r="CR211" s="74">
        <f>BQ211</f>
        <v>4175.6122908506786</v>
      </c>
      <c r="CS211" s="74">
        <f>BV211</f>
        <v>4213.3868413261598</v>
      </c>
      <c r="CT211" s="141">
        <f>CA211</f>
        <v>4253.3216376239761</v>
      </c>
      <c r="CU211" s="6"/>
      <c r="DB211" s="636"/>
      <c r="DC211" s="636"/>
      <c r="DD211" s="1961"/>
      <c r="DE211" s="1961"/>
      <c r="DF211" s="1961"/>
      <c r="DG211" s="1961"/>
      <c r="DH211" s="1961"/>
      <c r="DI211" s="74"/>
    </row>
    <row r="212" spans="1:113" ht="5.0999999999999996" customHeight="1" x14ac:dyDescent="0.25">
      <c r="A212" s="666"/>
      <c r="B212" s="632"/>
      <c r="C212" s="634"/>
      <c r="D212" s="634"/>
      <c r="E212" s="9"/>
      <c r="F212" s="9"/>
      <c r="G212" s="9"/>
      <c r="H212" s="9"/>
      <c r="I212" s="634"/>
      <c r="J212" s="9"/>
      <c r="K212" s="9"/>
      <c r="L212" s="9"/>
      <c r="M212" s="9"/>
      <c r="N212" s="634"/>
      <c r="O212" s="9"/>
      <c r="P212" s="9"/>
      <c r="Q212" s="9"/>
      <c r="R212" s="9"/>
      <c r="S212" s="634"/>
      <c r="T212" s="9"/>
      <c r="U212" s="9"/>
      <c r="V212" s="9"/>
      <c r="W212" s="9"/>
      <c r="X212" s="644"/>
      <c r="Y212" s="9"/>
      <c r="Z212" s="9"/>
      <c r="AA212" s="9"/>
      <c r="AB212" s="9"/>
      <c r="AC212" s="634"/>
      <c r="AD212" s="9"/>
      <c r="AE212" s="9"/>
      <c r="AF212" s="9"/>
      <c r="AG212" s="9"/>
      <c r="AH212" s="634"/>
      <c r="AI212" s="632"/>
      <c r="AJ212" s="9"/>
      <c r="AK212" s="9"/>
      <c r="AL212" s="9"/>
      <c r="AM212" s="634"/>
      <c r="AN212" s="632"/>
      <c r="AO212" s="9"/>
      <c r="AP212" s="9"/>
      <c r="AQ212" s="633"/>
      <c r="AR212" s="634"/>
      <c r="AS212" s="632"/>
      <c r="AT212" s="9"/>
      <c r="AU212" s="9"/>
      <c r="AV212" s="633"/>
      <c r="AW212" s="634"/>
      <c r="AX212" s="9"/>
      <c r="AY212" s="9"/>
      <c r="AZ212" s="9"/>
      <c r="BA212" s="633"/>
      <c r="BB212" s="635"/>
      <c r="BC212" s="9"/>
      <c r="BD212" s="9"/>
      <c r="BE212" s="9"/>
      <c r="BF212" s="9"/>
      <c r="BG212" s="635"/>
      <c r="BH212" s="9"/>
      <c r="BI212" s="9"/>
      <c r="BJ212" s="9"/>
      <c r="BK212" s="633"/>
      <c r="BL212" s="635"/>
      <c r="BM212" s="9"/>
      <c r="BN212" s="9"/>
      <c r="BO212" s="9"/>
      <c r="BP212" s="633"/>
      <c r="BQ212" s="635"/>
      <c r="BR212" s="9"/>
      <c r="BS212" s="9"/>
      <c r="BT212" s="9"/>
      <c r="BU212" s="633"/>
      <c r="BV212" s="635"/>
      <c r="BW212" s="9"/>
      <c r="BX212" s="9"/>
      <c r="BY212" s="9"/>
      <c r="BZ212" s="633"/>
      <c r="CA212" s="635"/>
      <c r="CB212" s="1910"/>
      <c r="CC212" s="217"/>
      <c r="CD212" s="666"/>
      <c r="CE212" s="9"/>
      <c r="CF212" s="9"/>
      <c r="CG212" s="9"/>
      <c r="CH212" s="9"/>
      <c r="CI212" s="9"/>
      <c r="CJ212" s="9"/>
      <c r="CK212" s="9"/>
      <c r="CL212" s="9"/>
      <c r="CM212" s="9"/>
      <c r="CN212" s="9"/>
      <c r="CO212" s="9"/>
      <c r="CP212" s="9"/>
      <c r="CQ212" s="9"/>
      <c r="CR212" s="9"/>
      <c r="CS212" s="9"/>
      <c r="CT212" s="633"/>
      <c r="CU212" s="6"/>
      <c r="DB212" s="636"/>
      <c r="DC212" s="636"/>
      <c r="DD212" s="1961"/>
      <c r="DE212" s="1961"/>
      <c r="DF212" s="1961"/>
      <c r="DG212" s="1961"/>
      <c r="DH212" s="1961"/>
      <c r="DI212" s="9"/>
    </row>
    <row r="213" spans="1:113" x14ac:dyDescent="0.25">
      <c r="A213" s="666" t="s">
        <v>195</v>
      </c>
      <c r="B213" s="632"/>
      <c r="C213" s="634"/>
      <c r="D213" s="634"/>
      <c r="E213" s="9"/>
      <c r="F213" s="9"/>
      <c r="G213" s="9"/>
      <c r="H213" s="9"/>
      <c r="I213" s="634"/>
      <c r="J213" s="9"/>
      <c r="K213" s="9"/>
      <c r="L213" s="9"/>
      <c r="M213" s="9"/>
      <c r="N213" s="634"/>
      <c r="O213" s="9"/>
      <c r="P213" s="9"/>
      <c r="Q213" s="9"/>
      <c r="R213" s="9"/>
      <c r="S213" s="634"/>
      <c r="T213" s="9"/>
      <c r="U213" s="9"/>
      <c r="V213" s="9"/>
      <c r="W213" s="9"/>
      <c r="X213" s="634"/>
      <c r="Y213" s="9"/>
      <c r="Z213" s="9"/>
      <c r="AA213" s="9"/>
      <c r="AB213" s="9"/>
      <c r="AC213" s="634"/>
      <c r="AD213" s="9"/>
      <c r="AE213" s="9"/>
      <c r="AF213" s="9"/>
      <c r="AG213" s="9"/>
      <c r="AH213" s="634"/>
      <c r="AI213" s="632"/>
      <c r="AJ213" s="9"/>
      <c r="AK213" s="9"/>
      <c r="AL213" s="9"/>
      <c r="AM213" s="634"/>
      <c r="AN213" s="632"/>
      <c r="AO213" s="9"/>
      <c r="AP213" s="9"/>
      <c r="AQ213" s="633"/>
      <c r="AR213" s="634"/>
      <c r="AS213" s="632"/>
      <c r="AT213" s="9"/>
      <c r="AU213" s="9"/>
      <c r="AV213" s="633"/>
      <c r="AW213" s="634"/>
      <c r="AX213" s="9"/>
      <c r="AY213" s="9"/>
      <c r="AZ213" s="9"/>
      <c r="BA213" s="633"/>
      <c r="BB213" s="635"/>
      <c r="BC213" s="9"/>
      <c r="BD213" s="9"/>
      <c r="BE213" s="9"/>
      <c r="BF213" s="9"/>
      <c r="BG213" s="635"/>
      <c r="BH213" s="9"/>
      <c r="BI213" s="9"/>
      <c r="BJ213" s="9"/>
      <c r="BK213" s="633"/>
      <c r="BL213" s="635"/>
      <c r="BM213" s="9"/>
      <c r="BN213" s="9"/>
      <c r="BO213" s="9"/>
      <c r="BP213" s="633"/>
      <c r="BQ213" s="635"/>
      <c r="BR213" s="9"/>
      <c r="BS213" s="9"/>
      <c r="BT213" s="9"/>
      <c r="BU213" s="633"/>
      <c r="BV213" s="635"/>
      <c r="BW213" s="9"/>
      <c r="BX213" s="9"/>
      <c r="BY213" s="9"/>
      <c r="BZ213" s="633"/>
      <c r="CA213" s="635"/>
      <c r="CB213" s="1910"/>
      <c r="CC213" s="217"/>
      <c r="CD213" s="666" t="str">
        <f t="shared" ref="CD213:CD221" si="373">A213</f>
        <v>Stockholders' Equity</v>
      </c>
      <c r="CE213" s="9"/>
      <c r="CF213" s="9"/>
      <c r="CG213" s="9"/>
      <c r="CH213" s="9"/>
      <c r="CI213" s="9"/>
      <c r="CJ213" s="9"/>
      <c r="CK213" s="9"/>
      <c r="CL213" s="9"/>
      <c r="CM213" s="9"/>
      <c r="CN213" s="9"/>
      <c r="CO213" s="9"/>
      <c r="CP213" s="9"/>
      <c r="CQ213" s="9"/>
      <c r="CR213" s="9"/>
      <c r="CS213" s="9"/>
      <c r="CT213" s="633"/>
      <c r="CU213" s="6"/>
      <c r="DB213" s="636"/>
      <c r="DC213" s="636"/>
      <c r="DD213" s="1961"/>
      <c r="DE213" s="1961"/>
      <c r="DF213" s="1961"/>
      <c r="DG213" s="1961"/>
      <c r="DH213" s="1961"/>
      <c r="DI213" s="9"/>
    </row>
    <row r="214" spans="1:113" ht="12" customHeight="1" x14ac:dyDescent="0.25">
      <c r="A214" s="667" t="s">
        <v>196</v>
      </c>
      <c r="B214" s="560"/>
      <c r="C214" s="558"/>
      <c r="D214" s="229">
        <v>1183.049</v>
      </c>
      <c r="E214" s="326"/>
      <c r="F214" s="150"/>
      <c r="G214" s="235"/>
      <c r="H214" s="234">
        <v>1217.942</v>
      </c>
      <c r="I214" s="639">
        <f t="shared" ref="I214:I221" si="374">H214</f>
        <v>1217.942</v>
      </c>
      <c r="J214" s="234">
        <v>1072.702</v>
      </c>
      <c r="K214" s="234">
        <v>1058.6310000000001</v>
      </c>
      <c r="L214" s="234">
        <v>989.53200000000004</v>
      </c>
      <c r="M214" s="234">
        <v>752.91200000000003</v>
      </c>
      <c r="N214" s="639">
        <f t="shared" ref="N214:N221" si="375">M214</f>
        <v>752.91200000000003</v>
      </c>
      <c r="O214" s="234">
        <v>761.62699999999995</v>
      </c>
      <c r="P214" s="150">
        <v>845.12599999999998</v>
      </c>
      <c r="Q214" s="150">
        <v>1064.896</v>
      </c>
      <c r="R214" s="150">
        <v>0.03</v>
      </c>
      <c r="S214" s="639">
        <f>R214</f>
        <v>0.03</v>
      </c>
      <c r="T214" s="234">
        <v>0.03</v>
      </c>
      <c r="U214" s="234">
        <v>3.2000000000000001E-2</v>
      </c>
      <c r="V214" s="234">
        <v>3.2000000000000001E-2</v>
      </c>
      <c r="W214" s="234">
        <v>3.9E-2</v>
      </c>
      <c r="X214" s="639">
        <f>W214</f>
        <v>3.9E-2</v>
      </c>
      <c r="Y214" s="234">
        <v>0</v>
      </c>
      <c r="Z214" s="234">
        <v>8.7999999999999995E-2</v>
      </c>
      <c r="AA214" s="234">
        <v>8.7999999999999995E-2</v>
      </c>
      <c r="AB214" s="234">
        <v>0.13700000000000001</v>
      </c>
      <c r="AC214" s="639">
        <f>AB214</f>
        <v>0.13700000000000001</v>
      </c>
      <c r="AD214" s="150">
        <v>0.13700000000000001</v>
      </c>
      <c r="AE214" s="234">
        <v>0.13700000000000001</v>
      </c>
      <c r="AF214" s="234">
        <v>0.13700000000000001</v>
      </c>
      <c r="AG214" s="234">
        <v>0.13700000000000001</v>
      </c>
      <c r="AH214" s="639">
        <f>AG214</f>
        <v>0.13700000000000001</v>
      </c>
      <c r="AI214" s="560">
        <v>0.13700000000000001</v>
      </c>
      <c r="AJ214" s="150">
        <v>0.13700000000000001</v>
      </c>
      <c r="AK214" s="150">
        <v>0.13700000000000001</v>
      </c>
      <c r="AL214" s="150">
        <v>0.13700000000000001</v>
      </c>
      <c r="AM214" s="639">
        <f>AL214</f>
        <v>0.13700000000000001</v>
      </c>
      <c r="AN214" s="560">
        <v>0.13700000000000001</v>
      </c>
      <c r="AO214" s="150">
        <v>0.13700000000000001</v>
      </c>
      <c r="AP214" s="150">
        <v>0.13700000000000001</v>
      </c>
      <c r="AQ214" s="150">
        <v>0.13700000000000001</v>
      </c>
      <c r="AR214" s="639">
        <f t="shared" ref="AR214:AR221" si="376">AQ214</f>
        <v>0.13700000000000001</v>
      </c>
      <c r="AS214" s="560">
        <v>0.13700000000000001</v>
      </c>
      <c r="AT214" s="150">
        <v>0.13700000000000001</v>
      </c>
      <c r="AU214" s="150">
        <v>0.13700000000000001</v>
      </c>
      <c r="AV214" s="298">
        <v>0.13700000000000001</v>
      </c>
      <c r="AW214" s="639">
        <f t="shared" ref="AW214:AW221" si="377">AV214</f>
        <v>0.13700000000000001</v>
      </c>
      <c r="AX214" s="150">
        <v>0.13700000000000001</v>
      </c>
      <c r="AY214" s="150">
        <v>0.13700000000000001</v>
      </c>
      <c r="AZ214" s="150">
        <v>0.13700000000000001</v>
      </c>
      <c r="BA214" s="298">
        <v>0.1</v>
      </c>
      <c r="BB214" s="642">
        <f t="shared" ref="BB214:BB221" si="378">BA214</f>
        <v>0.1</v>
      </c>
      <c r="BC214" s="1894">
        <v>0.1</v>
      </c>
      <c r="BD214" s="1894">
        <v>0.1</v>
      </c>
      <c r="BE214" s="1933">
        <v>0.1</v>
      </c>
      <c r="BF214" s="1933">
        <v>0.1</v>
      </c>
      <c r="BG214" s="642">
        <f t="shared" ref="BG214:BG221" si="379">BF214</f>
        <v>0.1</v>
      </c>
      <c r="BH214" s="654">
        <f>BG214</f>
        <v>0.1</v>
      </c>
      <c r="BI214" s="654">
        <f>BH214</f>
        <v>0.1</v>
      </c>
      <c r="BJ214" s="654">
        <f>BI214</f>
        <v>0.1</v>
      </c>
      <c r="BK214" s="655">
        <f>BJ214</f>
        <v>0.1</v>
      </c>
      <c r="BL214" s="642">
        <f t="shared" ref="BL214:BP221" si="380">BK214</f>
        <v>0.1</v>
      </c>
      <c r="BM214" s="654">
        <f t="shared" si="380"/>
        <v>0.1</v>
      </c>
      <c r="BN214" s="654">
        <f t="shared" si="380"/>
        <v>0.1</v>
      </c>
      <c r="BO214" s="654">
        <f t="shared" si="380"/>
        <v>0.1</v>
      </c>
      <c r="BP214" s="655">
        <f t="shared" si="380"/>
        <v>0.1</v>
      </c>
      <c r="BQ214" s="642">
        <f t="shared" ref="BQ214:BQ221" si="381">BP214</f>
        <v>0.1</v>
      </c>
      <c r="BR214" s="654">
        <f>BQ214</f>
        <v>0.1</v>
      </c>
      <c r="BS214" s="654">
        <f>BR214</f>
        <v>0.1</v>
      </c>
      <c r="BT214" s="654">
        <f>BS214</f>
        <v>0.1</v>
      </c>
      <c r="BU214" s="655">
        <f>BT214</f>
        <v>0.1</v>
      </c>
      <c r="BV214" s="642">
        <f t="shared" ref="BV214:BV221" si="382">BU214</f>
        <v>0.1</v>
      </c>
      <c r="BW214" s="654">
        <f>BV214</f>
        <v>0.1</v>
      </c>
      <c r="BX214" s="654">
        <f>BW214</f>
        <v>0.1</v>
      </c>
      <c r="BY214" s="654">
        <f>BX214</f>
        <v>0.1</v>
      </c>
      <c r="BZ214" s="655">
        <f>BY214</f>
        <v>0.1</v>
      </c>
      <c r="CA214" s="642">
        <f t="shared" ref="CA214:CA221" si="383">BZ214</f>
        <v>0.1</v>
      </c>
      <c r="CB214" s="1910"/>
      <c r="CC214" s="490"/>
      <c r="CD214" s="667" t="str">
        <f t="shared" si="373"/>
        <v>Common Stock Class A</v>
      </c>
      <c r="CE214" s="74">
        <f t="shared" ref="CE214:CE221" si="384">D214</f>
        <v>1183.049</v>
      </c>
      <c r="CF214" s="74">
        <f t="shared" ref="CF214:CF221" si="385">I214</f>
        <v>1217.942</v>
      </c>
      <c r="CG214" s="74">
        <f t="shared" ref="CG214:CG221" si="386">N214</f>
        <v>752.91200000000003</v>
      </c>
      <c r="CH214" s="74">
        <f t="shared" ref="CH214:CH221" si="387">S214</f>
        <v>0.03</v>
      </c>
      <c r="CI214" s="74">
        <f t="shared" ref="CI214:CI221" si="388">X214</f>
        <v>3.9E-2</v>
      </c>
      <c r="CJ214" s="74">
        <f t="shared" ref="CJ214:CJ221" si="389">AC214</f>
        <v>0.13700000000000001</v>
      </c>
      <c r="CK214" s="74">
        <f t="shared" ref="CK214:CK221" si="390">AH214</f>
        <v>0.13700000000000001</v>
      </c>
      <c r="CL214" s="74">
        <f t="shared" ref="CL214:CL221" si="391">AM214</f>
        <v>0.13700000000000001</v>
      </c>
      <c r="CM214" s="74">
        <f t="shared" ref="CM214:CM221" si="392">AR214</f>
        <v>0.13700000000000001</v>
      </c>
      <c r="CN214" s="74">
        <f t="shared" ref="CN214:CN221" si="393">AW214</f>
        <v>0.13700000000000001</v>
      </c>
      <c r="CO214" s="74">
        <f t="shared" ref="CO214:CO221" si="394">BB214</f>
        <v>0.1</v>
      </c>
      <c r="CP214" s="74">
        <f t="shared" ref="CP214:CP221" si="395">BG214</f>
        <v>0.1</v>
      </c>
      <c r="CQ214" s="74">
        <f t="shared" ref="CQ214:CQ221" si="396">BL214</f>
        <v>0.1</v>
      </c>
      <c r="CR214" s="74">
        <f t="shared" ref="CR214:CR221" si="397">BQ214</f>
        <v>0.1</v>
      </c>
      <c r="CS214" s="74">
        <f t="shared" ref="CS214:CS221" si="398">BV214</f>
        <v>0.1</v>
      </c>
      <c r="CT214" s="141">
        <f t="shared" ref="CT214:CT221" si="399">CA214</f>
        <v>0.1</v>
      </c>
      <c r="CU214" s="6"/>
      <c r="DB214" s="636"/>
      <c r="DC214" s="636"/>
      <c r="DD214" s="1961"/>
      <c r="DE214" s="1961"/>
      <c r="DF214" s="1961"/>
      <c r="DG214" s="1961"/>
      <c r="DH214" s="1961"/>
      <c r="DI214" s="654"/>
    </row>
    <row r="215" spans="1:113" ht="12" customHeight="1" x14ac:dyDescent="0.25">
      <c r="A215" s="667" t="s">
        <v>197</v>
      </c>
      <c r="B215" s="560"/>
      <c r="C215" s="558"/>
      <c r="D215" s="646">
        <v>-4.9130000000000003</v>
      </c>
      <c r="E215" s="326"/>
      <c r="F215" s="150"/>
      <c r="G215" s="235"/>
      <c r="H215" s="647">
        <v>-4.1289999999999996</v>
      </c>
      <c r="I215" s="644">
        <f t="shared" si="374"/>
        <v>-4.1289999999999996</v>
      </c>
      <c r="J215" s="647">
        <v>-3.94</v>
      </c>
      <c r="K215" s="647">
        <v>-3.7509999999999999</v>
      </c>
      <c r="L215" s="647">
        <v>-3.5619999999999998</v>
      </c>
      <c r="M215" s="647">
        <v>-3.3730000000000002</v>
      </c>
      <c r="N215" s="644">
        <f t="shared" si="375"/>
        <v>-3.3730000000000002</v>
      </c>
      <c r="O215" s="647">
        <v>-3.1909999999999998</v>
      </c>
      <c r="P215" s="268">
        <v>-3.0089999999999999</v>
      </c>
      <c r="Q215" s="516">
        <v>-2.827</v>
      </c>
      <c r="R215" s="516">
        <f>-1.305</f>
        <v>-1.3049999999999999</v>
      </c>
      <c r="S215" s="644">
        <f t="shared" ref="S215:S221" si="400">R215</f>
        <v>-1.3049999999999999</v>
      </c>
      <c r="T215" s="647">
        <v>-1.2410000000000001</v>
      </c>
      <c r="U215" s="647">
        <v>-1.167</v>
      </c>
      <c r="V215" s="647">
        <v>-1.1040000000000001</v>
      </c>
      <c r="W215" s="647">
        <f>-0.988</f>
        <v>-0.98799999999999999</v>
      </c>
      <c r="X215" s="644">
        <f t="shared" ref="X215:X221" si="401">W215</f>
        <v>-0.98799999999999999</v>
      </c>
      <c r="Y215" s="647">
        <v>-0.91700000000000004</v>
      </c>
      <c r="Z215" s="647">
        <v>-0.83599999999999997</v>
      </c>
      <c r="AA215" s="647">
        <v>-0.77900000000000003</v>
      </c>
      <c r="AB215" s="647">
        <v>-0.69099999999999995</v>
      </c>
      <c r="AC215" s="644">
        <f t="shared" ref="AC215:AC221" si="402">AB215</f>
        <v>-0.69099999999999995</v>
      </c>
      <c r="AD215" s="516">
        <v>-0.64800000000000002</v>
      </c>
      <c r="AE215" s="647">
        <v>-0.59099999999999997</v>
      </c>
      <c r="AF215" s="647">
        <v>-0.54400000000000004</v>
      </c>
      <c r="AG215" s="647">
        <f>-0.483</f>
        <v>-0.48299999999999998</v>
      </c>
      <c r="AH215" s="644">
        <f t="shared" ref="AH215:AH221" si="403">AG215</f>
        <v>-0.48299999999999998</v>
      </c>
      <c r="AI215" s="517">
        <v>-0.442</v>
      </c>
      <c r="AJ215" s="516">
        <v>-0.40200000000000002</v>
      </c>
      <c r="AK215" s="516">
        <v>-0.371</v>
      </c>
      <c r="AL215" s="516">
        <v>-0.30599999999999999</v>
      </c>
      <c r="AM215" s="644">
        <f t="shared" ref="AM215:AM221" si="404">AL215</f>
        <v>-0.30599999999999999</v>
      </c>
      <c r="AN215" s="517">
        <v>-0.27</v>
      </c>
      <c r="AO215" s="516">
        <v>-0.23</v>
      </c>
      <c r="AP215" s="516">
        <v>-0.19700000000000001</v>
      </c>
      <c r="AQ215" s="516">
        <v>-0.161</v>
      </c>
      <c r="AR215" s="644">
        <f t="shared" si="376"/>
        <v>-0.161</v>
      </c>
      <c r="AS215" s="517">
        <v>-0.13500000000000001</v>
      </c>
      <c r="AT215" s="516">
        <v>-0.104</v>
      </c>
      <c r="AU215" s="516">
        <v>0</v>
      </c>
      <c r="AV215" s="518">
        <v>0</v>
      </c>
      <c r="AW215" s="644">
        <f t="shared" si="377"/>
        <v>0</v>
      </c>
      <c r="AX215" s="516">
        <v>0</v>
      </c>
      <c r="AY215" s="516">
        <v>0</v>
      </c>
      <c r="AZ215" s="516">
        <v>0</v>
      </c>
      <c r="BA215" s="518">
        <v>0</v>
      </c>
      <c r="BB215" s="645">
        <f t="shared" si="378"/>
        <v>0</v>
      </c>
      <c r="BC215" s="1882">
        <v>0</v>
      </c>
      <c r="BD215" s="1882">
        <v>0</v>
      </c>
      <c r="BE215" s="1944">
        <v>0</v>
      </c>
      <c r="BF215" s="1944">
        <v>0</v>
      </c>
      <c r="BG215" s="645">
        <f t="shared" si="379"/>
        <v>0</v>
      </c>
      <c r="BH215" s="126">
        <f>BG215+BH116</f>
        <v>0</v>
      </c>
      <c r="BI215" s="126">
        <f>BH215+BI116</f>
        <v>0</v>
      </c>
      <c r="BJ215" s="126">
        <f>BI215+BJ116</f>
        <v>0</v>
      </c>
      <c r="BK215" s="520">
        <f>BJ215+BK116</f>
        <v>0</v>
      </c>
      <c r="BL215" s="645">
        <f t="shared" si="380"/>
        <v>0</v>
      </c>
      <c r="BM215" s="126">
        <f>BL215+BM116</f>
        <v>0</v>
      </c>
      <c r="BN215" s="126">
        <f>BM215+BN116</f>
        <v>0</v>
      </c>
      <c r="BO215" s="126">
        <f>BN215+BO116</f>
        <v>0</v>
      </c>
      <c r="BP215" s="520">
        <f>BO215+BP116</f>
        <v>0</v>
      </c>
      <c r="BQ215" s="645">
        <f t="shared" si="381"/>
        <v>0</v>
      </c>
      <c r="BR215" s="126">
        <f>BQ215+BR116</f>
        <v>0</v>
      </c>
      <c r="BS215" s="126">
        <f>BR215+BS116</f>
        <v>0</v>
      </c>
      <c r="BT215" s="126">
        <f>BS215+BT116</f>
        <v>0</v>
      </c>
      <c r="BU215" s="520">
        <f>BT215+BU116</f>
        <v>0</v>
      </c>
      <c r="BV215" s="645">
        <f t="shared" si="382"/>
        <v>0</v>
      </c>
      <c r="BW215" s="126">
        <f>BV215+BW116</f>
        <v>0</v>
      </c>
      <c r="BX215" s="126">
        <f>BW215+BX116</f>
        <v>0</v>
      </c>
      <c r="BY215" s="126">
        <f>BX215+BY116</f>
        <v>0</v>
      </c>
      <c r="BZ215" s="520">
        <f>BY215+BZ116</f>
        <v>0</v>
      </c>
      <c r="CA215" s="645">
        <f t="shared" si="383"/>
        <v>0</v>
      </c>
      <c r="CB215" s="1910"/>
      <c r="CC215" s="490"/>
      <c r="CD215" s="667" t="str">
        <f t="shared" si="373"/>
        <v>Class A unearned common stock KSOP shares</v>
      </c>
      <c r="CE215" s="126">
        <f t="shared" si="384"/>
        <v>-4.9130000000000003</v>
      </c>
      <c r="CF215" s="126">
        <f t="shared" si="385"/>
        <v>-4.1289999999999996</v>
      </c>
      <c r="CG215" s="126">
        <f t="shared" si="386"/>
        <v>-3.3730000000000002</v>
      </c>
      <c r="CH215" s="126">
        <f t="shared" si="387"/>
        <v>-1.3049999999999999</v>
      </c>
      <c r="CI215" s="126">
        <f t="shared" si="388"/>
        <v>-0.98799999999999999</v>
      </c>
      <c r="CJ215" s="126">
        <f t="shared" si="389"/>
        <v>-0.69099999999999995</v>
      </c>
      <c r="CK215" s="126">
        <f t="shared" si="390"/>
        <v>-0.48299999999999998</v>
      </c>
      <c r="CL215" s="126">
        <f t="shared" si="391"/>
        <v>-0.30599999999999999</v>
      </c>
      <c r="CM215" s="126">
        <f t="shared" si="392"/>
        <v>-0.161</v>
      </c>
      <c r="CN215" s="126">
        <f t="shared" si="393"/>
        <v>0</v>
      </c>
      <c r="CO215" s="126">
        <f t="shared" si="394"/>
        <v>0</v>
      </c>
      <c r="CP215" s="126">
        <f t="shared" si="395"/>
        <v>0</v>
      </c>
      <c r="CQ215" s="126">
        <f t="shared" si="396"/>
        <v>0</v>
      </c>
      <c r="CR215" s="126">
        <f t="shared" si="397"/>
        <v>0</v>
      </c>
      <c r="CS215" s="126">
        <f t="shared" si="398"/>
        <v>0</v>
      </c>
      <c r="CT215" s="520">
        <f t="shared" si="399"/>
        <v>0</v>
      </c>
      <c r="CU215" s="6"/>
      <c r="DB215" s="636"/>
      <c r="DC215" s="636"/>
      <c r="DD215" s="1961"/>
      <c r="DE215" s="1961"/>
      <c r="DF215" s="1961"/>
      <c r="DG215" s="1961"/>
      <c r="DH215" s="1961"/>
      <c r="DI215" s="126"/>
    </row>
    <row r="216" spans="1:113" ht="12" customHeight="1" x14ac:dyDescent="0.25">
      <c r="A216" s="667" t="s">
        <v>198</v>
      </c>
      <c r="B216" s="517"/>
      <c r="C216" s="278"/>
      <c r="D216" s="646">
        <v>0.1</v>
      </c>
      <c r="E216" s="326"/>
      <c r="F216" s="516"/>
      <c r="G216" s="647"/>
      <c r="H216" s="647">
        <v>0.1</v>
      </c>
      <c r="I216" s="644">
        <f t="shared" si="374"/>
        <v>0.1</v>
      </c>
      <c r="J216" s="647">
        <v>0.1</v>
      </c>
      <c r="K216" s="647">
        <v>0.1</v>
      </c>
      <c r="L216" s="647">
        <v>0.1</v>
      </c>
      <c r="M216" s="647">
        <v>0.1</v>
      </c>
      <c r="N216" s="644">
        <f t="shared" si="375"/>
        <v>0.1</v>
      </c>
      <c r="O216" s="647">
        <v>0.1</v>
      </c>
      <c r="P216" s="516">
        <v>0.1</v>
      </c>
      <c r="Q216" s="516">
        <v>0.1</v>
      </c>
      <c r="R216" s="516">
        <f>0.05+0.05</f>
        <v>0.1</v>
      </c>
      <c r="S216" s="644">
        <f t="shared" si="400"/>
        <v>0.1</v>
      </c>
      <c r="T216" s="647">
        <f>0.05+0.05</f>
        <v>0.1</v>
      </c>
      <c r="U216" s="647">
        <f>0.05+0.05</f>
        <v>0.1</v>
      </c>
      <c r="V216" s="647">
        <f>0.05+0.05</f>
        <v>0.1</v>
      </c>
      <c r="W216" s="647">
        <f>0.047+0.049</f>
        <v>9.6000000000000002E-2</v>
      </c>
      <c r="X216" s="644">
        <f t="shared" si="401"/>
        <v>9.6000000000000002E-2</v>
      </c>
      <c r="Y216" s="647">
        <f>0.047+0.049</f>
        <v>9.6000000000000002E-2</v>
      </c>
      <c r="Z216" s="647">
        <v>4.9000000000000002E-2</v>
      </c>
      <c r="AA216" s="647">
        <v>0</v>
      </c>
      <c r="AB216" s="647">
        <v>0</v>
      </c>
      <c r="AC216" s="644">
        <f t="shared" si="402"/>
        <v>0</v>
      </c>
      <c r="AD216" s="516">
        <f>AC216</f>
        <v>0</v>
      </c>
      <c r="AE216" s="647">
        <v>0</v>
      </c>
      <c r="AF216" s="647">
        <v>0</v>
      </c>
      <c r="AG216" s="647">
        <v>0</v>
      </c>
      <c r="AH216" s="644">
        <f t="shared" si="403"/>
        <v>0</v>
      </c>
      <c r="AI216" s="517">
        <f>AH216</f>
        <v>0</v>
      </c>
      <c r="AJ216" s="516">
        <f>AI216</f>
        <v>0</v>
      </c>
      <c r="AK216" s="516">
        <v>0</v>
      </c>
      <c r="AL216" s="516">
        <f>AK216</f>
        <v>0</v>
      </c>
      <c r="AM216" s="644">
        <f t="shared" si="404"/>
        <v>0</v>
      </c>
      <c r="AN216" s="517">
        <f>AM216</f>
        <v>0</v>
      </c>
      <c r="AO216" s="516">
        <v>0</v>
      </c>
      <c r="AP216" s="516">
        <v>0</v>
      </c>
      <c r="AQ216" s="516">
        <v>0</v>
      </c>
      <c r="AR216" s="644">
        <f t="shared" si="376"/>
        <v>0</v>
      </c>
      <c r="AS216" s="517">
        <v>0</v>
      </c>
      <c r="AT216" s="516">
        <v>0</v>
      </c>
      <c r="AU216" s="516">
        <v>0</v>
      </c>
      <c r="AV216" s="518">
        <v>0</v>
      </c>
      <c r="AW216" s="644">
        <f t="shared" si="377"/>
        <v>0</v>
      </c>
      <c r="AX216" s="516">
        <v>0</v>
      </c>
      <c r="AY216" s="516">
        <f>AX216</f>
        <v>0</v>
      </c>
      <c r="AZ216" s="516">
        <v>0</v>
      </c>
      <c r="BA216" s="518">
        <v>0</v>
      </c>
      <c r="BB216" s="645">
        <f t="shared" si="378"/>
        <v>0</v>
      </c>
      <c r="BC216" s="1882">
        <v>0</v>
      </c>
      <c r="BD216" s="1882">
        <v>0</v>
      </c>
      <c r="BE216" s="1944">
        <v>0</v>
      </c>
      <c r="BF216" s="1944">
        <v>0</v>
      </c>
      <c r="BG216" s="645">
        <f t="shared" si="379"/>
        <v>0</v>
      </c>
      <c r="BH216" s="514">
        <f>BG216</f>
        <v>0</v>
      </c>
      <c r="BI216" s="514">
        <f>BH216</f>
        <v>0</v>
      </c>
      <c r="BJ216" s="514">
        <f>BI216</f>
        <v>0</v>
      </c>
      <c r="BK216" s="648">
        <f>BJ216</f>
        <v>0</v>
      </c>
      <c r="BL216" s="645">
        <f t="shared" si="380"/>
        <v>0</v>
      </c>
      <c r="BM216" s="514">
        <f t="shared" si="380"/>
        <v>0</v>
      </c>
      <c r="BN216" s="514">
        <f t="shared" si="380"/>
        <v>0</v>
      </c>
      <c r="BO216" s="514">
        <f t="shared" si="380"/>
        <v>0</v>
      </c>
      <c r="BP216" s="648">
        <f t="shared" si="380"/>
        <v>0</v>
      </c>
      <c r="BQ216" s="645">
        <f t="shared" si="381"/>
        <v>0</v>
      </c>
      <c r="BR216" s="514">
        <f>BQ216</f>
        <v>0</v>
      </c>
      <c r="BS216" s="514">
        <f>BR216</f>
        <v>0</v>
      </c>
      <c r="BT216" s="514">
        <f>BS216</f>
        <v>0</v>
      </c>
      <c r="BU216" s="648">
        <f>BT216</f>
        <v>0</v>
      </c>
      <c r="BV216" s="645">
        <f t="shared" si="382"/>
        <v>0</v>
      </c>
      <c r="BW216" s="514">
        <f>BV216</f>
        <v>0</v>
      </c>
      <c r="BX216" s="514">
        <f>BW216</f>
        <v>0</v>
      </c>
      <c r="BY216" s="514">
        <f>BX216</f>
        <v>0</v>
      </c>
      <c r="BZ216" s="648">
        <f>BY216</f>
        <v>0</v>
      </c>
      <c r="CA216" s="645">
        <f t="shared" si="383"/>
        <v>0</v>
      </c>
      <c r="CB216" s="1910"/>
      <c r="CC216" s="490"/>
      <c r="CD216" s="667" t="str">
        <f t="shared" si="373"/>
        <v>Common Stock Class B</v>
      </c>
      <c r="CE216" s="126">
        <f t="shared" si="384"/>
        <v>0.1</v>
      </c>
      <c r="CF216" s="126">
        <f t="shared" si="385"/>
        <v>0.1</v>
      </c>
      <c r="CG216" s="126">
        <f t="shared" si="386"/>
        <v>0.1</v>
      </c>
      <c r="CH216" s="126">
        <f t="shared" si="387"/>
        <v>0.1</v>
      </c>
      <c r="CI216" s="126">
        <f t="shared" si="388"/>
        <v>9.6000000000000002E-2</v>
      </c>
      <c r="CJ216" s="126">
        <f t="shared" si="389"/>
        <v>0</v>
      </c>
      <c r="CK216" s="126">
        <f t="shared" si="390"/>
        <v>0</v>
      </c>
      <c r="CL216" s="126">
        <f t="shared" si="391"/>
        <v>0</v>
      </c>
      <c r="CM216" s="126">
        <f t="shared" si="392"/>
        <v>0</v>
      </c>
      <c r="CN216" s="126">
        <f t="shared" si="393"/>
        <v>0</v>
      </c>
      <c r="CO216" s="126">
        <f t="shared" si="394"/>
        <v>0</v>
      </c>
      <c r="CP216" s="126">
        <f t="shared" si="395"/>
        <v>0</v>
      </c>
      <c r="CQ216" s="126">
        <f t="shared" si="396"/>
        <v>0</v>
      </c>
      <c r="CR216" s="126">
        <f t="shared" si="397"/>
        <v>0</v>
      </c>
      <c r="CS216" s="126">
        <f t="shared" si="398"/>
        <v>0</v>
      </c>
      <c r="CT216" s="520">
        <f t="shared" si="399"/>
        <v>0</v>
      </c>
      <c r="CU216" s="6"/>
      <c r="DB216" s="1961"/>
      <c r="DC216" s="628"/>
      <c r="DD216" s="1961"/>
      <c r="DE216" s="1961"/>
      <c r="DF216" s="1961"/>
      <c r="DG216" s="1961"/>
      <c r="DH216" s="1961"/>
      <c r="DI216" s="514"/>
    </row>
    <row r="217" spans="1:113" ht="12" customHeight="1" x14ac:dyDescent="0.25">
      <c r="A217" s="667" t="s">
        <v>199</v>
      </c>
      <c r="B217" s="517"/>
      <c r="C217" s="278"/>
      <c r="D217" s="646">
        <v>0</v>
      </c>
      <c r="E217" s="326"/>
      <c r="F217" s="516"/>
      <c r="G217" s="647"/>
      <c r="H217" s="647">
        <v>0</v>
      </c>
      <c r="I217" s="644">
        <f t="shared" si="374"/>
        <v>0</v>
      </c>
      <c r="J217" s="647">
        <v>21.271999999999998</v>
      </c>
      <c r="K217" s="647">
        <v>0</v>
      </c>
      <c r="L217" s="647">
        <v>0</v>
      </c>
      <c r="M217" s="647">
        <v>0</v>
      </c>
      <c r="N217" s="644">
        <f t="shared" si="375"/>
        <v>0</v>
      </c>
      <c r="O217" s="647">
        <v>0</v>
      </c>
      <c r="P217" s="268">
        <v>0</v>
      </c>
      <c r="Q217" s="516">
        <v>0</v>
      </c>
      <c r="R217" s="516">
        <v>652.57299999999998</v>
      </c>
      <c r="S217" s="644">
        <f t="shared" si="400"/>
        <v>652.57299999999998</v>
      </c>
      <c r="T217" s="647">
        <v>659.39200000000005</v>
      </c>
      <c r="U217" s="647">
        <v>690.63499999999999</v>
      </c>
      <c r="V217" s="647">
        <v>705.69799999999998</v>
      </c>
      <c r="W217" s="647">
        <v>754.70799999999997</v>
      </c>
      <c r="X217" s="644">
        <f t="shared" si="401"/>
        <v>754.70799999999997</v>
      </c>
      <c r="Y217" s="647">
        <v>766.52800000000002</v>
      </c>
      <c r="Z217" s="647">
        <v>807.85500000000002</v>
      </c>
      <c r="AA217" s="647">
        <v>837.47299999999996</v>
      </c>
      <c r="AB217" s="647">
        <v>874.80799999999999</v>
      </c>
      <c r="AC217" s="644">
        <f t="shared" si="402"/>
        <v>874.80799999999999</v>
      </c>
      <c r="AD217" s="516">
        <v>917.88400000000001</v>
      </c>
      <c r="AE217" s="647">
        <v>963.05200000000002</v>
      </c>
      <c r="AF217" s="647">
        <v>991.73900000000003</v>
      </c>
      <c r="AG217" s="647">
        <v>1044.7460000000001</v>
      </c>
      <c r="AH217" s="644">
        <f t="shared" si="403"/>
        <v>1044.7460000000001</v>
      </c>
      <c r="AI217" s="517">
        <v>1077.758</v>
      </c>
      <c r="AJ217" s="516">
        <v>1116.9480000000001</v>
      </c>
      <c r="AK217" s="516">
        <v>1156.175</v>
      </c>
      <c r="AL217" s="516">
        <v>1202.106</v>
      </c>
      <c r="AM217" s="644">
        <f t="shared" si="404"/>
        <v>1202.106</v>
      </c>
      <c r="AN217" s="517">
        <v>1224.1220000000001</v>
      </c>
      <c r="AO217" s="516">
        <v>1240.8620000000001</v>
      </c>
      <c r="AP217" s="516">
        <v>1256.5409999999999</v>
      </c>
      <c r="AQ217" s="516">
        <v>1171.1959999999999</v>
      </c>
      <c r="AR217" s="644">
        <f t="shared" si="376"/>
        <v>1171.1959999999999</v>
      </c>
      <c r="AS217" s="517">
        <v>1190.49</v>
      </c>
      <c r="AT217" s="516">
        <v>1971.27</v>
      </c>
      <c r="AU217" s="516">
        <v>1999.779</v>
      </c>
      <c r="AV217" s="518">
        <v>2023.39</v>
      </c>
      <c r="AW217" s="644">
        <f t="shared" si="377"/>
        <v>2023.39</v>
      </c>
      <c r="AX217" s="516">
        <v>2038.7470000000001</v>
      </c>
      <c r="AY217" s="516">
        <v>2071.4969999999998</v>
      </c>
      <c r="AZ217" s="516">
        <v>2100.989</v>
      </c>
      <c r="BA217" s="518">
        <v>2121.6</v>
      </c>
      <c r="BB217" s="645">
        <f t="shared" si="378"/>
        <v>2121.6</v>
      </c>
      <c r="BC217" s="1882">
        <v>2134.1</v>
      </c>
      <c r="BD217" s="1882">
        <v>2153.8000000000002</v>
      </c>
      <c r="BE217" s="1944">
        <v>2165.8000000000002</v>
      </c>
      <c r="BF217" s="1944">
        <v>2180.1</v>
      </c>
      <c r="BG217" s="645">
        <f t="shared" si="379"/>
        <v>2180.1</v>
      </c>
      <c r="BH217" s="126">
        <f>BG217+BH150+BH152+BH153+BH120+BH117</f>
        <v>2188.6223099999997</v>
      </c>
      <c r="BI217" s="126">
        <f>BH217+BI150+BI152+BI153+BI120+BI117</f>
        <v>2197.3625399999996</v>
      </c>
      <c r="BJ217" s="126">
        <f>BI217+BJ150+BJ152+BJ153+BJ120+BJ117</f>
        <v>2206.3359649999998</v>
      </c>
      <c r="BK217" s="520">
        <f>BJ217+BK150+BK152+BK153+BK120+BK117</f>
        <v>2215.4911999999999</v>
      </c>
      <c r="BL217" s="645">
        <f t="shared" si="380"/>
        <v>2215.4911999999999</v>
      </c>
      <c r="BM217" s="126">
        <f>BL217+BM150+BM152+BM153+BM120+BM117</f>
        <v>2224.4965151749998</v>
      </c>
      <c r="BN217" s="126">
        <f>BM217+BN150+BN152+BN153+BN120+BN117</f>
        <v>2233.7402226499999</v>
      </c>
      <c r="BO217" s="126">
        <f>BN217+BO150+BO152+BO153+BO120+BO117</f>
        <v>2243.23298170625</v>
      </c>
      <c r="BP217" s="520">
        <f>BO217+BP150+BP152+BP153+BP120+BP117</f>
        <v>2252.9260624062499</v>
      </c>
      <c r="BQ217" s="645">
        <f t="shared" si="381"/>
        <v>2252.9260624062499</v>
      </c>
      <c r="BR217" s="126">
        <f>BQ217+BR150+BR152+BR153+BR120+BR117</f>
        <v>2262.4361140430001</v>
      </c>
      <c r="BS217" s="126">
        <f>BR217+BS150+BS152+BS153+BS120+BS117</f>
        <v>2272.1986666707503</v>
      </c>
      <c r="BT217" s="126">
        <f>BS217+BT150+BT152+BT153+BT120+BT117</f>
        <v>2282.225780606188</v>
      </c>
      <c r="BU217" s="520">
        <f>BT217+BU150+BU152+BU153+BU120+BU117</f>
        <v>2292.4639260441882</v>
      </c>
      <c r="BV217" s="645">
        <f t="shared" si="382"/>
        <v>2292.4639260441882</v>
      </c>
      <c r="BW217" s="126">
        <f>BV217+BW150+BW152+BW153+BW120+BW117</f>
        <v>2302.5082564895156</v>
      </c>
      <c r="BX217" s="126">
        <f>BW217+BX150+BX152+BX153+BX120+BX117</f>
        <v>2312.820079182613</v>
      </c>
      <c r="BY217" s="126">
        <f>BX217+BY150+BY152+BY153+BY120+BY117</f>
        <v>2323.4129558967261</v>
      </c>
      <c r="BZ217" s="520">
        <f>BY217+BZ150+BZ152+BZ153+BZ120+BZ117</f>
        <v>2334.2281792900462</v>
      </c>
      <c r="CA217" s="645">
        <f t="shared" si="383"/>
        <v>2334.2281792900462</v>
      </c>
      <c r="CB217" s="1910"/>
      <c r="CC217" s="490"/>
      <c r="CD217" s="667" t="str">
        <f t="shared" si="373"/>
        <v>Additional Paid in Capital</v>
      </c>
      <c r="CE217" s="126">
        <f t="shared" si="384"/>
        <v>0</v>
      </c>
      <c r="CF217" s="126">
        <f t="shared" si="385"/>
        <v>0</v>
      </c>
      <c r="CG217" s="126">
        <f t="shared" si="386"/>
        <v>0</v>
      </c>
      <c r="CH217" s="126">
        <f t="shared" si="387"/>
        <v>652.57299999999998</v>
      </c>
      <c r="CI217" s="126">
        <f t="shared" si="388"/>
        <v>754.70799999999997</v>
      </c>
      <c r="CJ217" s="126">
        <f t="shared" si="389"/>
        <v>874.80799999999999</v>
      </c>
      <c r="CK217" s="126">
        <f t="shared" si="390"/>
        <v>1044.7460000000001</v>
      </c>
      <c r="CL217" s="126">
        <f t="shared" si="391"/>
        <v>1202.106</v>
      </c>
      <c r="CM217" s="126">
        <f t="shared" si="392"/>
        <v>1171.1959999999999</v>
      </c>
      <c r="CN217" s="126">
        <f t="shared" si="393"/>
        <v>2023.39</v>
      </c>
      <c r="CO217" s="126">
        <f t="shared" si="394"/>
        <v>2121.6</v>
      </c>
      <c r="CP217" s="126">
        <f t="shared" si="395"/>
        <v>2180.1</v>
      </c>
      <c r="CQ217" s="126">
        <f t="shared" si="396"/>
        <v>2215.4911999999999</v>
      </c>
      <c r="CR217" s="126">
        <f t="shared" si="397"/>
        <v>2252.9260624062499</v>
      </c>
      <c r="CS217" s="126">
        <f t="shared" si="398"/>
        <v>2292.4639260441882</v>
      </c>
      <c r="CT217" s="520">
        <f t="shared" si="399"/>
        <v>2334.2281792900462</v>
      </c>
      <c r="CU217" s="6"/>
      <c r="DB217" s="1961"/>
      <c r="DC217" s="628">
        <v>722</v>
      </c>
      <c r="DD217" s="1961"/>
      <c r="DE217" s="1961"/>
      <c r="DF217" s="1961"/>
      <c r="DG217" s="1961"/>
      <c r="DH217" s="1961"/>
      <c r="DI217" s="126"/>
    </row>
    <row r="218" spans="1:113" ht="12" customHeight="1" x14ac:dyDescent="0.25">
      <c r="A218" s="218" t="s">
        <v>170</v>
      </c>
      <c r="B218" s="668"/>
      <c r="C218" s="278"/>
      <c r="D218" s="646">
        <v>-52.203000000000003</v>
      </c>
      <c r="E218" s="326"/>
      <c r="F218" s="516"/>
      <c r="G218" s="647"/>
      <c r="H218" s="647">
        <v>-42.625</v>
      </c>
      <c r="I218" s="644">
        <f t="shared" si="374"/>
        <v>-42.625</v>
      </c>
      <c r="J218" s="647">
        <v>-50.795000000000002</v>
      </c>
      <c r="K218" s="647">
        <v>-48.593000000000004</v>
      </c>
      <c r="L218" s="647">
        <v>-0.23200000000000001</v>
      </c>
      <c r="M218" s="647">
        <v>0</v>
      </c>
      <c r="N218" s="644">
        <f t="shared" si="375"/>
        <v>0</v>
      </c>
      <c r="O218" s="647">
        <v>0</v>
      </c>
      <c r="P218" s="268">
        <v>0</v>
      </c>
      <c r="Q218" s="516">
        <v>0</v>
      </c>
      <c r="R218" s="516">
        <f>Q218</f>
        <v>0</v>
      </c>
      <c r="S218" s="644">
        <f t="shared" si="400"/>
        <v>0</v>
      </c>
      <c r="T218" s="647">
        <v>0</v>
      </c>
      <c r="U218" s="647">
        <v>0</v>
      </c>
      <c r="V218" s="647">
        <v>0</v>
      </c>
      <c r="W218" s="647">
        <v>0</v>
      </c>
      <c r="X218" s="510">
        <f t="shared" si="401"/>
        <v>0</v>
      </c>
      <c r="Y218" s="647">
        <v>0</v>
      </c>
      <c r="Z218" s="647">
        <v>0</v>
      </c>
      <c r="AA218" s="647">
        <v>0</v>
      </c>
      <c r="AB218" s="647">
        <v>0</v>
      </c>
      <c r="AC218" s="510">
        <f t="shared" si="402"/>
        <v>0</v>
      </c>
      <c r="AD218" s="516">
        <v>0</v>
      </c>
      <c r="AE218" s="647">
        <v>0</v>
      </c>
      <c r="AF218" s="647">
        <v>0</v>
      </c>
      <c r="AG218" s="647">
        <v>0</v>
      </c>
      <c r="AH218" s="510">
        <f t="shared" si="403"/>
        <v>0</v>
      </c>
      <c r="AI218" s="517">
        <v>0</v>
      </c>
      <c r="AJ218" s="516">
        <v>0</v>
      </c>
      <c r="AK218" s="516">
        <v>0</v>
      </c>
      <c r="AL218" s="516">
        <f>AK218</f>
        <v>0</v>
      </c>
      <c r="AM218" s="510">
        <f t="shared" si="404"/>
        <v>0</v>
      </c>
      <c r="AN218" s="517">
        <f>AM218</f>
        <v>0</v>
      </c>
      <c r="AO218" s="516">
        <v>0</v>
      </c>
      <c r="AP218" s="516">
        <v>0</v>
      </c>
      <c r="AQ218" s="516">
        <v>0</v>
      </c>
      <c r="AR218" s="510">
        <f t="shared" si="376"/>
        <v>0</v>
      </c>
      <c r="AS218" s="517">
        <v>0</v>
      </c>
      <c r="AT218" s="516">
        <v>0</v>
      </c>
      <c r="AU218" s="516">
        <v>0</v>
      </c>
      <c r="AV218" s="518">
        <f>AU218</f>
        <v>0</v>
      </c>
      <c r="AW218" s="510">
        <f t="shared" si="377"/>
        <v>0</v>
      </c>
      <c r="AX218" s="516">
        <v>0</v>
      </c>
      <c r="AY218" s="516">
        <f>AX218</f>
        <v>0</v>
      </c>
      <c r="AZ218" s="516">
        <v>0</v>
      </c>
      <c r="BA218" s="516">
        <v>0</v>
      </c>
      <c r="BB218" s="510">
        <f t="shared" si="378"/>
        <v>0</v>
      </c>
      <c r="BC218" s="1882">
        <v>0</v>
      </c>
      <c r="BD218" s="1882">
        <v>0</v>
      </c>
      <c r="BE218" s="1944">
        <v>0</v>
      </c>
      <c r="BF218" s="1944">
        <v>0</v>
      </c>
      <c r="BG218" s="510">
        <f t="shared" si="379"/>
        <v>0</v>
      </c>
      <c r="BH218" s="514">
        <f>BG218</f>
        <v>0</v>
      </c>
      <c r="BI218" s="514">
        <f>BH218</f>
        <v>0</v>
      </c>
      <c r="BJ218" s="514">
        <f>BI218</f>
        <v>0</v>
      </c>
      <c r="BK218" s="648">
        <f>BJ218</f>
        <v>0</v>
      </c>
      <c r="BL218" s="510">
        <f t="shared" si="380"/>
        <v>0</v>
      </c>
      <c r="BM218" s="514">
        <f t="shared" si="380"/>
        <v>0</v>
      </c>
      <c r="BN218" s="514">
        <f t="shared" si="380"/>
        <v>0</v>
      </c>
      <c r="BO218" s="514">
        <f t="shared" si="380"/>
        <v>0</v>
      </c>
      <c r="BP218" s="648">
        <f t="shared" si="380"/>
        <v>0</v>
      </c>
      <c r="BQ218" s="510">
        <f t="shared" si="381"/>
        <v>0</v>
      </c>
      <c r="BR218" s="514">
        <f>BQ218</f>
        <v>0</v>
      </c>
      <c r="BS218" s="514">
        <f>BR218</f>
        <v>0</v>
      </c>
      <c r="BT218" s="514">
        <f>BS218</f>
        <v>0</v>
      </c>
      <c r="BU218" s="648">
        <f>BT218</f>
        <v>0</v>
      </c>
      <c r="BV218" s="510">
        <f t="shared" si="382"/>
        <v>0</v>
      </c>
      <c r="BW218" s="514">
        <f>BV218</f>
        <v>0</v>
      </c>
      <c r="BX218" s="514">
        <f>BW218</f>
        <v>0</v>
      </c>
      <c r="BY218" s="514">
        <f>BX218</f>
        <v>0</v>
      </c>
      <c r="BZ218" s="648">
        <f>BY218</f>
        <v>0</v>
      </c>
      <c r="CA218" s="510">
        <f t="shared" si="383"/>
        <v>0</v>
      </c>
      <c r="CB218" s="1910"/>
      <c r="CC218" s="490"/>
      <c r="CD218" s="218" t="str">
        <f t="shared" si="373"/>
        <v>Notes Receivable From Stockholders</v>
      </c>
      <c r="CE218" s="126">
        <f t="shared" si="384"/>
        <v>-52.203000000000003</v>
      </c>
      <c r="CF218" s="126">
        <f t="shared" si="385"/>
        <v>-42.625</v>
      </c>
      <c r="CG218" s="126">
        <f t="shared" si="386"/>
        <v>0</v>
      </c>
      <c r="CH218" s="126">
        <f t="shared" si="387"/>
        <v>0</v>
      </c>
      <c r="CI218" s="126">
        <f t="shared" si="388"/>
        <v>0</v>
      </c>
      <c r="CJ218" s="126">
        <f t="shared" si="389"/>
        <v>0</v>
      </c>
      <c r="CK218" s="126">
        <f t="shared" si="390"/>
        <v>0</v>
      </c>
      <c r="CL218" s="126">
        <f t="shared" si="391"/>
        <v>0</v>
      </c>
      <c r="CM218" s="126">
        <f t="shared" si="392"/>
        <v>0</v>
      </c>
      <c r="CN218" s="126">
        <f t="shared" si="393"/>
        <v>0</v>
      </c>
      <c r="CO218" s="126">
        <f t="shared" si="394"/>
        <v>0</v>
      </c>
      <c r="CP218" s="126">
        <f t="shared" si="395"/>
        <v>0</v>
      </c>
      <c r="CQ218" s="126">
        <f t="shared" si="396"/>
        <v>0</v>
      </c>
      <c r="CR218" s="126">
        <f t="shared" si="397"/>
        <v>0</v>
      </c>
      <c r="CS218" s="126">
        <f t="shared" si="398"/>
        <v>0</v>
      </c>
      <c r="CT218" s="520">
        <f t="shared" si="399"/>
        <v>0</v>
      </c>
      <c r="CU218" s="6"/>
      <c r="DB218" s="1961"/>
      <c r="DC218" s="628"/>
      <c r="DD218" s="1961"/>
      <c r="DE218" s="1961"/>
      <c r="DF218" s="1961"/>
      <c r="DG218" s="1961"/>
      <c r="DH218" s="1961"/>
      <c r="DI218" s="514"/>
    </row>
    <row r="219" spans="1:113" ht="12" customHeight="1" x14ac:dyDescent="0.25">
      <c r="A219" s="218" t="s">
        <v>200</v>
      </c>
      <c r="B219" s="668"/>
      <c r="C219" s="278"/>
      <c r="D219" s="646">
        <v>-642.88300000000004</v>
      </c>
      <c r="E219" s="326"/>
      <c r="F219" s="516"/>
      <c r="G219" s="647"/>
      <c r="H219" s="647">
        <v>-678.99300000000005</v>
      </c>
      <c r="I219" s="644">
        <f t="shared" si="374"/>
        <v>-678.99300000000005</v>
      </c>
      <c r="J219" s="647">
        <v>-683.99400000000003</v>
      </c>
      <c r="K219" s="647">
        <v>-683.99400000000003</v>
      </c>
      <c r="L219" s="647">
        <v>-683.99400000000003</v>
      </c>
      <c r="M219" s="647">
        <v>-683.99400000000003</v>
      </c>
      <c r="N219" s="644">
        <f t="shared" si="375"/>
        <v>-683.99400000000003</v>
      </c>
      <c r="O219" s="647">
        <v>-683.99400000000003</v>
      </c>
      <c r="P219" s="268">
        <v>-683.99400000000003</v>
      </c>
      <c r="Q219" s="516">
        <v>-683.99400000000003</v>
      </c>
      <c r="R219" s="516">
        <v>-683.99400000000003</v>
      </c>
      <c r="S219" s="644">
        <f t="shared" si="400"/>
        <v>-683.99400000000003</v>
      </c>
      <c r="T219" s="647">
        <v>-683.99400000000003</v>
      </c>
      <c r="U219" s="647">
        <v>-748.89499999999998</v>
      </c>
      <c r="V219" s="647">
        <v>-819.56399999999996</v>
      </c>
      <c r="W219" s="647">
        <f>-1106.321</f>
        <v>-1106.3209999999999</v>
      </c>
      <c r="X219" s="644">
        <f t="shared" si="401"/>
        <v>-1106.3209999999999</v>
      </c>
      <c r="Y219" s="647">
        <f>-1179.704</f>
        <v>-1179.704</v>
      </c>
      <c r="Z219" s="647">
        <v>-1323.3679999999999</v>
      </c>
      <c r="AA219" s="647">
        <v>-1438.3150000000001</v>
      </c>
      <c r="AB219" s="647">
        <v>-1471.0419999999999</v>
      </c>
      <c r="AC219" s="644">
        <f t="shared" si="402"/>
        <v>-1471.0419999999999</v>
      </c>
      <c r="AD219" s="516">
        <v>-1501.414</v>
      </c>
      <c r="AE219" s="647">
        <v>-1563.079</v>
      </c>
      <c r="AF219" s="647">
        <v>-1579.8589999999999</v>
      </c>
      <c r="AG219" s="647">
        <v>-1605.376</v>
      </c>
      <c r="AH219" s="644">
        <f t="shared" si="403"/>
        <v>-1605.376</v>
      </c>
      <c r="AI219" s="517">
        <v>-1622.24</v>
      </c>
      <c r="AJ219" s="516">
        <v>-1733.2829999999999</v>
      </c>
      <c r="AK219" s="516">
        <v>-1753.231</v>
      </c>
      <c r="AL219" s="516">
        <v>-1864.9670000000001</v>
      </c>
      <c r="AM219" s="644">
        <f t="shared" si="404"/>
        <v>-1864.9670000000001</v>
      </c>
      <c r="AN219" s="517">
        <v>-1951.306</v>
      </c>
      <c r="AO219" s="516">
        <v>-1979.8710000000001</v>
      </c>
      <c r="AP219" s="516">
        <v>-2044.415</v>
      </c>
      <c r="AQ219" s="516">
        <v>-2533.7640000000001</v>
      </c>
      <c r="AR219" s="644">
        <f t="shared" si="376"/>
        <v>-2533.7640000000001</v>
      </c>
      <c r="AS219" s="517">
        <v>-2531.547</v>
      </c>
      <c r="AT219" s="516">
        <v>-2559.2629999999999</v>
      </c>
      <c r="AU219" s="516">
        <v>-2554.8319999999999</v>
      </c>
      <c r="AV219" s="518">
        <v>-2571.19</v>
      </c>
      <c r="AW219" s="644">
        <f t="shared" si="377"/>
        <v>-2571.19</v>
      </c>
      <c r="AX219" s="516">
        <v>-2686.0070000000001</v>
      </c>
      <c r="AY219" s="516">
        <v>-2680.7280000000001</v>
      </c>
      <c r="AZ219" s="516">
        <v>-2750.44</v>
      </c>
      <c r="BA219" s="518">
        <v>-2891.4</v>
      </c>
      <c r="BB219" s="645">
        <f t="shared" si="378"/>
        <v>-2891.4</v>
      </c>
      <c r="BC219" s="1882">
        <v>-2993.4</v>
      </c>
      <c r="BD219" s="1882">
        <v>-3144.3</v>
      </c>
      <c r="BE219" s="1944">
        <v>-3153.4</v>
      </c>
      <c r="BF219" s="1944">
        <v>-3150.5</v>
      </c>
      <c r="BG219" s="645">
        <f t="shared" si="379"/>
        <v>-3150.5</v>
      </c>
      <c r="BH219" s="126">
        <f>BG219+BH151</f>
        <v>-3281.75</v>
      </c>
      <c r="BI219" s="126">
        <f>BH219+BI151</f>
        <v>-3413</v>
      </c>
      <c r="BJ219" s="126">
        <f>BI219+BJ151</f>
        <v>-3544.25</v>
      </c>
      <c r="BK219" s="520">
        <f>BJ219+BK151</f>
        <v>-3675.5</v>
      </c>
      <c r="BL219" s="645">
        <f t="shared" si="380"/>
        <v>-3675.5</v>
      </c>
      <c r="BM219" s="126">
        <f>BL219+BM151</f>
        <v>-3850.5</v>
      </c>
      <c r="BN219" s="126">
        <f>BM219+BN151</f>
        <v>-4025.5</v>
      </c>
      <c r="BO219" s="126">
        <f>BN219+BO151</f>
        <v>-4200.5</v>
      </c>
      <c r="BP219" s="520">
        <f>BO219+BP151</f>
        <v>-4375.5</v>
      </c>
      <c r="BQ219" s="645">
        <f t="shared" si="381"/>
        <v>-4375.5</v>
      </c>
      <c r="BR219" s="126">
        <f>BQ219+BR151</f>
        <v>-4575.5</v>
      </c>
      <c r="BS219" s="126">
        <f>BR219+BS151</f>
        <v>-4775.5</v>
      </c>
      <c r="BT219" s="126">
        <f>BS219+BT151</f>
        <v>-4975.5</v>
      </c>
      <c r="BU219" s="520">
        <f>BT219+BU151</f>
        <v>-5175.5</v>
      </c>
      <c r="BV219" s="645">
        <f t="shared" si="382"/>
        <v>-5175.5</v>
      </c>
      <c r="BW219" s="126">
        <f>BV219+BW151</f>
        <v>-5375.5</v>
      </c>
      <c r="BX219" s="126">
        <f>BW219+BX151</f>
        <v>-5575.5</v>
      </c>
      <c r="BY219" s="126">
        <f>BX219+BY151</f>
        <v>-5775.5</v>
      </c>
      <c r="BZ219" s="520">
        <f>BY219+BZ151</f>
        <v>-5975.5</v>
      </c>
      <c r="CA219" s="645">
        <f t="shared" si="383"/>
        <v>-5975.5</v>
      </c>
      <c r="CB219" s="1910"/>
      <c r="CC219" s="490"/>
      <c r="CD219" s="218" t="str">
        <f t="shared" si="373"/>
        <v>Treasury Stock</v>
      </c>
      <c r="CE219" s="126">
        <f t="shared" si="384"/>
        <v>-642.88300000000004</v>
      </c>
      <c r="CF219" s="126">
        <f t="shared" si="385"/>
        <v>-678.99300000000005</v>
      </c>
      <c r="CG219" s="126">
        <f t="shared" si="386"/>
        <v>-683.99400000000003</v>
      </c>
      <c r="CH219" s="126">
        <f t="shared" si="387"/>
        <v>-683.99400000000003</v>
      </c>
      <c r="CI219" s="126">
        <f t="shared" si="388"/>
        <v>-1106.3209999999999</v>
      </c>
      <c r="CJ219" s="126">
        <f t="shared" si="389"/>
        <v>-1471.0419999999999</v>
      </c>
      <c r="CK219" s="126">
        <f t="shared" si="390"/>
        <v>-1605.376</v>
      </c>
      <c r="CL219" s="126">
        <f t="shared" si="391"/>
        <v>-1864.9670000000001</v>
      </c>
      <c r="CM219" s="126">
        <f t="shared" si="392"/>
        <v>-2533.7640000000001</v>
      </c>
      <c r="CN219" s="126">
        <f t="shared" si="393"/>
        <v>-2571.19</v>
      </c>
      <c r="CO219" s="126">
        <f t="shared" si="394"/>
        <v>-2891.4</v>
      </c>
      <c r="CP219" s="126">
        <f t="shared" si="395"/>
        <v>-3150.5</v>
      </c>
      <c r="CQ219" s="126">
        <f t="shared" si="396"/>
        <v>-3675.5</v>
      </c>
      <c r="CR219" s="126">
        <f t="shared" si="397"/>
        <v>-4375.5</v>
      </c>
      <c r="CS219" s="126">
        <f t="shared" si="398"/>
        <v>-5175.5</v>
      </c>
      <c r="CT219" s="520">
        <f t="shared" si="399"/>
        <v>-5975.5</v>
      </c>
      <c r="CU219" s="6"/>
      <c r="DB219" s="669"/>
      <c r="DC219" s="628"/>
      <c r="DD219" s="1961"/>
      <c r="DE219" s="1961"/>
      <c r="DF219" s="1961"/>
      <c r="DG219" s="1961"/>
      <c r="DH219" s="1961"/>
      <c r="DI219" s="126"/>
    </row>
    <row r="220" spans="1:113" ht="12" customHeight="1" x14ac:dyDescent="0.25">
      <c r="A220" s="218" t="s">
        <v>201</v>
      </c>
      <c r="B220" s="670"/>
      <c r="C220" s="265"/>
      <c r="D220" s="646">
        <v>-457.55700000000002</v>
      </c>
      <c r="E220" s="326"/>
      <c r="F220" s="268"/>
      <c r="G220" s="647"/>
      <c r="H220" s="647">
        <v>-515.75599999999997</v>
      </c>
      <c r="I220" s="644">
        <f t="shared" si="374"/>
        <v>-515.75599999999997</v>
      </c>
      <c r="J220" s="647">
        <v>-503.18099999999998</v>
      </c>
      <c r="K220" s="647">
        <v>-465.13799999999998</v>
      </c>
      <c r="L220" s="647">
        <v>-400.96499999999997</v>
      </c>
      <c r="M220" s="647">
        <v>-243.495</v>
      </c>
      <c r="N220" s="644">
        <f t="shared" si="375"/>
        <v>-243.495</v>
      </c>
      <c r="O220" s="647">
        <v>-225.875</v>
      </c>
      <c r="P220" s="268">
        <v>-265.46499999999997</v>
      </c>
      <c r="Q220" s="268">
        <v>-439.06200000000001</v>
      </c>
      <c r="R220" s="268">
        <v>51.274999999999999</v>
      </c>
      <c r="S220" s="644">
        <f t="shared" si="400"/>
        <v>51.274999999999999</v>
      </c>
      <c r="T220" s="647">
        <v>106.65</v>
      </c>
      <c r="U220" s="647">
        <v>165.054</v>
      </c>
      <c r="V220" s="647">
        <v>227.934</v>
      </c>
      <c r="W220" s="647">
        <v>293.827</v>
      </c>
      <c r="X220" s="644">
        <f t="shared" si="401"/>
        <v>293.827</v>
      </c>
      <c r="Y220" s="647">
        <v>359.70299999999997</v>
      </c>
      <c r="Z220" s="647">
        <v>425.28</v>
      </c>
      <c r="AA220" s="647">
        <v>496.267</v>
      </c>
      <c r="AB220" s="647">
        <v>576.58500000000004</v>
      </c>
      <c r="AC220" s="644">
        <f t="shared" si="402"/>
        <v>576.58500000000004</v>
      </c>
      <c r="AD220" s="268">
        <v>651.18600000000004</v>
      </c>
      <c r="AE220" s="647">
        <v>724.51700000000005</v>
      </c>
      <c r="AF220" s="647">
        <v>807.428</v>
      </c>
      <c r="AG220" s="647">
        <v>905.72699999999998</v>
      </c>
      <c r="AH220" s="644">
        <f t="shared" si="403"/>
        <v>905.72699999999998</v>
      </c>
      <c r="AI220" s="333">
        <v>986.23800000000006</v>
      </c>
      <c r="AJ220" s="268">
        <v>1070.443</v>
      </c>
      <c r="AK220" s="268">
        <v>1166.884</v>
      </c>
      <c r="AL220" s="268">
        <v>1254.107</v>
      </c>
      <c r="AM220" s="644">
        <f t="shared" si="404"/>
        <v>1254.107</v>
      </c>
      <c r="AN220" s="333">
        <v>1369.665</v>
      </c>
      <c r="AO220" s="268">
        <v>1457.7639999999999</v>
      </c>
      <c r="AP220" s="268">
        <v>1556.779</v>
      </c>
      <c r="AQ220" s="268">
        <v>1654.1489999999999</v>
      </c>
      <c r="AR220" s="644">
        <f t="shared" si="376"/>
        <v>1654.1489999999999</v>
      </c>
      <c r="AS220" s="333">
        <v>1752.835</v>
      </c>
      <c r="AT220" s="268">
        <v>1916.155</v>
      </c>
      <c r="AU220" s="268">
        <v>2047.9690000000001</v>
      </c>
      <c r="AV220" s="332">
        <v>2161.7260000000001</v>
      </c>
      <c r="AW220" s="644">
        <f t="shared" si="377"/>
        <v>2161.7260000000001</v>
      </c>
      <c r="AX220" s="268">
        <v>2254.3649999999998</v>
      </c>
      <c r="AY220" s="268">
        <v>2516.1010000000001</v>
      </c>
      <c r="AZ220" s="268">
        <v>2643.6779999999999</v>
      </c>
      <c r="BA220" s="332">
        <v>2752.9</v>
      </c>
      <c r="BB220" s="645">
        <f t="shared" si="378"/>
        <v>2752.9</v>
      </c>
      <c r="BC220" s="1892">
        <v>2861.7</v>
      </c>
      <c r="BD220" s="1892">
        <v>2982.7</v>
      </c>
      <c r="BE220" s="1943">
        <v>3103.4</v>
      </c>
      <c r="BF220" s="1943">
        <v>3308</v>
      </c>
      <c r="BG220" s="645">
        <f t="shared" si="379"/>
        <v>3308</v>
      </c>
      <c r="BH220" s="275">
        <f>BG220+BH113+BH154</f>
        <v>3437.4224452422559</v>
      </c>
      <c r="BI220" s="275">
        <f>BH220+BI113+BI154</f>
        <v>3573.9690271549471</v>
      </c>
      <c r="BJ220" s="275">
        <f>BI220+BJ113+BJ154</f>
        <v>3723.9542551272034</v>
      </c>
      <c r="BK220" s="515">
        <f>BJ220+BK113+BK154</f>
        <v>3873.6612766805356</v>
      </c>
      <c r="BL220" s="645">
        <f t="shared" si="380"/>
        <v>3873.6612766805356</v>
      </c>
      <c r="BM220" s="275">
        <f>BL220+BM113+BM154</f>
        <v>4017.3305359377682</v>
      </c>
      <c r="BN220" s="275">
        <f>BM220+BN113+BN154</f>
        <v>4168.533012993973</v>
      </c>
      <c r="BO220" s="275">
        <f>BN220+BO113+BO154</f>
        <v>4333.8878726255225</v>
      </c>
      <c r="BP220" s="515">
        <f>BO220+BP113+BP154</f>
        <v>4498.986858453266</v>
      </c>
      <c r="BQ220" s="645">
        <f t="shared" si="381"/>
        <v>4498.986858453266</v>
      </c>
      <c r="BR220" s="275">
        <f>BQ220+BR113+BR154</f>
        <v>4657.1558113669325</v>
      </c>
      <c r="BS220" s="275">
        <f>BR220+BS113+BS154</f>
        <v>4823.2690299026526</v>
      </c>
      <c r="BT220" s="275">
        <f>BS220+BT113+BT154</f>
        <v>5004.3871946279269</v>
      </c>
      <c r="BU220" s="515">
        <f>BT220+BU113+BU154</f>
        <v>5185.2253714710814</v>
      </c>
      <c r="BV220" s="645">
        <f t="shared" si="382"/>
        <v>5185.2253714710814</v>
      </c>
      <c r="BW220" s="275">
        <f>BV220+BW113+BW154</f>
        <v>5359.7649480063546</v>
      </c>
      <c r="BX220" s="275">
        <f>BW220+BX113+BX154</f>
        <v>5542.8461415349884</v>
      </c>
      <c r="BY220" s="275">
        <f>BX220+BY113+BY154</f>
        <v>5742.0035295395046</v>
      </c>
      <c r="BZ220" s="515">
        <f>BY220+BZ113+BZ154</f>
        <v>5941.0197290502265</v>
      </c>
      <c r="CA220" s="645">
        <f t="shared" si="383"/>
        <v>5941.0197290502265</v>
      </c>
      <c r="CB220" s="1910"/>
      <c r="CC220" s="490"/>
      <c r="CD220" s="218" t="str">
        <f t="shared" si="373"/>
        <v xml:space="preserve">Retained Earnings </v>
      </c>
      <c r="CE220" s="275">
        <f t="shared" si="384"/>
        <v>-457.55700000000002</v>
      </c>
      <c r="CF220" s="275">
        <f t="shared" si="385"/>
        <v>-515.75599999999997</v>
      </c>
      <c r="CG220" s="275">
        <f t="shared" si="386"/>
        <v>-243.495</v>
      </c>
      <c r="CH220" s="275">
        <f t="shared" si="387"/>
        <v>51.274999999999999</v>
      </c>
      <c r="CI220" s="275">
        <f t="shared" si="388"/>
        <v>293.827</v>
      </c>
      <c r="CJ220" s="275">
        <f t="shared" si="389"/>
        <v>576.58500000000004</v>
      </c>
      <c r="CK220" s="275">
        <f t="shared" si="390"/>
        <v>905.72699999999998</v>
      </c>
      <c r="CL220" s="275">
        <f t="shared" si="391"/>
        <v>1254.107</v>
      </c>
      <c r="CM220" s="275">
        <f t="shared" si="392"/>
        <v>1654.1489999999999</v>
      </c>
      <c r="CN220" s="275">
        <f t="shared" si="393"/>
        <v>2161.7260000000001</v>
      </c>
      <c r="CO220" s="275">
        <f t="shared" si="394"/>
        <v>2752.9</v>
      </c>
      <c r="CP220" s="275">
        <f t="shared" si="395"/>
        <v>3308</v>
      </c>
      <c r="CQ220" s="275">
        <f t="shared" si="396"/>
        <v>3873.6612766805356</v>
      </c>
      <c r="CR220" s="275">
        <f t="shared" si="397"/>
        <v>4498.986858453266</v>
      </c>
      <c r="CS220" s="275">
        <f t="shared" si="398"/>
        <v>5185.2253714710814</v>
      </c>
      <c r="CT220" s="515">
        <f t="shared" si="399"/>
        <v>5941.0197290502265</v>
      </c>
      <c r="CU220" s="6"/>
      <c r="DB220" s="1961"/>
      <c r="DC220" s="628"/>
      <c r="DD220" s="1961"/>
      <c r="DE220" s="1961"/>
      <c r="DF220" s="1961"/>
      <c r="DG220" s="1961"/>
      <c r="DH220" s="1961"/>
      <c r="DI220" s="275"/>
    </row>
    <row r="221" spans="1:113" ht="12" customHeight="1" x14ac:dyDescent="0.25">
      <c r="A221" s="667" t="s">
        <v>202</v>
      </c>
      <c r="B221" s="671"/>
      <c r="C221" s="265"/>
      <c r="D221" s="646">
        <v>-16.016999999999999</v>
      </c>
      <c r="E221" s="326"/>
      <c r="F221" s="268"/>
      <c r="G221" s="647"/>
      <c r="H221" s="647">
        <v>-8.6989999999999998</v>
      </c>
      <c r="I221" s="644">
        <f t="shared" si="374"/>
        <v>-8.6989999999999998</v>
      </c>
      <c r="J221" s="647">
        <v>-25.023</v>
      </c>
      <c r="K221" s="647">
        <v>-29.914999999999999</v>
      </c>
      <c r="L221" s="647">
        <v>-57.170999999999999</v>
      </c>
      <c r="M221" s="647">
        <v>-82.433999999999997</v>
      </c>
      <c r="N221" s="644">
        <f t="shared" si="375"/>
        <v>-82.433999999999997</v>
      </c>
      <c r="O221" s="647">
        <v>-81.34</v>
      </c>
      <c r="P221" s="268">
        <v>-79.13</v>
      </c>
      <c r="Q221" s="268">
        <v>-75.561000000000007</v>
      </c>
      <c r="R221" s="268">
        <v>-53.628</v>
      </c>
      <c r="S221" s="644">
        <f t="shared" si="400"/>
        <v>-53.628</v>
      </c>
      <c r="T221" s="647">
        <v>-52.685000000000002</v>
      </c>
      <c r="U221" s="647">
        <v>-52.183999999999997</v>
      </c>
      <c r="V221" s="647">
        <v>-50.951999999999998</v>
      </c>
      <c r="W221" s="647">
        <f>-55.803</f>
        <v>-55.802999999999997</v>
      </c>
      <c r="X221" s="644">
        <f t="shared" si="401"/>
        <v>-55.802999999999997</v>
      </c>
      <c r="Y221" s="647">
        <v>-54.837000000000003</v>
      </c>
      <c r="Z221" s="647">
        <v>-53.508000000000003</v>
      </c>
      <c r="AA221" s="647">
        <v>-53.655999999999999</v>
      </c>
      <c r="AB221" s="647">
        <v>-78.287000000000006</v>
      </c>
      <c r="AC221" s="644">
        <f t="shared" si="402"/>
        <v>-78.287000000000006</v>
      </c>
      <c r="AD221" s="268">
        <v>-77.403000000000006</v>
      </c>
      <c r="AE221" s="647">
        <v>-77.353999999999999</v>
      </c>
      <c r="AF221" s="647">
        <v>-76.852999999999994</v>
      </c>
      <c r="AG221" s="647">
        <v>-89.16</v>
      </c>
      <c r="AH221" s="644">
        <f t="shared" si="403"/>
        <v>-89.16</v>
      </c>
      <c r="AI221" s="333">
        <v>-88.927000000000007</v>
      </c>
      <c r="AJ221" s="268">
        <v>-88.337999999999994</v>
      </c>
      <c r="AK221" s="268">
        <v>-86.591999999999999</v>
      </c>
      <c r="AL221" s="268">
        <v>-43.488</v>
      </c>
      <c r="AM221" s="644">
        <f t="shared" si="404"/>
        <v>-43.488</v>
      </c>
      <c r="AN221" s="333">
        <v>-42.822000000000003</v>
      </c>
      <c r="AO221" s="268">
        <v>-42.377000000000002</v>
      </c>
      <c r="AP221" s="268">
        <v>-42.860999999999997</v>
      </c>
      <c r="AQ221" s="268">
        <v>-80.513999999999996</v>
      </c>
      <c r="AR221" s="644">
        <f t="shared" si="376"/>
        <v>-80.513999999999996</v>
      </c>
      <c r="AS221" s="333">
        <v>-80.058000000000007</v>
      </c>
      <c r="AT221" s="268">
        <v>-83.873000000000005</v>
      </c>
      <c r="AU221" s="268">
        <v>-179.417</v>
      </c>
      <c r="AV221" s="332">
        <v>-242.05199999999999</v>
      </c>
      <c r="AW221" s="644">
        <f t="shared" si="377"/>
        <v>-242.05199999999999</v>
      </c>
      <c r="AX221" s="268">
        <v>-316.77699999999999</v>
      </c>
      <c r="AY221" s="268">
        <v>-457.14299999999997</v>
      </c>
      <c r="AZ221" s="268">
        <v>-518.93399999999997</v>
      </c>
      <c r="BA221" s="332">
        <v>-650.79999999999995</v>
      </c>
      <c r="BB221" s="645">
        <f t="shared" si="378"/>
        <v>-650.79999999999995</v>
      </c>
      <c r="BC221" s="1892">
        <v>-616.9</v>
      </c>
      <c r="BD221" s="1892">
        <v>-526.4</v>
      </c>
      <c r="BE221" s="1943">
        <v>-443.3</v>
      </c>
      <c r="BF221" s="1943">
        <v>-412.3</v>
      </c>
      <c r="BG221" s="645">
        <f t="shared" si="379"/>
        <v>-412.3</v>
      </c>
      <c r="BH221" s="275">
        <f>BG221+BH159</f>
        <v>-412.3</v>
      </c>
      <c r="BI221" s="275">
        <f>BH221+BI159</f>
        <v>-412.3</v>
      </c>
      <c r="BJ221" s="275">
        <f>BI221+BJ159</f>
        <v>-412.3</v>
      </c>
      <c r="BK221" s="515">
        <f>BJ221+BK159</f>
        <v>-412.3</v>
      </c>
      <c r="BL221" s="645">
        <f t="shared" si="380"/>
        <v>-412.3</v>
      </c>
      <c r="BM221" s="275">
        <f>BL221+BM159</f>
        <v>-412.3</v>
      </c>
      <c r="BN221" s="275">
        <f>BM221+BN159</f>
        <v>-412.3</v>
      </c>
      <c r="BO221" s="275">
        <f>BN221+BO159</f>
        <v>-412.3</v>
      </c>
      <c r="BP221" s="515">
        <f>BO221+BP159</f>
        <v>-412.3</v>
      </c>
      <c r="BQ221" s="645">
        <f t="shared" si="381"/>
        <v>-412.3</v>
      </c>
      <c r="BR221" s="275">
        <f>BQ221+BR159</f>
        <v>-412.3</v>
      </c>
      <c r="BS221" s="275">
        <f>BR221+BS159</f>
        <v>-412.3</v>
      </c>
      <c r="BT221" s="275">
        <f>BS221+BT159</f>
        <v>-412.3</v>
      </c>
      <c r="BU221" s="515">
        <f>BT221+BU159</f>
        <v>-412.3</v>
      </c>
      <c r="BV221" s="645">
        <f t="shared" si="382"/>
        <v>-412.3</v>
      </c>
      <c r="BW221" s="275">
        <f>BV221+BW159</f>
        <v>-412.3</v>
      </c>
      <c r="BX221" s="275">
        <f>BW221+BX159</f>
        <v>-412.3</v>
      </c>
      <c r="BY221" s="275">
        <f>BX221+BY159</f>
        <v>-412.3</v>
      </c>
      <c r="BZ221" s="515">
        <f>BY221+BZ159</f>
        <v>-412.3</v>
      </c>
      <c r="CA221" s="645">
        <f t="shared" si="383"/>
        <v>-412.3</v>
      </c>
      <c r="CB221" s="1910"/>
      <c r="CC221" s="490"/>
      <c r="CD221" s="667" t="str">
        <f t="shared" si="373"/>
        <v>AOCI</v>
      </c>
      <c r="CE221" s="275">
        <f t="shared" si="384"/>
        <v>-16.016999999999999</v>
      </c>
      <c r="CF221" s="275">
        <f t="shared" si="385"/>
        <v>-8.6989999999999998</v>
      </c>
      <c r="CG221" s="275">
        <f t="shared" si="386"/>
        <v>-82.433999999999997</v>
      </c>
      <c r="CH221" s="275">
        <f t="shared" si="387"/>
        <v>-53.628</v>
      </c>
      <c r="CI221" s="275">
        <f t="shared" si="388"/>
        <v>-55.802999999999997</v>
      </c>
      <c r="CJ221" s="275">
        <f t="shared" si="389"/>
        <v>-78.287000000000006</v>
      </c>
      <c r="CK221" s="275">
        <f t="shared" si="390"/>
        <v>-89.16</v>
      </c>
      <c r="CL221" s="275">
        <f t="shared" si="391"/>
        <v>-43.488</v>
      </c>
      <c r="CM221" s="275">
        <f t="shared" si="392"/>
        <v>-80.513999999999996</v>
      </c>
      <c r="CN221" s="275">
        <f t="shared" si="393"/>
        <v>-242.05199999999999</v>
      </c>
      <c r="CO221" s="275">
        <f t="shared" si="394"/>
        <v>-650.79999999999995</v>
      </c>
      <c r="CP221" s="275">
        <f t="shared" si="395"/>
        <v>-412.3</v>
      </c>
      <c r="CQ221" s="275">
        <f t="shared" si="396"/>
        <v>-412.3</v>
      </c>
      <c r="CR221" s="275">
        <f t="shared" si="397"/>
        <v>-412.3</v>
      </c>
      <c r="CS221" s="275">
        <f t="shared" si="398"/>
        <v>-412.3</v>
      </c>
      <c r="CT221" s="515">
        <f t="shared" si="399"/>
        <v>-412.3</v>
      </c>
      <c r="CU221" s="6"/>
      <c r="DB221" s="672">
        <f>SUM(DB173:DB220)</f>
        <v>2869.7990000000004</v>
      </c>
      <c r="DC221" s="672">
        <f>SUM(DC198:DC217)</f>
        <v>2830.4989999999998</v>
      </c>
      <c r="DD221" s="1961"/>
      <c r="DE221" s="1961"/>
      <c r="DF221" s="1961"/>
      <c r="DG221" s="1961"/>
      <c r="DH221" s="1961"/>
      <c r="DI221" s="275"/>
    </row>
    <row r="222" spans="1:113" ht="5.25" customHeight="1" x14ac:dyDescent="0.25">
      <c r="A222" s="212"/>
      <c r="B222" s="673"/>
      <c r="C222" s="674" t="s">
        <v>60</v>
      </c>
      <c r="D222" s="674" t="s">
        <v>60</v>
      </c>
      <c r="E222" s="130" t="s">
        <v>60</v>
      </c>
      <c r="F222" s="675" t="s">
        <v>60</v>
      </c>
      <c r="G222" s="675" t="s">
        <v>60</v>
      </c>
      <c r="H222" s="675" t="s">
        <v>60</v>
      </c>
      <c r="I222" s="129" t="s">
        <v>60</v>
      </c>
      <c r="J222" s="675" t="s">
        <v>60</v>
      </c>
      <c r="K222" s="675" t="s">
        <v>60</v>
      </c>
      <c r="L222" s="675" t="s">
        <v>60</v>
      </c>
      <c r="M222" s="675" t="s">
        <v>60</v>
      </c>
      <c r="N222" s="129" t="s">
        <v>60</v>
      </c>
      <c r="O222" s="675" t="s">
        <v>60</v>
      </c>
      <c r="P222" s="675" t="s">
        <v>60</v>
      </c>
      <c r="Q222" s="675" t="s">
        <v>60</v>
      </c>
      <c r="R222" s="675" t="s">
        <v>60</v>
      </c>
      <c r="S222" s="129" t="s">
        <v>60</v>
      </c>
      <c r="T222" s="675" t="s">
        <v>60</v>
      </c>
      <c r="U222" s="675" t="s">
        <v>60</v>
      </c>
      <c r="V222" s="675" t="s">
        <v>60</v>
      </c>
      <c r="W222" s="675" t="s">
        <v>60</v>
      </c>
      <c r="X222" s="129" t="s">
        <v>60</v>
      </c>
      <c r="Y222" s="130" t="s">
        <v>60</v>
      </c>
      <c r="Z222" s="130" t="s">
        <v>60</v>
      </c>
      <c r="AA222" s="675" t="s">
        <v>60</v>
      </c>
      <c r="AB222" s="675" t="s">
        <v>60</v>
      </c>
      <c r="AC222" s="129" t="s">
        <v>60</v>
      </c>
      <c r="AD222" s="675" t="s">
        <v>60</v>
      </c>
      <c r="AE222" s="675" t="s">
        <v>60</v>
      </c>
      <c r="AF222" s="675" t="s">
        <v>60</v>
      </c>
      <c r="AG222" s="675" t="s">
        <v>60</v>
      </c>
      <c r="AH222" s="129" t="s">
        <v>60</v>
      </c>
      <c r="AI222" s="676" t="s">
        <v>60</v>
      </c>
      <c r="AJ222" s="675" t="s">
        <v>60</v>
      </c>
      <c r="AK222" s="675" t="s">
        <v>60</v>
      </c>
      <c r="AL222" s="675" t="s">
        <v>60</v>
      </c>
      <c r="AM222" s="129" t="s">
        <v>60</v>
      </c>
      <c r="AN222" s="676" t="s">
        <v>60</v>
      </c>
      <c r="AO222" s="675" t="s">
        <v>60</v>
      </c>
      <c r="AP222" s="675" t="s">
        <v>60</v>
      </c>
      <c r="AQ222" s="675" t="s">
        <v>60</v>
      </c>
      <c r="AR222" s="129" t="s">
        <v>60</v>
      </c>
      <c r="AS222" s="676" t="s">
        <v>60</v>
      </c>
      <c r="AT222" s="259" t="s">
        <v>60</v>
      </c>
      <c r="AU222" s="259" t="s">
        <v>60</v>
      </c>
      <c r="AV222" s="650" t="s">
        <v>60</v>
      </c>
      <c r="AW222" s="129" t="s">
        <v>60</v>
      </c>
      <c r="AX222" s="259" t="s">
        <v>60</v>
      </c>
      <c r="AY222" s="259" t="s">
        <v>60</v>
      </c>
      <c r="AZ222" s="259" t="s">
        <v>60</v>
      </c>
      <c r="BA222" s="650" t="s">
        <v>60</v>
      </c>
      <c r="BB222" s="129" t="s">
        <v>60</v>
      </c>
      <c r="BC222" s="259" t="s">
        <v>60</v>
      </c>
      <c r="BD222" s="259" t="s">
        <v>60</v>
      </c>
      <c r="BE222" s="259" t="s">
        <v>60</v>
      </c>
      <c r="BF222" s="259" t="s">
        <v>60</v>
      </c>
      <c r="BG222" s="129" t="s">
        <v>60</v>
      </c>
      <c r="BH222" s="259" t="s">
        <v>60</v>
      </c>
      <c r="BI222" s="259" t="s">
        <v>60</v>
      </c>
      <c r="BJ222" s="259" t="s">
        <v>60</v>
      </c>
      <c r="BK222" s="650" t="s">
        <v>60</v>
      </c>
      <c r="BL222" s="129" t="s">
        <v>60</v>
      </c>
      <c r="BM222" s="259" t="s">
        <v>60</v>
      </c>
      <c r="BN222" s="259" t="s">
        <v>60</v>
      </c>
      <c r="BO222" s="259" t="s">
        <v>60</v>
      </c>
      <c r="BP222" s="650" t="s">
        <v>60</v>
      </c>
      <c r="BQ222" s="129" t="s">
        <v>60</v>
      </c>
      <c r="BR222" s="259" t="s">
        <v>60</v>
      </c>
      <c r="BS222" s="259" t="s">
        <v>60</v>
      </c>
      <c r="BT222" s="259" t="s">
        <v>60</v>
      </c>
      <c r="BU222" s="650" t="s">
        <v>60</v>
      </c>
      <c r="BV222" s="129" t="s">
        <v>60</v>
      </c>
      <c r="BW222" s="259" t="s">
        <v>60</v>
      </c>
      <c r="BX222" s="259" t="s">
        <v>60</v>
      </c>
      <c r="BY222" s="259" t="s">
        <v>60</v>
      </c>
      <c r="BZ222" s="650" t="s">
        <v>60</v>
      </c>
      <c r="CA222" s="129" t="s">
        <v>60</v>
      </c>
      <c r="CB222" s="1910"/>
      <c r="CC222" s="677"/>
      <c r="CD222" s="212"/>
      <c r="CE222" s="675"/>
      <c r="CF222" s="675"/>
      <c r="CG222" s="675"/>
      <c r="CH222" s="675"/>
      <c r="CI222" s="675"/>
      <c r="CJ222" s="675"/>
      <c r="CK222" s="675"/>
      <c r="CL222" s="675"/>
      <c r="CM222" s="675"/>
      <c r="CN222" s="675"/>
      <c r="CO222" s="675"/>
      <c r="CP222" s="675"/>
      <c r="CQ222" s="675"/>
      <c r="CR222" s="675"/>
      <c r="CS222" s="675"/>
      <c r="CT222" s="678"/>
      <c r="CU222" s="1961"/>
      <c r="DB222" s="1961"/>
      <c r="DC222" s="1961"/>
      <c r="DD222" s="1961"/>
      <c r="DE222" s="1961"/>
      <c r="DF222" s="1961"/>
      <c r="DG222" s="1961"/>
      <c r="DH222" s="1961"/>
      <c r="DI222" s="259"/>
    </row>
    <row r="223" spans="1:113" ht="12" customHeight="1" x14ac:dyDescent="0.25">
      <c r="A223" s="212" t="s">
        <v>203</v>
      </c>
      <c r="B223" s="679"/>
      <c r="C223" s="111">
        <f t="shared" ref="C223:M223" si="405">SUM(C214:C221)</f>
        <v>0</v>
      </c>
      <c r="D223" s="111">
        <f t="shared" si="405"/>
        <v>9.5759999999998477</v>
      </c>
      <c r="E223" s="70">
        <f>SUM(E214:E221)</f>
        <v>0</v>
      </c>
      <c r="F223" s="70">
        <f t="shared" si="405"/>
        <v>0</v>
      </c>
      <c r="G223" s="70">
        <f t="shared" si="405"/>
        <v>0</v>
      </c>
      <c r="H223" s="70">
        <f t="shared" si="405"/>
        <v>-32.160000000000011</v>
      </c>
      <c r="I223" s="111">
        <f t="shared" si="405"/>
        <v>-32.160000000000011</v>
      </c>
      <c r="J223" s="70">
        <f t="shared" si="405"/>
        <v>-172.85900000000029</v>
      </c>
      <c r="K223" s="70">
        <f t="shared" si="405"/>
        <v>-172.65999999999994</v>
      </c>
      <c r="L223" s="70">
        <f t="shared" si="405"/>
        <v>-156.29199999999992</v>
      </c>
      <c r="M223" s="70">
        <f t="shared" si="405"/>
        <v>-260.28399999999999</v>
      </c>
      <c r="N223" s="111">
        <f>SUM(N214:N221)</f>
        <v>-260.28399999999999</v>
      </c>
      <c r="O223" s="70">
        <f>SUM(O214:O221)</f>
        <v>-232.67300000000009</v>
      </c>
      <c r="P223" s="70">
        <f>SUM(P214:P221)</f>
        <v>-186.37200000000001</v>
      </c>
      <c r="Q223" s="70">
        <f>SUM(Q214:Q221)</f>
        <v>-136.44800000000018</v>
      </c>
      <c r="R223" s="70">
        <f t="shared" ref="R223:X223" si="406">SUM(R214:R221)</f>
        <v>-34.949000000000005</v>
      </c>
      <c r="S223" s="111">
        <f t="shared" si="406"/>
        <v>-34.949000000000005</v>
      </c>
      <c r="T223" s="70">
        <f t="shared" si="406"/>
        <v>28.252000000000038</v>
      </c>
      <c r="U223" s="70">
        <f t="shared" si="406"/>
        <v>53.575000000000045</v>
      </c>
      <c r="V223" s="70">
        <f t="shared" si="406"/>
        <v>62.144000000000034</v>
      </c>
      <c r="W223" s="70">
        <f t="shared" si="406"/>
        <v>-114.44199999999989</v>
      </c>
      <c r="X223" s="111">
        <f t="shared" si="406"/>
        <v>-114.44199999999989</v>
      </c>
      <c r="Y223" s="70">
        <f>SUM(Y214:Y221)</f>
        <v>-109.13099999999999</v>
      </c>
      <c r="Z223" s="70">
        <f>SUM(Z214:Z221)</f>
        <v>-144.43999999999991</v>
      </c>
      <c r="AA223" s="70">
        <f>SUM(AA214:AA221)</f>
        <v>-158.92200000000014</v>
      </c>
      <c r="AB223" s="70">
        <f>SUM(AB214:AB221)</f>
        <v>-98.489999999999867</v>
      </c>
      <c r="AC223" s="111">
        <f>SUM(AC214:AC221)</f>
        <v>-98.489999999999867</v>
      </c>
      <c r="AD223" s="70">
        <f t="shared" ref="AD223:AL223" si="407">SUM(AD214:AD221)</f>
        <v>-10.25799999999991</v>
      </c>
      <c r="AE223" s="70">
        <f t="shared" si="407"/>
        <v>46.682000000000173</v>
      </c>
      <c r="AF223" s="70">
        <f t="shared" si="407"/>
        <v>142.04800000000006</v>
      </c>
      <c r="AG223" s="70">
        <f t="shared" si="407"/>
        <v>255.59100000000009</v>
      </c>
      <c r="AH223" s="111">
        <f t="shared" si="407"/>
        <v>255.59100000000009</v>
      </c>
      <c r="AI223" s="112">
        <f>SUM(AI214:AI221)</f>
        <v>352.524</v>
      </c>
      <c r="AJ223" s="70">
        <f t="shared" si="407"/>
        <v>365.50500000000011</v>
      </c>
      <c r="AK223" s="70">
        <f t="shared" si="407"/>
        <v>483.00200000000007</v>
      </c>
      <c r="AL223" s="70">
        <f t="shared" si="407"/>
        <v>547.58899999999971</v>
      </c>
      <c r="AM223" s="111">
        <f>SUM(AM214:AM221)</f>
        <v>547.58899999999971</v>
      </c>
      <c r="AN223" s="112">
        <f>SUM(AN214:AN221)</f>
        <v>599.52599999999995</v>
      </c>
      <c r="AO223" s="70">
        <f>SUM(AO214:AO221)</f>
        <v>676.28499999999985</v>
      </c>
      <c r="AP223" s="70">
        <f>SUM(AP214:AP221)</f>
        <v>725.98400000000004</v>
      </c>
      <c r="AQ223" s="70">
        <f>SUM(AQ214:AQ221)</f>
        <v>211.04299999999978</v>
      </c>
      <c r="AR223" s="111">
        <f t="shared" ref="AR223:BB223" si="408">SUM(AR214:AR221)</f>
        <v>211.04299999999978</v>
      </c>
      <c r="AS223" s="112">
        <f t="shared" si="408"/>
        <v>331.72199999999998</v>
      </c>
      <c r="AT223" s="74">
        <f t="shared" si="408"/>
        <v>1244.3219999999999</v>
      </c>
      <c r="AU223" s="74">
        <f t="shared" si="408"/>
        <v>1313.6360000000002</v>
      </c>
      <c r="AV223" s="141">
        <f t="shared" si="408"/>
        <v>1372.0110000000002</v>
      </c>
      <c r="AW223" s="111">
        <f t="shared" si="408"/>
        <v>1372.0110000000002</v>
      </c>
      <c r="AX223" s="74">
        <f t="shared" si="408"/>
        <v>1290.4649999999997</v>
      </c>
      <c r="AY223" s="74">
        <f t="shared" si="408"/>
        <v>1449.864</v>
      </c>
      <c r="AZ223" s="74">
        <f t="shared" si="408"/>
        <v>1475.43</v>
      </c>
      <c r="BA223" s="141">
        <f t="shared" si="408"/>
        <v>1332.3999999999999</v>
      </c>
      <c r="BB223" s="262">
        <f t="shared" si="408"/>
        <v>1332.3999999999999</v>
      </c>
      <c r="BC223" s="74">
        <f t="shared" ref="BC223:CA223" si="409">SUM(BC214:BC221)</f>
        <v>1385.5999999999995</v>
      </c>
      <c r="BD223" s="74">
        <f t="shared" si="409"/>
        <v>1465.8999999999996</v>
      </c>
      <c r="BE223" s="74">
        <f t="shared" si="409"/>
        <v>1672.6000000000001</v>
      </c>
      <c r="BF223" s="74">
        <f t="shared" si="409"/>
        <v>1925.3999999999999</v>
      </c>
      <c r="BG223" s="262">
        <f t="shared" si="409"/>
        <v>1925.3999999999999</v>
      </c>
      <c r="BH223" s="74">
        <f t="shared" si="409"/>
        <v>1932.0947552422556</v>
      </c>
      <c r="BI223" s="74">
        <f t="shared" si="409"/>
        <v>1946.1315671549467</v>
      </c>
      <c r="BJ223" s="74">
        <f t="shared" si="409"/>
        <v>1973.8402201272031</v>
      </c>
      <c r="BK223" s="141">
        <f t="shared" si="409"/>
        <v>2001.4524766805355</v>
      </c>
      <c r="BL223" s="262">
        <f t="shared" si="409"/>
        <v>2001.4524766805355</v>
      </c>
      <c r="BM223" s="74">
        <f t="shared" si="409"/>
        <v>1979.127051112768</v>
      </c>
      <c r="BN223" s="74">
        <f t="shared" si="409"/>
        <v>1964.5732356439728</v>
      </c>
      <c r="BO223" s="74">
        <f t="shared" si="409"/>
        <v>1964.4208543317725</v>
      </c>
      <c r="BP223" s="141">
        <f t="shared" si="409"/>
        <v>1964.2129208595159</v>
      </c>
      <c r="BQ223" s="262">
        <f t="shared" si="409"/>
        <v>1964.2129208595159</v>
      </c>
      <c r="BR223" s="74">
        <f t="shared" si="409"/>
        <v>1931.8919254099326</v>
      </c>
      <c r="BS223" s="74">
        <f t="shared" si="409"/>
        <v>1907.7676965734029</v>
      </c>
      <c r="BT223" s="74">
        <f t="shared" si="409"/>
        <v>1898.9129752341148</v>
      </c>
      <c r="BU223" s="141">
        <f t="shared" si="409"/>
        <v>1889.9892975152695</v>
      </c>
      <c r="BV223" s="262">
        <f t="shared" si="409"/>
        <v>1889.9892975152695</v>
      </c>
      <c r="BW223" s="74">
        <f t="shared" si="409"/>
        <v>1874.5732044958702</v>
      </c>
      <c r="BX223" s="74">
        <f t="shared" si="409"/>
        <v>1867.9662207176013</v>
      </c>
      <c r="BY223" s="74">
        <f t="shared" si="409"/>
        <v>1877.7164854362306</v>
      </c>
      <c r="BZ223" s="141">
        <f t="shared" si="409"/>
        <v>1887.5479083402727</v>
      </c>
      <c r="CA223" s="262">
        <f t="shared" si="409"/>
        <v>1887.5479083402727</v>
      </c>
      <c r="CB223" s="1910"/>
      <c r="CC223" s="677"/>
      <c r="CD223" s="212" t="str">
        <f>A223</f>
        <v xml:space="preserve">Total Stockholders’ Equity </v>
      </c>
      <c r="CE223" s="70">
        <f>D223</f>
        <v>9.5759999999998477</v>
      </c>
      <c r="CF223" s="70">
        <f>I223</f>
        <v>-32.160000000000011</v>
      </c>
      <c r="CG223" s="70">
        <f>N223</f>
        <v>-260.28399999999999</v>
      </c>
      <c r="CH223" s="70">
        <f>S223</f>
        <v>-34.949000000000005</v>
      </c>
      <c r="CI223" s="70">
        <f>X223</f>
        <v>-114.44199999999989</v>
      </c>
      <c r="CJ223" s="70">
        <f>AC223</f>
        <v>-98.489999999999867</v>
      </c>
      <c r="CK223" s="70">
        <f>AH223</f>
        <v>255.59100000000009</v>
      </c>
      <c r="CL223" s="70">
        <f>AM223</f>
        <v>547.58899999999971</v>
      </c>
      <c r="CM223" s="70">
        <f>AR223</f>
        <v>211.04299999999978</v>
      </c>
      <c r="CN223" s="70">
        <f>AW223</f>
        <v>1372.0110000000002</v>
      </c>
      <c r="CO223" s="70">
        <f>BB223</f>
        <v>1332.3999999999999</v>
      </c>
      <c r="CP223" s="70">
        <f>BG223</f>
        <v>1925.3999999999999</v>
      </c>
      <c r="CQ223" s="70">
        <f>BL223</f>
        <v>2001.4524766805355</v>
      </c>
      <c r="CR223" s="70">
        <f>BQ223</f>
        <v>1964.2129208595159</v>
      </c>
      <c r="CS223" s="70">
        <f>BV223</f>
        <v>1889.9892975152695</v>
      </c>
      <c r="CT223" s="80">
        <f>CA223</f>
        <v>1887.5479083402727</v>
      </c>
      <c r="CU223" s="1961"/>
      <c r="DB223" s="1961"/>
      <c r="DC223" s="643"/>
      <c r="DD223" s="1961"/>
      <c r="DE223" s="1961"/>
      <c r="DF223" s="1961"/>
      <c r="DG223" s="1961"/>
      <c r="DH223" s="1961"/>
      <c r="DI223" s="74"/>
    </row>
    <row r="224" spans="1:113" ht="3" customHeight="1" x14ac:dyDescent="0.25">
      <c r="A224" s="680"/>
      <c r="B224" s="673"/>
      <c r="C224" s="674"/>
      <c r="D224" s="674"/>
      <c r="E224" s="675"/>
      <c r="F224" s="675"/>
      <c r="G224" s="675"/>
      <c r="H224" s="675"/>
      <c r="I224" s="129"/>
      <c r="J224" s="675"/>
      <c r="K224" s="675"/>
      <c r="L224" s="675"/>
      <c r="M224" s="675"/>
      <c r="N224" s="129"/>
      <c r="O224" s="675"/>
      <c r="P224" s="675"/>
      <c r="Q224" s="675"/>
      <c r="R224" s="675"/>
      <c r="S224" s="129"/>
      <c r="T224" s="675"/>
      <c r="U224" s="675"/>
      <c r="V224" s="675"/>
      <c r="W224" s="675"/>
      <c r="X224" s="129"/>
      <c r="Y224" s="675"/>
      <c r="Z224" s="675"/>
      <c r="AA224" s="675"/>
      <c r="AB224" s="675"/>
      <c r="AC224" s="129"/>
      <c r="AD224" s="675"/>
      <c r="AE224" s="675"/>
      <c r="AF224" s="675"/>
      <c r="AG224" s="675"/>
      <c r="AH224" s="129"/>
      <c r="AI224" s="676"/>
      <c r="AJ224" s="675"/>
      <c r="AK224" s="675"/>
      <c r="AL224" s="675"/>
      <c r="AM224" s="129"/>
      <c r="AN224" s="676"/>
      <c r="AO224" s="259"/>
      <c r="AP224" s="259"/>
      <c r="AQ224" s="650"/>
      <c r="AR224" s="129"/>
      <c r="AS224" s="676"/>
      <c r="AT224" s="259"/>
      <c r="AU224" s="259"/>
      <c r="AV224" s="650"/>
      <c r="AW224" s="129"/>
      <c r="AX224" s="259"/>
      <c r="AY224" s="259"/>
      <c r="AZ224" s="259"/>
      <c r="BA224" s="650"/>
      <c r="BB224" s="129"/>
      <c r="BC224" s="259"/>
      <c r="BD224" s="259"/>
      <c r="BE224" s="259"/>
      <c r="BF224" s="259"/>
      <c r="BG224" s="129"/>
      <c r="BH224" s="259"/>
      <c r="BI224" s="259"/>
      <c r="BJ224" s="259"/>
      <c r="BK224" s="650"/>
      <c r="BL224" s="129"/>
      <c r="BM224" s="259"/>
      <c r="BN224" s="259"/>
      <c r="BO224" s="259"/>
      <c r="BP224" s="650"/>
      <c r="BQ224" s="129"/>
      <c r="BR224" s="259"/>
      <c r="BS224" s="259"/>
      <c r="BT224" s="259"/>
      <c r="BU224" s="650"/>
      <c r="BV224" s="129"/>
      <c r="BW224" s="259"/>
      <c r="BX224" s="259"/>
      <c r="BY224" s="259"/>
      <c r="BZ224" s="650"/>
      <c r="CA224" s="129"/>
      <c r="CB224" s="1910"/>
      <c r="CC224" s="677"/>
      <c r="CD224" s="680"/>
      <c r="CE224" s="675"/>
      <c r="CF224" s="675"/>
      <c r="CG224" s="675"/>
      <c r="CH224" s="675"/>
      <c r="CI224" s="675"/>
      <c r="CJ224" s="675"/>
      <c r="CK224" s="675"/>
      <c r="CL224" s="675"/>
      <c r="CM224" s="675"/>
      <c r="CN224" s="675"/>
      <c r="CO224" s="675"/>
      <c r="CP224" s="675"/>
      <c r="CQ224" s="675"/>
      <c r="CR224" s="675"/>
      <c r="CS224" s="675"/>
      <c r="CT224" s="678"/>
      <c r="CU224" s="1961"/>
      <c r="DB224" s="1961"/>
      <c r="DC224" s="1961"/>
      <c r="DD224" s="1961"/>
      <c r="DE224" s="1961"/>
      <c r="DF224" s="1961"/>
      <c r="DG224" s="1961"/>
      <c r="DH224" s="1961"/>
      <c r="DI224" s="259"/>
    </row>
    <row r="225" spans="1:113" ht="12" customHeight="1" x14ac:dyDescent="0.25">
      <c r="A225" s="681" t="s">
        <v>204</v>
      </c>
      <c r="B225" s="582"/>
      <c r="C225" s="583"/>
      <c r="D225" s="583">
        <f t="shared" ref="D225:BB225" si="410">D223+D211</f>
        <v>744.73099999999965</v>
      </c>
      <c r="E225" s="584">
        <f t="shared" si="410"/>
        <v>0</v>
      </c>
      <c r="F225" s="584">
        <f t="shared" si="410"/>
        <v>0</v>
      </c>
      <c r="G225" s="584">
        <f t="shared" si="410"/>
        <v>0</v>
      </c>
      <c r="H225" s="584">
        <f t="shared" si="410"/>
        <v>830.04100000000005</v>
      </c>
      <c r="I225" s="583">
        <f t="shared" si="410"/>
        <v>830.04100000000005</v>
      </c>
      <c r="J225" s="584">
        <f t="shared" si="410"/>
        <v>842.44499999999982</v>
      </c>
      <c r="K225" s="584">
        <f t="shared" si="410"/>
        <v>866.83900000000006</v>
      </c>
      <c r="L225" s="584">
        <f t="shared" si="410"/>
        <v>857.93400000000008</v>
      </c>
      <c r="M225" s="584">
        <f t="shared" si="410"/>
        <v>928.87699999999984</v>
      </c>
      <c r="N225" s="583">
        <f t="shared" si="410"/>
        <v>928.87699999999984</v>
      </c>
      <c r="O225" s="584">
        <f t="shared" si="410"/>
        <v>1020.3859999999999</v>
      </c>
      <c r="P225" s="584">
        <f t="shared" si="410"/>
        <v>1009.3349999999998</v>
      </c>
      <c r="Q225" s="584">
        <f t="shared" si="410"/>
        <v>1019.3759999999996</v>
      </c>
      <c r="R225" s="584">
        <f t="shared" si="410"/>
        <v>996.95300000000009</v>
      </c>
      <c r="S225" s="583">
        <f t="shared" si="410"/>
        <v>996.95300000000009</v>
      </c>
      <c r="T225" s="584">
        <f t="shared" si="410"/>
        <v>1085.6790000000001</v>
      </c>
      <c r="U225" s="584">
        <f t="shared" si="410"/>
        <v>1053.268</v>
      </c>
      <c r="V225" s="584">
        <f t="shared" si="410"/>
        <v>1049.4110000000001</v>
      </c>
      <c r="W225" s="584">
        <f t="shared" si="410"/>
        <v>1217.0900000000001</v>
      </c>
      <c r="X225" s="583">
        <f t="shared" si="410"/>
        <v>1217.0900000000001</v>
      </c>
      <c r="Y225" s="584">
        <f t="shared" si="410"/>
        <v>1286.3909999999998</v>
      </c>
      <c r="Z225" s="584">
        <f t="shared" si="410"/>
        <v>1408.0890000000002</v>
      </c>
      <c r="AA225" s="584">
        <f t="shared" si="410"/>
        <v>1379.884</v>
      </c>
      <c r="AB225" s="584">
        <f t="shared" si="410"/>
        <v>1541.1060000000002</v>
      </c>
      <c r="AC225" s="583">
        <f t="shared" si="410"/>
        <v>1541.1060000000002</v>
      </c>
      <c r="AD225" s="584">
        <f t="shared" si="410"/>
        <v>1892.0430000000003</v>
      </c>
      <c r="AE225" s="584">
        <f t="shared" si="410"/>
        <v>1853.3430000000003</v>
      </c>
      <c r="AF225" s="584">
        <f t="shared" si="410"/>
        <v>2303.433</v>
      </c>
      <c r="AG225" s="584">
        <f t="shared" si="410"/>
        <v>2360.3359999999998</v>
      </c>
      <c r="AH225" s="583">
        <f t="shared" si="410"/>
        <v>2360.3359999999998</v>
      </c>
      <c r="AI225" s="682">
        <f t="shared" si="410"/>
        <v>2516.3470000000002</v>
      </c>
      <c r="AJ225" s="584">
        <f t="shared" si="410"/>
        <v>2439.3510000000001</v>
      </c>
      <c r="AK225" s="584">
        <f t="shared" si="410"/>
        <v>2429.8720000000003</v>
      </c>
      <c r="AL225" s="584">
        <f t="shared" si="410"/>
        <v>2504.451</v>
      </c>
      <c r="AM225" s="583">
        <f t="shared" si="410"/>
        <v>2504.451</v>
      </c>
      <c r="AN225" s="682">
        <f t="shared" si="410"/>
        <v>2640.0040000000004</v>
      </c>
      <c r="AO225" s="579">
        <f t="shared" si="410"/>
        <v>2675.277</v>
      </c>
      <c r="AP225" s="579">
        <f t="shared" si="410"/>
        <v>2677.7301000000002</v>
      </c>
      <c r="AQ225" s="580">
        <f t="shared" si="410"/>
        <v>2345.33</v>
      </c>
      <c r="AR225" s="583">
        <f t="shared" si="410"/>
        <v>2345.33</v>
      </c>
      <c r="AS225" s="682">
        <f t="shared" si="410"/>
        <v>2404.4989999999998</v>
      </c>
      <c r="AT225" s="579">
        <f t="shared" si="410"/>
        <v>5775.6630000000005</v>
      </c>
      <c r="AU225" s="579">
        <f t="shared" si="410"/>
        <v>5619.0969999999998</v>
      </c>
      <c r="AV225" s="580">
        <f t="shared" si="410"/>
        <v>5615.9270000000006</v>
      </c>
      <c r="AW225" s="583">
        <f t="shared" si="410"/>
        <v>5615.9270000000006</v>
      </c>
      <c r="AX225" s="579">
        <f t="shared" si="410"/>
        <v>5459.146999999999</v>
      </c>
      <c r="AY225" s="579">
        <f t="shared" si="410"/>
        <v>4725.0630000000001</v>
      </c>
      <c r="AZ225" s="579">
        <f t="shared" si="410"/>
        <v>4685.0510000000004</v>
      </c>
      <c r="BA225" s="580">
        <f t="shared" si="410"/>
        <v>4631.1999999999989</v>
      </c>
      <c r="BB225" s="683">
        <f t="shared" si="410"/>
        <v>4631.1999999999989</v>
      </c>
      <c r="BC225" s="579">
        <f t="shared" ref="BC225:CA225" si="411">BC223+BC211</f>
        <v>4748.6999999999989</v>
      </c>
      <c r="BD225" s="579">
        <f t="shared" si="411"/>
        <v>4898.7</v>
      </c>
      <c r="BE225" s="579">
        <f t="shared" si="411"/>
        <v>5628.2000000000007</v>
      </c>
      <c r="BF225" s="579">
        <f t="shared" si="411"/>
        <v>6020.3</v>
      </c>
      <c r="BG225" s="683">
        <f t="shared" si="411"/>
        <v>6020.3</v>
      </c>
      <c r="BH225" s="579">
        <f t="shared" si="411"/>
        <v>6175.1933828127303</v>
      </c>
      <c r="BI225" s="579">
        <f t="shared" si="411"/>
        <v>6114.8857752623662</v>
      </c>
      <c r="BJ225" s="579">
        <f t="shared" si="411"/>
        <v>6113.2204975809173</v>
      </c>
      <c r="BK225" s="580">
        <f t="shared" si="411"/>
        <v>6139.6291407516364</v>
      </c>
      <c r="BL225" s="683">
        <f t="shared" si="411"/>
        <v>6139.6291407516364</v>
      </c>
      <c r="BM225" s="579">
        <f t="shared" si="411"/>
        <v>6264.4871262197366</v>
      </c>
      <c r="BN225" s="579">
        <f t="shared" si="411"/>
        <v>6172.0286622617868</v>
      </c>
      <c r="BO225" s="579">
        <f t="shared" si="411"/>
        <v>6140.7469183761305</v>
      </c>
      <c r="BP225" s="580">
        <f t="shared" si="411"/>
        <v>6139.8252117101947</v>
      </c>
      <c r="BQ225" s="683">
        <f t="shared" si="411"/>
        <v>6139.8252117101947</v>
      </c>
      <c r="BR225" s="579">
        <f t="shared" si="411"/>
        <v>6261.3474563158607</v>
      </c>
      <c r="BS225" s="579">
        <f t="shared" si="411"/>
        <v>6155.0143808663306</v>
      </c>
      <c r="BT225" s="579">
        <f t="shared" si="411"/>
        <v>6113.1335364512524</v>
      </c>
      <c r="BU225" s="580">
        <f t="shared" si="411"/>
        <v>6103.3761388414296</v>
      </c>
      <c r="BV225" s="683">
        <f t="shared" si="411"/>
        <v>6103.3761388414296</v>
      </c>
      <c r="BW225" s="579">
        <f t="shared" si="411"/>
        <v>6250.6635845041501</v>
      </c>
      <c r="BX225" s="579">
        <f t="shared" si="411"/>
        <v>6157.2957647442136</v>
      </c>
      <c r="BY225" s="579">
        <f t="shared" si="411"/>
        <v>6132.0023535167466</v>
      </c>
      <c r="BZ225" s="580">
        <f t="shared" si="411"/>
        <v>6140.8695459642486</v>
      </c>
      <c r="CA225" s="683">
        <f t="shared" si="411"/>
        <v>6140.8695459642486</v>
      </c>
      <c r="CB225" s="1910"/>
      <c r="CC225" s="677"/>
      <c r="CD225" s="681" t="str">
        <f>A225</f>
        <v>Total Liabilities &amp; Stockholders' Equity</v>
      </c>
      <c r="CE225" s="584">
        <f>D225</f>
        <v>744.73099999999965</v>
      </c>
      <c r="CF225" s="584">
        <f>I225</f>
        <v>830.04100000000005</v>
      </c>
      <c r="CG225" s="584">
        <f>N225</f>
        <v>928.87699999999984</v>
      </c>
      <c r="CH225" s="584">
        <f>S225</f>
        <v>996.95300000000009</v>
      </c>
      <c r="CI225" s="584">
        <f>X225</f>
        <v>1217.0900000000001</v>
      </c>
      <c r="CJ225" s="584">
        <f>AC225</f>
        <v>1541.1060000000002</v>
      </c>
      <c r="CK225" s="584">
        <f>AH225</f>
        <v>2360.3359999999998</v>
      </c>
      <c r="CL225" s="584">
        <f>AM225</f>
        <v>2504.451</v>
      </c>
      <c r="CM225" s="584">
        <f>AR225</f>
        <v>2345.33</v>
      </c>
      <c r="CN225" s="584">
        <f>AW225</f>
        <v>5615.9270000000006</v>
      </c>
      <c r="CO225" s="584">
        <f>BB225</f>
        <v>4631.1999999999989</v>
      </c>
      <c r="CP225" s="584">
        <f>BG225</f>
        <v>6020.3</v>
      </c>
      <c r="CQ225" s="584">
        <f>BL225</f>
        <v>6139.6291407516364</v>
      </c>
      <c r="CR225" s="584">
        <f>BQ225</f>
        <v>6139.8252117101947</v>
      </c>
      <c r="CS225" s="584">
        <f>BV225</f>
        <v>6103.3761388414296</v>
      </c>
      <c r="CT225" s="684">
        <f>CA225</f>
        <v>6140.8695459642486</v>
      </c>
      <c r="CU225" s="1961"/>
      <c r="DB225" s="1961"/>
      <c r="DC225" s="1961"/>
      <c r="DD225" s="1961"/>
      <c r="DE225" s="1961"/>
      <c r="DF225" s="1961"/>
      <c r="DG225" s="1961"/>
      <c r="DH225" s="1961"/>
      <c r="DI225" s="74"/>
    </row>
    <row r="226" spans="1:113" ht="5.0999999999999996" customHeight="1" x14ac:dyDescent="0.25">
      <c r="A226" s="46"/>
      <c r="B226" s="481"/>
      <c r="C226" s="29"/>
      <c r="D226" s="29"/>
      <c r="E226" s="29"/>
      <c r="F226" s="29"/>
      <c r="G226" s="29"/>
      <c r="H226" s="29"/>
      <c r="I226" s="29"/>
      <c r="J226" s="29"/>
      <c r="K226" s="29"/>
      <c r="L226" s="29"/>
      <c r="M226" s="29"/>
      <c r="N226" s="29"/>
      <c r="O226" s="29"/>
      <c r="P226" s="29"/>
      <c r="Q226" s="483"/>
      <c r="R226" s="483"/>
      <c r="S226" s="29"/>
      <c r="T226" s="29"/>
      <c r="U226" s="29"/>
      <c r="V226" s="29"/>
      <c r="W226" s="29"/>
      <c r="X226" s="29"/>
      <c r="Y226" s="29"/>
      <c r="Z226" s="29"/>
      <c r="AA226" s="29"/>
      <c r="AB226" s="29"/>
      <c r="AC226" s="29"/>
      <c r="AD226" s="29"/>
      <c r="AE226" s="29"/>
      <c r="AF226" s="29"/>
      <c r="AG226" s="29"/>
      <c r="AH226" s="29"/>
      <c r="AI226" s="29"/>
      <c r="AJ226" s="29"/>
      <c r="AK226" s="685"/>
      <c r="AL226" s="29"/>
      <c r="AM226" s="29"/>
      <c r="AN226" s="9"/>
      <c r="AO226" s="9"/>
      <c r="AP226" s="9"/>
      <c r="AQ226" s="9"/>
      <c r="AR226" s="9"/>
      <c r="AS226" s="9"/>
      <c r="AT226" s="9"/>
      <c r="AU226" s="9"/>
      <c r="AV226" s="9"/>
      <c r="AW226" s="9"/>
      <c r="AX226" s="9"/>
      <c r="AY226" s="9"/>
      <c r="AZ226" s="9"/>
      <c r="BA226" s="9"/>
      <c r="BB226" s="486"/>
      <c r="BC226" s="9"/>
      <c r="BD226" s="9"/>
      <c r="BE226" s="9"/>
      <c r="BF226" s="9"/>
      <c r="BG226" s="486"/>
      <c r="BH226" s="9"/>
      <c r="BI226" s="9"/>
      <c r="BJ226" s="9"/>
      <c r="BK226" s="9"/>
      <c r="BL226" s="486"/>
      <c r="BM226" s="9"/>
      <c r="BN226" s="9"/>
      <c r="BO226" s="9"/>
      <c r="BP226" s="9"/>
      <c r="BQ226" s="486"/>
      <c r="BR226" s="9"/>
      <c r="BS226" s="9"/>
      <c r="BT226" s="9"/>
      <c r="BU226" s="9"/>
      <c r="BV226" s="486"/>
      <c r="BW226" s="9"/>
      <c r="BX226" s="9"/>
      <c r="BY226" s="9"/>
      <c r="BZ226" s="9"/>
      <c r="CA226" s="486"/>
      <c r="CB226" s="1910"/>
      <c r="CC226" s="29"/>
      <c r="CD226" s="29"/>
      <c r="CE226" s="29"/>
      <c r="CF226" s="29"/>
      <c r="CG226" s="29"/>
      <c r="CH226" s="29"/>
      <c r="CI226" s="29"/>
      <c r="CJ226" s="29"/>
      <c r="CK226" s="29"/>
      <c r="CL226" s="29"/>
      <c r="CM226" s="29"/>
      <c r="CN226" s="29"/>
      <c r="CO226" s="29"/>
      <c r="CP226" s="29"/>
      <c r="CQ226" s="29"/>
      <c r="CR226" s="29"/>
      <c r="CS226" s="29"/>
      <c r="CT226" s="455"/>
      <c r="CU226" s="1961"/>
      <c r="DB226" s="1961"/>
      <c r="DC226" s="1961"/>
      <c r="DD226" s="1961"/>
      <c r="DE226" s="1961"/>
      <c r="DF226" s="1961"/>
      <c r="DG226" s="1961"/>
      <c r="DH226" s="1961"/>
      <c r="DI226" s="9"/>
    </row>
    <row r="227" spans="1:113" x14ac:dyDescent="0.25">
      <c r="A227" s="46" t="s">
        <v>205</v>
      </c>
      <c r="B227" s="686"/>
      <c r="C227" s="120"/>
      <c r="D227" s="120">
        <f t="shared" ref="D227:O227" si="412">ROUND(D192-D225,1)</f>
        <v>0</v>
      </c>
      <c r="E227" s="120"/>
      <c r="F227" s="120"/>
      <c r="G227" s="120"/>
      <c r="H227" s="120">
        <f t="shared" si="412"/>
        <v>0</v>
      </c>
      <c r="I227" s="120">
        <f t="shared" si="412"/>
        <v>0</v>
      </c>
      <c r="J227" s="120">
        <f t="shared" si="412"/>
        <v>0</v>
      </c>
      <c r="K227" s="120">
        <f t="shared" si="412"/>
        <v>0</v>
      </c>
      <c r="L227" s="120">
        <f t="shared" si="412"/>
        <v>0</v>
      </c>
      <c r="M227" s="120">
        <f t="shared" si="412"/>
        <v>0</v>
      </c>
      <c r="N227" s="120">
        <f t="shared" si="412"/>
        <v>0</v>
      </c>
      <c r="O227" s="120">
        <f t="shared" si="412"/>
        <v>0</v>
      </c>
      <c r="P227" s="120">
        <f>ROUND(P192-P225,1)</f>
        <v>0</v>
      </c>
      <c r="Q227" s="120">
        <f>ROUND(Q192-Q225,1)</f>
        <v>0</v>
      </c>
      <c r="R227" s="120">
        <f>ROUND(R192-R225,1)</f>
        <v>0</v>
      </c>
      <c r="S227" s="120">
        <f t="shared" ref="S227:AM227" si="413">ROUND(S192-S225,1)</f>
        <v>0</v>
      </c>
      <c r="T227" s="120">
        <f t="shared" si="413"/>
        <v>0</v>
      </c>
      <c r="U227" s="120">
        <f t="shared" si="413"/>
        <v>0</v>
      </c>
      <c r="V227" s="120">
        <f t="shared" si="413"/>
        <v>0</v>
      </c>
      <c r="W227" s="120">
        <f t="shared" si="413"/>
        <v>0</v>
      </c>
      <c r="X227" s="120">
        <f t="shared" si="413"/>
        <v>0</v>
      </c>
      <c r="Y227" s="120">
        <f t="shared" si="413"/>
        <v>0</v>
      </c>
      <c r="Z227" s="120">
        <f t="shared" si="413"/>
        <v>0</v>
      </c>
      <c r="AA227" s="120">
        <f t="shared" si="413"/>
        <v>0</v>
      </c>
      <c r="AB227" s="120">
        <f t="shared" si="413"/>
        <v>0</v>
      </c>
      <c r="AC227" s="120">
        <f t="shared" si="413"/>
        <v>0</v>
      </c>
      <c r="AD227" s="120">
        <f t="shared" si="413"/>
        <v>0</v>
      </c>
      <c r="AE227" s="120">
        <f t="shared" si="413"/>
        <v>0</v>
      </c>
      <c r="AF227" s="120">
        <f t="shared" si="413"/>
        <v>0</v>
      </c>
      <c r="AG227" s="120">
        <f t="shared" si="413"/>
        <v>0</v>
      </c>
      <c r="AH227" s="120">
        <f t="shared" si="413"/>
        <v>0</v>
      </c>
      <c r="AI227" s="120">
        <f t="shared" si="413"/>
        <v>0</v>
      </c>
      <c r="AJ227" s="120">
        <f t="shared" si="413"/>
        <v>-1.1000000000000001</v>
      </c>
      <c r="AK227" s="120">
        <f t="shared" si="413"/>
        <v>-2.2000000000000002</v>
      </c>
      <c r="AL227" s="120">
        <f t="shared" si="413"/>
        <v>0</v>
      </c>
      <c r="AM227" s="120">
        <f t="shared" si="413"/>
        <v>0</v>
      </c>
      <c r="AN227" s="143">
        <f>AN192-AN225</f>
        <v>0</v>
      </c>
      <c r="AO227" s="143">
        <f t="shared" ref="AO227:BG227" si="414">ROUND(AO192-AO225,1)</f>
        <v>0</v>
      </c>
      <c r="AP227" s="143">
        <f t="shared" si="414"/>
        <v>0</v>
      </c>
      <c r="AQ227" s="143">
        <f t="shared" si="414"/>
        <v>0</v>
      </c>
      <c r="AR227" s="143">
        <f t="shared" si="414"/>
        <v>0</v>
      </c>
      <c r="AS227" s="143">
        <f t="shared" si="414"/>
        <v>0</v>
      </c>
      <c r="AT227" s="120">
        <f t="shared" si="414"/>
        <v>0</v>
      </c>
      <c r="AU227" s="143">
        <f t="shared" si="414"/>
        <v>0</v>
      </c>
      <c r="AV227" s="143">
        <f t="shared" si="414"/>
        <v>0</v>
      </c>
      <c r="AW227" s="143">
        <f t="shared" si="414"/>
        <v>0</v>
      </c>
      <c r="AX227" s="120">
        <f t="shared" si="414"/>
        <v>0</v>
      </c>
      <c r="AY227" s="143">
        <f t="shared" si="414"/>
        <v>0</v>
      </c>
      <c r="AZ227" s="120">
        <f t="shared" si="414"/>
        <v>0</v>
      </c>
      <c r="BA227" s="120">
        <f t="shared" si="414"/>
        <v>0</v>
      </c>
      <c r="BB227" s="1896">
        <f t="shared" si="414"/>
        <v>0</v>
      </c>
      <c r="BC227" s="120">
        <f t="shared" si="414"/>
        <v>0</v>
      </c>
      <c r="BD227" s="120">
        <f t="shared" si="414"/>
        <v>0</v>
      </c>
      <c r="BE227" s="120">
        <f t="shared" si="414"/>
        <v>0</v>
      </c>
      <c r="BF227" s="120">
        <f t="shared" si="414"/>
        <v>0</v>
      </c>
      <c r="BG227" s="1896">
        <f t="shared" si="414"/>
        <v>0</v>
      </c>
      <c r="BH227" s="120">
        <f t="shared" ref="BH227:CA227" si="415">ROUND(BH192-BH225,1)</f>
        <v>0</v>
      </c>
      <c r="BI227" s="120">
        <f t="shared" si="415"/>
        <v>0</v>
      </c>
      <c r="BJ227" s="120">
        <f t="shared" si="415"/>
        <v>0</v>
      </c>
      <c r="BK227" s="120">
        <f t="shared" si="415"/>
        <v>0</v>
      </c>
      <c r="BL227" s="1896">
        <f t="shared" si="415"/>
        <v>0</v>
      </c>
      <c r="BM227" s="120">
        <f t="shared" si="415"/>
        <v>0</v>
      </c>
      <c r="BN227" s="120">
        <f t="shared" si="415"/>
        <v>0</v>
      </c>
      <c r="BO227" s="120">
        <f t="shared" si="415"/>
        <v>0</v>
      </c>
      <c r="BP227" s="120">
        <f t="shared" si="415"/>
        <v>0</v>
      </c>
      <c r="BQ227" s="1896">
        <f t="shared" si="415"/>
        <v>0</v>
      </c>
      <c r="BR227" s="120">
        <f t="shared" si="415"/>
        <v>0</v>
      </c>
      <c r="BS227" s="120">
        <f t="shared" si="415"/>
        <v>0</v>
      </c>
      <c r="BT227" s="120">
        <f t="shared" si="415"/>
        <v>0</v>
      </c>
      <c r="BU227" s="120">
        <f t="shared" si="415"/>
        <v>0</v>
      </c>
      <c r="BV227" s="1896">
        <f t="shared" si="415"/>
        <v>0</v>
      </c>
      <c r="BW227" s="120">
        <f t="shared" si="415"/>
        <v>0</v>
      </c>
      <c r="BX227" s="120">
        <f t="shared" si="415"/>
        <v>0</v>
      </c>
      <c r="BY227" s="120">
        <f t="shared" si="415"/>
        <v>0</v>
      </c>
      <c r="BZ227" s="120">
        <f t="shared" si="415"/>
        <v>0</v>
      </c>
      <c r="CA227" s="1896">
        <f t="shared" si="415"/>
        <v>0</v>
      </c>
      <c r="CB227" s="1910"/>
      <c r="CC227" s="687"/>
      <c r="CD227" s="687"/>
      <c r="CE227" s="120"/>
      <c r="CF227" s="120"/>
      <c r="CG227" s="120"/>
      <c r="CH227" s="120"/>
      <c r="CI227" s="120"/>
      <c r="CJ227" s="120"/>
      <c r="CK227" s="120"/>
      <c r="CL227" s="120"/>
      <c r="CM227" s="120"/>
      <c r="CN227" s="120"/>
      <c r="CO227" s="120"/>
      <c r="CP227" s="14"/>
      <c r="CQ227" s="14"/>
      <c r="CR227" s="14"/>
      <c r="CS227" s="14"/>
      <c r="CT227" s="688"/>
      <c r="CU227" s="1961"/>
      <c r="DB227" s="1961"/>
      <c r="DC227" s="1961"/>
      <c r="DD227" s="1961"/>
      <c r="DE227" s="1961"/>
      <c r="DF227" s="1961"/>
      <c r="DG227" s="1961"/>
      <c r="DH227" s="1961"/>
      <c r="DI227" s="126"/>
    </row>
    <row r="228" spans="1:113" ht="5.0999999999999996" customHeight="1" x14ac:dyDescent="0.25">
      <c r="A228" s="9"/>
      <c r="B228" s="689"/>
      <c r="C228" s="640"/>
      <c r="D228" s="640"/>
      <c r="E228" s="640"/>
      <c r="F228" s="640"/>
      <c r="G228" s="640"/>
      <c r="H228" s="9"/>
      <c r="I228" s="9"/>
      <c r="J228" s="690"/>
      <c r="K228" s="690"/>
      <c r="L228" s="690"/>
      <c r="M228" s="690"/>
      <c r="N228" s="9"/>
      <c r="O228" s="690"/>
      <c r="P228" s="9"/>
      <c r="Q228" s="657"/>
      <c r="R228" s="657"/>
      <c r="S228" s="9"/>
      <c r="T228" s="690"/>
      <c r="U228" s="9"/>
      <c r="V228" s="9"/>
      <c r="W228" s="9"/>
      <c r="X228" s="9"/>
      <c r="Y228" s="9"/>
      <c r="Z228" s="9"/>
      <c r="AA228" s="9"/>
      <c r="AB228" s="9"/>
      <c r="AC228" s="9"/>
      <c r="AD228" s="9"/>
      <c r="AE228" s="9"/>
      <c r="AF228" s="691"/>
      <c r="AG228" s="9"/>
      <c r="AH228" s="9"/>
      <c r="AI228" s="9"/>
      <c r="AJ228" s="9"/>
      <c r="AK228" s="9"/>
      <c r="AL228" s="9"/>
      <c r="AM228" s="9"/>
      <c r="AN228" s="9"/>
      <c r="AO228" s="9"/>
      <c r="AP228" s="9"/>
      <c r="AQ228" s="9"/>
      <c r="AR228" s="9"/>
      <c r="AS228" s="9"/>
      <c r="AT228" s="9"/>
      <c r="AU228" s="9"/>
      <c r="AV228" s="9"/>
      <c r="AW228" s="9"/>
      <c r="AX228" s="9"/>
      <c r="AY228" s="9"/>
      <c r="AZ228" s="9"/>
      <c r="BA228" s="9"/>
      <c r="BB228" s="486"/>
      <c r="BC228" s="9"/>
      <c r="BD228" s="9"/>
      <c r="BE228" s="9"/>
      <c r="BF228" s="9"/>
      <c r="BG228" s="486"/>
      <c r="BH228" s="9"/>
      <c r="BI228" s="9"/>
      <c r="BJ228" s="9"/>
      <c r="BK228" s="9"/>
      <c r="BL228" s="486"/>
      <c r="BM228" s="9"/>
      <c r="BN228" s="9"/>
      <c r="BO228" s="9"/>
      <c r="BP228" s="9"/>
      <c r="BQ228" s="486"/>
      <c r="BR228" s="9"/>
      <c r="BS228" s="9"/>
      <c r="BT228" s="9"/>
      <c r="BU228" s="9"/>
      <c r="BV228" s="486"/>
      <c r="BW228" s="9"/>
      <c r="BX228" s="9"/>
      <c r="BY228" s="9"/>
      <c r="BZ228" s="9"/>
      <c r="CA228" s="486"/>
      <c r="CB228" s="1910"/>
      <c r="CC228" s="9"/>
      <c r="CD228" s="9"/>
      <c r="CE228" s="9"/>
      <c r="CF228" s="9"/>
      <c r="CG228" s="9"/>
      <c r="CH228" s="9"/>
      <c r="CI228" s="9"/>
      <c r="CJ228" s="9"/>
      <c r="CK228" s="9"/>
      <c r="CL228" s="9"/>
      <c r="CM228" s="9"/>
      <c r="CN228" s="9"/>
      <c r="CO228" s="9"/>
      <c r="CP228" s="14"/>
      <c r="CQ228" s="14"/>
      <c r="CR228" s="14"/>
      <c r="CS228" s="14"/>
      <c r="CT228" s="688"/>
      <c r="CU228" s="1961"/>
      <c r="DB228" s="1961"/>
      <c r="DC228" s="1961"/>
      <c r="DD228" s="1961"/>
      <c r="DE228" s="1961"/>
      <c r="DF228" s="1961"/>
      <c r="DG228" s="1961"/>
      <c r="DH228" s="1961"/>
      <c r="DI228" s="9"/>
    </row>
    <row r="229" spans="1:113" x14ac:dyDescent="0.25">
      <c r="A229" s="412" t="s">
        <v>206</v>
      </c>
      <c r="B229" s="689"/>
      <c r="C229" s="640"/>
      <c r="D229" s="640"/>
      <c r="E229" s="640"/>
      <c r="F229" s="640"/>
      <c r="G229" s="640"/>
      <c r="H229" s="9"/>
      <c r="I229" s="9"/>
      <c r="J229" s="690"/>
      <c r="K229" s="690"/>
      <c r="L229" s="690"/>
      <c r="M229" s="690"/>
      <c r="N229" s="9"/>
      <c r="O229" s="690"/>
      <c r="P229" s="9"/>
      <c r="Q229" s="9"/>
      <c r="R229" s="657"/>
      <c r="S229" s="90"/>
      <c r="T229" s="690"/>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486"/>
      <c r="BC229" s="9"/>
      <c r="BD229" s="9"/>
      <c r="BE229" s="9"/>
      <c r="BF229" s="9"/>
      <c r="BG229" s="486"/>
      <c r="BH229" s="9"/>
      <c r="BI229" s="9"/>
      <c r="BJ229" s="9"/>
      <c r="BK229" s="9"/>
      <c r="BL229" s="486"/>
      <c r="BM229" s="9"/>
      <c r="BN229" s="9"/>
      <c r="BO229" s="9"/>
      <c r="BP229" s="9"/>
      <c r="BQ229" s="486"/>
      <c r="BR229" s="9"/>
      <c r="BS229" s="9"/>
      <c r="BT229" s="9"/>
      <c r="BU229" s="9"/>
      <c r="BV229" s="486"/>
      <c r="BW229" s="9"/>
      <c r="BX229" s="9"/>
      <c r="BY229" s="9"/>
      <c r="BZ229" s="9"/>
      <c r="CA229" s="486"/>
      <c r="CB229" s="1910"/>
      <c r="CC229" s="9"/>
      <c r="CD229" s="9"/>
      <c r="CE229" s="9"/>
      <c r="CF229" s="9"/>
      <c r="CG229" s="9"/>
      <c r="CH229" s="9"/>
      <c r="CI229" s="9"/>
      <c r="CJ229" s="9"/>
      <c r="CK229" s="9"/>
      <c r="CL229" s="9"/>
      <c r="CM229" s="9"/>
      <c r="CN229" s="9"/>
      <c r="CO229" s="9"/>
      <c r="CP229" s="14"/>
      <c r="CQ229" s="14"/>
      <c r="CR229" s="14"/>
      <c r="CS229" s="14"/>
      <c r="CT229" s="688"/>
      <c r="CU229" s="1961"/>
      <c r="DB229" s="1961"/>
      <c r="DC229" s="1961"/>
      <c r="DD229" s="1961"/>
      <c r="DE229" s="1961"/>
      <c r="DF229" s="1961"/>
      <c r="DG229" s="1961"/>
      <c r="DH229" s="1961"/>
      <c r="DI229" s="9"/>
    </row>
    <row r="230" spans="1:113" x14ac:dyDescent="0.25">
      <c r="A230" s="397" t="s">
        <v>99</v>
      </c>
      <c r="B230" s="692"/>
      <c r="C230" s="404">
        <f>+C$1</f>
        <v>2005</v>
      </c>
      <c r="D230" s="400">
        <f t="shared" ref="D230:BV230" si="416">+D$1</f>
        <v>2006</v>
      </c>
      <c r="E230" s="401" t="str">
        <f t="shared" si="416"/>
        <v>1Q07</v>
      </c>
      <c r="F230" s="401" t="str">
        <f t="shared" si="416"/>
        <v>2Q07</v>
      </c>
      <c r="G230" s="401" t="str">
        <f t="shared" si="416"/>
        <v>3Q07</v>
      </c>
      <c r="H230" s="401" t="str">
        <f t="shared" si="416"/>
        <v>4Q07</v>
      </c>
      <c r="I230" s="400">
        <f t="shared" si="416"/>
        <v>2007</v>
      </c>
      <c r="J230" s="401" t="str">
        <f t="shared" si="416"/>
        <v>1Q08</v>
      </c>
      <c r="K230" s="401" t="str">
        <f t="shared" si="416"/>
        <v>2Q08</v>
      </c>
      <c r="L230" s="401" t="str">
        <f t="shared" si="416"/>
        <v>3Q08</v>
      </c>
      <c r="M230" s="401" t="str">
        <f t="shared" si="416"/>
        <v>4Q08</v>
      </c>
      <c r="N230" s="400">
        <f t="shared" si="416"/>
        <v>2008</v>
      </c>
      <c r="O230" s="401" t="str">
        <f t="shared" si="416"/>
        <v>1Q09</v>
      </c>
      <c r="P230" s="401" t="str">
        <f t="shared" si="416"/>
        <v>2Q09</v>
      </c>
      <c r="Q230" s="401" t="str">
        <f t="shared" si="416"/>
        <v>3Q09</v>
      </c>
      <c r="R230" s="401" t="str">
        <f t="shared" si="416"/>
        <v>4Q09</v>
      </c>
      <c r="S230" s="693">
        <f t="shared" si="416"/>
        <v>2009</v>
      </c>
      <c r="T230" s="401" t="str">
        <f t="shared" si="416"/>
        <v>1Q10</v>
      </c>
      <c r="U230" s="401" t="str">
        <f t="shared" si="416"/>
        <v>2Q10</v>
      </c>
      <c r="V230" s="401" t="str">
        <f t="shared" si="416"/>
        <v>3Q10</v>
      </c>
      <c r="W230" s="401" t="str">
        <f t="shared" si="416"/>
        <v>4Q10</v>
      </c>
      <c r="X230" s="400">
        <f t="shared" si="416"/>
        <v>2010</v>
      </c>
      <c r="Y230" s="401" t="str">
        <f t="shared" si="416"/>
        <v>1Q11</v>
      </c>
      <c r="Z230" s="401" t="str">
        <f t="shared" si="416"/>
        <v>2Q11</v>
      </c>
      <c r="AA230" s="401" t="str">
        <f t="shared" si="416"/>
        <v>3Q11</v>
      </c>
      <c r="AB230" s="401" t="str">
        <f t="shared" si="416"/>
        <v>4Q11</v>
      </c>
      <c r="AC230" s="400">
        <f t="shared" si="416"/>
        <v>2011</v>
      </c>
      <c r="AD230" s="401" t="str">
        <f t="shared" si="416"/>
        <v>1Q12</v>
      </c>
      <c r="AE230" s="401" t="str">
        <f t="shared" si="416"/>
        <v>2Q12</v>
      </c>
      <c r="AF230" s="401" t="str">
        <f t="shared" si="416"/>
        <v>3Q12</v>
      </c>
      <c r="AG230" s="401" t="str">
        <f t="shared" si="416"/>
        <v>4Q12</v>
      </c>
      <c r="AH230" s="400">
        <f t="shared" si="416"/>
        <v>2012</v>
      </c>
      <c r="AI230" s="401" t="str">
        <f t="shared" si="416"/>
        <v>1Q13</v>
      </c>
      <c r="AJ230" s="401" t="str">
        <f t="shared" si="416"/>
        <v>2Q13</v>
      </c>
      <c r="AK230" s="401" t="str">
        <f t="shared" si="416"/>
        <v>3Q13</v>
      </c>
      <c r="AL230" s="401" t="str">
        <f t="shared" si="416"/>
        <v>4Q13</v>
      </c>
      <c r="AM230" s="400">
        <f t="shared" si="416"/>
        <v>2013</v>
      </c>
      <c r="AN230" s="399" t="str">
        <f>AN1</f>
        <v>1Q14</v>
      </c>
      <c r="AO230" s="401" t="str">
        <f>AO1</f>
        <v>2Q14</v>
      </c>
      <c r="AP230" s="401" t="str">
        <f>AP1</f>
        <v>3Q14</v>
      </c>
      <c r="AQ230" s="404" t="str">
        <f>AQ1</f>
        <v>4Q14</v>
      </c>
      <c r="AR230" s="400">
        <f t="shared" si="416"/>
        <v>2014</v>
      </c>
      <c r="AS230" s="399" t="str">
        <f>AS1</f>
        <v>1Q15</v>
      </c>
      <c r="AT230" s="401" t="str">
        <f>AT1</f>
        <v>2Q15</v>
      </c>
      <c r="AU230" s="401" t="str">
        <f>AU1</f>
        <v>3Q15</v>
      </c>
      <c r="AV230" s="404" t="str">
        <f>AV1</f>
        <v>4Q15</v>
      </c>
      <c r="AW230" s="489">
        <f t="shared" si="416"/>
        <v>2015</v>
      </c>
      <c r="AX230" s="401" t="str">
        <f>AX1</f>
        <v>1Q16</v>
      </c>
      <c r="AY230" s="401" t="str">
        <f>AY1</f>
        <v>2Q16</v>
      </c>
      <c r="AZ230" s="401" t="str">
        <f>AZ1</f>
        <v>3Q16</v>
      </c>
      <c r="BA230" s="404" t="str">
        <f>BA1</f>
        <v>4Q16</v>
      </c>
      <c r="BB230" s="489">
        <f t="shared" si="416"/>
        <v>2016</v>
      </c>
      <c r="BC230" s="401" t="str">
        <f>BC1</f>
        <v>1Q17</v>
      </c>
      <c r="BD230" s="401" t="str">
        <f>BD1</f>
        <v>2Q17</v>
      </c>
      <c r="BE230" s="401" t="str">
        <f>BE1</f>
        <v>3Q17</v>
      </c>
      <c r="BF230" s="404" t="str">
        <f>BF1</f>
        <v>4Q17</v>
      </c>
      <c r="BG230" s="489">
        <f t="shared" si="416"/>
        <v>2017</v>
      </c>
      <c r="BH230" s="401" t="str">
        <f>BH1</f>
        <v>1Q18E</v>
      </c>
      <c r="BI230" s="401" t="str">
        <f>BI1</f>
        <v>2Q18E</v>
      </c>
      <c r="BJ230" s="401" t="str">
        <f>BJ1</f>
        <v>3Q18E</v>
      </c>
      <c r="BK230" s="404" t="str">
        <f>BK1</f>
        <v>4Q18E</v>
      </c>
      <c r="BL230" s="489" t="str">
        <f t="shared" si="416"/>
        <v>2018E</v>
      </c>
      <c r="BM230" s="401" t="str">
        <f>BM1</f>
        <v>1Q19E</v>
      </c>
      <c r="BN230" s="401" t="str">
        <f>BN1</f>
        <v>2Q19E</v>
      </c>
      <c r="BO230" s="401" t="str">
        <f>BO1</f>
        <v>3Q19E</v>
      </c>
      <c r="BP230" s="404" t="str">
        <f>BP1</f>
        <v>4Q19E</v>
      </c>
      <c r="BQ230" s="489" t="str">
        <f t="shared" si="416"/>
        <v>2019E</v>
      </c>
      <c r="BR230" s="401" t="str">
        <f>BR1</f>
        <v>1Q20E</v>
      </c>
      <c r="BS230" s="401" t="str">
        <f>BS1</f>
        <v>2Q20E</v>
      </c>
      <c r="BT230" s="401" t="str">
        <f>BT1</f>
        <v>3Q20E</v>
      </c>
      <c r="BU230" s="404" t="str">
        <f>BU1</f>
        <v>4Q20E</v>
      </c>
      <c r="BV230" s="489" t="str">
        <f t="shared" si="416"/>
        <v>2020E</v>
      </c>
      <c r="BW230" s="401" t="str">
        <f>BW1</f>
        <v>1Q21E</v>
      </c>
      <c r="BX230" s="401" t="str">
        <f>BX1</f>
        <v>2Q21E</v>
      </c>
      <c r="BY230" s="401" t="str">
        <f>BY1</f>
        <v>3Q21E</v>
      </c>
      <c r="BZ230" s="404" t="str">
        <f>BZ1</f>
        <v>4Q21E</v>
      </c>
      <c r="CA230" s="489" t="str">
        <f>+CA$1</f>
        <v>2021E</v>
      </c>
      <c r="CB230" s="1910"/>
      <c r="CC230" s="694"/>
      <c r="CD230" s="397" t="str">
        <f>A230</f>
        <v>Fiscal Year Ending December 31</v>
      </c>
      <c r="CE230" s="60">
        <f>D230</f>
        <v>2006</v>
      </c>
      <c r="CF230" s="60">
        <f>I230</f>
        <v>2007</v>
      </c>
      <c r="CG230" s="60">
        <f>N230</f>
        <v>2008</v>
      </c>
      <c r="CH230" s="60">
        <f>S230</f>
        <v>2009</v>
      </c>
      <c r="CI230" s="60">
        <f>X230</f>
        <v>2010</v>
      </c>
      <c r="CJ230" s="60">
        <f>AC230</f>
        <v>2011</v>
      </c>
      <c r="CK230" s="60">
        <f>AH230</f>
        <v>2012</v>
      </c>
      <c r="CL230" s="60">
        <f>AM230</f>
        <v>2013</v>
      </c>
      <c r="CM230" s="60">
        <f>AR230</f>
        <v>2014</v>
      </c>
      <c r="CN230" s="60">
        <f>AW230</f>
        <v>2015</v>
      </c>
      <c r="CO230" s="60">
        <f>BB230</f>
        <v>2016</v>
      </c>
      <c r="CP230" s="62">
        <f>BG230</f>
        <v>2017</v>
      </c>
      <c r="CQ230" s="62" t="str">
        <f>BL230</f>
        <v>2018E</v>
      </c>
      <c r="CR230" s="62" t="str">
        <f>BQ230</f>
        <v>2019E</v>
      </c>
      <c r="CS230" s="62" t="str">
        <f>BV230</f>
        <v>2020E</v>
      </c>
      <c r="CT230" s="62" t="str">
        <f>CA230</f>
        <v>2021E</v>
      </c>
      <c r="CU230" s="1961"/>
      <c r="DB230" s="1961"/>
      <c r="DC230" s="1961"/>
      <c r="DD230" s="1961"/>
      <c r="DE230" s="1961"/>
      <c r="DF230" s="1961"/>
      <c r="DG230" s="1961"/>
      <c r="DH230" s="1961"/>
      <c r="DI230" s="491"/>
    </row>
    <row r="231" spans="1:113" ht="5.0999999999999996" customHeight="1" x14ac:dyDescent="0.25">
      <c r="A231" s="695"/>
      <c r="B231" s="696"/>
      <c r="C231" s="697"/>
      <c r="D231" s="698"/>
      <c r="E231" s="230"/>
      <c r="F231" s="230"/>
      <c r="G231" s="230"/>
      <c r="H231" s="236"/>
      <c r="I231" s="698"/>
      <c r="J231" s="236"/>
      <c r="K231" s="236"/>
      <c r="L231" s="241"/>
      <c r="M231" s="241"/>
      <c r="N231" s="698"/>
      <c r="O231" s="236"/>
      <c r="P231" s="241"/>
      <c r="Q231" s="241"/>
      <c r="R231" s="241"/>
      <c r="S231" s="699"/>
      <c r="T231" s="236"/>
      <c r="U231" s="241"/>
      <c r="V231" s="241"/>
      <c r="W231" s="241"/>
      <c r="X231" s="698"/>
      <c r="Y231" s="241"/>
      <c r="Z231" s="241"/>
      <c r="AA231" s="241"/>
      <c r="AB231" s="241"/>
      <c r="AC231" s="700"/>
      <c r="AD231" s="241"/>
      <c r="AE231" s="241"/>
      <c r="AF231" s="241"/>
      <c r="AG231" s="241"/>
      <c r="AH231" s="700"/>
      <c r="AI231" s="241"/>
      <c r="AJ231" s="241"/>
      <c r="AK231" s="241"/>
      <c r="AL231" s="241"/>
      <c r="AM231" s="700"/>
      <c r="AN231" s="701"/>
      <c r="AO231" s="241"/>
      <c r="AP231" s="241"/>
      <c r="AQ231" s="242"/>
      <c r="AR231" s="700"/>
      <c r="AS231" s="701"/>
      <c r="AT231" s="241"/>
      <c r="AU231" s="241"/>
      <c r="AV231" s="242"/>
      <c r="AW231" s="224"/>
      <c r="AX231" s="241"/>
      <c r="AY231" s="241"/>
      <c r="AZ231" s="241"/>
      <c r="BA231" s="242"/>
      <c r="BB231" s="225"/>
      <c r="BC231" s="241"/>
      <c r="BD231" s="241"/>
      <c r="BE231" s="241"/>
      <c r="BF231" s="242"/>
      <c r="BG231" s="225"/>
      <c r="BH231" s="241"/>
      <c r="BI231" s="241"/>
      <c r="BJ231" s="241"/>
      <c r="BK231" s="242"/>
      <c r="BL231" s="225"/>
      <c r="BM231" s="241"/>
      <c r="BN231" s="241"/>
      <c r="BO231" s="241"/>
      <c r="BP231" s="242"/>
      <c r="BQ231" s="225"/>
      <c r="BR231" s="241"/>
      <c r="BS231" s="241"/>
      <c r="BT231" s="241"/>
      <c r="BU231" s="242"/>
      <c r="BV231" s="225"/>
      <c r="BW231" s="241"/>
      <c r="BX231" s="241"/>
      <c r="BY231" s="241"/>
      <c r="BZ231" s="242"/>
      <c r="CA231" s="225"/>
      <c r="CB231" s="1910"/>
      <c r="CC231" s="78"/>
      <c r="CD231" s="695"/>
      <c r="CE231" s="700"/>
      <c r="CF231" s="700"/>
      <c r="CG231" s="700"/>
      <c r="CH231" s="700"/>
      <c r="CI231" s="700"/>
      <c r="CJ231" s="700"/>
      <c r="CK231" s="700"/>
      <c r="CL231" s="700"/>
      <c r="CM231" s="700"/>
      <c r="CN231" s="700"/>
      <c r="CO231" s="700"/>
      <c r="CP231" s="700"/>
      <c r="CQ231" s="700"/>
      <c r="CR231" s="700"/>
      <c r="CS231" s="700"/>
      <c r="CT231" s="700"/>
      <c r="CU231" s="1961"/>
      <c r="DB231" s="1961"/>
      <c r="DC231" s="1961"/>
      <c r="DD231" s="1961"/>
      <c r="DE231" s="1961"/>
      <c r="DF231" s="1961"/>
      <c r="DG231" s="1961"/>
      <c r="DH231" s="1961"/>
      <c r="DI231" s="226"/>
    </row>
    <row r="232" spans="1:113" x14ac:dyDescent="0.25">
      <c r="A232" s="702" t="s">
        <v>207</v>
      </c>
      <c r="B232" s="703"/>
      <c r="C232" s="704"/>
      <c r="D232" s="705"/>
      <c r="E232" s="78"/>
      <c r="F232" s="92"/>
      <c r="G232" s="92"/>
      <c r="H232" s="92"/>
      <c r="I232" s="441"/>
      <c r="J232" s="92"/>
      <c r="K232" s="92"/>
      <c r="L232" s="92"/>
      <c r="M232" s="706"/>
      <c r="N232" s="441"/>
      <c r="O232" s="92"/>
      <c r="P232" s="707"/>
      <c r="Q232" s="707"/>
      <c r="R232" s="706"/>
      <c r="S232" s="708"/>
      <c r="T232" s="92"/>
      <c r="U232" s="706"/>
      <c r="V232" s="706"/>
      <c r="W232" s="706"/>
      <c r="X232" s="441"/>
      <c r="Y232" s="143"/>
      <c r="Z232" s="143"/>
      <c r="AA232" s="143"/>
      <c r="AB232" s="143"/>
      <c r="AC232" s="709"/>
      <c r="AD232" s="143"/>
      <c r="AE232" s="143"/>
      <c r="AF232" s="143"/>
      <c r="AG232" s="143"/>
      <c r="AH232" s="709"/>
      <c r="AI232" s="143"/>
      <c r="AJ232" s="143"/>
      <c r="AK232" s="143"/>
      <c r="AL232" s="143"/>
      <c r="AM232" s="709"/>
      <c r="AN232" s="710"/>
      <c r="AO232" s="706"/>
      <c r="AP232" s="706"/>
      <c r="AQ232" s="711"/>
      <c r="AR232" s="709"/>
      <c r="AS232" s="710"/>
      <c r="AT232" s="706"/>
      <c r="AU232" s="706"/>
      <c r="AV232" s="711"/>
      <c r="AW232" s="712"/>
      <c r="AX232" s="706"/>
      <c r="AY232" s="706"/>
      <c r="AZ232" s="706"/>
      <c r="BA232" s="711"/>
      <c r="BB232" s="713"/>
      <c r="BC232" s="706"/>
      <c r="BD232" s="706"/>
      <c r="BE232" s="706"/>
      <c r="BF232" s="711"/>
      <c r="BG232" s="713"/>
      <c r="BH232" s="706"/>
      <c r="BI232" s="706"/>
      <c r="BJ232" s="706"/>
      <c r="BK232" s="711"/>
      <c r="BL232" s="713"/>
      <c r="BM232" s="706"/>
      <c r="BN232" s="706"/>
      <c r="BO232" s="706"/>
      <c r="BP232" s="711"/>
      <c r="BQ232" s="713"/>
      <c r="BR232" s="706"/>
      <c r="BS232" s="706"/>
      <c r="BT232" s="706"/>
      <c r="BU232" s="711"/>
      <c r="BV232" s="713"/>
      <c r="BW232" s="706"/>
      <c r="BX232" s="706"/>
      <c r="BY232" s="706"/>
      <c r="BZ232" s="711"/>
      <c r="CA232" s="713"/>
      <c r="CB232" s="1910"/>
      <c r="CC232" s="92"/>
      <c r="CD232" s="715" t="str">
        <f>+A232</f>
        <v>Risk Assessment:</v>
      </c>
      <c r="CE232" s="709"/>
      <c r="CF232" s="709"/>
      <c r="CG232" s="709"/>
      <c r="CH232" s="709"/>
      <c r="CI232" s="709"/>
      <c r="CJ232" s="709"/>
      <c r="CK232" s="709"/>
      <c r="CL232" s="709"/>
      <c r="CM232" s="709"/>
      <c r="CN232" s="709"/>
      <c r="CO232" s="709"/>
      <c r="CP232" s="709"/>
      <c r="CQ232" s="709"/>
      <c r="CR232" s="709"/>
      <c r="CS232" s="709"/>
      <c r="CT232" s="709"/>
      <c r="CU232" s="1961"/>
      <c r="DB232" s="1961"/>
      <c r="DC232" s="1961"/>
      <c r="DD232" s="1961"/>
      <c r="DE232" s="1961"/>
      <c r="DF232" s="1961"/>
      <c r="DG232" s="1961"/>
      <c r="DH232" s="1961"/>
      <c r="DI232" s="716"/>
    </row>
    <row r="233" spans="1:113" hidden="1" outlineLevel="1" x14ac:dyDescent="0.25">
      <c r="A233" s="717" t="s">
        <v>208</v>
      </c>
      <c r="B233" s="703"/>
      <c r="C233" s="718">
        <f>290.204</f>
        <v>290.20400000000001</v>
      </c>
      <c r="D233" s="718">
        <v>303.95699999999999</v>
      </c>
      <c r="E233" s="719"/>
      <c r="F233" s="719"/>
      <c r="G233" s="719">
        <f>234.518-157.045</f>
        <v>77.473000000000013</v>
      </c>
      <c r="H233" s="719">
        <f>I233-234.518</f>
        <v>76.568999999999988</v>
      </c>
      <c r="I233" s="718">
        <v>311.08699999999999</v>
      </c>
      <c r="J233" s="719">
        <v>83.215999999999994</v>
      </c>
      <c r="K233" s="719">
        <f>165.719-J233</f>
        <v>82.503</v>
      </c>
      <c r="L233" s="719">
        <v>81.801000000000002</v>
      </c>
      <c r="M233" s="719">
        <v>82.337999999999994</v>
      </c>
      <c r="N233" s="718">
        <v>329.858</v>
      </c>
      <c r="O233" s="719">
        <v>85.147000000000006</v>
      </c>
      <c r="P233" s="719">
        <v>87.046000000000006</v>
      </c>
      <c r="Q233" s="719">
        <v>84.159000000000006</v>
      </c>
      <c r="R233" s="719">
        <v>84.727000000000004</v>
      </c>
      <c r="S233" s="720">
        <f>SUM(O233:R233)</f>
        <v>341.07900000000006</v>
      </c>
      <c r="T233" s="719">
        <v>88.043999999999997</v>
      </c>
      <c r="U233" s="719">
        <v>87.427000000000007</v>
      </c>
      <c r="V233" s="719">
        <v>88.644000000000005</v>
      </c>
      <c r="W233" s="719">
        <v>89.385999999999996</v>
      </c>
      <c r="X233" s="720">
        <f>SUM(T233:W233)</f>
        <v>353.50099999999998</v>
      </c>
      <c r="Y233" s="719">
        <v>92.856999999999999</v>
      </c>
      <c r="Z233" s="719">
        <v>92.388999999999996</v>
      </c>
      <c r="AA233" s="719">
        <v>92.894000000000005</v>
      </c>
      <c r="AB233" s="719">
        <f>Revenue_end_mkt!L4</f>
        <v>93.754000000000005</v>
      </c>
      <c r="AC233" s="720">
        <f>SUM(Y233:AB233)</f>
        <v>371.89400000000001</v>
      </c>
      <c r="AD233" s="719">
        <v>99.134</v>
      </c>
      <c r="AE233" s="719">
        <v>98.01</v>
      </c>
      <c r="AF233" s="719">
        <v>98.27</v>
      </c>
      <c r="AG233" s="719">
        <v>114.05200000000001</v>
      </c>
      <c r="AH233" s="721">
        <f>SUM(AD233:AG233)</f>
        <v>409.46600000000001</v>
      </c>
      <c r="AI233" s="719">
        <v>116.45</v>
      </c>
      <c r="AJ233" s="719">
        <v>117.289</v>
      </c>
      <c r="AK233" s="719">
        <v>118.23399999999999</v>
      </c>
      <c r="AL233" s="719">
        <v>119.157</v>
      </c>
      <c r="AM233" s="721">
        <f>SUM(AI233:AL233)</f>
        <v>471.13</v>
      </c>
      <c r="AN233" s="719">
        <v>123.81699999999999</v>
      </c>
      <c r="AO233" s="719">
        <f>+Revenue_end_mkt!Y4</f>
        <v>123.194</v>
      </c>
      <c r="AP233" s="719">
        <f>+Revenue_end_mkt!Z4</f>
        <v>122.83</v>
      </c>
      <c r="AQ233" s="722">
        <f>+Revenue_end_mkt!AA4</f>
        <v>125.224</v>
      </c>
      <c r="AR233" s="712">
        <f>SUM(AN233:AQ233)</f>
        <v>495.065</v>
      </c>
      <c r="AS233" s="722">
        <f>+Revenue_end_mkt!AC4</f>
        <v>130.596</v>
      </c>
      <c r="AT233" s="722">
        <f>+Revenue_end_mkt!AD4</f>
        <v>130.77600000000001</v>
      </c>
      <c r="AU233" s="722">
        <f>+Revenue_end_mkt!AE4</f>
        <v>131.09299999999999</v>
      </c>
      <c r="AV233" s="723">
        <f>+Revenue_end_mkt!AF4</f>
        <v>132.1</v>
      </c>
      <c r="AW233" s="712">
        <f>SUM(AS233:AV233)</f>
        <v>524.56500000000005</v>
      </c>
      <c r="AX233" s="722">
        <f>+Revenue_end_mkt!AH4</f>
        <v>137.42699999999999</v>
      </c>
      <c r="AY233" s="722">
        <f>+Revenue_end_mkt!AI4</f>
        <v>138.59899999999999</v>
      </c>
      <c r="AZ233" s="722">
        <f>+Revenue_end_mkt!AJ4</f>
        <v>138.178</v>
      </c>
      <c r="BA233" s="722">
        <f>+Revenue_end_mkt!AK4</f>
        <v>139.9</v>
      </c>
      <c r="BB233" s="712">
        <f>+Revenue_end_mkt!AL4</f>
        <v>554.10399999999993</v>
      </c>
      <c r="BC233" s="722">
        <f>+Revenue_end_mkt!AM4</f>
        <v>145.6</v>
      </c>
      <c r="BD233" s="722">
        <f>+Revenue_end_mkt!AN4</f>
        <v>148.1</v>
      </c>
      <c r="BE233" s="722">
        <f>+Revenue_end_mkt!AO4</f>
        <v>149</v>
      </c>
      <c r="BF233" s="722">
        <f>+Revenue_end_mkt!AP4</f>
        <v>151</v>
      </c>
      <c r="BG233" s="712">
        <f>+Revenue_end_mkt!AQ4</f>
        <v>593.70000000000005</v>
      </c>
      <c r="BH233" s="722">
        <f>+Revenue_end_mkt!AR4</f>
        <v>153.244</v>
      </c>
      <c r="BI233" s="722">
        <f>+Revenue_end_mkt!AS4</f>
        <v>155.87524999999999</v>
      </c>
      <c r="BJ233" s="722">
        <f>+Revenue_end_mkt!AT4</f>
        <v>155.70499999999998</v>
      </c>
      <c r="BK233" s="722">
        <f>+Revenue_end_mkt!AU4</f>
        <v>157.41749999999999</v>
      </c>
      <c r="BL233" s="712">
        <f>+Revenue_end_mkt!AV4</f>
        <v>622.24174999999991</v>
      </c>
      <c r="BM233" s="722">
        <f>+Revenue_end_mkt!AW4</f>
        <v>161.67241999999999</v>
      </c>
      <c r="BN233" s="722">
        <f>+Revenue_end_mkt!AX4</f>
        <v>164.44838874999999</v>
      </c>
      <c r="BO233" s="722">
        <f>+Revenue_end_mkt!AY4</f>
        <v>164.26877499999998</v>
      </c>
      <c r="BP233" s="722">
        <f>+Revenue_end_mkt!AZ4</f>
        <v>166.07546249999999</v>
      </c>
      <c r="BQ233" s="712">
        <f>+Revenue_end_mkt!BA4</f>
        <v>656.46504624999989</v>
      </c>
      <c r="BR233" s="722">
        <f>+Revenue_end_mkt!BB4</f>
        <v>170.56440309999996</v>
      </c>
      <c r="BS233" s="722">
        <f>+Revenue_end_mkt!BC4</f>
        <v>173.49305013124999</v>
      </c>
      <c r="BT233" s="722">
        <f>+Revenue_end_mkt!BD4</f>
        <v>173.30355762499997</v>
      </c>
      <c r="BU233" s="722">
        <f>+Revenue_end_mkt!BE4</f>
        <v>175.20961293749997</v>
      </c>
      <c r="BV233" s="712">
        <f>+Revenue_end_mkt!BF4</f>
        <v>692.57062379374986</v>
      </c>
      <c r="BW233" s="722">
        <f>+Revenue_end_mkt!BG4</f>
        <v>179.94544527049996</v>
      </c>
      <c r="BX233" s="722">
        <f>+Revenue_end_mkt!BH4</f>
        <v>183.03516788846872</v>
      </c>
      <c r="BY233" s="722">
        <f>+Revenue_end_mkt!BI4</f>
        <v>182.83525329437495</v>
      </c>
      <c r="BZ233" s="722">
        <f>+Revenue_end_mkt!BJ4</f>
        <v>184.84614164906245</v>
      </c>
      <c r="CA233" s="712">
        <f>+Revenue_end_mkt!BK4</f>
        <v>730.66200810240616</v>
      </c>
      <c r="CB233" s="1910"/>
      <c r="CC233" s="92"/>
      <c r="CD233" s="717" t="str">
        <f>A233</f>
        <v>Industry Standard Insurance Programs</v>
      </c>
      <c r="CE233" s="709">
        <f>D233</f>
        <v>303.95699999999999</v>
      </c>
      <c r="CF233" s="709">
        <f>I233</f>
        <v>311.08699999999999</v>
      </c>
      <c r="CG233" s="709">
        <f>N233</f>
        <v>329.858</v>
      </c>
      <c r="CH233" s="709">
        <f>S233</f>
        <v>341.07900000000006</v>
      </c>
      <c r="CI233" s="709">
        <f>X233</f>
        <v>353.50099999999998</v>
      </c>
      <c r="CJ233" s="709">
        <f>AC233</f>
        <v>371.89400000000001</v>
      </c>
      <c r="CK233" s="709">
        <f>AH233</f>
        <v>409.46600000000001</v>
      </c>
      <c r="CL233" s="709">
        <f>AM233</f>
        <v>471.13</v>
      </c>
      <c r="CM233" s="709">
        <f>AR233</f>
        <v>495.065</v>
      </c>
      <c r="CN233" s="709">
        <f>AW233</f>
        <v>524.56500000000005</v>
      </c>
      <c r="CO233" s="709">
        <f>BB233</f>
        <v>554.10399999999993</v>
      </c>
      <c r="CP233" s="709">
        <f>BG233</f>
        <v>593.70000000000005</v>
      </c>
      <c r="CQ233" s="709">
        <f>BL233</f>
        <v>622.24174999999991</v>
      </c>
      <c r="CR233" s="709">
        <f>BQ233</f>
        <v>656.46504624999989</v>
      </c>
      <c r="CS233" s="709">
        <f>BV233</f>
        <v>692.57062379374986</v>
      </c>
      <c r="CT233" s="709">
        <f>CA233</f>
        <v>730.66200810240616</v>
      </c>
      <c r="CU233" s="1961"/>
      <c r="DB233" s="1961"/>
      <c r="DC233" s="1961"/>
      <c r="DD233" s="1961"/>
      <c r="DE233" s="1961"/>
      <c r="DF233" s="1961"/>
      <c r="DG233" s="1961"/>
      <c r="DH233" s="1961"/>
      <c r="DI233" s="716"/>
    </row>
    <row r="234" spans="1:113" hidden="1" outlineLevel="1" x14ac:dyDescent="0.25">
      <c r="A234" s="724" t="s">
        <v>209</v>
      </c>
      <c r="B234" s="703"/>
      <c r="C234" s="441"/>
      <c r="D234" s="441">
        <f>D233/C233-1</f>
        <v>4.7390800953811762E-2</v>
      </c>
      <c r="E234" s="92"/>
      <c r="F234" s="92"/>
      <c r="G234" s="92"/>
      <c r="H234" s="92"/>
      <c r="I234" s="441">
        <f>I233/D233-1</f>
        <v>2.3457265336873201E-2</v>
      </c>
      <c r="J234" s="92"/>
      <c r="K234" s="92"/>
      <c r="L234" s="92">
        <f t="shared" ref="L234:AB234" si="417">L233/G233-1</f>
        <v>5.5864623804422031E-2</v>
      </c>
      <c r="M234" s="92">
        <f t="shared" si="417"/>
        <v>7.5343807546135011E-2</v>
      </c>
      <c r="N234" s="441">
        <f t="shared" si="417"/>
        <v>6.0340033495453138E-2</v>
      </c>
      <c r="O234" s="92">
        <f t="shared" si="417"/>
        <v>2.3204672178427366E-2</v>
      </c>
      <c r="P234" s="92">
        <f t="shared" si="417"/>
        <v>5.5064664315237044E-2</v>
      </c>
      <c r="Q234" s="92">
        <f t="shared" si="417"/>
        <v>2.8826053471229018E-2</v>
      </c>
      <c r="R234" s="92">
        <f t="shared" si="417"/>
        <v>2.9014549782603538E-2</v>
      </c>
      <c r="S234" s="441">
        <f t="shared" si="417"/>
        <v>3.4017668208744523E-2</v>
      </c>
      <c r="T234" s="92">
        <f t="shared" si="417"/>
        <v>3.4023512278764878E-2</v>
      </c>
      <c r="U234" s="92">
        <f t="shared" si="417"/>
        <v>4.3769960710429157E-3</v>
      </c>
      <c r="V234" s="92">
        <f t="shared" si="417"/>
        <v>5.3291983032117685E-2</v>
      </c>
      <c r="W234" s="92">
        <f t="shared" si="417"/>
        <v>5.4988374426097941E-2</v>
      </c>
      <c r="X234" s="441">
        <f t="shared" si="417"/>
        <v>3.6419715080670212E-2</v>
      </c>
      <c r="Y234" s="92">
        <f t="shared" si="417"/>
        <v>5.4665848893735047E-2</v>
      </c>
      <c r="Z234" s="92">
        <f t="shared" si="417"/>
        <v>5.6755922083566723E-2</v>
      </c>
      <c r="AA234" s="92">
        <f t="shared" si="417"/>
        <v>4.7944587338116573E-2</v>
      </c>
      <c r="AB234" s="92">
        <f t="shared" si="417"/>
        <v>4.8866712908061771E-2</v>
      </c>
      <c r="AC234" s="441">
        <f>AC233/X233-1</f>
        <v>5.2030970209419491E-2</v>
      </c>
      <c r="AD234" s="92"/>
      <c r="AE234" s="92"/>
      <c r="AF234" s="92"/>
      <c r="AG234" s="92"/>
      <c r="AH234" s="725"/>
      <c r="AI234" s="726">
        <f t="shared" ref="AI234:AS234" si="418">+AI233/SUM(AD242,AD239,AD233)-1</f>
        <v>3.5921431875600485E-2</v>
      </c>
      <c r="AJ234" s="726">
        <f t="shared" si="418"/>
        <v>4.9753870938870515E-2</v>
      </c>
      <c r="AK234" s="726">
        <f t="shared" si="418"/>
        <v>5.1417493686194859E-2</v>
      </c>
      <c r="AL234" s="726">
        <f t="shared" si="418"/>
        <v>4.4760284782379811E-2</v>
      </c>
      <c r="AM234" s="725">
        <f>AM233/AH233-1</f>
        <v>0.15059614229264451</v>
      </c>
      <c r="AN234" s="726">
        <f t="shared" si="418"/>
        <v>6.32632030914555E-2</v>
      </c>
      <c r="AO234" s="726">
        <f t="shared" si="418"/>
        <v>5.0345727220796554E-2</v>
      </c>
      <c r="AP234" s="726">
        <f t="shared" si="418"/>
        <v>3.8872067256457532E-2</v>
      </c>
      <c r="AQ234" s="726">
        <f t="shared" si="418"/>
        <v>5.091601836232873E-2</v>
      </c>
      <c r="AR234" s="709"/>
      <c r="AS234" s="726">
        <f t="shared" si="418"/>
        <v>5.4750155471381179E-2</v>
      </c>
      <c r="AT234" s="726">
        <f>+AT233/SUM(AO242,AO239,AO233)-1</f>
        <v>6.1545205123626268E-2</v>
      </c>
      <c r="AU234" s="726">
        <f>+AU233/SUM(AP242,AP239,AP233)-1</f>
        <v>6.7271839127248878E-2</v>
      </c>
      <c r="AV234" s="727">
        <f>+AV233/SUM(AQ242,AQ239,AQ233)-1</f>
        <v>5.490960199322803E-2</v>
      </c>
      <c r="AW234" s="441">
        <f>AW233/AR233-1</f>
        <v>5.9588134891378042E-2</v>
      </c>
      <c r="AX234" s="726">
        <f>+AX233/SUM(AS242,AS239,AS233)-1</f>
        <v>5.2306349352200687E-2</v>
      </c>
      <c r="AY234" s="726">
        <f t="shared" ref="AY234:BG234" si="419">+AY233/SUM(AT242,AT239,AT233)-1</f>
        <v>5.9819844619807716E-2</v>
      </c>
      <c r="AZ234" s="726">
        <f t="shared" si="419"/>
        <v>5.4045601214405048E-2</v>
      </c>
      <c r="BA234" s="726">
        <f t="shared" si="419"/>
        <v>5.9046177138531553E-2</v>
      </c>
      <c r="BB234" s="441">
        <f t="shared" si="419"/>
        <v>5.6311419938424923E-2</v>
      </c>
      <c r="BC234" s="726">
        <f t="shared" si="419"/>
        <v>5.947157399928682E-2</v>
      </c>
      <c r="BD234" s="726">
        <f t="shared" si="419"/>
        <v>6.8550278140534937E-2</v>
      </c>
      <c r="BE234" s="726">
        <f t="shared" si="419"/>
        <v>7.8319269348231968E-2</v>
      </c>
      <c r="BF234" s="726">
        <f t="shared" si="419"/>
        <v>7.9342387419585325E-2</v>
      </c>
      <c r="BG234" s="441">
        <f t="shared" si="419"/>
        <v>7.1459509406176736E-2</v>
      </c>
      <c r="BH234" s="726">
        <f t="shared" ref="BH234:CA234" si="420">+BH233/SUM(BC242,BC239,BC233)-1</f>
        <v>5.2499999999999991E-2</v>
      </c>
      <c r="BI234" s="726">
        <f t="shared" si="420"/>
        <v>5.2499999999999991E-2</v>
      </c>
      <c r="BJ234" s="726">
        <f t="shared" si="420"/>
        <v>4.4999999999999929E-2</v>
      </c>
      <c r="BK234" s="726">
        <f t="shared" si="420"/>
        <v>4.2499999999999982E-2</v>
      </c>
      <c r="BL234" s="441">
        <f t="shared" si="420"/>
        <v>4.8074364156981408E-2</v>
      </c>
      <c r="BM234" s="726">
        <f t="shared" si="420"/>
        <v>5.4999999999999938E-2</v>
      </c>
      <c r="BN234" s="726">
        <f t="shared" si="420"/>
        <v>5.4999999999999938E-2</v>
      </c>
      <c r="BO234" s="726">
        <f t="shared" si="420"/>
        <v>5.4999999999999938E-2</v>
      </c>
      <c r="BP234" s="726">
        <f t="shared" si="420"/>
        <v>5.4999999999999938E-2</v>
      </c>
      <c r="BQ234" s="441">
        <f t="shared" si="420"/>
        <v>5.4999999999999938E-2</v>
      </c>
      <c r="BR234" s="726">
        <f t="shared" si="420"/>
        <v>5.4999999999999938E-2</v>
      </c>
      <c r="BS234" s="726">
        <f t="shared" si="420"/>
        <v>5.4999999999999938E-2</v>
      </c>
      <c r="BT234" s="726">
        <f t="shared" si="420"/>
        <v>5.4999999999999938E-2</v>
      </c>
      <c r="BU234" s="726">
        <f t="shared" si="420"/>
        <v>5.4999999999999938E-2</v>
      </c>
      <c r="BV234" s="441">
        <f t="shared" si="420"/>
        <v>5.4999999999999938E-2</v>
      </c>
      <c r="BW234" s="726">
        <f t="shared" si="420"/>
        <v>5.4999999999999938E-2</v>
      </c>
      <c r="BX234" s="726">
        <f t="shared" si="420"/>
        <v>5.4999999999999938E-2</v>
      </c>
      <c r="BY234" s="726">
        <f t="shared" si="420"/>
        <v>5.4999999999999938E-2</v>
      </c>
      <c r="BZ234" s="726">
        <f t="shared" si="420"/>
        <v>5.4999999999999938E-2</v>
      </c>
      <c r="CA234" s="441">
        <f t="shared" si="420"/>
        <v>5.500000000000016E-2</v>
      </c>
      <c r="CB234" s="1910"/>
      <c r="CC234" s="92"/>
      <c r="CD234" s="728" t="str">
        <f>A234</f>
        <v>YoY Change</v>
      </c>
      <c r="CE234" s="709">
        <f>D234</f>
        <v>4.7390800953811762E-2</v>
      </c>
      <c r="CF234" s="709">
        <f>I234</f>
        <v>2.3457265336873201E-2</v>
      </c>
      <c r="CG234" s="709">
        <f>N234</f>
        <v>6.0340033495453138E-2</v>
      </c>
      <c r="CH234" s="709">
        <f>S234</f>
        <v>3.4017668208744523E-2</v>
      </c>
      <c r="CI234" s="709">
        <f>X234</f>
        <v>3.6419715080670212E-2</v>
      </c>
      <c r="CJ234" s="709">
        <f>AC234</f>
        <v>5.2030970209419491E-2</v>
      </c>
      <c r="CK234" s="709">
        <f>AH234</f>
        <v>0</v>
      </c>
      <c r="CL234" s="709">
        <f>AM234</f>
        <v>0.15059614229264451</v>
      </c>
      <c r="CM234" s="709">
        <f>AR234</f>
        <v>0</v>
      </c>
      <c r="CN234" s="709">
        <f>AW234</f>
        <v>5.9588134891378042E-2</v>
      </c>
      <c r="CO234" s="709">
        <f>BB234</f>
        <v>5.6311419938424923E-2</v>
      </c>
      <c r="CP234" s="709">
        <f>BG234</f>
        <v>7.1459509406176736E-2</v>
      </c>
      <c r="CQ234" s="709">
        <f>BL234</f>
        <v>4.8074364156981408E-2</v>
      </c>
      <c r="CR234" s="709">
        <f>BQ234</f>
        <v>5.4999999999999938E-2</v>
      </c>
      <c r="CS234" s="709">
        <f>BV234</f>
        <v>5.4999999999999938E-2</v>
      </c>
      <c r="CT234" s="709">
        <f>CA234</f>
        <v>5.500000000000016E-2</v>
      </c>
      <c r="CU234" s="1961"/>
      <c r="DB234" s="1961"/>
      <c r="DC234" s="1961"/>
      <c r="DD234" s="1961"/>
      <c r="DE234" s="1961"/>
      <c r="DF234" s="1961"/>
      <c r="DG234" s="1961"/>
      <c r="DH234" s="1961"/>
      <c r="DI234" s="716"/>
    </row>
    <row r="235" spans="1:113" ht="9" hidden="1" customHeight="1" outlineLevel="1" x14ac:dyDescent="0.25">
      <c r="A235" s="729"/>
      <c r="B235" s="730"/>
      <c r="C235" s="91"/>
      <c r="D235" s="91"/>
      <c r="E235" s="90"/>
      <c r="F235" s="90"/>
      <c r="G235" s="90"/>
      <c r="H235" s="90"/>
      <c r="I235" s="91"/>
      <c r="J235" s="90"/>
      <c r="K235" s="90"/>
      <c r="L235" s="90"/>
      <c r="M235" s="90"/>
      <c r="N235" s="91"/>
      <c r="O235" s="90"/>
      <c r="P235" s="90"/>
      <c r="Q235" s="90"/>
      <c r="R235" s="90"/>
      <c r="S235" s="91"/>
      <c r="T235" s="90"/>
      <c r="U235" s="90"/>
      <c r="V235" s="90"/>
      <c r="W235" s="90"/>
      <c r="X235" s="91"/>
      <c r="Y235" s="90"/>
      <c r="Z235" s="90"/>
      <c r="AA235" s="90"/>
      <c r="AB235" s="90"/>
      <c r="AC235" s="731"/>
      <c r="AD235" s="90"/>
      <c r="AE235" s="90"/>
      <c r="AF235" s="90"/>
      <c r="AG235" s="90"/>
      <c r="AH235" s="731"/>
      <c r="AI235" s="90"/>
      <c r="AJ235" s="147"/>
      <c r="AK235" s="147"/>
      <c r="AL235" s="147"/>
      <c r="AM235" s="731"/>
      <c r="AN235" s="90"/>
      <c r="AO235" s="716"/>
      <c r="AP235" s="716"/>
      <c r="AQ235" s="716"/>
      <c r="AR235" s="731"/>
      <c r="AS235" s="90"/>
      <c r="AT235" s="716"/>
      <c r="AU235" s="716"/>
      <c r="AV235" s="714"/>
      <c r="AW235" s="731"/>
      <c r="AX235" s="716"/>
      <c r="AY235" s="716"/>
      <c r="AZ235" s="716"/>
      <c r="BA235" s="716"/>
      <c r="BB235" s="731"/>
      <c r="BC235" s="716"/>
      <c r="BD235" s="716"/>
      <c r="BE235" s="716"/>
      <c r="BF235" s="716"/>
      <c r="BG235" s="731"/>
      <c r="BH235" s="716"/>
      <c r="BI235" s="716"/>
      <c r="BJ235" s="716"/>
      <c r="BK235" s="716"/>
      <c r="BL235" s="731"/>
      <c r="BM235" s="716"/>
      <c r="BN235" s="716"/>
      <c r="BO235" s="716"/>
      <c r="BP235" s="716"/>
      <c r="BQ235" s="731"/>
      <c r="BR235" s="716"/>
      <c r="BS235" s="716"/>
      <c r="BT235" s="716"/>
      <c r="BU235" s="716"/>
      <c r="BV235" s="731"/>
      <c r="BW235" s="716"/>
      <c r="BX235" s="716"/>
      <c r="BY235" s="716"/>
      <c r="BZ235" s="716"/>
      <c r="CA235" s="731"/>
      <c r="CB235" s="1910"/>
      <c r="CC235" s="9"/>
      <c r="CD235" s="732"/>
      <c r="CE235" s="731"/>
      <c r="CF235" s="731"/>
      <c r="CG235" s="731"/>
      <c r="CH235" s="731"/>
      <c r="CI235" s="731"/>
      <c r="CJ235" s="731"/>
      <c r="CK235" s="731"/>
      <c r="CL235" s="731"/>
      <c r="CM235" s="731"/>
      <c r="CN235" s="731"/>
      <c r="CO235" s="731"/>
      <c r="CP235" s="731"/>
      <c r="CQ235" s="731"/>
      <c r="CR235" s="731"/>
      <c r="CS235" s="731"/>
      <c r="CT235" s="731"/>
      <c r="CU235" s="6"/>
      <c r="DB235" s="1961"/>
      <c r="DC235" s="1961"/>
      <c r="DD235" s="1961"/>
      <c r="DE235" s="1961"/>
      <c r="DF235" s="1961"/>
      <c r="DG235" s="1961"/>
      <c r="DH235" s="1961"/>
      <c r="DI235" s="716"/>
    </row>
    <row r="236" spans="1:113" hidden="1" outlineLevel="1" x14ac:dyDescent="0.25">
      <c r="A236" s="733" t="s">
        <v>210</v>
      </c>
      <c r="B236" s="703"/>
      <c r="C236" s="718">
        <v>114.467</v>
      </c>
      <c r="D236" s="718">
        <v>123.627</v>
      </c>
      <c r="E236" s="719"/>
      <c r="F236" s="719"/>
      <c r="G236" s="719">
        <f>95.195-63.786</f>
        <v>31.408999999999992</v>
      </c>
      <c r="H236" s="719">
        <f>I236-95.195</f>
        <v>31.096000000000004</v>
      </c>
      <c r="I236" s="718">
        <v>126.291</v>
      </c>
      <c r="J236" s="719">
        <v>31.678000000000001</v>
      </c>
      <c r="K236" s="719">
        <f>63.344-J236</f>
        <v>31.666</v>
      </c>
      <c r="L236" s="719">
        <v>31.23</v>
      </c>
      <c r="M236" s="719">
        <v>31.260999999999999</v>
      </c>
      <c r="N236" s="718">
        <v>125.83499999999999</v>
      </c>
      <c r="O236" s="719">
        <v>32.000999999999998</v>
      </c>
      <c r="P236" s="719">
        <v>33.868000000000002</v>
      </c>
      <c r="Q236" s="719">
        <v>33.219000000000001</v>
      </c>
      <c r="R236" s="719">
        <v>32.939</v>
      </c>
      <c r="S236" s="720">
        <f>SUM(O236:R236)</f>
        <v>132.02699999999999</v>
      </c>
      <c r="T236" s="719">
        <v>33.959000000000003</v>
      </c>
      <c r="U236" s="719">
        <v>34.267000000000003</v>
      </c>
      <c r="V236" s="719">
        <v>34.506999999999998</v>
      </c>
      <c r="W236" s="719">
        <v>34.338000000000001</v>
      </c>
      <c r="X236" s="720">
        <f>SUM(T236:W236)</f>
        <v>137.071</v>
      </c>
      <c r="Y236" s="719">
        <v>34.497</v>
      </c>
      <c r="Z236" s="719">
        <v>35.017000000000003</v>
      </c>
      <c r="AA236" s="719">
        <v>33.106999999999999</v>
      </c>
      <c r="AB236" s="719">
        <v>34.512</v>
      </c>
      <c r="AC236" s="720">
        <f>SUM(Y236:AB236)</f>
        <v>137.13300000000001</v>
      </c>
      <c r="AD236" s="719">
        <v>32.557000000000002</v>
      </c>
      <c r="AE236" s="719">
        <v>32.459000000000003</v>
      </c>
      <c r="AF236" s="719">
        <v>31.414999999999999</v>
      </c>
      <c r="AG236" s="719">
        <v>32.429000000000002</v>
      </c>
      <c r="AH236" s="721">
        <f>SUM(AD236:AG236)</f>
        <v>128.86000000000001</v>
      </c>
      <c r="AI236" s="719">
        <v>36.162999999999997</v>
      </c>
      <c r="AJ236" s="719">
        <v>36.97</v>
      </c>
      <c r="AK236" s="719">
        <v>36.820999999999998</v>
      </c>
      <c r="AL236" s="719">
        <v>37.192</v>
      </c>
      <c r="AM236" s="721">
        <f>SUM(AI236:AL236)</f>
        <v>147.14599999999999</v>
      </c>
      <c r="AN236" s="719">
        <v>38.496000000000002</v>
      </c>
      <c r="AO236" s="719">
        <f>+Revenue_end_mkt!Y7</f>
        <v>38.758000000000003</v>
      </c>
      <c r="AP236" s="719">
        <f>+Revenue_end_mkt!Z7</f>
        <v>38.624000000000002</v>
      </c>
      <c r="AQ236" s="722">
        <f>+Revenue_end_mkt!AA7</f>
        <v>39.709000000000003</v>
      </c>
      <c r="AR236" s="712">
        <f>SUM(AN236:AQ236)</f>
        <v>155.58700000000002</v>
      </c>
      <c r="AS236" s="722">
        <f>+Revenue_end_mkt!AC7</f>
        <v>40.345999999999997</v>
      </c>
      <c r="AT236" s="722">
        <f>+Revenue_end_mkt!AD7</f>
        <v>40.954000000000001</v>
      </c>
      <c r="AU236" s="722">
        <f>+Revenue_end_mkt!AE7</f>
        <v>40.634</v>
      </c>
      <c r="AV236" s="723">
        <f>+Revenue_end_mkt!AF7</f>
        <v>41.7</v>
      </c>
      <c r="AW236" s="712">
        <f>SUM(AS236:AV236)</f>
        <v>163.63400000000001</v>
      </c>
      <c r="AX236" s="722">
        <f>+Revenue_end_mkt!AH7</f>
        <v>42.329000000000001</v>
      </c>
      <c r="AY236" s="722">
        <f>+Revenue_end_mkt!AI7</f>
        <v>42.518000000000001</v>
      </c>
      <c r="AZ236" s="722">
        <f>+Revenue_end_mkt!AJ7</f>
        <v>42.595999999999997</v>
      </c>
      <c r="BA236" s="722">
        <f>+Revenue_end_mkt!AK7</f>
        <v>42.7</v>
      </c>
      <c r="BB236" s="712">
        <f>+Revenue_end_mkt!AL7</f>
        <v>170.14300000000003</v>
      </c>
      <c r="BC236" s="722">
        <f>+Revenue_end_mkt!AM7</f>
        <v>43.8</v>
      </c>
      <c r="BD236" s="722">
        <f>+Revenue_end_mkt!AN7</f>
        <v>44.5</v>
      </c>
      <c r="BE236" s="722">
        <f>+Revenue_end_mkt!AO7</f>
        <v>44.2</v>
      </c>
      <c r="BF236" s="722">
        <f>+Revenue_end_mkt!AP7</f>
        <v>44.2</v>
      </c>
      <c r="BG236" s="712">
        <f>+Revenue_end_mkt!AQ7</f>
        <v>176.70000000000005</v>
      </c>
      <c r="BH236" s="722">
        <f>+Revenue_end_mkt!AR7</f>
        <v>45.152500000000003</v>
      </c>
      <c r="BI236" s="722">
        <f>+Revenue_end_mkt!AS7</f>
        <v>45.873250000000013</v>
      </c>
      <c r="BJ236" s="722">
        <f>+Revenue_end_mkt!AT7</f>
        <v>46.672000000000025</v>
      </c>
      <c r="BK236" s="722">
        <f>+Revenue_end_mkt!AU7</f>
        <v>46.078499999999991</v>
      </c>
      <c r="BL236" s="712">
        <f>+Revenue_end_mkt!AV7</f>
        <v>183.77625</v>
      </c>
      <c r="BM236" s="722">
        <f>+Revenue_end_mkt!AW7</f>
        <v>46.643905000000018</v>
      </c>
      <c r="BN236" s="722">
        <f>+Revenue_end_mkt!AX7</f>
        <v>47.387536250000011</v>
      </c>
      <c r="BO236" s="722">
        <f>+Revenue_end_mkt!AY7</f>
        <v>48.227075000000042</v>
      </c>
      <c r="BP236" s="722">
        <f>+Revenue_end_mkt!AZ7</f>
        <v>47.595337499999999</v>
      </c>
      <c r="BQ236" s="712">
        <f>+Revenue_end_mkt!BA7</f>
        <v>189.8538537500001</v>
      </c>
      <c r="BR236" s="722">
        <f>+Revenue_end_mkt!BB7</f>
        <v>48.167738150000048</v>
      </c>
      <c r="BS236" s="722">
        <f>+Revenue_end_mkt!BC7</f>
        <v>48.934671118750032</v>
      </c>
      <c r="BT236" s="722">
        <f>+Revenue_end_mkt!BD7</f>
        <v>49.817084875000063</v>
      </c>
      <c r="BU236" s="722">
        <f>+Revenue_end_mkt!BE7</f>
        <v>49.144727062500039</v>
      </c>
      <c r="BV236" s="712">
        <f>+Revenue_end_mkt!BF7</f>
        <v>196.06422120625018</v>
      </c>
      <c r="BW236" s="722">
        <f>+Revenue_end_mkt!BG7</f>
        <v>49.723303042000055</v>
      </c>
      <c r="BX236" s="722">
        <f>+Revenue_end_mkt!BH7</f>
        <v>50.513939424031321</v>
      </c>
      <c r="BY236" s="722">
        <f>+Revenue_end_mkt!BI7</f>
        <v>51.441421330625104</v>
      </c>
      <c r="BZ236" s="722">
        <f>+Revenue_end_mkt!BJ7</f>
        <v>50.725915350937584</v>
      </c>
      <c r="CA236" s="712">
        <f>+Revenue_end_mkt!BK7</f>
        <v>202.40457914759395</v>
      </c>
      <c r="CB236" s="1910"/>
      <c r="CC236" s="92"/>
      <c r="CD236" s="733" t="str">
        <f>A236</f>
        <v>Property-Specific Rating and U/W Info (SPI Database)</v>
      </c>
      <c r="CE236" s="709">
        <f>D236</f>
        <v>123.627</v>
      </c>
      <c r="CF236" s="709">
        <f>I236</f>
        <v>126.291</v>
      </c>
      <c r="CG236" s="709">
        <f>N236</f>
        <v>125.83499999999999</v>
      </c>
      <c r="CH236" s="709">
        <f>S236</f>
        <v>132.02699999999999</v>
      </c>
      <c r="CI236" s="709">
        <f>X236</f>
        <v>137.071</v>
      </c>
      <c r="CJ236" s="709">
        <f>AC236</f>
        <v>137.13300000000001</v>
      </c>
      <c r="CK236" s="709">
        <f>AH236</f>
        <v>128.86000000000001</v>
      </c>
      <c r="CL236" s="709">
        <f>AM236</f>
        <v>147.14599999999999</v>
      </c>
      <c r="CM236" s="709">
        <f>AR236</f>
        <v>155.58700000000002</v>
      </c>
      <c r="CN236" s="709">
        <f>AW236</f>
        <v>163.63400000000001</v>
      </c>
      <c r="CO236" s="709">
        <f>BB236</f>
        <v>170.14300000000003</v>
      </c>
      <c r="CP236" s="709">
        <f>BG236</f>
        <v>176.70000000000005</v>
      </c>
      <c r="CQ236" s="709">
        <f>BL236</f>
        <v>183.77625</v>
      </c>
      <c r="CR236" s="709">
        <f>BQ236</f>
        <v>189.8538537500001</v>
      </c>
      <c r="CS236" s="709">
        <f>BV236</f>
        <v>196.06422120625018</v>
      </c>
      <c r="CT236" s="709">
        <f>CA236</f>
        <v>202.40457914759395</v>
      </c>
      <c r="CU236" s="1961"/>
      <c r="DB236" s="1961"/>
      <c r="DC236" s="1961"/>
      <c r="DD236" s="1961"/>
      <c r="DE236" s="1961"/>
      <c r="DF236" s="1961"/>
      <c r="DG236" s="1961"/>
      <c r="DH236" s="1961"/>
      <c r="DI236" s="716"/>
    </row>
    <row r="237" spans="1:113" hidden="1" outlineLevel="1" x14ac:dyDescent="0.25">
      <c r="A237" s="724" t="s">
        <v>209</v>
      </c>
      <c r="B237" s="703"/>
      <c r="C237" s="441"/>
      <c r="D237" s="441">
        <f>D236/C236-1</f>
        <v>8.0023063415656903E-2</v>
      </c>
      <c r="E237" s="92"/>
      <c r="F237" s="92"/>
      <c r="G237" s="92"/>
      <c r="H237" s="92"/>
      <c r="I237" s="441">
        <f>I236/D236-1</f>
        <v>2.1548690819966465E-2</v>
      </c>
      <c r="J237" s="92"/>
      <c r="K237" s="92"/>
      <c r="L237" s="92">
        <f t="shared" ref="L237:AB237" si="421">L236/G236-1</f>
        <v>-5.6990034703425785E-3</v>
      </c>
      <c r="M237" s="92">
        <f t="shared" si="421"/>
        <v>5.3061487007974861E-3</v>
      </c>
      <c r="N237" s="441">
        <f t="shared" si="421"/>
        <v>-3.6107086015630951E-3</v>
      </c>
      <c r="O237" s="92">
        <f t="shared" si="421"/>
        <v>1.019635077972092E-2</v>
      </c>
      <c r="P237" s="92">
        <f t="shared" si="421"/>
        <v>6.9538306069601541E-2</v>
      </c>
      <c r="Q237" s="92">
        <f t="shared" si="421"/>
        <v>6.3688760806916545E-2</v>
      </c>
      <c r="R237" s="92">
        <f t="shared" si="421"/>
        <v>5.3677105658808122E-2</v>
      </c>
      <c r="S237" s="441">
        <f t="shared" si="421"/>
        <v>4.9207295267612361E-2</v>
      </c>
      <c r="T237" s="92">
        <f t="shared" si="421"/>
        <v>6.1185587950376652E-2</v>
      </c>
      <c r="U237" s="92">
        <f t="shared" si="421"/>
        <v>1.1781032242825118E-2</v>
      </c>
      <c r="V237" s="92">
        <f t="shared" si="421"/>
        <v>3.8772991360366049E-2</v>
      </c>
      <c r="W237" s="92">
        <f t="shared" si="421"/>
        <v>4.2472449072528118E-2</v>
      </c>
      <c r="X237" s="441">
        <f t="shared" si="421"/>
        <v>3.820430669484276E-2</v>
      </c>
      <c r="Y237" s="92">
        <f t="shared" si="421"/>
        <v>1.5842633764244995E-2</v>
      </c>
      <c r="Z237" s="92">
        <f t="shared" si="421"/>
        <v>2.1886946625032877E-2</v>
      </c>
      <c r="AA237" s="92">
        <f t="shared" si="421"/>
        <v>-4.0571478250789661E-2</v>
      </c>
      <c r="AB237" s="92">
        <f t="shared" si="421"/>
        <v>5.0672724095752741E-3</v>
      </c>
      <c r="AC237" s="441">
        <f>AC236/X236-1</f>
        <v>4.5232033033992813E-4</v>
      </c>
      <c r="AD237" s="92"/>
      <c r="AE237" s="92"/>
      <c r="AF237" s="92"/>
      <c r="AG237" s="92"/>
      <c r="AH237" s="725"/>
      <c r="AI237" s="726">
        <f>+AI236/AD236-1</f>
        <v>0.11075959087139453</v>
      </c>
      <c r="AJ237" s="734">
        <f>+AJ236/AE236-1</f>
        <v>0.13897532271480939</v>
      </c>
      <c r="AK237" s="735">
        <f>+AK236/AF236-1</f>
        <v>0.17208339964984876</v>
      </c>
      <c r="AL237" s="736">
        <f>+AL236/AG236-1</f>
        <v>0.14687471090690418</v>
      </c>
      <c r="AM237" s="725">
        <f>AM236/AH236-1</f>
        <v>0.1419059444358215</v>
      </c>
      <c r="AN237" s="726">
        <f>+AN236/AI236-1</f>
        <v>6.4513452976799668E-2</v>
      </c>
      <c r="AO237" s="92">
        <f>+AO236/AJ236-1</f>
        <v>4.836353800378701E-2</v>
      </c>
      <c r="AP237" s="92">
        <f>+AP236/AK236-1</f>
        <v>4.8966622307922147E-2</v>
      </c>
      <c r="AQ237" s="92">
        <f>+AQ236/AL236-1</f>
        <v>6.767584426758444E-2</v>
      </c>
      <c r="AR237" s="709"/>
      <c r="AS237" s="92">
        <f>+AS236/AN236-1</f>
        <v>4.8056940980881091E-2</v>
      </c>
      <c r="AT237" s="92">
        <f>+AT236/AO236-1</f>
        <v>5.6659270344187052E-2</v>
      </c>
      <c r="AU237" s="92">
        <f>+AU236/AP236-1</f>
        <v>5.2040182270091107E-2</v>
      </c>
      <c r="AV237" s="442">
        <f>+AV236/AQ236-1</f>
        <v>5.0139766803495522E-2</v>
      </c>
      <c r="AW237" s="441">
        <f>AW236/AR236-1</f>
        <v>5.1720259404705926E-2</v>
      </c>
      <c r="AX237" s="92">
        <f>+AX236/AS236-1</f>
        <v>4.9149853764933527E-2</v>
      </c>
      <c r="AY237" s="92">
        <f t="shared" ref="AY237:BG237" si="422">+AY236/AT236-1</f>
        <v>3.8189187869316799E-2</v>
      </c>
      <c r="AZ237" s="92">
        <f t="shared" si="422"/>
        <v>4.8284687699955642E-2</v>
      </c>
      <c r="BA237" s="92">
        <f t="shared" si="422"/>
        <v>2.3980815347721895E-2</v>
      </c>
      <c r="BB237" s="441">
        <f t="shared" si="422"/>
        <v>3.9777796790398279E-2</v>
      </c>
      <c r="BC237" s="92">
        <f t="shared" si="422"/>
        <v>3.4751588745304485E-2</v>
      </c>
      <c r="BD237" s="92">
        <f t="shared" si="422"/>
        <v>4.6615551060727123E-2</v>
      </c>
      <c r="BE237" s="92">
        <f t="shared" si="422"/>
        <v>3.7656117945347178E-2</v>
      </c>
      <c r="BF237" s="92">
        <f t="shared" si="422"/>
        <v>3.5128805620608938E-2</v>
      </c>
      <c r="BG237" s="441">
        <f t="shared" si="422"/>
        <v>3.8538170832770113E-2</v>
      </c>
      <c r="BH237" s="92">
        <f t="shared" ref="BH237:CA237" si="423">+BH236/BC236-1</f>
        <v>3.0878995433790024E-2</v>
      </c>
      <c r="BI237" s="92">
        <f t="shared" si="423"/>
        <v>3.0859550561798121E-2</v>
      </c>
      <c r="BJ237" s="92">
        <f t="shared" si="423"/>
        <v>5.5927601809955263E-2</v>
      </c>
      <c r="BK237" s="92">
        <f t="shared" si="423"/>
        <v>4.249999999999976E-2</v>
      </c>
      <c r="BL237" s="441">
        <f t="shared" si="423"/>
        <v>4.0046689303904648E-2</v>
      </c>
      <c r="BM237" s="92">
        <f t="shared" si="423"/>
        <v>3.3030396987985489E-2</v>
      </c>
      <c r="BN237" s="92">
        <f t="shared" si="423"/>
        <v>3.3010223823252138E-2</v>
      </c>
      <c r="BO237" s="92">
        <f t="shared" si="423"/>
        <v>3.3319227802537155E-2</v>
      </c>
      <c r="BP237" s="92">
        <f t="shared" si="423"/>
        <v>3.29185520361992E-2</v>
      </c>
      <c r="BQ237" s="441">
        <f t="shared" si="423"/>
        <v>3.3070670176369887E-2</v>
      </c>
      <c r="BR237" s="92">
        <f t="shared" si="423"/>
        <v>3.2669502049625265E-2</v>
      </c>
      <c r="BS237" s="92">
        <f t="shared" si="423"/>
        <v>3.2648561017983413E-2</v>
      </c>
      <c r="BT237" s="92">
        <f t="shared" si="423"/>
        <v>3.2969237197155721E-2</v>
      </c>
      <c r="BU237" s="92">
        <f t="shared" si="423"/>
        <v>3.2553389552076206E-2</v>
      </c>
      <c r="BV237" s="441">
        <f t="shared" si="423"/>
        <v>3.2711305741667474E-2</v>
      </c>
      <c r="BW237" s="92">
        <f t="shared" si="423"/>
        <v>3.2294746478561898E-2</v>
      </c>
      <c r="BX237" s="92">
        <f t="shared" si="423"/>
        <v>3.2272993139135897E-2</v>
      </c>
      <c r="BY237" s="92">
        <f t="shared" si="423"/>
        <v>3.2606011766862508E-2</v>
      </c>
      <c r="BZ237" s="92">
        <f t="shared" si="423"/>
        <v>3.2174118831236109E-2</v>
      </c>
      <c r="CA237" s="441">
        <f t="shared" si="423"/>
        <v>3.233816910773335E-2</v>
      </c>
      <c r="CB237" s="1910"/>
      <c r="CC237" s="92"/>
      <c r="CD237" s="728" t="str">
        <f>A237</f>
        <v>YoY Change</v>
      </c>
      <c r="CE237" s="709">
        <f>D237</f>
        <v>8.0023063415656903E-2</v>
      </c>
      <c r="CF237" s="709">
        <f>I237</f>
        <v>2.1548690819966465E-2</v>
      </c>
      <c r="CG237" s="709">
        <f>N237</f>
        <v>-3.6107086015630951E-3</v>
      </c>
      <c r="CH237" s="709">
        <f>S237</f>
        <v>4.9207295267612361E-2</v>
      </c>
      <c r="CI237" s="709">
        <f>X237</f>
        <v>3.820430669484276E-2</v>
      </c>
      <c r="CJ237" s="709">
        <f>AC237</f>
        <v>4.5232033033992813E-4</v>
      </c>
      <c r="CK237" s="709">
        <f>AH237</f>
        <v>0</v>
      </c>
      <c r="CL237" s="709">
        <f>AM237</f>
        <v>0.1419059444358215</v>
      </c>
      <c r="CM237" s="709">
        <f>AR237</f>
        <v>0</v>
      </c>
      <c r="CN237" s="709">
        <f>AW237</f>
        <v>5.1720259404705926E-2</v>
      </c>
      <c r="CO237" s="709">
        <f>BB237</f>
        <v>3.9777796790398279E-2</v>
      </c>
      <c r="CP237" s="709">
        <f>BG237</f>
        <v>3.8538170832770113E-2</v>
      </c>
      <c r="CQ237" s="709">
        <f>BL237</f>
        <v>4.0046689303904648E-2</v>
      </c>
      <c r="CR237" s="709">
        <f>BQ237</f>
        <v>3.3070670176369887E-2</v>
      </c>
      <c r="CS237" s="709">
        <f>BV237</f>
        <v>3.2711305741667474E-2</v>
      </c>
      <c r="CT237" s="709">
        <f>CA237</f>
        <v>3.233816910773335E-2</v>
      </c>
      <c r="CU237" s="1961"/>
      <c r="DB237" s="1961"/>
      <c r="DC237" s="1961"/>
      <c r="DD237" s="1961"/>
      <c r="DE237" s="1961"/>
      <c r="DF237" s="1961"/>
      <c r="DG237" s="1961"/>
      <c r="DH237" s="1961"/>
      <c r="DI237" s="716"/>
    </row>
    <row r="238" spans="1:113" ht="9" hidden="1" customHeight="1" outlineLevel="2" x14ac:dyDescent="0.25">
      <c r="A238" s="729"/>
      <c r="B238" s="730"/>
      <c r="C238" s="91"/>
      <c r="D238" s="91"/>
      <c r="E238" s="90"/>
      <c r="F238" s="90"/>
      <c r="G238" s="90"/>
      <c r="H238" s="90"/>
      <c r="I238" s="91"/>
      <c r="J238" s="90"/>
      <c r="K238" s="90"/>
      <c r="L238" s="90"/>
      <c r="M238" s="90"/>
      <c r="N238" s="91"/>
      <c r="O238" s="90"/>
      <c r="P238" s="90"/>
      <c r="Q238" s="90"/>
      <c r="R238" s="90"/>
      <c r="S238" s="91"/>
      <c r="T238" s="90"/>
      <c r="U238" s="90"/>
      <c r="V238" s="90"/>
      <c r="W238" s="90"/>
      <c r="X238" s="91"/>
      <c r="Y238" s="90"/>
      <c r="Z238" s="90"/>
      <c r="AA238" s="90"/>
      <c r="AB238" s="90"/>
      <c r="AC238" s="731"/>
      <c r="AD238" s="90"/>
      <c r="AE238" s="90"/>
      <c r="AF238" s="90"/>
      <c r="AG238" s="90"/>
      <c r="AH238" s="731"/>
      <c r="AI238" s="90"/>
      <c r="AJ238" s="147"/>
      <c r="AK238" s="147"/>
      <c r="AL238" s="147"/>
      <c r="AM238" s="731"/>
      <c r="AN238" s="90"/>
      <c r="AO238" s="716"/>
      <c r="AP238" s="716"/>
      <c r="AQ238" s="716"/>
      <c r="AR238" s="731"/>
      <c r="AS238" s="90"/>
      <c r="AT238" s="716"/>
      <c r="AU238" s="716"/>
      <c r="AV238" s="714"/>
      <c r="AW238" s="731"/>
      <c r="AX238" s="716"/>
      <c r="AY238" s="716"/>
      <c r="AZ238" s="716"/>
      <c r="BA238" s="714"/>
      <c r="BB238" s="713"/>
      <c r="BC238" s="716"/>
      <c r="BD238" s="716"/>
      <c r="BE238" s="716"/>
      <c r="BF238" s="714"/>
      <c r="BG238" s="713"/>
      <c r="BH238" s="716"/>
      <c r="BI238" s="716"/>
      <c r="BJ238" s="716"/>
      <c r="BK238" s="714"/>
      <c r="BL238" s="713"/>
      <c r="BM238" s="716"/>
      <c r="BN238" s="716"/>
      <c r="BO238" s="716"/>
      <c r="BP238" s="714"/>
      <c r="BQ238" s="713"/>
      <c r="BR238" s="716"/>
      <c r="BS238" s="716"/>
      <c r="BT238" s="716"/>
      <c r="BU238" s="714"/>
      <c r="BV238" s="713"/>
      <c r="BW238" s="716"/>
      <c r="BX238" s="716"/>
      <c r="BY238" s="716"/>
      <c r="BZ238" s="714"/>
      <c r="CA238" s="713"/>
      <c r="CB238" s="1910"/>
      <c r="CC238" s="9"/>
      <c r="CD238" s="732"/>
      <c r="CE238" s="731"/>
      <c r="CF238" s="731"/>
      <c r="CG238" s="731"/>
      <c r="CH238" s="731"/>
      <c r="CI238" s="731"/>
      <c r="CJ238" s="731"/>
      <c r="CK238" s="731"/>
      <c r="CL238" s="731"/>
      <c r="CM238" s="731"/>
      <c r="CN238" s="731"/>
      <c r="CO238" s="731"/>
      <c r="CP238" s="731"/>
      <c r="CQ238" s="731"/>
      <c r="CR238" s="731"/>
      <c r="CS238" s="731"/>
      <c r="CT238" s="731"/>
      <c r="CU238" s="6"/>
      <c r="DB238" s="1961"/>
      <c r="DC238" s="1961"/>
      <c r="DD238" s="1961"/>
      <c r="DE238" s="1961"/>
      <c r="DF238" s="1961"/>
      <c r="DG238" s="1961"/>
      <c r="DH238" s="1961"/>
      <c r="DI238" s="716"/>
    </row>
    <row r="239" spans="1:113" hidden="1" outlineLevel="2" x14ac:dyDescent="0.25">
      <c r="A239" s="717" t="s">
        <v>211</v>
      </c>
      <c r="B239" s="703"/>
      <c r="C239" s="718">
        <v>25.228000000000002</v>
      </c>
      <c r="D239" s="718">
        <v>25.792999999999999</v>
      </c>
      <c r="E239" s="719"/>
      <c r="F239" s="719"/>
      <c r="G239" s="719">
        <f>20.299-13.643</f>
        <v>6.6559999999999988</v>
      </c>
      <c r="H239" s="719">
        <f>I239-20.299</f>
        <v>6.9830000000000005</v>
      </c>
      <c r="I239" s="718">
        <v>27.282</v>
      </c>
      <c r="J239" s="719">
        <v>6.8049999999999997</v>
      </c>
      <c r="K239" s="719">
        <f>13.82-J239</f>
        <v>7.0150000000000006</v>
      </c>
      <c r="L239" s="719">
        <v>6.7359999999999998</v>
      </c>
      <c r="M239" s="719">
        <v>6.8949999999999996</v>
      </c>
      <c r="N239" s="718">
        <v>27.451000000000001</v>
      </c>
      <c r="O239" s="719">
        <v>7.0579999999999998</v>
      </c>
      <c r="P239" s="719">
        <v>7.077</v>
      </c>
      <c r="Q239" s="719">
        <v>7.0190000000000001</v>
      </c>
      <c r="R239" s="719">
        <v>7.4649999999999999</v>
      </c>
      <c r="S239" s="720">
        <f>SUM(O239:R239)</f>
        <v>28.619</v>
      </c>
      <c r="T239" s="719">
        <v>7.1790000000000003</v>
      </c>
      <c r="U239" s="719">
        <v>7.19</v>
      </c>
      <c r="V239" s="719">
        <v>7.51</v>
      </c>
      <c r="W239" s="719">
        <v>7.4779999999999998</v>
      </c>
      <c r="X239" s="720">
        <f>SUM(T239:W239)</f>
        <v>29.356999999999999</v>
      </c>
      <c r="Y239" s="719">
        <v>7.742</v>
      </c>
      <c r="Z239" s="719">
        <v>7.633</v>
      </c>
      <c r="AA239" s="719">
        <v>7.8879999999999999</v>
      </c>
      <c r="AB239" s="719">
        <f>Revenue_end_mkt!L10</f>
        <v>8.2550000000000008</v>
      </c>
      <c r="AC239" s="720">
        <f>SUM(Y239:AB239)</f>
        <v>31.518000000000001</v>
      </c>
      <c r="AD239" s="719">
        <f>Revenue_end_mkt!N10</f>
        <v>7.7240000000000002</v>
      </c>
      <c r="AE239" s="719">
        <f>Revenue_end_mkt!O10</f>
        <v>8.1300000000000008</v>
      </c>
      <c r="AF239" s="719">
        <f>Revenue_end_mkt!P10</f>
        <v>8.0559999999999992</v>
      </c>
      <c r="AG239" s="719"/>
      <c r="AH239" s="721">
        <f>SUM(AD239:AG239)</f>
        <v>23.91</v>
      </c>
      <c r="AI239" s="719"/>
      <c r="AJ239" s="143"/>
      <c r="AK239" s="143"/>
      <c r="AL239" s="143"/>
      <c r="AM239" s="721"/>
      <c r="AN239" s="719"/>
      <c r="AO239" s="706"/>
      <c r="AP239" s="706"/>
      <c r="AQ239" s="706"/>
      <c r="AR239" s="709"/>
      <c r="AS239" s="719"/>
      <c r="AT239" s="706"/>
      <c r="AU239" s="706"/>
      <c r="AV239" s="711"/>
      <c r="AW239" s="731"/>
      <c r="AX239" s="706"/>
      <c r="AY239" s="706"/>
      <c r="AZ239" s="706"/>
      <c r="BA239" s="711"/>
      <c r="BB239" s="713"/>
      <c r="BC239" s="706"/>
      <c r="BD239" s="706"/>
      <c r="BE239" s="706"/>
      <c r="BF239" s="711"/>
      <c r="BG239" s="713"/>
      <c r="BH239" s="706"/>
      <c r="BI239" s="706"/>
      <c r="BJ239" s="706"/>
      <c r="BK239" s="711"/>
      <c r="BL239" s="713"/>
      <c r="BM239" s="706"/>
      <c r="BN239" s="706"/>
      <c r="BO239" s="706"/>
      <c r="BP239" s="711"/>
      <c r="BQ239" s="713"/>
      <c r="BR239" s="706"/>
      <c r="BS239" s="706"/>
      <c r="BT239" s="706"/>
      <c r="BU239" s="711"/>
      <c r="BV239" s="713"/>
      <c r="BW239" s="706"/>
      <c r="BX239" s="706"/>
      <c r="BY239" s="706"/>
      <c r="BZ239" s="711"/>
      <c r="CA239" s="713"/>
      <c r="CB239" s="1910"/>
      <c r="CC239" s="92"/>
      <c r="CD239" s="717" t="str">
        <f>A239</f>
        <v>Statistical Agency and Data Services</v>
      </c>
      <c r="CE239" s="709">
        <f>D239</f>
        <v>25.792999999999999</v>
      </c>
      <c r="CF239" s="709">
        <f>I239</f>
        <v>27.282</v>
      </c>
      <c r="CG239" s="709">
        <f>N239</f>
        <v>27.451000000000001</v>
      </c>
      <c r="CH239" s="709">
        <f>S239</f>
        <v>28.619</v>
      </c>
      <c r="CI239" s="709">
        <f>X239</f>
        <v>29.356999999999999</v>
      </c>
      <c r="CJ239" s="709">
        <f>AC239</f>
        <v>31.518000000000001</v>
      </c>
      <c r="CK239" s="709">
        <f>AH239</f>
        <v>23.91</v>
      </c>
      <c r="CL239" s="709">
        <f>AM239</f>
        <v>0</v>
      </c>
      <c r="CM239" s="709">
        <f>AR239</f>
        <v>0</v>
      </c>
      <c r="CN239" s="709">
        <f>AW239</f>
        <v>0</v>
      </c>
      <c r="CO239" s="709">
        <f>BB239</f>
        <v>0</v>
      </c>
      <c r="CP239" s="709">
        <f>BG239</f>
        <v>0</v>
      </c>
      <c r="CQ239" s="709">
        <f>BL239</f>
        <v>0</v>
      </c>
      <c r="CR239" s="709">
        <f>BQ239</f>
        <v>0</v>
      </c>
      <c r="CS239" s="709">
        <f>BV239</f>
        <v>0</v>
      </c>
      <c r="CT239" s="709">
        <f>CA239</f>
        <v>0</v>
      </c>
      <c r="CU239" s="1961"/>
      <c r="DB239" s="1961"/>
      <c r="DC239" s="1961"/>
      <c r="DD239" s="1961"/>
      <c r="DE239" s="1961"/>
      <c r="DF239" s="1961"/>
      <c r="DG239" s="1961"/>
      <c r="DH239" s="1961"/>
      <c r="DI239" s="716"/>
    </row>
    <row r="240" spans="1:113" hidden="1" outlineLevel="2" x14ac:dyDescent="0.25">
      <c r="A240" s="724" t="s">
        <v>209</v>
      </c>
      <c r="B240" s="703"/>
      <c r="C240" s="441"/>
      <c r="D240" s="441">
        <f>D239/C239-1</f>
        <v>2.2395750753131383E-2</v>
      </c>
      <c r="E240" s="92"/>
      <c r="F240" s="92"/>
      <c r="G240" s="92"/>
      <c r="H240" s="92"/>
      <c r="I240" s="441">
        <f>I239/D239-1</f>
        <v>5.7728841158453781E-2</v>
      </c>
      <c r="J240" s="92"/>
      <c r="K240" s="92"/>
      <c r="L240" s="92">
        <f t="shared" ref="L240:AF240" si="424">L239/G239-1</f>
        <v>1.2019230769230838E-2</v>
      </c>
      <c r="M240" s="92">
        <f t="shared" si="424"/>
        <v>-1.2602033509952926E-2</v>
      </c>
      <c r="N240" s="441">
        <f t="shared" si="424"/>
        <v>6.1945605160911299E-3</v>
      </c>
      <c r="O240" s="92">
        <f t="shared" si="424"/>
        <v>3.71785451873623E-2</v>
      </c>
      <c r="P240" s="92">
        <f t="shared" si="424"/>
        <v>8.8382038488952208E-3</v>
      </c>
      <c r="Q240" s="92">
        <f t="shared" si="424"/>
        <v>4.2013064133016753E-2</v>
      </c>
      <c r="R240" s="92">
        <f t="shared" si="424"/>
        <v>8.266860043509805E-2</v>
      </c>
      <c r="S240" s="441">
        <f t="shared" si="424"/>
        <v>4.2548541036756315E-2</v>
      </c>
      <c r="T240" s="92">
        <f t="shared" si="424"/>
        <v>1.7143666761122223E-2</v>
      </c>
      <c r="U240" s="92">
        <f t="shared" si="424"/>
        <v>1.5967217747633322E-2</v>
      </c>
      <c r="V240" s="92">
        <f t="shared" si="424"/>
        <v>6.995298475566325E-2</v>
      </c>
      <c r="W240" s="92">
        <f t="shared" si="424"/>
        <v>1.7414601473542124E-3</v>
      </c>
      <c r="X240" s="441">
        <f t="shared" si="424"/>
        <v>2.5787064537544868E-2</v>
      </c>
      <c r="Y240" s="92">
        <f t="shared" si="424"/>
        <v>7.8423178715698594E-2</v>
      </c>
      <c r="Z240" s="92">
        <f t="shared" si="424"/>
        <v>6.1613351877607636E-2</v>
      </c>
      <c r="AA240" s="92">
        <f t="shared" si="424"/>
        <v>5.0332889480692478E-2</v>
      </c>
      <c r="AB240" s="92">
        <f t="shared" si="424"/>
        <v>0.10390478737630393</v>
      </c>
      <c r="AC240" s="441">
        <f>AC239/X239-1</f>
        <v>7.3611063800797183E-2</v>
      </c>
      <c r="AD240" s="92">
        <f t="shared" si="424"/>
        <v>-2.3249806251613991E-3</v>
      </c>
      <c r="AE240" s="92">
        <f t="shared" si="424"/>
        <v>6.5112013625049148E-2</v>
      </c>
      <c r="AF240" s="92">
        <f t="shared" si="424"/>
        <v>2.1298174442190509E-2</v>
      </c>
      <c r="AG240" s="92"/>
      <c r="AH240" s="725">
        <f>AH239/AC239-1</f>
        <v>-0.2413858747382448</v>
      </c>
      <c r="AI240" s="92"/>
      <c r="AJ240" s="143"/>
      <c r="AK240" s="143"/>
      <c r="AL240" s="143"/>
      <c r="AM240" s="709"/>
      <c r="AN240" s="92"/>
      <c r="AO240" s="706"/>
      <c r="AP240" s="706"/>
      <c r="AQ240" s="706"/>
      <c r="AR240" s="709"/>
      <c r="AS240" s="92"/>
      <c r="AT240" s="706"/>
      <c r="AU240" s="706"/>
      <c r="AV240" s="711"/>
      <c r="AW240" s="731"/>
      <c r="AX240" s="706"/>
      <c r="AY240" s="706"/>
      <c r="AZ240" s="706"/>
      <c r="BA240" s="711"/>
      <c r="BB240" s="713"/>
      <c r="BC240" s="706"/>
      <c r="BD240" s="706"/>
      <c r="BE240" s="706"/>
      <c r="BF240" s="711"/>
      <c r="BG240" s="713"/>
      <c r="BH240" s="706"/>
      <c r="BI240" s="706"/>
      <c r="BJ240" s="706"/>
      <c r="BK240" s="711"/>
      <c r="BL240" s="713"/>
      <c r="BM240" s="706"/>
      <c r="BN240" s="706"/>
      <c r="BO240" s="706"/>
      <c r="BP240" s="711"/>
      <c r="BQ240" s="713"/>
      <c r="BR240" s="706"/>
      <c r="BS240" s="706"/>
      <c r="BT240" s="706"/>
      <c r="BU240" s="711"/>
      <c r="BV240" s="713"/>
      <c r="BW240" s="706"/>
      <c r="BX240" s="706"/>
      <c r="BY240" s="706"/>
      <c r="BZ240" s="711"/>
      <c r="CA240" s="713"/>
      <c r="CB240" s="1910"/>
      <c r="CC240" s="92"/>
      <c r="CD240" s="728" t="str">
        <f>A240</f>
        <v>YoY Change</v>
      </c>
      <c r="CE240" s="709">
        <f>D240</f>
        <v>2.2395750753131383E-2</v>
      </c>
      <c r="CF240" s="709">
        <f>I240</f>
        <v>5.7728841158453781E-2</v>
      </c>
      <c r="CG240" s="709">
        <f>N240</f>
        <v>6.1945605160911299E-3</v>
      </c>
      <c r="CH240" s="709">
        <f>S240</f>
        <v>4.2548541036756315E-2</v>
      </c>
      <c r="CI240" s="709">
        <f>X240</f>
        <v>2.5787064537544868E-2</v>
      </c>
      <c r="CJ240" s="709">
        <f>AC240</f>
        <v>7.3611063800797183E-2</v>
      </c>
      <c r="CK240" s="709">
        <f>AH240</f>
        <v>-0.2413858747382448</v>
      </c>
      <c r="CL240" s="709">
        <f>AM240</f>
        <v>0</v>
      </c>
      <c r="CM240" s="709">
        <f>AR240</f>
        <v>0</v>
      </c>
      <c r="CN240" s="709">
        <f>AW240</f>
        <v>0</v>
      </c>
      <c r="CO240" s="709">
        <f>BB240</f>
        <v>0</v>
      </c>
      <c r="CP240" s="709">
        <f>BG240</f>
        <v>0</v>
      </c>
      <c r="CQ240" s="709">
        <f>BL240</f>
        <v>0</v>
      </c>
      <c r="CR240" s="709">
        <f>BQ240</f>
        <v>0</v>
      </c>
      <c r="CS240" s="709">
        <f>BV240</f>
        <v>0</v>
      </c>
      <c r="CT240" s="709">
        <f>CA240</f>
        <v>0</v>
      </c>
      <c r="CU240" s="1961"/>
      <c r="DB240" s="1961"/>
      <c r="DC240" s="1961"/>
      <c r="DD240" s="1961"/>
      <c r="DE240" s="1961"/>
      <c r="DF240" s="1961"/>
      <c r="DG240" s="1961"/>
      <c r="DH240" s="1961"/>
      <c r="DI240" s="716"/>
    </row>
    <row r="241" spans="1:113" ht="9" hidden="1" customHeight="1" outlineLevel="2" x14ac:dyDescent="0.25">
      <c r="A241" s="729"/>
      <c r="B241" s="730"/>
      <c r="C241" s="91"/>
      <c r="D241" s="91"/>
      <c r="E241" s="90"/>
      <c r="F241" s="90"/>
      <c r="G241" s="90"/>
      <c r="H241" s="90"/>
      <c r="I241" s="91"/>
      <c r="J241" s="90"/>
      <c r="K241" s="90"/>
      <c r="L241" s="90"/>
      <c r="M241" s="90"/>
      <c r="N241" s="91"/>
      <c r="O241" s="90"/>
      <c r="P241" s="90"/>
      <c r="Q241" s="90"/>
      <c r="R241" s="90"/>
      <c r="S241" s="91"/>
      <c r="T241" s="90"/>
      <c r="U241" s="90"/>
      <c r="V241" s="90"/>
      <c r="W241" s="90"/>
      <c r="X241" s="91"/>
      <c r="Y241" s="90"/>
      <c r="Z241" s="90"/>
      <c r="AA241" s="90"/>
      <c r="AB241" s="90"/>
      <c r="AC241" s="731"/>
      <c r="AD241" s="90"/>
      <c r="AE241" s="90"/>
      <c r="AF241" s="90"/>
      <c r="AG241" s="90"/>
      <c r="AH241" s="731"/>
      <c r="AI241" s="90"/>
      <c r="AJ241" s="147"/>
      <c r="AK241" s="147"/>
      <c r="AL241" s="147"/>
      <c r="AM241" s="731"/>
      <c r="AN241" s="90"/>
      <c r="AO241" s="716"/>
      <c r="AP241" s="716"/>
      <c r="AQ241" s="716"/>
      <c r="AR241" s="731"/>
      <c r="AS241" s="90"/>
      <c r="AT241" s="716"/>
      <c r="AU241" s="716"/>
      <c r="AV241" s="714"/>
      <c r="AW241" s="731"/>
      <c r="AX241" s="716"/>
      <c r="AY241" s="716"/>
      <c r="AZ241" s="716"/>
      <c r="BA241" s="714"/>
      <c r="BB241" s="713"/>
      <c r="BC241" s="716"/>
      <c r="BD241" s="716"/>
      <c r="BE241" s="716"/>
      <c r="BF241" s="714"/>
      <c r="BG241" s="713"/>
      <c r="BH241" s="716"/>
      <c r="BI241" s="716"/>
      <c r="BJ241" s="716"/>
      <c r="BK241" s="714"/>
      <c r="BL241" s="713"/>
      <c r="BM241" s="716"/>
      <c r="BN241" s="716"/>
      <c r="BO241" s="716"/>
      <c r="BP241" s="714"/>
      <c r="BQ241" s="713"/>
      <c r="BR241" s="716"/>
      <c r="BS241" s="716"/>
      <c r="BT241" s="716"/>
      <c r="BU241" s="714"/>
      <c r="BV241" s="713"/>
      <c r="BW241" s="716"/>
      <c r="BX241" s="716"/>
      <c r="BY241" s="716"/>
      <c r="BZ241" s="714"/>
      <c r="CA241" s="713"/>
      <c r="CB241" s="1910"/>
      <c r="CC241" s="9"/>
      <c r="CD241" s="732"/>
      <c r="CE241" s="731"/>
      <c r="CF241" s="731"/>
      <c r="CG241" s="731"/>
      <c r="CH241" s="731"/>
      <c r="CI241" s="731"/>
      <c r="CJ241" s="731"/>
      <c r="CK241" s="731"/>
      <c r="CL241" s="731"/>
      <c r="CM241" s="731"/>
      <c r="CN241" s="731"/>
      <c r="CO241" s="731"/>
      <c r="CP241" s="731"/>
      <c r="CQ241" s="731"/>
      <c r="CR241" s="731"/>
      <c r="CS241" s="731"/>
      <c r="CT241" s="731"/>
      <c r="CU241" s="6"/>
      <c r="DB241" s="1961"/>
      <c r="DC241" s="1961"/>
      <c r="DD241" s="1961"/>
      <c r="DE241" s="1961"/>
      <c r="DF241" s="1961"/>
      <c r="DG241" s="1961"/>
      <c r="DH241" s="1961"/>
      <c r="DI241" s="716"/>
    </row>
    <row r="242" spans="1:113" hidden="1" outlineLevel="2" x14ac:dyDescent="0.25">
      <c r="A242" s="717" t="s">
        <v>212</v>
      </c>
      <c r="B242" s="703"/>
      <c r="C242" s="718">
        <v>18.975999999999999</v>
      </c>
      <c r="D242" s="718">
        <v>19.257000000000001</v>
      </c>
      <c r="E242" s="719"/>
      <c r="F242" s="719"/>
      <c r="G242" s="719">
        <f>15.541-10.082</f>
        <v>5.4589999999999996</v>
      </c>
      <c r="H242" s="719">
        <f>I242-15.541</f>
        <v>4.9589999999999996</v>
      </c>
      <c r="I242" s="718">
        <v>20.5</v>
      </c>
      <c r="J242" s="719">
        <v>5.34</v>
      </c>
      <c r="K242" s="719">
        <f>10.473-J242</f>
        <v>5.1330000000000009</v>
      </c>
      <c r="L242" s="719">
        <v>5.4189999999999996</v>
      </c>
      <c r="M242" s="719">
        <v>5.3550000000000004</v>
      </c>
      <c r="N242" s="718">
        <v>21.247</v>
      </c>
      <c r="O242" s="719">
        <v>5.36</v>
      </c>
      <c r="P242" s="719">
        <v>5.3159999999999998</v>
      </c>
      <c r="Q242" s="719">
        <v>5.6230000000000002</v>
      </c>
      <c r="R242" s="719">
        <v>5.952</v>
      </c>
      <c r="S242" s="720">
        <f>SUM(O242:R242)</f>
        <v>22.250999999999998</v>
      </c>
      <c r="T242" s="719">
        <v>5.3959999999999999</v>
      </c>
      <c r="U242" s="719">
        <v>5.4050000000000002</v>
      </c>
      <c r="V242" s="719">
        <v>5.6079999999999997</v>
      </c>
      <c r="W242" s="719">
        <v>5.8</v>
      </c>
      <c r="X242" s="720">
        <f>SUM(T242:W242)</f>
        <v>22.209</v>
      </c>
      <c r="Y242" s="719">
        <v>5.4470000000000001</v>
      </c>
      <c r="Z242" s="719">
        <v>5.4909999999999997</v>
      </c>
      <c r="AA242" s="719">
        <v>6.0880000000000001</v>
      </c>
      <c r="AB242" s="719">
        <f>Revenue_end_mkt!L13</f>
        <v>5.79</v>
      </c>
      <c r="AC242" s="720">
        <f>SUM(Y242:AB242)</f>
        <v>22.815999999999999</v>
      </c>
      <c r="AD242" s="719">
        <f>Revenue_end_mkt!N13</f>
        <v>5.5540000000000003</v>
      </c>
      <c r="AE242" s="719">
        <f>Revenue_end_mkt!O13</f>
        <v>5.59</v>
      </c>
      <c r="AF242" s="719">
        <f>Revenue_end_mkt!P13</f>
        <v>6.1260000000000003</v>
      </c>
      <c r="AG242" s="719"/>
      <c r="AH242" s="721">
        <f>SUM(AD242:AG242)</f>
        <v>17.27</v>
      </c>
      <c r="AI242" s="719"/>
      <c r="AJ242" s="143"/>
      <c r="AK242" s="143"/>
      <c r="AL242" s="143"/>
      <c r="AM242" s="721"/>
      <c r="AN242" s="719"/>
      <c r="AO242" s="706"/>
      <c r="AP242" s="706"/>
      <c r="AQ242" s="706"/>
      <c r="AR242" s="709"/>
      <c r="AS242" s="719"/>
      <c r="AT242" s="706"/>
      <c r="AU242" s="706"/>
      <c r="AV242" s="711"/>
      <c r="AW242" s="731"/>
      <c r="AX242" s="706"/>
      <c r="AY242" s="706"/>
      <c r="AZ242" s="706"/>
      <c r="BA242" s="711"/>
      <c r="BB242" s="713"/>
      <c r="BC242" s="706"/>
      <c r="BD242" s="706"/>
      <c r="BE242" s="706"/>
      <c r="BF242" s="711"/>
      <c r="BG242" s="713"/>
      <c r="BH242" s="706"/>
      <c r="BI242" s="706"/>
      <c r="BJ242" s="706"/>
      <c r="BK242" s="711"/>
      <c r="BL242" s="713"/>
      <c r="BM242" s="706"/>
      <c r="BN242" s="706"/>
      <c r="BO242" s="706"/>
      <c r="BP242" s="711"/>
      <c r="BQ242" s="713"/>
      <c r="BR242" s="706"/>
      <c r="BS242" s="706"/>
      <c r="BT242" s="706"/>
      <c r="BU242" s="711"/>
      <c r="BV242" s="713"/>
      <c r="BW242" s="706"/>
      <c r="BX242" s="706"/>
      <c r="BY242" s="706"/>
      <c r="BZ242" s="711"/>
      <c r="CA242" s="713"/>
      <c r="CB242" s="1910"/>
      <c r="CC242" s="92"/>
      <c r="CD242" s="717"/>
      <c r="CE242" s="709"/>
      <c r="CF242" s="709"/>
      <c r="CG242" s="709"/>
      <c r="CH242" s="709"/>
      <c r="CI242" s="709"/>
      <c r="CJ242" s="709"/>
      <c r="CK242" s="709"/>
      <c r="CL242" s="709"/>
      <c r="CM242" s="709"/>
      <c r="CN242" s="709"/>
      <c r="CO242" s="709"/>
      <c r="CP242" s="709"/>
      <c r="CQ242" s="709"/>
      <c r="CR242" s="709"/>
      <c r="CS242" s="709"/>
      <c r="CT242" s="709"/>
      <c r="CU242" s="1961"/>
      <c r="DB242" s="1961"/>
      <c r="DC242" s="1961"/>
      <c r="DD242" s="1961"/>
      <c r="DE242" s="1961"/>
      <c r="DF242" s="1961"/>
      <c r="DG242" s="1961"/>
      <c r="DH242" s="1961"/>
      <c r="DI242" s="716"/>
    </row>
    <row r="243" spans="1:113" hidden="1" outlineLevel="2" x14ac:dyDescent="0.25">
      <c r="A243" s="724" t="s">
        <v>209</v>
      </c>
      <c r="B243" s="703"/>
      <c r="C243" s="704"/>
      <c r="D243" s="441">
        <f>D242/C242-1</f>
        <v>1.4808178752108159E-2</v>
      </c>
      <c r="E243" s="78"/>
      <c r="F243" s="92"/>
      <c r="G243" s="92"/>
      <c r="H243" s="92"/>
      <c r="I243" s="441">
        <f>I242/D242-1</f>
        <v>6.4547956587214905E-2</v>
      </c>
      <c r="J243" s="92"/>
      <c r="K243" s="92"/>
      <c r="L243" s="92">
        <f t="shared" ref="L243:AF243" si="425">L242/G242-1</f>
        <v>-7.3273493313793514E-3</v>
      </c>
      <c r="M243" s="92">
        <f t="shared" si="425"/>
        <v>7.9854809437386765E-2</v>
      </c>
      <c r="N243" s="441">
        <f t="shared" si="425"/>
        <v>3.6439024390243935E-2</v>
      </c>
      <c r="O243" s="92">
        <f t="shared" si="425"/>
        <v>3.7453183520599342E-3</v>
      </c>
      <c r="P243" s="92">
        <f t="shared" si="425"/>
        <v>3.5651665692577161E-2</v>
      </c>
      <c r="Q243" s="92">
        <f t="shared" si="425"/>
        <v>3.7645322015132043E-2</v>
      </c>
      <c r="R243" s="92">
        <f t="shared" si="425"/>
        <v>0.11148459383753484</v>
      </c>
      <c r="S243" s="441">
        <f t="shared" si="425"/>
        <v>4.7253729938344202E-2</v>
      </c>
      <c r="T243" s="92">
        <f t="shared" si="425"/>
        <v>6.7164179104477473E-3</v>
      </c>
      <c r="U243" s="92">
        <f t="shared" si="425"/>
        <v>1.674191121143731E-2</v>
      </c>
      <c r="V243" s="92">
        <f t="shared" si="425"/>
        <v>-2.6676151520541591E-3</v>
      </c>
      <c r="W243" s="92">
        <f t="shared" si="425"/>
        <v>-2.5537634408602128E-2</v>
      </c>
      <c r="X243" s="441">
        <f t="shared" si="425"/>
        <v>-1.8875556154778206E-3</v>
      </c>
      <c r="Y243" s="92">
        <f t="shared" si="425"/>
        <v>9.4514455151963883E-3</v>
      </c>
      <c r="Z243" s="92">
        <f t="shared" si="425"/>
        <v>1.5911193339500418E-2</v>
      </c>
      <c r="AA243" s="92">
        <f t="shared" si="425"/>
        <v>8.5592011412268354E-2</v>
      </c>
      <c r="AB243" s="92">
        <f t="shared" si="425"/>
        <v>-1.7241379310344307E-3</v>
      </c>
      <c r="AC243" s="441">
        <f>AC242/X242-1</f>
        <v>2.7331262100950049E-2</v>
      </c>
      <c r="AD243" s="92">
        <f t="shared" si="425"/>
        <v>1.9643840646227373E-2</v>
      </c>
      <c r="AE243" s="92">
        <f t="shared" si="425"/>
        <v>1.8029502822801025E-2</v>
      </c>
      <c r="AF243" s="92">
        <f t="shared" si="425"/>
        <v>6.241787122207576E-3</v>
      </c>
      <c r="AG243" s="92"/>
      <c r="AH243" s="725">
        <f>AH242/AC242-1</f>
        <v>-0.24307503506311356</v>
      </c>
      <c r="AI243" s="92"/>
      <c r="AJ243" s="143"/>
      <c r="AK243" s="143"/>
      <c r="AL243" s="143"/>
      <c r="AM243" s="709"/>
      <c r="AN243" s="92"/>
      <c r="AO243" s="706"/>
      <c r="AP243" s="706"/>
      <c r="AQ243" s="706"/>
      <c r="AR243" s="709"/>
      <c r="AS243" s="92"/>
      <c r="AT243" s="706"/>
      <c r="AU243" s="706"/>
      <c r="AV243" s="711"/>
      <c r="AW243" s="731"/>
      <c r="AX243" s="706"/>
      <c r="AY243" s="706"/>
      <c r="AZ243" s="706"/>
      <c r="BA243" s="711"/>
      <c r="BB243" s="713"/>
      <c r="BC243" s="706"/>
      <c r="BD243" s="706"/>
      <c r="BE243" s="706"/>
      <c r="BF243" s="711"/>
      <c r="BG243" s="713"/>
      <c r="BH243" s="706"/>
      <c r="BI243" s="706"/>
      <c r="BJ243" s="706"/>
      <c r="BK243" s="711"/>
      <c r="BL243" s="713"/>
      <c r="BM243" s="706"/>
      <c r="BN243" s="706"/>
      <c r="BO243" s="706"/>
      <c r="BP243" s="711"/>
      <c r="BQ243" s="713"/>
      <c r="BR243" s="706"/>
      <c r="BS243" s="706"/>
      <c r="BT243" s="706"/>
      <c r="BU243" s="711"/>
      <c r="BV243" s="713"/>
      <c r="BW243" s="706"/>
      <c r="BX243" s="706"/>
      <c r="BY243" s="706"/>
      <c r="BZ243" s="711"/>
      <c r="CA243" s="713"/>
      <c r="CB243" s="1910"/>
      <c r="CC243" s="92"/>
      <c r="CD243" s="728"/>
      <c r="CE243" s="709"/>
      <c r="CF243" s="709"/>
      <c r="CG243" s="709"/>
      <c r="CH243" s="709"/>
      <c r="CI243" s="709"/>
      <c r="CJ243" s="709"/>
      <c r="CK243" s="709"/>
      <c r="CL243" s="709"/>
      <c r="CM243" s="709"/>
      <c r="CN243" s="709"/>
      <c r="CO243" s="709"/>
      <c r="CP243" s="709"/>
      <c r="CQ243" s="709"/>
      <c r="CR243" s="709"/>
      <c r="CS243" s="709"/>
      <c r="CT243" s="709"/>
      <c r="CU243" s="1961"/>
      <c r="DB243" s="1961"/>
      <c r="DC243" s="1961"/>
      <c r="DD243" s="1961"/>
      <c r="DE243" s="1961"/>
      <c r="DF243" s="1961"/>
      <c r="DG243" s="1961"/>
      <c r="DH243" s="1961"/>
      <c r="DI243" s="716"/>
    </row>
    <row r="244" spans="1:113" ht="9" hidden="1" customHeight="1" outlineLevel="1" x14ac:dyDescent="0.25">
      <c r="A244" s="729"/>
      <c r="B244" s="730"/>
      <c r="C244" s="91"/>
      <c r="D244" s="91"/>
      <c r="E244" s="90"/>
      <c r="F244" s="90"/>
      <c r="G244" s="90"/>
      <c r="H244" s="90"/>
      <c r="I244" s="91"/>
      <c r="J244" s="90"/>
      <c r="K244" s="90"/>
      <c r="L244" s="90"/>
      <c r="M244" s="90"/>
      <c r="N244" s="91"/>
      <c r="O244" s="90"/>
      <c r="P244" s="90"/>
      <c r="Q244" s="90"/>
      <c r="R244" s="90"/>
      <c r="S244" s="91"/>
      <c r="T244" s="90"/>
      <c r="U244" s="90"/>
      <c r="V244" s="90"/>
      <c r="W244" s="90"/>
      <c r="X244" s="91"/>
      <c r="Y244" s="90"/>
      <c r="Z244" s="90"/>
      <c r="AA244" s="90"/>
      <c r="AB244" s="90"/>
      <c r="AC244" s="731"/>
      <c r="AD244" s="147"/>
      <c r="AE244" s="147"/>
      <c r="AF244" s="147"/>
      <c r="AG244" s="147"/>
      <c r="AH244" s="731"/>
      <c r="AI244" s="147"/>
      <c r="AJ244" s="147"/>
      <c r="AK244" s="147"/>
      <c r="AL244" s="147"/>
      <c r="AM244" s="731"/>
      <c r="AN244" s="147"/>
      <c r="AO244" s="716"/>
      <c r="AP244" s="716"/>
      <c r="AQ244" s="716"/>
      <c r="AR244" s="731"/>
      <c r="AS244" s="147"/>
      <c r="AT244" s="716"/>
      <c r="AU244" s="716"/>
      <c r="AV244" s="714"/>
      <c r="AW244" s="731"/>
      <c r="AX244" s="716"/>
      <c r="AY244" s="716"/>
      <c r="AZ244" s="716"/>
      <c r="BA244" s="714"/>
      <c r="BB244" s="713"/>
      <c r="BC244" s="716"/>
      <c r="BD244" s="716"/>
      <c r="BE244" s="716"/>
      <c r="BF244" s="714"/>
      <c r="BG244" s="713"/>
      <c r="BH244" s="716"/>
      <c r="BI244" s="716"/>
      <c r="BJ244" s="716"/>
      <c r="BK244" s="714"/>
      <c r="BL244" s="713"/>
      <c r="BM244" s="716"/>
      <c r="BN244" s="716"/>
      <c r="BO244" s="716"/>
      <c r="BP244" s="714"/>
      <c r="BQ244" s="713"/>
      <c r="BR244" s="716"/>
      <c r="BS244" s="716"/>
      <c r="BT244" s="716"/>
      <c r="BU244" s="714"/>
      <c r="BV244" s="713"/>
      <c r="BW244" s="716"/>
      <c r="BX244" s="716"/>
      <c r="BY244" s="716"/>
      <c r="BZ244" s="714"/>
      <c r="CA244" s="713"/>
      <c r="CB244" s="1910"/>
      <c r="CC244" s="9"/>
      <c r="CD244" s="732"/>
      <c r="CE244" s="731"/>
      <c r="CF244" s="731"/>
      <c r="CG244" s="731"/>
      <c r="CH244" s="731"/>
      <c r="CI244" s="731"/>
      <c r="CJ244" s="731"/>
      <c r="CK244" s="731"/>
      <c r="CL244" s="731"/>
      <c r="CM244" s="731"/>
      <c r="CN244" s="731"/>
      <c r="CO244" s="731"/>
      <c r="CP244" s="731"/>
      <c r="CQ244" s="731"/>
      <c r="CR244" s="731"/>
      <c r="CS244" s="731"/>
      <c r="CT244" s="731"/>
      <c r="CU244" s="6"/>
      <c r="DB244" s="1961"/>
      <c r="DC244" s="1961"/>
      <c r="DD244" s="1961"/>
      <c r="DE244" s="1961"/>
      <c r="DF244" s="1961"/>
      <c r="DG244" s="1961"/>
      <c r="DH244" s="1961"/>
      <c r="DI244" s="716"/>
    </row>
    <row r="245" spans="1:113" ht="12" customHeight="1" collapsed="1" x14ac:dyDescent="0.25">
      <c r="A245" s="211" t="s">
        <v>213</v>
      </c>
      <c r="B245" s="737"/>
      <c r="C245" s="738">
        <f>C233+C236+C239+C242</f>
        <v>448.875</v>
      </c>
      <c r="D245" s="738">
        <f>D233+D236+D239+D242</f>
        <v>472.63400000000001</v>
      </c>
      <c r="E245" s="739">
        <v>121.797</v>
      </c>
      <c r="F245" s="739">
        <f>244.556-E245</f>
        <v>122.75900000000001</v>
      </c>
      <c r="G245" s="70">
        <f>G233+G236+G239+G242</f>
        <v>120.99700000000001</v>
      </c>
      <c r="H245" s="70">
        <f>H233+H236+H239+H242</f>
        <v>119.607</v>
      </c>
      <c r="I245" s="740">
        <f>SUM(E245:H245)</f>
        <v>485.15999999999997</v>
      </c>
      <c r="J245" s="70">
        <f>J233+J236+J239+J242</f>
        <v>127.03899999999999</v>
      </c>
      <c r="K245" s="70">
        <f>K233+K236+K239+K242</f>
        <v>126.31699999999999</v>
      </c>
      <c r="L245" s="70">
        <f>L233+L236+L239+L242</f>
        <v>125.18600000000001</v>
      </c>
      <c r="M245" s="70">
        <f>M233+M236+M239+M242</f>
        <v>125.84899999999999</v>
      </c>
      <c r="N245" s="738">
        <f>SUM(J245:M245)</f>
        <v>504.39100000000002</v>
      </c>
      <c r="O245" s="70">
        <f>O233+O236+O239+O242</f>
        <v>129.566</v>
      </c>
      <c r="P245" s="70">
        <f>P233+P236+P239+P242</f>
        <v>133.30700000000002</v>
      </c>
      <c r="Q245" s="70">
        <f>Q233+Q236+Q239+Q242</f>
        <v>130.02000000000001</v>
      </c>
      <c r="R245" s="70">
        <f>R233+R236+R239+R242</f>
        <v>131.083</v>
      </c>
      <c r="S245" s="738">
        <f>SUM(O245:R245)</f>
        <v>523.976</v>
      </c>
      <c r="T245" s="70">
        <f>T233+T236+T239+T242</f>
        <v>134.57799999999997</v>
      </c>
      <c r="U245" s="70">
        <f>U233+U236+U239+U242</f>
        <v>134.28900000000002</v>
      </c>
      <c r="V245" s="70">
        <f>V233+V236+V239+V242</f>
        <v>136.26900000000001</v>
      </c>
      <c r="W245" s="70">
        <f>W233+W236+W239+W242</f>
        <v>137.00200000000001</v>
      </c>
      <c r="X245" s="738">
        <f>SUM(T245:W245)</f>
        <v>542.13799999999992</v>
      </c>
      <c r="Y245" s="70">
        <f>Y233+Y236+Y239+Y242</f>
        <v>140.54300000000001</v>
      </c>
      <c r="Z245" s="70">
        <f>Z233+Z236+Z239+Z242</f>
        <v>140.53000000000003</v>
      </c>
      <c r="AA245" s="70">
        <f>AA233+AA236+AA239+AA242</f>
        <v>139.977</v>
      </c>
      <c r="AB245" s="70">
        <f>AB233+AB236+AB239+AB242</f>
        <v>142.31100000000001</v>
      </c>
      <c r="AC245" s="738">
        <f>SUM(Y245:AB245)</f>
        <v>563.3610000000001</v>
      </c>
      <c r="AD245" s="70">
        <f>AD233+AD236+AD239+AD242</f>
        <v>144.96899999999999</v>
      </c>
      <c r="AE245" s="70">
        <f>AE233+AE236+AE239+AE242</f>
        <v>144.18899999999999</v>
      </c>
      <c r="AF245" s="70">
        <f>AF233+AF236+AF239+AF242</f>
        <v>143.86700000000002</v>
      </c>
      <c r="AG245" s="70">
        <f>AG233+AG236+AG239+AG242</f>
        <v>146.48099999999999</v>
      </c>
      <c r="AH245" s="738">
        <f>SUM(AD245:AG245)</f>
        <v>579.50600000000009</v>
      </c>
      <c r="AI245" s="70">
        <f>AI233+AI236+AI239+AI242</f>
        <v>152.613</v>
      </c>
      <c r="AJ245" s="70">
        <f>AJ233+AJ236+AJ239+AJ242</f>
        <v>154.25900000000001</v>
      </c>
      <c r="AK245" s="70">
        <f>AK233+AK236+AK239+AK242</f>
        <v>155.05500000000001</v>
      </c>
      <c r="AL245" s="70">
        <f>AL233+AL236+AL239+AL242</f>
        <v>156.34899999999999</v>
      </c>
      <c r="AM245" s="738">
        <f>Revenue_end_mkt!W16</f>
        <v>618.27600000000007</v>
      </c>
      <c r="AN245" s="70">
        <f>AN233+AN236+AN239+AN242</f>
        <v>162.31299999999999</v>
      </c>
      <c r="AO245" s="70">
        <f>AO233+AO236+AO239+AO242</f>
        <v>161.952</v>
      </c>
      <c r="AP245" s="70">
        <f>AP233+AP236+AP239+AP242</f>
        <v>161.45400000000001</v>
      </c>
      <c r="AQ245" s="70">
        <f>AQ233+AQ236+AQ239+AQ242</f>
        <v>164.93299999999999</v>
      </c>
      <c r="AR245" s="738">
        <f>Revenue_end_mkt!AB16</f>
        <v>650.65200000000004</v>
      </c>
      <c r="AS245" s="741">
        <f>AS233+AS236+AS239+AS242</f>
        <v>170.94200000000001</v>
      </c>
      <c r="AT245" s="741">
        <f>Revenue_end_mkt!AD16</f>
        <v>171.73000000000002</v>
      </c>
      <c r="AU245" s="741">
        <f>Revenue_end_mkt!AE16</f>
        <v>171.72699999999998</v>
      </c>
      <c r="AV245" s="742">
        <f>Revenue_end_mkt!AF16</f>
        <v>173.8</v>
      </c>
      <c r="AW245" s="742">
        <f>Revenue_end_mkt!AG16</f>
        <v>688.19900000000007</v>
      </c>
      <c r="AX245" s="741">
        <f>AX233+AX236+AX239+AX242</f>
        <v>179.756</v>
      </c>
      <c r="AY245" s="741">
        <f>Revenue_end_mkt!AI16</f>
        <v>181.11699999999999</v>
      </c>
      <c r="AZ245" s="741">
        <f>Revenue_end_mkt!AJ16</f>
        <v>180.774</v>
      </c>
      <c r="BA245" s="742">
        <f>Revenue_end_mkt!AK16</f>
        <v>182.60000000000002</v>
      </c>
      <c r="BB245" s="743">
        <f>Revenue_end_mkt!AL16</f>
        <v>724.24699999999996</v>
      </c>
      <c r="BC245" s="741">
        <f>Revenue_end_mkt!AM16</f>
        <v>189.39999999999998</v>
      </c>
      <c r="BD245" s="741">
        <f>Revenue_end_mkt!AN16</f>
        <v>192.6</v>
      </c>
      <c r="BE245" s="741">
        <f>Revenue_end_mkt!AO16</f>
        <v>193.2</v>
      </c>
      <c r="BF245" s="742">
        <f>Revenue_end_mkt!AP16</f>
        <v>195.2</v>
      </c>
      <c r="BG245" s="743">
        <f>Revenue_end_mkt!AQ16</f>
        <v>770.40000000000009</v>
      </c>
      <c r="BH245" s="741">
        <f>Revenue_end_mkt!AR16</f>
        <v>198.3965</v>
      </c>
      <c r="BI245" s="741">
        <f>Revenue_end_mkt!AS16</f>
        <v>201.74850000000001</v>
      </c>
      <c r="BJ245" s="741">
        <f>Revenue_end_mkt!AT16</f>
        <v>202.37700000000001</v>
      </c>
      <c r="BK245" s="742">
        <f>Revenue_end_mkt!AU16</f>
        <v>203.49599999999998</v>
      </c>
      <c r="BL245" s="743">
        <f>Revenue_end_mkt!AV16</f>
        <v>806.01799999999992</v>
      </c>
      <c r="BM245" s="741">
        <f>Revenue_end_mkt!AW16</f>
        <v>208.31632500000001</v>
      </c>
      <c r="BN245" s="741">
        <f>Revenue_end_mkt!AX16</f>
        <v>211.835925</v>
      </c>
      <c r="BO245" s="741">
        <f>Revenue_end_mkt!AY16</f>
        <v>212.49585000000002</v>
      </c>
      <c r="BP245" s="742">
        <f>Revenue_end_mkt!AZ16</f>
        <v>213.67079999999999</v>
      </c>
      <c r="BQ245" s="743">
        <f>Revenue_end_mkt!BA16</f>
        <v>846.31889999999999</v>
      </c>
      <c r="BR245" s="741">
        <f>Revenue_end_mkt!BB16</f>
        <v>218.73214125000001</v>
      </c>
      <c r="BS245" s="741">
        <f>Revenue_end_mkt!BC16</f>
        <v>222.42772125000002</v>
      </c>
      <c r="BT245" s="741">
        <f>Revenue_end_mkt!BD16</f>
        <v>223.12064250000003</v>
      </c>
      <c r="BU245" s="742">
        <f>Revenue_end_mkt!BE16</f>
        <v>224.35434000000001</v>
      </c>
      <c r="BV245" s="743">
        <f>Revenue_end_mkt!BF16</f>
        <v>888.63484500000004</v>
      </c>
      <c r="BW245" s="741">
        <f>Revenue_end_mkt!BG16</f>
        <v>229.66874831250001</v>
      </c>
      <c r="BX245" s="741">
        <f>Revenue_end_mkt!BH16</f>
        <v>233.54910731250004</v>
      </c>
      <c r="BY245" s="741">
        <f>Revenue_end_mkt!BI16</f>
        <v>234.27667462500006</v>
      </c>
      <c r="BZ245" s="742">
        <f>Revenue_end_mkt!BJ16</f>
        <v>235.57205700000003</v>
      </c>
      <c r="CA245" s="743">
        <f>Revenue_end_mkt!BK16</f>
        <v>933.06658725000011</v>
      </c>
      <c r="CB245" s="1910">
        <f>(CA245/BG245)^(1/4)-1</f>
        <v>4.9057011848864018E-2</v>
      </c>
      <c r="CC245" s="92"/>
      <c r="CD245" s="211" t="str">
        <f>A245</f>
        <v xml:space="preserve">Revenue </v>
      </c>
      <c r="CE245" s="738">
        <f>D245</f>
        <v>472.63400000000001</v>
      </c>
      <c r="CF245" s="738">
        <f>I245</f>
        <v>485.15999999999997</v>
      </c>
      <c r="CG245" s="738">
        <f>N245</f>
        <v>504.39100000000002</v>
      </c>
      <c r="CH245" s="738">
        <f>S245</f>
        <v>523.976</v>
      </c>
      <c r="CI245" s="738">
        <f>X245</f>
        <v>542.13799999999992</v>
      </c>
      <c r="CJ245" s="738">
        <f>AC245</f>
        <v>563.3610000000001</v>
      </c>
      <c r="CK245" s="738">
        <f>AH245</f>
        <v>579.50600000000009</v>
      </c>
      <c r="CL245" s="738">
        <f>AM245</f>
        <v>618.27600000000007</v>
      </c>
      <c r="CM245" s="738">
        <f>AR245</f>
        <v>650.65200000000004</v>
      </c>
      <c r="CN245" s="738">
        <f>AW245</f>
        <v>688.19900000000007</v>
      </c>
      <c r="CO245" s="738">
        <f>BB245</f>
        <v>724.24699999999996</v>
      </c>
      <c r="CP245" s="738">
        <f>BG245</f>
        <v>770.40000000000009</v>
      </c>
      <c r="CQ245" s="738">
        <f>BL245</f>
        <v>806.01799999999992</v>
      </c>
      <c r="CR245" s="738">
        <f>BQ245</f>
        <v>846.31889999999999</v>
      </c>
      <c r="CS245" s="738">
        <f>BV245</f>
        <v>888.63484500000004</v>
      </c>
      <c r="CT245" s="738">
        <f>CA245</f>
        <v>933.06658725000011</v>
      </c>
      <c r="CU245" s="1961"/>
      <c r="DB245" s="1961"/>
      <c r="DC245" s="1961"/>
      <c r="DD245" s="1961"/>
      <c r="DE245" s="1961"/>
      <c r="DF245" s="1961"/>
      <c r="DG245" s="1961"/>
      <c r="DH245" s="1961"/>
      <c r="DI245" s="1961"/>
    </row>
    <row r="246" spans="1:113" ht="12" customHeight="1" x14ac:dyDescent="0.25">
      <c r="A246" s="724" t="s">
        <v>209</v>
      </c>
      <c r="B246" s="730"/>
      <c r="C246" s="91"/>
      <c r="D246" s="91">
        <f>D245/C245-1</f>
        <v>5.2930103035366161E-2</v>
      </c>
      <c r="E246" s="90"/>
      <c r="F246" s="90"/>
      <c r="G246" s="90"/>
      <c r="H246" s="90"/>
      <c r="I246" s="91">
        <f t="shared" ref="I246:BB246" si="426">I245/D245-1</f>
        <v>2.6502536846693125E-2</v>
      </c>
      <c r="J246" s="90">
        <f t="shared" si="426"/>
        <v>4.3038826900498206E-2</v>
      </c>
      <c r="K246" s="90">
        <f>K245/F245-1</f>
        <v>2.898361830904439E-2</v>
      </c>
      <c r="L246" s="90">
        <f>L245/G245-1</f>
        <v>3.4620693075034792E-2</v>
      </c>
      <c r="M246" s="90">
        <f>M245/H245-1</f>
        <v>5.2187580994423222E-2</v>
      </c>
      <c r="N246" s="91">
        <f t="shared" si="426"/>
        <v>3.9638469783164432E-2</v>
      </c>
      <c r="O246" s="90">
        <f t="shared" si="426"/>
        <v>1.9891529372869865E-2</v>
      </c>
      <c r="P246" s="90">
        <f t="shared" si="426"/>
        <v>5.5336969687374005E-2</v>
      </c>
      <c r="Q246" s="90">
        <f t="shared" si="426"/>
        <v>3.8614541562155491E-2</v>
      </c>
      <c r="R246" s="90">
        <f t="shared" si="426"/>
        <v>4.1589523953309282E-2</v>
      </c>
      <c r="S246" s="744">
        <f>S245/N245-1</f>
        <v>3.8829003689597963E-2</v>
      </c>
      <c r="T246" s="90">
        <f t="shared" si="426"/>
        <v>3.8682987820878756E-2</v>
      </c>
      <c r="U246" s="90">
        <f t="shared" si="426"/>
        <v>7.3664548748377801E-3</v>
      </c>
      <c r="V246" s="90">
        <f t="shared" si="426"/>
        <v>4.8061836640516775E-2</v>
      </c>
      <c r="W246" s="90">
        <f t="shared" si="426"/>
        <v>4.5154596705903938E-2</v>
      </c>
      <c r="X246" s="91">
        <f>X245/S245-1</f>
        <v>3.4661892911125536E-2</v>
      </c>
      <c r="Y246" s="90">
        <f t="shared" si="426"/>
        <v>4.432373790664168E-2</v>
      </c>
      <c r="Z246" s="90">
        <f t="shared" si="426"/>
        <v>4.6474394775447125E-2</v>
      </c>
      <c r="AA246" s="90">
        <f t="shared" si="426"/>
        <v>2.7210884353741527E-2</v>
      </c>
      <c r="AB246" s="90">
        <f t="shared" si="426"/>
        <v>3.8751259105706426E-2</v>
      </c>
      <c r="AC246" s="91">
        <f t="shared" si="426"/>
        <v>3.9146859286750102E-2</v>
      </c>
      <c r="AD246" s="90">
        <f t="shared" si="426"/>
        <v>3.1492141195221368E-2</v>
      </c>
      <c r="AE246" s="90">
        <f t="shared" si="426"/>
        <v>2.6037145093574132E-2</v>
      </c>
      <c r="AF246" s="90">
        <f t="shared" si="426"/>
        <v>2.7790279831686693E-2</v>
      </c>
      <c r="AG246" s="90">
        <f t="shared" si="426"/>
        <v>2.9302021628686337E-2</v>
      </c>
      <c r="AH246" s="91">
        <f t="shared" si="426"/>
        <v>2.8658355832228422E-2</v>
      </c>
      <c r="AI246" s="90">
        <f t="shared" si="426"/>
        <v>5.2728514372038182E-2</v>
      </c>
      <c r="AJ246" s="90">
        <f t="shared" si="426"/>
        <v>6.9838892009792763E-2</v>
      </c>
      <c r="AK246" s="90">
        <f t="shared" si="426"/>
        <v>7.7766270235703816E-2</v>
      </c>
      <c r="AL246" s="90">
        <f t="shared" si="426"/>
        <v>6.7367098804623105E-2</v>
      </c>
      <c r="AM246" s="91">
        <f t="shared" si="426"/>
        <v>6.6901809472205587E-2</v>
      </c>
      <c r="AN246" s="745">
        <f t="shared" si="426"/>
        <v>6.3559460858511274E-2</v>
      </c>
      <c r="AO246" s="90">
        <f t="shared" si="426"/>
        <v>4.9870672051549603E-2</v>
      </c>
      <c r="AP246" s="90">
        <f t="shared" si="426"/>
        <v>4.1269227048466695E-2</v>
      </c>
      <c r="AQ246" s="746">
        <f t="shared" si="426"/>
        <v>5.4902813577317522E-2</v>
      </c>
      <c r="AR246" s="91">
        <f t="shared" si="426"/>
        <v>5.2364963220309368E-2</v>
      </c>
      <c r="AS246" s="745">
        <f t="shared" si="426"/>
        <v>5.3162716479887795E-2</v>
      </c>
      <c r="AT246" s="90">
        <f t="shared" si="426"/>
        <v>6.0375913851017815E-2</v>
      </c>
      <c r="AU246" s="90">
        <f t="shared" si="426"/>
        <v>6.3628030274876846E-2</v>
      </c>
      <c r="AV246" s="746">
        <f t="shared" si="426"/>
        <v>5.3761224254697426E-2</v>
      </c>
      <c r="AW246" s="746">
        <f t="shared" si="426"/>
        <v>5.7706731094348429E-2</v>
      </c>
      <c r="AX246" s="90">
        <f t="shared" si="426"/>
        <v>5.1561348293573284E-2</v>
      </c>
      <c r="AY246" s="90">
        <f t="shared" si="426"/>
        <v>5.4661387061084143E-2</v>
      </c>
      <c r="AZ246" s="90">
        <f t="shared" si="426"/>
        <v>5.2682455292411889E-2</v>
      </c>
      <c r="BA246" s="746">
        <f t="shared" si="426"/>
        <v>5.0632911392405111E-2</v>
      </c>
      <c r="BB246" s="747">
        <f t="shared" si="426"/>
        <v>5.2380198169424741E-2</v>
      </c>
      <c r="BC246" s="90">
        <f t="shared" ref="BC246:CA246" si="427">BC245/AX245-1</f>
        <v>5.3650504016555578E-2</v>
      </c>
      <c r="BD246" s="90">
        <f t="shared" si="427"/>
        <v>6.3401005979560221E-2</v>
      </c>
      <c r="BE246" s="90">
        <f t="shared" si="427"/>
        <v>6.8737760961200101E-2</v>
      </c>
      <c r="BF246" s="746">
        <f t="shared" si="427"/>
        <v>6.900328587075566E-2</v>
      </c>
      <c r="BG246" s="747">
        <f t="shared" si="427"/>
        <v>6.3725496964433637E-2</v>
      </c>
      <c r="BH246" s="90">
        <f t="shared" si="427"/>
        <v>4.7500000000000098E-2</v>
      </c>
      <c r="BI246" s="90">
        <f t="shared" si="427"/>
        <v>4.7500000000000098E-2</v>
      </c>
      <c r="BJ246" s="90">
        <f t="shared" si="427"/>
        <v>4.7500000000000098E-2</v>
      </c>
      <c r="BK246" s="746">
        <f t="shared" si="427"/>
        <v>4.2499999999999982E-2</v>
      </c>
      <c r="BL246" s="747">
        <f t="shared" si="427"/>
        <v>4.6233125649013163E-2</v>
      </c>
      <c r="BM246" s="90">
        <f t="shared" si="427"/>
        <v>5.0000000000000044E-2</v>
      </c>
      <c r="BN246" s="90">
        <f t="shared" si="427"/>
        <v>5.0000000000000044E-2</v>
      </c>
      <c r="BO246" s="90">
        <f t="shared" si="427"/>
        <v>5.0000000000000044E-2</v>
      </c>
      <c r="BP246" s="746">
        <f t="shared" si="427"/>
        <v>5.0000000000000044E-2</v>
      </c>
      <c r="BQ246" s="747">
        <f t="shared" si="427"/>
        <v>5.0000000000000044E-2</v>
      </c>
      <c r="BR246" s="90">
        <f t="shared" si="427"/>
        <v>5.0000000000000044E-2</v>
      </c>
      <c r="BS246" s="90">
        <f t="shared" si="427"/>
        <v>5.0000000000000044E-2</v>
      </c>
      <c r="BT246" s="90">
        <f t="shared" si="427"/>
        <v>5.0000000000000044E-2</v>
      </c>
      <c r="BU246" s="746">
        <f t="shared" si="427"/>
        <v>5.0000000000000044E-2</v>
      </c>
      <c r="BV246" s="747">
        <f t="shared" si="427"/>
        <v>5.0000000000000044E-2</v>
      </c>
      <c r="BW246" s="90">
        <f t="shared" si="427"/>
        <v>5.0000000000000044E-2</v>
      </c>
      <c r="BX246" s="90">
        <f t="shared" si="427"/>
        <v>5.0000000000000044E-2</v>
      </c>
      <c r="BY246" s="90">
        <f t="shared" si="427"/>
        <v>5.0000000000000044E-2</v>
      </c>
      <c r="BZ246" s="746">
        <f t="shared" si="427"/>
        <v>5.0000000000000044E-2</v>
      </c>
      <c r="CA246" s="747">
        <f t="shared" si="427"/>
        <v>5.0000000000000044E-2</v>
      </c>
      <c r="CB246" s="1910"/>
      <c r="CC246" s="29"/>
      <c r="CD246" s="724" t="str">
        <f>A246</f>
        <v>YoY Change</v>
      </c>
      <c r="CE246" s="91">
        <f>D246</f>
        <v>5.2930103035366161E-2</v>
      </c>
      <c r="CF246" s="91">
        <f>I246</f>
        <v>2.6502536846693125E-2</v>
      </c>
      <c r="CG246" s="91">
        <f>N246</f>
        <v>3.9638469783164432E-2</v>
      </c>
      <c r="CH246" s="91">
        <f>S246</f>
        <v>3.8829003689597963E-2</v>
      </c>
      <c r="CI246" s="91">
        <f>X246</f>
        <v>3.4661892911125536E-2</v>
      </c>
      <c r="CJ246" s="91">
        <f>AC246</f>
        <v>3.9146859286750102E-2</v>
      </c>
      <c r="CK246" s="91">
        <f>AH246</f>
        <v>2.8658355832228422E-2</v>
      </c>
      <c r="CL246" s="91">
        <f>AM246</f>
        <v>6.6901809472205587E-2</v>
      </c>
      <c r="CM246" s="91">
        <f>AR246</f>
        <v>5.2364963220309368E-2</v>
      </c>
      <c r="CN246" s="91">
        <f>AW246</f>
        <v>5.7706731094348429E-2</v>
      </c>
      <c r="CO246" s="91">
        <f>BB246</f>
        <v>5.2380198169424741E-2</v>
      </c>
      <c r="CP246" s="91">
        <f>BG246</f>
        <v>6.3725496964433637E-2</v>
      </c>
      <c r="CQ246" s="91">
        <f>BL246</f>
        <v>4.6233125649013163E-2</v>
      </c>
      <c r="CR246" s="91">
        <f>BQ246</f>
        <v>5.0000000000000044E-2</v>
      </c>
      <c r="CS246" s="91">
        <f>BV246</f>
        <v>5.0000000000000044E-2</v>
      </c>
      <c r="CT246" s="91">
        <f>CA246</f>
        <v>5.0000000000000044E-2</v>
      </c>
      <c r="CU246" s="1961"/>
      <c r="DB246" s="1961"/>
      <c r="DC246" s="1961"/>
      <c r="DD246" s="1961"/>
      <c r="DE246" s="1961"/>
      <c r="DF246" s="1961"/>
      <c r="DG246" s="1961"/>
      <c r="DH246" s="1961"/>
      <c r="DI246" s="90"/>
    </row>
    <row r="247" spans="1:113" hidden="1" outlineLevel="1" x14ac:dyDescent="0.25">
      <c r="A247" s="748" t="s">
        <v>214</v>
      </c>
      <c r="B247" s="730"/>
      <c r="C247" s="749"/>
      <c r="D247" s="749"/>
      <c r="E247" s="750"/>
      <c r="F247" s="750"/>
      <c r="G247" s="750"/>
      <c r="H247" s="750"/>
      <c r="I247" s="751"/>
      <c r="J247" s="750"/>
      <c r="K247" s="750"/>
      <c r="L247" s="750"/>
      <c r="M247" s="750"/>
      <c r="N247" s="752"/>
      <c r="O247" s="750"/>
      <c r="P247" s="753"/>
      <c r="Q247" s="753"/>
      <c r="R247" s="753"/>
      <c r="S247" s="754"/>
      <c r="T247" s="750"/>
      <c r="U247" s="750"/>
      <c r="V247" s="750"/>
      <c r="W247" s="750"/>
      <c r="X247" s="752"/>
      <c r="Y247" s="750"/>
      <c r="Z247" s="750"/>
      <c r="AA247" s="750"/>
      <c r="AB247" s="750"/>
      <c r="AC247" s="752"/>
      <c r="AD247" s="753"/>
      <c r="AE247" s="753"/>
      <c r="AF247" s="753"/>
      <c r="AG247" s="753"/>
      <c r="AH247" s="752"/>
      <c r="AI247" s="753"/>
      <c r="AJ247" s="753"/>
      <c r="AK247" s="753"/>
      <c r="AL247" s="753"/>
      <c r="AM247" s="752"/>
      <c r="AN247" s="755"/>
      <c r="AO247" s="753"/>
      <c r="AP247" s="753"/>
      <c r="AQ247" s="756"/>
      <c r="AR247" s="752"/>
      <c r="AS247" s="755"/>
      <c r="AT247" s="753"/>
      <c r="AU247" s="753"/>
      <c r="AV247" s="756"/>
      <c r="AW247" s="752"/>
      <c r="AX247" s="753"/>
      <c r="AY247" s="753"/>
      <c r="AZ247" s="753"/>
      <c r="BA247" s="756"/>
      <c r="BB247" s="757"/>
      <c r="BC247" s="753"/>
      <c r="BD247" s="753"/>
      <c r="BE247" s="753"/>
      <c r="BF247" s="756"/>
      <c r="BG247" s="757"/>
      <c r="BH247" s="753"/>
      <c r="BI247" s="753"/>
      <c r="BJ247" s="753"/>
      <c r="BK247" s="756"/>
      <c r="BL247" s="757"/>
      <c r="BM247" s="753"/>
      <c r="BN247" s="753"/>
      <c r="BO247" s="753"/>
      <c r="BP247" s="756"/>
      <c r="BQ247" s="757"/>
      <c r="BR247" s="753"/>
      <c r="BS247" s="753"/>
      <c r="BT247" s="753"/>
      <c r="BU247" s="756"/>
      <c r="BV247" s="757"/>
      <c r="BW247" s="753"/>
      <c r="BX247" s="753"/>
      <c r="BY247" s="753"/>
      <c r="BZ247" s="756"/>
      <c r="CA247" s="757"/>
      <c r="CB247" s="1910"/>
      <c r="CC247" s="29"/>
      <c r="CD247" s="748"/>
      <c r="CE247" s="752"/>
      <c r="CF247" s="752"/>
      <c r="CG247" s="752"/>
      <c r="CH247" s="752"/>
      <c r="CI247" s="752"/>
      <c r="CJ247" s="752"/>
      <c r="CK247" s="752"/>
      <c r="CL247" s="752"/>
      <c r="CM247" s="752"/>
      <c r="CN247" s="752"/>
      <c r="CO247" s="752"/>
      <c r="CP247" s="752"/>
      <c r="CQ247" s="752"/>
      <c r="CR247" s="752"/>
      <c r="CS247" s="752"/>
      <c r="CT247" s="752"/>
      <c r="CU247" s="1961"/>
      <c r="DB247" s="1961"/>
      <c r="DC247" s="1961"/>
      <c r="DD247" s="1961"/>
      <c r="DE247" s="1961"/>
      <c r="DF247" s="1961"/>
      <c r="DG247" s="1961"/>
      <c r="DH247" s="1961"/>
      <c r="DI247" s="716"/>
    </row>
    <row r="248" spans="1:113" hidden="1" outlineLevel="1" x14ac:dyDescent="0.25">
      <c r="A248" s="748" t="s">
        <v>215</v>
      </c>
      <c r="B248" s="730"/>
      <c r="C248" s="749"/>
      <c r="D248" s="749"/>
      <c r="E248" s="750"/>
      <c r="F248" s="750"/>
      <c r="G248" s="750"/>
      <c r="H248" s="750"/>
      <c r="I248" s="751"/>
      <c r="J248" s="750"/>
      <c r="K248" s="750"/>
      <c r="L248" s="750"/>
      <c r="M248" s="750"/>
      <c r="N248" s="752"/>
      <c r="O248" s="750"/>
      <c r="P248" s="753"/>
      <c r="Q248" s="753"/>
      <c r="R248" s="753"/>
      <c r="S248" s="754"/>
      <c r="T248" s="750"/>
      <c r="U248" s="750"/>
      <c r="V248" s="750"/>
      <c r="W248" s="750"/>
      <c r="X248" s="752"/>
      <c r="Y248" s="750"/>
      <c r="Z248" s="750"/>
      <c r="AA248" s="750"/>
      <c r="AB248" s="750"/>
      <c r="AC248" s="752"/>
      <c r="AD248" s="753"/>
      <c r="AE248" s="753"/>
      <c r="AF248" s="753"/>
      <c r="AG248" s="753"/>
      <c r="AH248" s="752"/>
      <c r="AI248" s="753"/>
      <c r="AJ248" s="753"/>
      <c r="AK248" s="753"/>
      <c r="AL248" s="753"/>
      <c r="AM248" s="752"/>
      <c r="AN248" s="755"/>
      <c r="AO248" s="753"/>
      <c r="AP248" s="753"/>
      <c r="AQ248" s="756"/>
      <c r="AR248" s="752"/>
      <c r="AS248" s="755"/>
      <c r="AT248" s="753"/>
      <c r="AU248" s="753"/>
      <c r="AV248" s="756"/>
      <c r="AW248" s="752"/>
      <c r="AX248" s="753"/>
      <c r="AY248" s="753"/>
      <c r="AZ248" s="753"/>
      <c r="BA248" s="756"/>
      <c r="BB248" s="757"/>
      <c r="BC248" s="753"/>
      <c r="BD248" s="753"/>
      <c r="BE248" s="753"/>
      <c r="BF248" s="756"/>
      <c r="BG248" s="757"/>
      <c r="BH248" s="753"/>
      <c r="BI248" s="753"/>
      <c r="BJ248" s="753"/>
      <c r="BK248" s="756"/>
      <c r="BL248" s="757"/>
      <c r="BM248" s="753"/>
      <c r="BN248" s="753"/>
      <c r="BO248" s="753"/>
      <c r="BP248" s="756"/>
      <c r="BQ248" s="757"/>
      <c r="BR248" s="753"/>
      <c r="BS248" s="753"/>
      <c r="BT248" s="753"/>
      <c r="BU248" s="756"/>
      <c r="BV248" s="757"/>
      <c r="BW248" s="753"/>
      <c r="BX248" s="753"/>
      <c r="BY248" s="753"/>
      <c r="BZ248" s="756"/>
      <c r="CA248" s="757"/>
      <c r="CB248" s="1910"/>
      <c r="CC248" s="29"/>
      <c r="CD248" s="748"/>
      <c r="CE248" s="752"/>
      <c r="CF248" s="752"/>
      <c r="CG248" s="752"/>
      <c r="CH248" s="752"/>
      <c r="CI248" s="752"/>
      <c r="CJ248" s="752"/>
      <c r="CK248" s="752"/>
      <c r="CL248" s="752"/>
      <c r="CM248" s="752"/>
      <c r="CN248" s="752"/>
      <c r="CO248" s="752"/>
      <c r="CP248" s="752"/>
      <c r="CQ248" s="752"/>
      <c r="CR248" s="752"/>
      <c r="CS248" s="752"/>
      <c r="CT248" s="752"/>
      <c r="CU248" s="1961"/>
      <c r="DB248" s="1961"/>
      <c r="DC248" s="1961"/>
      <c r="DD248" s="1961"/>
      <c r="DE248" s="1961"/>
      <c r="DF248" s="1961"/>
      <c r="DG248" s="1961"/>
      <c r="DH248" s="1961"/>
      <c r="DI248" s="716"/>
    </row>
    <row r="249" spans="1:113" hidden="1" outlineLevel="1" x14ac:dyDescent="0.25">
      <c r="A249" s="748" t="s">
        <v>216</v>
      </c>
      <c r="B249" s="730"/>
      <c r="C249" s="749"/>
      <c r="D249" s="749"/>
      <c r="E249" s="750"/>
      <c r="F249" s="750"/>
      <c r="G249" s="750"/>
      <c r="H249" s="750"/>
      <c r="I249" s="751"/>
      <c r="J249" s="750"/>
      <c r="K249" s="750"/>
      <c r="L249" s="750"/>
      <c r="M249" s="750"/>
      <c r="N249" s="752"/>
      <c r="O249" s="750"/>
      <c r="P249" s="753"/>
      <c r="Q249" s="753"/>
      <c r="R249" s="753"/>
      <c r="S249" s="754"/>
      <c r="T249" s="750"/>
      <c r="U249" s="750"/>
      <c r="V249" s="750"/>
      <c r="W249" s="750"/>
      <c r="X249" s="752"/>
      <c r="Y249" s="750"/>
      <c r="Z249" s="750"/>
      <c r="AA249" s="750"/>
      <c r="AB249" s="750"/>
      <c r="AC249" s="752"/>
      <c r="AD249" s="753"/>
      <c r="AE249" s="753"/>
      <c r="AF249" s="753"/>
      <c r="AG249" s="753"/>
      <c r="AH249" s="752"/>
      <c r="AI249" s="753"/>
      <c r="AJ249" s="753"/>
      <c r="AK249" s="753"/>
      <c r="AL249" s="753"/>
      <c r="AM249" s="752"/>
      <c r="AN249" s="755"/>
      <c r="AO249" s="753"/>
      <c r="AP249" s="753"/>
      <c r="AQ249" s="756"/>
      <c r="AR249" s="752"/>
      <c r="AS249" s="755"/>
      <c r="AT249" s="753"/>
      <c r="AU249" s="753"/>
      <c r="AV249" s="756"/>
      <c r="AW249" s="752"/>
      <c r="AX249" s="753"/>
      <c r="AY249" s="753"/>
      <c r="AZ249" s="753"/>
      <c r="BA249" s="756"/>
      <c r="BB249" s="757"/>
      <c r="BC249" s="753"/>
      <c r="BD249" s="753"/>
      <c r="BE249" s="753"/>
      <c r="BF249" s="756"/>
      <c r="BG249" s="757"/>
      <c r="BH249" s="753"/>
      <c r="BI249" s="753"/>
      <c r="BJ249" s="753"/>
      <c r="BK249" s="756"/>
      <c r="BL249" s="757"/>
      <c r="BM249" s="753"/>
      <c r="BN249" s="753"/>
      <c r="BO249" s="753"/>
      <c r="BP249" s="756"/>
      <c r="BQ249" s="757"/>
      <c r="BR249" s="753"/>
      <c r="BS249" s="753"/>
      <c r="BT249" s="753"/>
      <c r="BU249" s="756"/>
      <c r="BV249" s="757"/>
      <c r="BW249" s="753"/>
      <c r="BX249" s="753"/>
      <c r="BY249" s="753"/>
      <c r="BZ249" s="756"/>
      <c r="CA249" s="757"/>
      <c r="CB249" s="1910"/>
      <c r="CC249" s="29"/>
      <c r="CD249" s="748"/>
      <c r="CE249" s="752"/>
      <c r="CF249" s="752"/>
      <c r="CG249" s="752"/>
      <c r="CH249" s="752"/>
      <c r="CI249" s="752"/>
      <c r="CJ249" s="752"/>
      <c r="CK249" s="752"/>
      <c r="CL249" s="752"/>
      <c r="CM249" s="752"/>
      <c r="CN249" s="752"/>
      <c r="CO249" s="752"/>
      <c r="CP249" s="752"/>
      <c r="CQ249" s="752"/>
      <c r="CR249" s="752"/>
      <c r="CS249" s="752"/>
      <c r="CT249" s="752"/>
      <c r="CU249" s="1961"/>
      <c r="DB249" s="1961"/>
      <c r="DC249" s="1961"/>
      <c r="DD249" s="1961"/>
      <c r="DE249" s="1961"/>
      <c r="DF249" s="1961"/>
      <c r="DG249" s="1961"/>
      <c r="DH249" s="1961"/>
      <c r="DI249" s="716"/>
    </row>
    <row r="250" spans="1:113" collapsed="1" x14ac:dyDescent="0.25">
      <c r="A250" s="758"/>
      <c r="B250" s="703"/>
      <c r="C250" s="441"/>
      <c r="D250" s="441"/>
      <c r="E250" s="92"/>
      <c r="F250" s="92"/>
      <c r="G250" s="92"/>
      <c r="H250" s="92"/>
      <c r="I250" s="91"/>
      <c r="J250" s="92"/>
      <c r="K250" s="92"/>
      <c r="L250" s="92"/>
      <c r="M250" s="92"/>
      <c r="N250" s="91"/>
      <c r="O250" s="92"/>
      <c r="P250" s="537"/>
      <c r="Q250" s="706"/>
      <c r="R250" s="706"/>
      <c r="S250" s="708"/>
      <c r="T250" s="92"/>
      <c r="U250" s="716"/>
      <c r="V250" s="706"/>
      <c r="W250" s="706"/>
      <c r="X250" s="441"/>
      <c r="Y250" s="92"/>
      <c r="Z250" s="92"/>
      <c r="AA250" s="92"/>
      <c r="AB250" s="92"/>
      <c r="AC250" s="709"/>
      <c r="AD250" s="92"/>
      <c r="AE250" s="92"/>
      <c r="AF250" s="92"/>
      <c r="AG250" s="92"/>
      <c r="AH250" s="709"/>
      <c r="AI250" s="92"/>
      <c r="AJ250" s="92"/>
      <c r="AK250" s="92"/>
      <c r="AL250" s="92"/>
      <c r="AM250" s="709"/>
      <c r="AN250" s="759"/>
      <c r="AO250" s="92"/>
      <c r="AP250" s="92"/>
      <c r="AQ250" s="442"/>
      <c r="AR250" s="709"/>
      <c r="AS250" s="759"/>
      <c r="AT250" s="92"/>
      <c r="AU250" s="92"/>
      <c r="AV250" s="442"/>
      <c r="AW250" s="731"/>
      <c r="AX250" s="92"/>
      <c r="AY250" s="92"/>
      <c r="AZ250" s="92"/>
      <c r="BA250" s="442"/>
      <c r="BB250" s="713"/>
      <c r="BC250" s="92"/>
      <c r="BD250" s="92"/>
      <c r="BE250" s="92"/>
      <c r="BF250" s="442"/>
      <c r="BG250" s="713"/>
      <c r="BH250" s="92"/>
      <c r="BI250" s="92"/>
      <c r="BJ250" s="92"/>
      <c r="BK250" s="442"/>
      <c r="BL250" s="713"/>
      <c r="BM250" s="92"/>
      <c r="BN250" s="92"/>
      <c r="BO250" s="92"/>
      <c r="BP250" s="442"/>
      <c r="BQ250" s="713"/>
      <c r="BR250" s="92"/>
      <c r="BS250" s="92"/>
      <c r="BT250" s="92"/>
      <c r="BU250" s="442"/>
      <c r="BV250" s="713"/>
      <c r="BW250" s="92"/>
      <c r="BX250" s="92"/>
      <c r="BY250" s="92"/>
      <c r="BZ250" s="442"/>
      <c r="CA250" s="713"/>
      <c r="CB250" s="1910"/>
      <c r="CC250" s="29"/>
      <c r="CD250" s="758"/>
      <c r="CE250" s="709"/>
      <c r="CF250" s="709"/>
      <c r="CG250" s="709"/>
      <c r="CH250" s="709"/>
      <c r="CI250" s="709"/>
      <c r="CJ250" s="709"/>
      <c r="CK250" s="709"/>
      <c r="CL250" s="709"/>
      <c r="CM250" s="709"/>
      <c r="CN250" s="709"/>
      <c r="CO250" s="709"/>
      <c r="CP250" s="709"/>
      <c r="CQ250" s="709"/>
      <c r="CR250" s="709"/>
      <c r="CS250" s="709"/>
      <c r="CT250" s="709"/>
      <c r="CU250" s="1961"/>
      <c r="DB250" s="1961"/>
      <c r="DC250" s="1961"/>
      <c r="DD250" s="1961"/>
      <c r="DE250" s="1961"/>
      <c r="DF250" s="1961"/>
      <c r="DG250" s="1961"/>
      <c r="DH250" s="1961"/>
      <c r="DI250" s="716"/>
    </row>
    <row r="251" spans="1:113" ht="12" customHeight="1" x14ac:dyDescent="0.25">
      <c r="A251" s="110" t="s">
        <v>56</v>
      </c>
      <c r="B251" s="737"/>
      <c r="C251" s="760">
        <v>191.51599999999999</v>
      </c>
      <c r="D251" s="760">
        <v>203.87799999999999</v>
      </c>
      <c r="E251" s="739">
        <v>52.792999999999999</v>
      </c>
      <c r="F251" s="739">
        <f>104.917-E251</f>
        <v>52.124000000000002</v>
      </c>
      <c r="G251" s="739">
        <f>153.27-SUM(E251:F251)</f>
        <v>48.353000000000009</v>
      </c>
      <c r="H251" s="739">
        <f>204.182-SUM(E251:G251)</f>
        <v>50.911999999999978</v>
      </c>
      <c r="I251" s="740">
        <f>SUM(E251:H251)</f>
        <v>204.18199999999999</v>
      </c>
      <c r="J251" s="739">
        <v>51.366999999999997</v>
      </c>
      <c r="K251" s="739">
        <f>103.14-J251</f>
        <v>51.773000000000003</v>
      </c>
      <c r="L251" s="739">
        <f>154.724-SUM(J251:K251)</f>
        <v>51.583999999999989</v>
      </c>
      <c r="M251" s="266">
        <f>199.872-SUM(J251:L251)</f>
        <v>45.148000000000025</v>
      </c>
      <c r="N251" s="740">
        <f>SUM(J251:M251)</f>
        <v>199.87200000000001</v>
      </c>
      <c r="O251" s="266">
        <v>51.499000000000002</v>
      </c>
      <c r="P251" s="739">
        <f>104.467-O251</f>
        <v>52.967999999999996</v>
      </c>
      <c r="Q251" s="562">
        <v>54.707999999999998</v>
      </c>
      <c r="R251" s="562">
        <f>230.494-SUM(O251:Q251)</f>
        <v>71.318999999999988</v>
      </c>
      <c r="S251" s="761">
        <f>SUM(O251:R251)</f>
        <v>230.494</v>
      </c>
      <c r="T251" s="266">
        <v>49.898000000000003</v>
      </c>
      <c r="U251" s="762">
        <v>48.652000000000001</v>
      </c>
      <c r="V251" s="762">
        <v>49.526000000000003</v>
      </c>
      <c r="W251" s="562">
        <f>194.731-SUM(T251:V251)</f>
        <v>46.654999999999973</v>
      </c>
      <c r="X251" s="738">
        <f>SUM(T251:W251)</f>
        <v>194.73099999999999</v>
      </c>
      <c r="Y251" s="266">
        <v>47.256999999999998</v>
      </c>
      <c r="Z251" s="266">
        <v>49.052999999999997</v>
      </c>
      <c r="AA251" s="266">
        <v>49.209000000000003</v>
      </c>
      <c r="AB251" s="266">
        <f>193.667-SUM(Y251:AA251)</f>
        <v>48.147999999999996</v>
      </c>
      <c r="AC251" s="738">
        <f>SUM(Y251:AB251)</f>
        <v>193.667</v>
      </c>
      <c r="AD251" s="762">
        <v>45.432000000000002</v>
      </c>
      <c r="AE251" s="230">
        <v>45.305</v>
      </c>
      <c r="AF251" s="234">
        <v>45.04</v>
      </c>
      <c r="AG251" s="234">
        <f>182.428-SUM(AD251:AF251)</f>
        <v>46.65100000000001</v>
      </c>
      <c r="AH251" s="738">
        <f>SUM(AD251:AG251)</f>
        <v>182.428</v>
      </c>
      <c r="AI251" s="762">
        <v>46.816000000000003</v>
      </c>
      <c r="AJ251" s="562">
        <v>48.459000000000003</v>
      </c>
      <c r="AK251" s="762">
        <v>50.234000000000002</v>
      </c>
      <c r="AL251" s="762">
        <f>194.545-SUM(AI251:AK251)</f>
        <v>49.035999999999973</v>
      </c>
      <c r="AM251" s="738">
        <f>SUM(AI251:AL251)</f>
        <v>194.54499999999999</v>
      </c>
      <c r="AN251" s="762">
        <v>49.914000000000001</v>
      </c>
      <c r="AO251" s="562">
        <v>52.447000000000003</v>
      </c>
      <c r="AP251" s="562">
        <v>50.814</v>
      </c>
      <c r="AQ251" s="562">
        <f>208.187-SUM(AN251:AP251)</f>
        <v>55.012</v>
      </c>
      <c r="AR251" s="738">
        <f>SUM(AN251:AQ251)</f>
        <v>208.18700000000001</v>
      </c>
      <c r="AS251" s="762">
        <v>50.972000000000001</v>
      </c>
      <c r="AT251" s="562">
        <v>50.414000000000001</v>
      </c>
      <c r="AU251" s="562">
        <v>48.252000000000002</v>
      </c>
      <c r="AV251" s="562">
        <v>50.4</v>
      </c>
      <c r="AW251" s="712">
        <f>SUM(AS251:AV251)</f>
        <v>200.03800000000001</v>
      </c>
      <c r="AX251" s="762">
        <v>51.688000000000002</v>
      </c>
      <c r="AY251" s="762">
        <v>55.023000000000003</v>
      </c>
      <c r="AZ251" s="762">
        <v>52.066000000000003</v>
      </c>
      <c r="BA251" s="763">
        <v>64.900000000000006</v>
      </c>
      <c r="BB251" s="764">
        <f>SUM(AX251:BA251)</f>
        <v>223.67700000000002</v>
      </c>
      <c r="BC251" s="1880">
        <v>54.9</v>
      </c>
      <c r="BD251" s="1880">
        <v>58.1</v>
      </c>
      <c r="BE251" s="1949">
        <v>56.8</v>
      </c>
      <c r="BF251" s="1949">
        <v>57.1</v>
      </c>
      <c r="BG251" s="764">
        <f>SUM(BC251:BF251)</f>
        <v>226.9</v>
      </c>
      <c r="BH251" s="765">
        <f>(1-BH252)*BH245</f>
        <v>57.309353500000007</v>
      </c>
      <c r="BI251" s="765">
        <f>(1-BI252)*BI245</f>
        <v>60.65800149999999</v>
      </c>
      <c r="BJ251" s="765">
        <f>(1-BJ252)*BJ245</f>
        <v>59.295623000000013</v>
      </c>
      <c r="BK251" s="766">
        <f>(1-BK252)*BK245</f>
        <v>59.323253999999991</v>
      </c>
      <c r="BL251" s="764">
        <f>SUM(BH251:BK251)</f>
        <v>236.586232</v>
      </c>
      <c r="BM251" s="765">
        <f>(1-BM252)*BM245</f>
        <v>59.966504850000007</v>
      </c>
      <c r="BN251" s="765">
        <f>(1-BN252)*BN245</f>
        <v>63.479065649999988</v>
      </c>
      <c r="BO251" s="765">
        <f>(1-BO252)*BO245</f>
        <v>62.04790830000001</v>
      </c>
      <c r="BP251" s="766">
        <f>(1-BP252)*BP245</f>
        <v>62.075745899999987</v>
      </c>
      <c r="BQ251" s="764">
        <f>SUM(BM251:BP251)</f>
        <v>247.56922470000001</v>
      </c>
      <c r="BR251" s="765">
        <f>(1-BR252)*BR245</f>
        <v>62.746097951250007</v>
      </c>
      <c r="BS251" s="765">
        <f>(1-BS252)*BS245</f>
        <v>66.43059121124999</v>
      </c>
      <c r="BT251" s="765">
        <f>(1-BT252)*BT245</f>
        <v>64.927183072500014</v>
      </c>
      <c r="BU251" s="766">
        <f>(1-BU252)*BU245</f>
        <v>64.955178855</v>
      </c>
      <c r="BV251" s="764">
        <f>SUM(BR251:BU251)</f>
        <v>259.05905109000003</v>
      </c>
      <c r="BW251" s="765">
        <f>(1-BW252)*BW245</f>
        <v>65.653734100500003</v>
      </c>
      <c r="BX251" s="765">
        <f>(1-BX252)*BX245</f>
        <v>69.518571664500001</v>
      </c>
      <c r="BY251" s="765">
        <f>(1-BY252)*BY245</f>
        <v>67.939265551500029</v>
      </c>
      <c r="BZ251" s="766">
        <f>(1-BZ252)*BZ245</f>
        <v>67.967365740749997</v>
      </c>
      <c r="CA251" s="764">
        <f>SUM(BW251:BZ251)</f>
        <v>271.07893705725002</v>
      </c>
      <c r="CB251" s="1910"/>
      <c r="CC251" s="29"/>
      <c r="CD251" s="110" t="str">
        <f>A251</f>
        <v>Cost Of Revenues</v>
      </c>
      <c r="CE251" s="738">
        <f>D251</f>
        <v>203.87799999999999</v>
      </c>
      <c r="CF251" s="738">
        <f>I251</f>
        <v>204.18199999999999</v>
      </c>
      <c r="CG251" s="738">
        <f>N251</f>
        <v>199.87200000000001</v>
      </c>
      <c r="CH251" s="738">
        <f>S251</f>
        <v>230.494</v>
      </c>
      <c r="CI251" s="738">
        <f>X251</f>
        <v>194.73099999999999</v>
      </c>
      <c r="CJ251" s="738">
        <f>AC251</f>
        <v>193.667</v>
      </c>
      <c r="CK251" s="738">
        <f>AH251</f>
        <v>182.428</v>
      </c>
      <c r="CL251" s="738">
        <f>AM251</f>
        <v>194.54499999999999</v>
      </c>
      <c r="CM251" s="738">
        <f>AR251</f>
        <v>208.18700000000001</v>
      </c>
      <c r="CN251" s="738">
        <f>AW251</f>
        <v>200.03800000000001</v>
      </c>
      <c r="CO251" s="738">
        <f>BB251</f>
        <v>223.67700000000002</v>
      </c>
      <c r="CP251" s="738">
        <f>BG251</f>
        <v>226.9</v>
      </c>
      <c r="CQ251" s="738">
        <f>BL251</f>
        <v>236.586232</v>
      </c>
      <c r="CR251" s="738">
        <f>BQ251</f>
        <v>247.56922470000001</v>
      </c>
      <c r="CS251" s="738">
        <f>BV251</f>
        <v>259.05905109000003</v>
      </c>
      <c r="CT251" s="738">
        <f>CA251</f>
        <v>271.07893705725002</v>
      </c>
      <c r="CU251" s="1961"/>
      <c r="DB251" s="1961"/>
      <c r="DC251" s="1961"/>
      <c r="DD251" s="1961"/>
      <c r="DE251" s="1961"/>
      <c r="DF251" s="1961"/>
      <c r="DG251" s="1961"/>
      <c r="DH251" s="1961"/>
      <c r="DI251" s="767"/>
    </row>
    <row r="252" spans="1:113" ht="12" customHeight="1" x14ac:dyDescent="0.25">
      <c r="A252" s="81" t="s">
        <v>57</v>
      </c>
      <c r="B252" s="703"/>
      <c r="C252" s="441">
        <f t="shared" ref="C252:AZ252" si="428">1-C251/C245</f>
        <v>0.57334224450013926</v>
      </c>
      <c r="D252" s="441">
        <f t="shared" si="428"/>
        <v>0.56863450365399015</v>
      </c>
      <c r="E252" s="92">
        <f t="shared" si="428"/>
        <v>0.56654925819190949</v>
      </c>
      <c r="F252" s="92">
        <f t="shared" si="428"/>
        <v>0.57539569400206914</v>
      </c>
      <c r="G252" s="92">
        <f t="shared" si="428"/>
        <v>0.60037852178153173</v>
      </c>
      <c r="H252" s="92">
        <f t="shared" si="428"/>
        <v>0.574339294522896</v>
      </c>
      <c r="I252" s="441">
        <f t="shared" si="428"/>
        <v>0.5791450243218732</v>
      </c>
      <c r="J252" s="92">
        <f t="shared" si="428"/>
        <v>0.59565960059509282</v>
      </c>
      <c r="K252" s="92">
        <f t="shared" si="428"/>
        <v>0.59013434454586466</v>
      </c>
      <c r="L252" s="92">
        <f t="shared" si="428"/>
        <v>0.58794114357835547</v>
      </c>
      <c r="M252" s="92">
        <f t="shared" si="428"/>
        <v>0.64125261225754659</v>
      </c>
      <c r="N252" s="441">
        <f t="shared" si="428"/>
        <v>0.60373599053115545</v>
      </c>
      <c r="O252" s="759">
        <f t="shared" si="428"/>
        <v>0.60252689748853872</v>
      </c>
      <c r="P252" s="92">
        <f t="shared" si="428"/>
        <v>0.60266152565131614</v>
      </c>
      <c r="Q252" s="92">
        <f t="shared" si="428"/>
        <v>0.57923396400553773</v>
      </c>
      <c r="R252" s="92">
        <f t="shared" si="428"/>
        <v>0.45592487202764664</v>
      </c>
      <c r="S252" s="708">
        <f>1-S251/S245</f>
        <v>0.56010580637281104</v>
      </c>
      <c r="T252" s="759">
        <f t="shared" si="428"/>
        <v>0.62922617366880162</v>
      </c>
      <c r="U252" s="92">
        <f t="shared" si="428"/>
        <v>0.6377067369628191</v>
      </c>
      <c r="V252" s="92">
        <f t="shared" si="428"/>
        <v>0.63655710396348397</v>
      </c>
      <c r="W252" s="92">
        <f t="shared" si="428"/>
        <v>0.65945752616750142</v>
      </c>
      <c r="X252" s="441">
        <f>1-X251/X245</f>
        <v>0.64080916666974086</v>
      </c>
      <c r="Y252" s="759">
        <f t="shared" si="428"/>
        <v>0.66375415353308242</v>
      </c>
      <c r="Z252" s="92">
        <f t="shared" si="428"/>
        <v>0.65094285917597672</v>
      </c>
      <c r="AA252" s="92">
        <f t="shared" si="428"/>
        <v>0.64844938811376152</v>
      </c>
      <c r="AB252" s="92">
        <f t="shared" si="428"/>
        <v>0.66167056657602019</v>
      </c>
      <c r="AC252" s="441">
        <f>1-AC251/AC245</f>
        <v>0.65622930944811597</v>
      </c>
      <c r="AD252" s="759">
        <f t="shared" si="428"/>
        <v>0.68660886120480935</v>
      </c>
      <c r="AE252" s="92">
        <f t="shared" si="428"/>
        <v>0.68579433937401602</v>
      </c>
      <c r="AF252" s="90">
        <f t="shared" si="428"/>
        <v>0.68693307012727045</v>
      </c>
      <c r="AG252" s="90">
        <f t="shared" si="428"/>
        <v>0.68152183559642543</v>
      </c>
      <c r="AH252" s="441">
        <f>1-AH251/AH245</f>
        <v>0.68520084347703047</v>
      </c>
      <c r="AI252" s="92">
        <f t="shared" si="428"/>
        <v>0.69323714231421962</v>
      </c>
      <c r="AJ252" s="92">
        <f t="shared" si="428"/>
        <v>0.68585949604237029</v>
      </c>
      <c r="AK252" s="92">
        <f t="shared" si="428"/>
        <v>0.67602463641933508</v>
      </c>
      <c r="AL252" s="92">
        <f t="shared" si="428"/>
        <v>0.68636831703432721</v>
      </c>
      <c r="AM252" s="441">
        <f t="shared" si="428"/>
        <v>0.68534279189229408</v>
      </c>
      <c r="AN252" s="92">
        <f t="shared" si="428"/>
        <v>0.69248304202374422</v>
      </c>
      <c r="AO252" s="92">
        <f t="shared" si="428"/>
        <v>0.67615713297767233</v>
      </c>
      <c r="AP252" s="92">
        <f t="shared" si="428"/>
        <v>0.68527258538035607</v>
      </c>
      <c r="AQ252" s="92">
        <f t="shared" si="428"/>
        <v>0.66645850133084339</v>
      </c>
      <c r="AR252" s="441">
        <f t="shared" si="428"/>
        <v>0.68003325894641065</v>
      </c>
      <c r="AS252" s="92">
        <f t="shared" si="428"/>
        <v>0.70181699055820101</v>
      </c>
      <c r="AT252" s="92">
        <f t="shared" si="428"/>
        <v>0.70643451930355794</v>
      </c>
      <c r="AU252" s="92">
        <f t="shared" si="428"/>
        <v>0.71901914084564456</v>
      </c>
      <c r="AV252" s="442">
        <f t="shared" si="428"/>
        <v>0.71001150747986186</v>
      </c>
      <c r="AW252" s="759">
        <f t="shared" si="428"/>
        <v>0.70933116729318124</v>
      </c>
      <c r="AX252" s="759">
        <f t="shared" si="428"/>
        <v>0.71245466076236674</v>
      </c>
      <c r="AY252" s="92">
        <f t="shared" si="428"/>
        <v>0.69620190263752157</v>
      </c>
      <c r="AZ252" s="92">
        <f t="shared" si="428"/>
        <v>0.71198291789748525</v>
      </c>
      <c r="BA252" s="92">
        <f t="shared" ref="BA252:BG252" si="429">1-BA251/BA245</f>
        <v>0.64457831325301207</v>
      </c>
      <c r="BB252" s="451">
        <f t="shared" si="429"/>
        <v>0.69115923158811832</v>
      </c>
      <c r="BC252" s="759">
        <f t="shared" si="429"/>
        <v>0.71013727560718054</v>
      </c>
      <c r="BD252" s="92">
        <f t="shared" si="429"/>
        <v>0.69833852544132924</v>
      </c>
      <c r="BE252" s="92">
        <f t="shared" si="429"/>
        <v>0.70600414078674945</v>
      </c>
      <c r="BF252" s="92">
        <f t="shared" si="429"/>
        <v>0.70747950819672134</v>
      </c>
      <c r="BG252" s="451">
        <f t="shared" si="429"/>
        <v>0.70547767393561789</v>
      </c>
      <c r="BH252" s="92">
        <f>CHOOSE($A$3,BH253,BH254,BH255)</f>
        <v>0.71113727560718054</v>
      </c>
      <c r="BI252" s="92">
        <f>CHOOSE($A$3,BI253,BI254,BI255)</f>
        <v>0.69933852544132924</v>
      </c>
      <c r="BJ252" s="92">
        <f>CHOOSE($A$3,BJ253,BJ254,BJ255)</f>
        <v>0.70700414078674945</v>
      </c>
      <c r="BK252" s="442">
        <f>CHOOSE($A$3,BK253,BK254,BK255)</f>
        <v>0.70847950819672134</v>
      </c>
      <c r="BL252" s="451">
        <f>1-BL251/BL245</f>
        <v>0.70647524993238364</v>
      </c>
      <c r="BM252" s="92">
        <f>CHOOSE($A$3,BM253,BM254,BM255)</f>
        <v>0.71213727560718054</v>
      </c>
      <c r="BN252" s="92">
        <f>CHOOSE($A$3,BN253,BN254,BN255)</f>
        <v>0.70033852544132924</v>
      </c>
      <c r="BO252" s="92">
        <f>CHOOSE($A$3,BO253,BO254,BO255)</f>
        <v>0.70800414078674945</v>
      </c>
      <c r="BP252" s="442">
        <f>CHOOSE($A$3,BP253,BP254,BP255)</f>
        <v>0.70947950819672134</v>
      </c>
      <c r="BQ252" s="451">
        <f>1-BQ251/BQ245</f>
        <v>0.70747524993238364</v>
      </c>
      <c r="BR252" s="92">
        <f>CHOOSE($A$3,BR253,BR254,BR255)</f>
        <v>0.71313727560718054</v>
      </c>
      <c r="BS252" s="92">
        <f>CHOOSE($A$3,BS253,BS254,BS255)</f>
        <v>0.70133852544132924</v>
      </c>
      <c r="BT252" s="92">
        <f>CHOOSE($A$3,BT253,BT254,BT255)</f>
        <v>0.70900414078674945</v>
      </c>
      <c r="BU252" s="442">
        <f>CHOOSE($A$3,BU253,BU254,BU255)</f>
        <v>0.71047950819672134</v>
      </c>
      <c r="BV252" s="451">
        <f>1-BV251/BV245</f>
        <v>0.70847524993238364</v>
      </c>
      <c r="BW252" s="92">
        <f>CHOOSE($A$3,BW253,BW254,BW255)</f>
        <v>0.71413727560718054</v>
      </c>
      <c r="BX252" s="92">
        <f>CHOOSE($A$3,BX253,BX254,BX255)</f>
        <v>0.70233852544132924</v>
      </c>
      <c r="BY252" s="92">
        <f>CHOOSE($A$3,BY253,BY254,BY255)</f>
        <v>0.71000414078674945</v>
      </c>
      <c r="BZ252" s="442">
        <f>CHOOSE($A$3,BZ253,BZ254,BZ255)</f>
        <v>0.71147950819672134</v>
      </c>
      <c r="CA252" s="451">
        <f>1-CA251/CA245</f>
        <v>0.70947524993238364</v>
      </c>
      <c r="CB252" s="1910"/>
      <c r="CC252" s="29"/>
      <c r="CD252" s="81" t="str">
        <f>A252</f>
        <v>Gross Margin</v>
      </c>
      <c r="CE252" s="441">
        <f>D252</f>
        <v>0.56863450365399015</v>
      </c>
      <c r="CF252" s="441">
        <f>I252</f>
        <v>0.5791450243218732</v>
      </c>
      <c r="CG252" s="441">
        <f>N252</f>
        <v>0.60373599053115545</v>
      </c>
      <c r="CH252" s="441">
        <f>S252</f>
        <v>0.56010580637281104</v>
      </c>
      <c r="CI252" s="441">
        <f>X252</f>
        <v>0.64080916666974086</v>
      </c>
      <c r="CJ252" s="441">
        <f>AC252</f>
        <v>0.65622930944811597</v>
      </c>
      <c r="CK252" s="441">
        <f>AH252</f>
        <v>0.68520084347703047</v>
      </c>
      <c r="CL252" s="441">
        <f>AM252</f>
        <v>0.68534279189229408</v>
      </c>
      <c r="CM252" s="441">
        <f>AR252</f>
        <v>0.68003325894641065</v>
      </c>
      <c r="CN252" s="441">
        <f>AW252</f>
        <v>0.70933116729318124</v>
      </c>
      <c r="CO252" s="441">
        <f>BB252</f>
        <v>0.69115923158811832</v>
      </c>
      <c r="CP252" s="441">
        <f>BG252</f>
        <v>0.70547767393561789</v>
      </c>
      <c r="CQ252" s="441">
        <f>BL252</f>
        <v>0.70647524993238364</v>
      </c>
      <c r="CR252" s="441">
        <f>BQ252</f>
        <v>0.70747524993238364</v>
      </c>
      <c r="CS252" s="441">
        <f>BV252</f>
        <v>0.70847524993238364</v>
      </c>
      <c r="CT252" s="441">
        <f>CA252</f>
        <v>0.70947524993238364</v>
      </c>
      <c r="CU252" s="1961"/>
      <c r="DB252" s="1961"/>
      <c r="DC252" s="1961"/>
      <c r="DD252" s="1961"/>
      <c r="DE252" s="1961"/>
      <c r="DF252" s="1961"/>
      <c r="DG252" s="1961"/>
      <c r="DH252" s="1961"/>
      <c r="DI252" s="90"/>
    </row>
    <row r="253" spans="1:113" ht="12" hidden="1" customHeight="1" outlineLevel="1" x14ac:dyDescent="0.25">
      <c r="A253" s="748" t="s">
        <v>214</v>
      </c>
      <c r="B253" s="730"/>
      <c r="C253" s="749"/>
      <c r="D253" s="751"/>
      <c r="E253" s="750"/>
      <c r="F253" s="750"/>
      <c r="G253" s="750"/>
      <c r="H253" s="750"/>
      <c r="I253" s="751"/>
      <c r="J253" s="750"/>
      <c r="K253" s="750"/>
      <c r="L253" s="750"/>
      <c r="M253" s="750"/>
      <c r="N253" s="752"/>
      <c r="O253" s="750"/>
      <c r="P253" s="753"/>
      <c r="Q253" s="753"/>
      <c r="R253" s="753"/>
      <c r="S253" s="754"/>
      <c r="T253" s="750"/>
      <c r="U253" s="750"/>
      <c r="V253" s="750"/>
      <c r="W253" s="750"/>
      <c r="X253" s="752"/>
      <c r="Y253" s="750"/>
      <c r="Z253" s="750"/>
      <c r="AA253" s="750"/>
      <c r="AB253" s="750"/>
      <c r="AC253" s="752"/>
      <c r="AD253" s="750"/>
      <c r="AE253" s="750"/>
      <c r="AF253" s="750"/>
      <c r="AG253" s="750"/>
      <c r="AH253" s="752"/>
      <c r="AI253" s="753"/>
      <c r="AJ253" s="753"/>
      <c r="AK253" s="753"/>
      <c r="AL253" s="753"/>
      <c r="AM253" s="752"/>
      <c r="AN253" s="753"/>
      <c r="AO253" s="753"/>
      <c r="AP253" s="753"/>
      <c r="AQ253" s="756"/>
      <c r="AR253" s="752"/>
      <c r="AS253" s="753"/>
      <c r="AT253" s="753"/>
      <c r="AU253" s="753"/>
      <c r="AV253" s="756"/>
      <c r="AW253" s="755"/>
      <c r="AX253" s="755"/>
      <c r="AY253" s="750"/>
      <c r="AZ253" s="750"/>
      <c r="BA253" s="750"/>
      <c r="BB253" s="768"/>
      <c r="BC253" s="750"/>
      <c r="BD253" s="750"/>
      <c r="BE253" s="750"/>
      <c r="BF253" s="749"/>
      <c r="BG253" s="768"/>
      <c r="BH253" s="750">
        <f>BH254-1.25%</f>
        <v>0.69863727560718059</v>
      </c>
      <c r="BI253" s="750">
        <f>BI254-1.25%</f>
        <v>0.68683852544132928</v>
      </c>
      <c r="BJ253" s="750">
        <f>BJ254-1.25%</f>
        <v>0.69450414078674949</v>
      </c>
      <c r="BK253" s="749">
        <f>BK254-1.25%</f>
        <v>0.69597950819672139</v>
      </c>
      <c r="BL253" s="768"/>
      <c r="BM253" s="750">
        <f>BM254-1.25%</f>
        <v>0.69963727560718059</v>
      </c>
      <c r="BN253" s="750">
        <f>BN254-1.25%</f>
        <v>0.68783852544132928</v>
      </c>
      <c r="BO253" s="750">
        <f>BO254-1.25%</f>
        <v>0.69550414078674949</v>
      </c>
      <c r="BP253" s="749">
        <f>BP254-1.25%</f>
        <v>0.69697950819672139</v>
      </c>
      <c r="BQ253" s="768"/>
      <c r="BR253" s="750">
        <f>BR254-1.25%</f>
        <v>0.70063727560718059</v>
      </c>
      <c r="BS253" s="750">
        <f>BS254-1.25%</f>
        <v>0.68883852544132929</v>
      </c>
      <c r="BT253" s="750">
        <f>BT254-1.25%</f>
        <v>0.69650414078674949</v>
      </c>
      <c r="BU253" s="749">
        <f>BU254-1.25%</f>
        <v>0.69797950819672139</v>
      </c>
      <c r="BV253" s="768"/>
      <c r="BW253" s="750">
        <f>BW254-1.25%</f>
        <v>0.70163727560718059</v>
      </c>
      <c r="BX253" s="750">
        <f>BX254-1.25%</f>
        <v>0.68983852544132929</v>
      </c>
      <c r="BY253" s="750">
        <f>BY254-1.25%</f>
        <v>0.69750414078674949</v>
      </c>
      <c r="BZ253" s="749">
        <f>BZ254-1.25%</f>
        <v>0.69897950819672139</v>
      </c>
      <c r="CA253" s="768"/>
      <c r="CB253" s="1910"/>
      <c r="CC253" s="29"/>
      <c r="CD253" s="748"/>
      <c r="CE253" s="752"/>
      <c r="CF253" s="752"/>
      <c r="CG253" s="752"/>
      <c r="CH253" s="752"/>
      <c r="CI253" s="752"/>
      <c r="CJ253" s="752"/>
      <c r="CK253" s="752"/>
      <c r="CL253" s="752"/>
      <c r="CM253" s="752"/>
      <c r="CN253" s="752"/>
      <c r="CO253" s="752"/>
      <c r="CP253" s="752"/>
      <c r="CQ253" s="752"/>
      <c r="CR253" s="752"/>
      <c r="CS253" s="752"/>
      <c r="CT253" s="752"/>
      <c r="CU253" s="1961"/>
      <c r="DB253" s="1961"/>
      <c r="DC253" s="1961"/>
      <c r="DD253" s="1961"/>
      <c r="DE253" s="1961"/>
      <c r="DF253" s="1961"/>
      <c r="DG253" s="1961"/>
      <c r="DH253" s="1961"/>
      <c r="DI253" s="716"/>
    </row>
    <row r="254" spans="1:113" ht="12" hidden="1" customHeight="1" outlineLevel="1" x14ac:dyDescent="0.25">
      <c r="A254" s="748" t="s">
        <v>215</v>
      </c>
      <c r="B254" s="730"/>
      <c r="C254" s="749"/>
      <c r="D254" s="751"/>
      <c r="E254" s="750"/>
      <c r="F254" s="750"/>
      <c r="G254" s="750"/>
      <c r="H254" s="750"/>
      <c r="I254" s="751"/>
      <c r="J254" s="750"/>
      <c r="K254" s="750"/>
      <c r="L254" s="750"/>
      <c r="M254" s="750"/>
      <c r="N254" s="752"/>
      <c r="O254" s="750"/>
      <c r="P254" s="753"/>
      <c r="Q254" s="753"/>
      <c r="R254" s="769"/>
      <c r="S254" s="770"/>
      <c r="T254" s="750"/>
      <c r="U254" s="750"/>
      <c r="V254" s="750"/>
      <c r="W254" s="750"/>
      <c r="X254" s="752"/>
      <c r="Y254" s="750"/>
      <c r="Z254" s="750"/>
      <c r="AA254" s="750"/>
      <c r="AB254" s="750"/>
      <c r="AC254" s="752"/>
      <c r="AD254" s="750"/>
      <c r="AE254" s="750"/>
      <c r="AF254" s="750"/>
      <c r="AG254" s="750"/>
      <c r="AH254" s="752"/>
      <c r="AI254" s="753"/>
      <c r="AJ254" s="753"/>
      <c r="AK254" s="753"/>
      <c r="AL254" s="753"/>
      <c r="AM254" s="752"/>
      <c r="AN254" s="753"/>
      <c r="AO254" s="753"/>
      <c r="AP254" s="753"/>
      <c r="AQ254" s="749">
        <f>1-((AQ251-4.8)/AQ245)</f>
        <v>0.69556122789253816</v>
      </c>
      <c r="AR254" s="749">
        <f>1-((AR251-4.8)/AR245)</f>
        <v>0.68741047441643155</v>
      </c>
      <c r="AS254" s="750">
        <f>AS252</f>
        <v>0.70181699055820101</v>
      </c>
      <c r="AT254" s="750">
        <f>AT252</f>
        <v>0.70643451930355794</v>
      </c>
      <c r="AU254" s="750">
        <f>AU252</f>
        <v>0.71901914084564456</v>
      </c>
      <c r="AV254" s="750">
        <f>AV252</f>
        <v>0.71001150747986186</v>
      </c>
      <c r="AW254" s="755"/>
      <c r="AX254" s="771">
        <f>AX252</f>
        <v>0.71245466076236674</v>
      </c>
      <c r="AY254" s="750">
        <f>AY252</f>
        <v>0.69620190263752157</v>
      </c>
      <c r="AZ254" s="750">
        <f>AZ252</f>
        <v>0.71198291789748525</v>
      </c>
      <c r="BA254" s="750">
        <f>BA252</f>
        <v>0.64457831325301207</v>
      </c>
      <c r="BB254" s="768">
        <f>AVERAGE(AX254:BA254)</f>
        <v>0.69130444863759632</v>
      </c>
      <c r="BC254" s="750">
        <f>BC252</f>
        <v>0.71013727560718054</v>
      </c>
      <c r="BD254" s="750">
        <f>BD252</f>
        <v>0.69833852544132924</v>
      </c>
      <c r="BE254" s="750">
        <f>BE252</f>
        <v>0.70600414078674945</v>
      </c>
      <c r="BF254" s="750">
        <f>BF252</f>
        <v>0.70747950819672134</v>
      </c>
      <c r="BG254" s="768">
        <f>AVERAGE(BC254:BF254)</f>
        <v>0.70548986250799517</v>
      </c>
      <c r="BH254" s="753">
        <f>BC254+0.001</f>
        <v>0.71113727560718054</v>
      </c>
      <c r="BI254" s="753">
        <f>BD254+0.001</f>
        <v>0.69933852544132924</v>
      </c>
      <c r="BJ254" s="753">
        <f>BE254+0.001</f>
        <v>0.70700414078674945</v>
      </c>
      <c r="BK254" s="753">
        <f>BF254+0.001</f>
        <v>0.70847950819672134</v>
      </c>
      <c r="BL254" s="768">
        <f>AVERAGE(BH254:BK254)</f>
        <v>0.70648986250799506</v>
      </c>
      <c r="BM254" s="753">
        <f>BH254+0.001</f>
        <v>0.71213727560718054</v>
      </c>
      <c r="BN254" s="753">
        <f>BI254+0.001</f>
        <v>0.70033852544132924</v>
      </c>
      <c r="BO254" s="753">
        <f>BJ254+0.001</f>
        <v>0.70800414078674945</v>
      </c>
      <c r="BP254" s="753">
        <f>BK254+0.001</f>
        <v>0.70947950819672134</v>
      </c>
      <c r="BQ254" s="768">
        <f>AVERAGE(BM254:BP254)</f>
        <v>0.70748986250799506</v>
      </c>
      <c r="BR254" s="753">
        <f>BM254+0.001</f>
        <v>0.71313727560718054</v>
      </c>
      <c r="BS254" s="753">
        <f>BN254+0.001</f>
        <v>0.70133852544132924</v>
      </c>
      <c r="BT254" s="753">
        <f>BO254+0.001</f>
        <v>0.70900414078674945</v>
      </c>
      <c r="BU254" s="753">
        <f>BP254+0.001</f>
        <v>0.71047950819672134</v>
      </c>
      <c r="BV254" s="768">
        <f>AVERAGE(BR254:BU254)</f>
        <v>0.70848986250799517</v>
      </c>
      <c r="BW254" s="753">
        <f>BR254+0.001</f>
        <v>0.71413727560718054</v>
      </c>
      <c r="BX254" s="753">
        <f>BS254+0.001</f>
        <v>0.70233852544132924</v>
      </c>
      <c r="BY254" s="753">
        <f>BT254+0.001</f>
        <v>0.71000414078674945</v>
      </c>
      <c r="BZ254" s="753">
        <f>BU254+0.001</f>
        <v>0.71147950819672134</v>
      </c>
      <c r="CA254" s="768">
        <f>AVERAGE(BW254:BZ254)</f>
        <v>0.70948986250799517</v>
      </c>
      <c r="CB254" s="1910"/>
      <c r="CC254" s="29"/>
      <c r="CD254" s="748"/>
      <c r="CE254" s="752"/>
      <c r="CF254" s="752"/>
      <c r="CG254" s="752"/>
      <c r="CH254" s="752"/>
      <c r="CI254" s="752"/>
      <c r="CJ254" s="752"/>
      <c r="CK254" s="752"/>
      <c r="CL254" s="752"/>
      <c r="CM254" s="752">
        <f>AR254</f>
        <v>0.68741047441643155</v>
      </c>
      <c r="CN254" s="752"/>
      <c r="CO254" s="752"/>
      <c r="CP254" s="752"/>
      <c r="CQ254" s="752"/>
      <c r="CR254" s="752"/>
      <c r="CS254" s="752"/>
      <c r="CT254" s="752"/>
      <c r="CU254" s="1961"/>
      <c r="DB254" s="1961"/>
      <c r="DC254" s="1961"/>
      <c r="DD254" s="1961"/>
      <c r="DE254" s="1961"/>
      <c r="DF254" s="1961"/>
      <c r="DG254" s="1961"/>
      <c r="DH254" s="1961"/>
      <c r="DI254" s="716"/>
    </row>
    <row r="255" spans="1:113" ht="12" hidden="1" customHeight="1" outlineLevel="1" x14ac:dyDescent="0.25">
      <c r="A255" s="748" t="s">
        <v>216</v>
      </c>
      <c r="B255" s="730"/>
      <c r="C255" s="749"/>
      <c r="D255" s="751"/>
      <c r="E255" s="750"/>
      <c r="F255" s="750"/>
      <c r="G255" s="750"/>
      <c r="H255" s="750"/>
      <c r="I255" s="751"/>
      <c r="J255" s="750"/>
      <c r="K255" s="750"/>
      <c r="L255" s="750"/>
      <c r="M255" s="750"/>
      <c r="N255" s="752"/>
      <c r="O255" s="750"/>
      <c r="P255" s="753"/>
      <c r="Q255" s="753"/>
      <c r="R255" s="753"/>
      <c r="S255" s="754"/>
      <c r="T255" s="750"/>
      <c r="U255" s="750"/>
      <c r="V255" s="750"/>
      <c r="W255" s="750"/>
      <c r="X255" s="752"/>
      <c r="Y255" s="750"/>
      <c r="Z255" s="750"/>
      <c r="AA255" s="750"/>
      <c r="AB255" s="750"/>
      <c r="AC255" s="752"/>
      <c r="AD255" s="750"/>
      <c r="AE255" s="750"/>
      <c r="AF255" s="750"/>
      <c r="AG255" s="750"/>
      <c r="AH255" s="752"/>
      <c r="AI255" s="753"/>
      <c r="AJ255" s="753"/>
      <c r="AK255" s="753"/>
      <c r="AL255" s="753"/>
      <c r="AM255" s="752"/>
      <c r="AN255" s="753"/>
      <c r="AO255" s="753"/>
      <c r="AP255" s="753"/>
      <c r="AQ255" s="756"/>
      <c r="AR255" s="752"/>
      <c r="AS255" s="753"/>
      <c r="AT255" s="753"/>
      <c r="AU255" s="753"/>
      <c r="AV255" s="756"/>
      <c r="AW255" s="752"/>
      <c r="AX255" s="753"/>
      <c r="AY255" s="750"/>
      <c r="AZ255" s="750"/>
      <c r="BA255" s="750">
        <f>1-((BA251-8.3)/BA245)</f>
        <v>0.69003285870755748</v>
      </c>
      <c r="BB255" s="768">
        <f>(BA255*BA245+SUMPRODUCT(AX254:AZ254,$AX$245:$AZ$245))/$BB$245</f>
        <v>0.70261941022883079</v>
      </c>
      <c r="BC255" s="750"/>
      <c r="BD255" s="750"/>
      <c r="BE255" s="750"/>
      <c r="BF255" s="749"/>
      <c r="BG255" s="768"/>
      <c r="BH255" s="750">
        <f>BH254+0.25%</f>
        <v>0.71363727560718049</v>
      </c>
      <c r="BI255" s="750">
        <f>BI254+0.25%</f>
        <v>0.70183852544132919</v>
      </c>
      <c r="BJ255" s="750">
        <f>BJ254+0.25%</f>
        <v>0.70950414078674939</v>
      </c>
      <c r="BK255" s="749">
        <f>BK254+0.25%</f>
        <v>0.71097950819672129</v>
      </c>
      <c r="BL255" s="768"/>
      <c r="BM255" s="750">
        <f>BM254+0.25%</f>
        <v>0.71463727560718049</v>
      </c>
      <c r="BN255" s="750">
        <f>BN254+0.25%</f>
        <v>0.70283852544132919</v>
      </c>
      <c r="BO255" s="750">
        <f>BO254+0.25%</f>
        <v>0.71050414078674939</v>
      </c>
      <c r="BP255" s="749">
        <f>BP254+0.25%</f>
        <v>0.71197950819672129</v>
      </c>
      <c r="BQ255" s="768"/>
      <c r="BR255" s="750">
        <f>BR254+0.25%</f>
        <v>0.71563727560718049</v>
      </c>
      <c r="BS255" s="750">
        <f>BS254+0.25%</f>
        <v>0.70383852544132919</v>
      </c>
      <c r="BT255" s="750">
        <f>BT254+0.25%</f>
        <v>0.71150414078674939</v>
      </c>
      <c r="BU255" s="749">
        <f>BU254+0.25%</f>
        <v>0.71297950819672129</v>
      </c>
      <c r="BV255" s="768"/>
      <c r="BW255" s="750">
        <f>BW254+0.25%</f>
        <v>0.71663727560718049</v>
      </c>
      <c r="BX255" s="750">
        <f>BX254+0.25%</f>
        <v>0.70483852544132919</v>
      </c>
      <c r="BY255" s="750">
        <f>BY254+0.25%</f>
        <v>0.7125041407867494</v>
      </c>
      <c r="BZ255" s="749">
        <f>BZ254+0.25%</f>
        <v>0.71397950819672129</v>
      </c>
      <c r="CA255" s="768"/>
      <c r="CB255" s="1910"/>
      <c r="CC255" s="29"/>
      <c r="CD255" s="748"/>
      <c r="CE255" s="752"/>
      <c r="CF255" s="752"/>
      <c r="CG255" s="752"/>
      <c r="CH255" s="752"/>
      <c r="CI255" s="752"/>
      <c r="CJ255" s="752"/>
      <c r="CK255" s="752"/>
      <c r="CL255" s="752"/>
      <c r="CM255" s="752"/>
      <c r="CN255" s="752"/>
      <c r="CO255" s="752"/>
      <c r="CP255" s="752"/>
      <c r="CQ255" s="752"/>
      <c r="CR255" s="752"/>
      <c r="CS255" s="752"/>
      <c r="CT255" s="752"/>
      <c r="CU255" s="1961"/>
      <c r="DB255" s="1961"/>
      <c r="DC255" s="1961"/>
      <c r="DD255" s="1961"/>
      <c r="DE255" s="1961"/>
      <c r="DF255" s="1961"/>
      <c r="DG255" s="1961"/>
      <c r="DH255" s="1961"/>
      <c r="DI255" s="716"/>
    </row>
    <row r="256" spans="1:113" collapsed="1" x14ac:dyDescent="0.25">
      <c r="A256" s="113"/>
      <c r="B256" s="703"/>
      <c r="C256" s="518"/>
      <c r="D256" s="278"/>
      <c r="E256" s="516"/>
      <c r="F256" s="516"/>
      <c r="G256" s="516"/>
      <c r="H256" s="516"/>
      <c r="I256" s="510"/>
      <c r="J256" s="516"/>
      <c r="K256" s="516"/>
      <c r="L256" s="516"/>
      <c r="M256" s="516"/>
      <c r="N256" s="510"/>
      <c r="O256" s="516"/>
      <c r="P256" s="126"/>
      <c r="Q256" s="126"/>
      <c r="R256" s="126"/>
      <c r="S256" s="772"/>
      <c r="T256" s="516"/>
      <c r="U256" s="92"/>
      <c r="V256" s="92"/>
      <c r="W256" s="92"/>
      <c r="X256" s="441"/>
      <c r="Y256" s="516"/>
      <c r="Z256" s="516"/>
      <c r="AA256" s="516"/>
      <c r="AB256" s="516"/>
      <c r="AC256" s="441"/>
      <c r="AD256" s="516"/>
      <c r="AE256" s="516"/>
      <c r="AF256" s="516"/>
      <c r="AG256" s="516"/>
      <c r="AH256" s="441"/>
      <c r="AI256" s="92"/>
      <c r="AJ256" s="92"/>
      <c r="AK256" s="92"/>
      <c r="AL256" s="92"/>
      <c r="AM256" s="441"/>
      <c r="AN256" s="92"/>
      <c r="AO256" s="92"/>
      <c r="AP256" s="92"/>
      <c r="AQ256" s="442"/>
      <c r="AR256" s="441"/>
      <c r="AS256" s="92"/>
      <c r="AT256" s="92"/>
      <c r="AU256" s="92"/>
      <c r="AV256" s="442"/>
      <c r="AW256" s="91"/>
      <c r="AX256" s="92"/>
      <c r="AY256" s="92"/>
      <c r="AZ256" s="92"/>
      <c r="BA256" s="442"/>
      <c r="BB256" s="747"/>
      <c r="BC256" s="92"/>
      <c r="BD256" s="92"/>
      <c r="BE256" s="1950"/>
      <c r="BF256" s="442"/>
      <c r="BG256" s="747"/>
      <c r="BH256" s="92"/>
      <c r="BI256" s="92"/>
      <c r="BJ256" s="92"/>
      <c r="BK256" s="442"/>
      <c r="BL256" s="747"/>
      <c r="BM256" s="92"/>
      <c r="BN256" s="92"/>
      <c r="BO256" s="92"/>
      <c r="BP256" s="442"/>
      <c r="BQ256" s="747"/>
      <c r="BR256" s="92"/>
      <c r="BS256" s="92"/>
      <c r="BT256" s="92"/>
      <c r="BU256" s="442"/>
      <c r="BV256" s="747"/>
      <c r="BW256" s="92"/>
      <c r="BX256" s="92"/>
      <c r="BY256" s="92"/>
      <c r="BZ256" s="442"/>
      <c r="CA256" s="747"/>
      <c r="CB256" s="1910"/>
      <c r="CC256" s="29"/>
      <c r="CD256" s="113"/>
      <c r="CE256" s="441"/>
      <c r="CF256" s="441"/>
      <c r="CG256" s="441"/>
      <c r="CH256" s="441"/>
      <c r="CI256" s="441"/>
      <c r="CJ256" s="441"/>
      <c r="CK256" s="441"/>
      <c r="CL256" s="441"/>
      <c r="CM256" s="441"/>
      <c r="CN256" s="441"/>
      <c r="CO256" s="441"/>
      <c r="CP256" s="441"/>
      <c r="CQ256" s="441"/>
      <c r="CR256" s="441"/>
      <c r="CS256" s="441"/>
      <c r="CT256" s="441"/>
      <c r="CU256" s="1961"/>
      <c r="DB256" s="1961"/>
      <c r="DC256" s="1961"/>
      <c r="DD256" s="1961"/>
      <c r="DE256" s="1961"/>
      <c r="DF256" s="1961"/>
      <c r="DG256" s="1961"/>
      <c r="DH256" s="1961"/>
      <c r="DI256" s="90"/>
    </row>
    <row r="257" spans="1:113" ht="12" customHeight="1" x14ac:dyDescent="0.25">
      <c r="A257" s="773" t="s">
        <v>58</v>
      </c>
      <c r="B257" s="774"/>
      <c r="C257" s="775">
        <v>61.408000000000001</v>
      </c>
      <c r="D257" s="229">
        <v>65.884</v>
      </c>
      <c r="E257" s="234">
        <v>17.225999999999999</v>
      </c>
      <c r="F257" s="234">
        <f>34.82-E257</f>
        <v>17.594000000000001</v>
      </c>
      <c r="G257" s="234">
        <f>52.265-SUM(E257:F257)</f>
        <v>17.445</v>
      </c>
      <c r="H257" s="234">
        <f>68.198-SUM(E257:G257)</f>
        <v>15.932999999999993</v>
      </c>
      <c r="I257" s="545">
        <f>SUM(E257:H257)</f>
        <v>68.197999999999993</v>
      </c>
      <c r="J257" s="234">
        <v>17.55</v>
      </c>
      <c r="K257" s="234">
        <f>36.716-J257</f>
        <v>19.166</v>
      </c>
      <c r="L257" s="234">
        <f>56.505-SUM(J257:K257)</f>
        <v>19.789000000000001</v>
      </c>
      <c r="M257" s="234">
        <f>81.813-SUM(J257:L257)</f>
        <v>25.308</v>
      </c>
      <c r="N257" s="545">
        <f>SUM(J257:M257)</f>
        <v>81.813000000000002</v>
      </c>
      <c r="O257" s="234">
        <v>17.468</v>
      </c>
      <c r="P257" s="234">
        <f>37.209-O257</f>
        <v>19.741000000000003</v>
      </c>
      <c r="Q257" s="234">
        <v>19.393000000000001</v>
      </c>
      <c r="R257" s="234">
        <f>82.554-SUM(O257:Q257)</f>
        <v>25.951999999999998</v>
      </c>
      <c r="S257" s="776">
        <f>SUM(O257:R257)</f>
        <v>82.554000000000002</v>
      </c>
      <c r="T257" s="234">
        <v>19.184000000000001</v>
      </c>
      <c r="U257" s="234">
        <v>19.439</v>
      </c>
      <c r="V257" s="234">
        <v>20.341000000000001</v>
      </c>
      <c r="W257" s="234">
        <f>78.99-SUM(T257:V257)</f>
        <v>20.025999999999989</v>
      </c>
      <c r="X257" s="545">
        <f>SUM(T257:W257)</f>
        <v>78.989999999999995</v>
      </c>
      <c r="Y257" s="234">
        <v>19.126999999999999</v>
      </c>
      <c r="Z257" s="234">
        <v>23.344999999999999</v>
      </c>
      <c r="AA257" s="234">
        <v>20.065000000000001</v>
      </c>
      <c r="AB257" s="234">
        <f>83.531-SUM(Y257:AA257)</f>
        <v>20.994000000000014</v>
      </c>
      <c r="AC257" s="545">
        <f>SUM(Y257:AB257)</f>
        <v>83.531000000000006</v>
      </c>
      <c r="AD257" s="234">
        <v>19.602</v>
      </c>
      <c r="AE257" s="234">
        <f>22.911</f>
        <v>22.911000000000001</v>
      </c>
      <c r="AF257" s="234">
        <v>19.736000000000001</v>
      </c>
      <c r="AG257" s="234">
        <f>80.946-SUM(AD257:AF257)</f>
        <v>18.696999999999989</v>
      </c>
      <c r="AH257" s="545">
        <f>SUM(AD257:AG257)</f>
        <v>80.945999999999998</v>
      </c>
      <c r="AI257" s="234">
        <v>19.573</v>
      </c>
      <c r="AJ257" s="234">
        <v>19.603000000000002</v>
      </c>
      <c r="AK257" s="234">
        <v>19.632000000000001</v>
      </c>
      <c r="AL257" s="234">
        <f>77.425-SUM(AI257:AK257)</f>
        <v>18.61699999999999</v>
      </c>
      <c r="AM257" s="545">
        <f>SUM(AI257:AL257)</f>
        <v>77.424999999999997</v>
      </c>
      <c r="AN257" s="234">
        <v>19.082999999999998</v>
      </c>
      <c r="AO257" s="234">
        <v>18.449000000000002</v>
      </c>
      <c r="AP257" s="234">
        <v>17.559000000000001</v>
      </c>
      <c r="AQ257" s="234">
        <f>73.853-SUM(AN257:AP257)</f>
        <v>18.762</v>
      </c>
      <c r="AR257" s="545">
        <f>SUM(AN257:AQ257)</f>
        <v>73.852999999999994</v>
      </c>
      <c r="AS257" s="234">
        <v>19.068999999999999</v>
      </c>
      <c r="AT257" s="234">
        <v>19.893999999999998</v>
      </c>
      <c r="AU257" s="234">
        <v>21.256</v>
      </c>
      <c r="AV257" s="234">
        <v>21.6</v>
      </c>
      <c r="AW257" s="545">
        <f>SUM(AS257:AV257)</f>
        <v>81.818999999999988</v>
      </c>
      <c r="AX257" s="234">
        <v>18.652999999999999</v>
      </c>
      <c r="AY257" s="234">
        <v>21.552</v>
      </c>
      <c r="AZ257" s="234">
        <v>22.436</v>
      </c>
      <c r="BA257" s="777">
        <v>24</v>
      </c>
      <c r="BB257" s="545">
        <f>SUM(AX257:BA257)</f>
        <v>86.640999999999991</v>
      </c>
      <c r="BC257" s="1881">
        <v>19.8</v>
      </c>
      <c r="BD257" s="1881">
        <v>21.1</v>
      </c>
      <c r="BE257" s="1946">
        <v>20.5</v>
      </c>
      <c r="BF257" s="1946">
        <v>23.1</v>
      </c>
      <c r="BG257" s="545">
        <f>SUM(BC257:BF257)</f>
        <v>84.5</v>
      </c>
      <c r="BH257" s="226">
        <f>BH258*BH245</f>
        <v>20.740500000000004</v>
      </c>
      <c r="BI257" s="226">
        <f>BI258*BI245</f>
        <v>22.102250000000002</v>
      </c>
      <c r="BJ257" s="226">
        <f>BJ258*BJ245</f>
        <v>21.473750000000003</v>
      </c>
      <c r="BK257" s="547">
        <f>BK258*BK245</f>
        <v>24.08175</v>
      </c>
      <c r="BL257" s="545">
        <f>SUM(BH257:BK257)</f>
        <v>88.398250000000019</v>
      </c>
      <c r="BM257" s="226">
        <f>BM258*BM245</f>
        <v>21.360892350000004</v>
      </c>
      <c r="BN257" s="226">
        <f>BN258*BN245</f>
        <v>22.78369065</v>
      </c>
      <c r="BO257" s="226">
        <f>BO258*BO245</f>
        <v>22.122445800000001</v>
      </c>
      <c r="BP257" s="547">
        <f>BP258*BP245</f>
        <v>24.858495900000001</v>
      </c>
      <c r="BQ257" s="545">
        <f>SUM(BM257:BP257)</f>
        <v>91.1255247</v>
      </c>
      <c r="BR257" s="226">
        <f>BR258*BR245</f>
        <v>21.991472685000005</v>
      </c>
      <c r="BS257" s="226">
        <f>BS258*BS245</f>
        <v>23.478019740000004</v>
      </c>
      <c r="BT257" s="226">
        <f>BT258*BT245</f>
        <v>22.782326805000004</v>
      </c>
      <c r="BU257" s="547">
        <f>BU258*BU245</f>
        <v>25.652712015000002</v>
      </c>
      <c r="BV257" s="545">
        <f>SUM(BR257:BU257)</f>
        <v>93.90453124500003</v>
      </c>
      <c r="BW257" s="226">
        <f>BW258*BW245</f>
        <v>22.631708822625004</v>
      </c>
      <c r="BX257" s="226">
        <f>BX258*BX245</f>
        <v>24.184822512375003</v>
      </c>
      <c r="BY257" s="226">
        <f>BY258*BY245</f>
        <v>23.452889796000004</v>
      </c>
      <c r="BZ257" s="547">
        <f>BZ258*BZ245</f>
        <v>26.464203501750006</v>
      </c>
      <c r="CA257" s="545">
        <f>SUM(BW257:BZ257)</f>
        <v>96.733624632750022</v>
      </c>
      <c r="CB257" s="1910"/>
      <c r="CC257" s="484"/>
      <c r="CD257" s="773" t="str">
        <f>A257</f>
        <v>Selling General and Administrative</v>
      </c>
      <c r="CE257" s="545">
        <f>D257</f>
        <v>65.884</v>
      </c>
      <c r="CF257" s="545">
        <f>I257</f>
        <v>68.197999999999993</v>
      </c>
      <c r="CG257" s="545">
        <f>N257</f>
        <v>81.813000000000002</v>
      </c>
      <c r="CH257" s="545">
        <f>S257</f>
        <v>82.554000000000002</v>
      </c>
      <c r="CI257" s="545">
        <f>X257</f>
        <v>78.989999999999995</v>
      </c>
      <c r="CJ257" s="545">
        <f>AC257</f>
        <v>83.531000000000006</v>
      </c>
      <c r="CK257" s="545">
        <f>AH257</f>
        <v>80.945999999999998</v>
      </c>
      <c r="CL257" s="545">
        <f>AM257</f>
        <v>77.424999999999997</v>
      </c>
      <c r="CM257" s="545">
        <f>AR257</f>
        <v>73.852999999999994</v>
      </c>
      <c r="CN257" s="545">
        <f>AW257</f>
        <v>81.818999999999988</v>
      </c>
      <c r="CO257" s="545">
        <f>BB257</f>
        <v>86.640999999999991</v>
      </c>
      <c r="CP257" s="545">
        <f>BG257</f>
        <v>84.5</v>
      </c>
      <c r="CQ257" s="545">
        <f>BL257</f>
        <v>88.398250000000019</v>
      </c>
      <c r="CR257" s="545">
        <f>BQ257</f>
        <v>91.1255247</v>
      </c>
      <c r="CS257" s="545">
        <f>BV257</f>
        <v>93.90453124500003</v>
      </c>
      <c r="CT257" s="545">
        <f>CA257</f>
        <v>96.733624632750022</v>
      </c>
      <c r="CU257" s="669"/>
      <c r="DB257" s="1961"/>
      <c r="DC257" s="1961"/>
      <c r="DD257" s="1961"/>
      <c r="DE257" s="1961"/>
      <c r="DF257" s="1961"/>
      <c r="DG257" s="1961"/>
      <c r="DH257" s="1961"/>
      <c r="DI257" s="1961"/>
    </row>
    <row r="258" spans="1:113" ht="12" customHeight="1" x14ac:dyDescent="0.25">
      <c r="A258" s="81" t="s">
        <v>217</v>
      </c>
      <c r="B258" s="703"/>
      <c r="C258" s="441">
        <f t="shared" ref="C258:AZ258" si="430">C257/C245</f>
        <v>0.13680423280423282</v>
      </c>
      <c r="D258" s="441">
        <f t="shared" si="430"/>
        <v>0.13939750419986713</v>
      </c>
      <c r="E258" s="92">
        <f t="shared" si="430"/>
        <v>0.14143205497672356</v>
      </c>
      <c r="F258" s="92">
        <f t="shared" si="430"/>
        <v>0.14332146726512923</v>
      </c>
      <c r="G258" s="92">
        <f t="shared" si="430"/>
        <v>0.14417712835855434</v>
      </c>
      <c r="H258" s="92">
        <f t="shared" si="430"/>
        <v>0.13321126689909449</v>
      </c>
      <c r="I258" s="441">
        <f t="shared" si="430"/>
        <v>0.14056806002143624</v>
      </c>
      <c r="J258" s="92">
        <f t="shared" si="430"/>
        <v>0.13814655342060314</v>
      </c>
      <c r="K258" s="92">
        <f t="shared" si="430"/>
        <v>0.15172937926011543</v>
      </c>
      <c r="L258" s="92">
        <f t="shared" si="430"/>
        <v>0.15807678174875786</v>
      </c>
      <c r="M258" s="92">
        <f t="shared" si="430"/>
        <v>0.20109814142345192</v>
      </c>
      <c r="N258" s="441">
        <f t="shared" si="430"/>
        <v>0.16220154602282752</v>
      </c>
      <c r="O258" s="759">
        <f t="shared" si="430"/>
        <v>0.1348193198833027</v>
      </c>
      <c r="P258" s="92">
        <f t="shared" si="430"/>
        <v>0.14808674713255868</v>
      </c>
      <c r="Q258" s="92">
        <f t="shared" si="430"/>
        <v>0.1491539763113367</v>
      </c>
      <c r="R258" s="92">
        <f t="shared" si="430"/>
        <v>0.19798143161203205</v>
      </c>
      <c r="S258" s="708">
        <f>S257/S245</f>
        <v>0.15755301769546698</v>
      </c>
      <c r="T258" s="759">
        <f t="shared" si="430"/>
        <v>0.14254930226337145</v>
      </c>
      <c r="U258" s="92">
        <f t="shared" si="430"/>
        <v>0.14475496876140262</v>
      </c>
      <c r="V258" s="92">
        <f t="shared" si="430"/>
        <v>0.14927092735691905</v>
      </c>
      <c r="W258" s="92">
        <f t="shared" si="430"/>
        <v>0.14617304856863395</v>
      </c>
      <c r="X258" s="441">
        <f>X257/X245</f>
        <v>0.14570091010038036</v>
      </c>
      <c r="Y258" s="759">
        <f t="shared" si="430"/>
        <v>0.13609357990081325</v>
      </c>
      <c r="Z258" s="92">
        <f t="shared" si="430"/>
        <v>0.16612111292962353</v>
      </c>
      <c r="AA258" s="92">
        <f t="shared" si="430"/>
        <v>0.1433449781035456</v>
      </c>
      <c r="AB258" s="92">
        <f t="shared" si="430"/>
        <v>0.14752197651622159</v>
      </c>
      <c r="AC258" s="441">
        <f>AC257/AC245</f>
        <v>0.14827259962972231</v>
      </c>
      <c r="AD258" s="759">
        <f t="shared" si="430"/>
        <v>0.1352151149556112</v>
      </c>
      <c r="AE258" s="92">
        <f t="shared" si="430"/>
        <v>0.15889561617044298</v>
      </c>
      <c r="AF258" s="92">
        <f t="shared" si="430"/>
        <v>0.13718225861385863</v>
      </c>
      <c r="AG258" s="92">
        <f t="shared" si="430"/>
        <v>0.12764112751824461</v>
      </c>
      <c r="AH258" s="441">
        <f t="shared" si="430"/>
        <v>0.13968103867777035</v>
      </c>
      <c r="AI258" s="92">
        <f t="shared" si="430"/>
        <v>0.12825250797769522</v>
      </c>
      <c r="AJ258" s="92">
        <f t="shared" si="430"/>
        <v>0.12707848488580892</v>
      </c>
      <c r="AK258" s="92">
        <f t="shared" si="430"/>
        <v>0.12661313727387058</v>
      </c>
      <c r="AL258" s="92">
        <f t="shared" si="430"/>
        <v>0.11907335512219452</v>
      </c>
      <c r="AM258" s="441">
        <f t="shared" si="430"/>
        <v>0.12522724479035252</v>
      </c>
      <c r="AN258" s="92">
        <f t="shared" si="430"/>
        <v>0.1175691411039165</v>
      </c>
      <c r="AO258" s="92">
        <f t="shared" si="430"/>
        <v>0.11391646907725747</v>
      </c>
      <c r="AP258" s="92">
        <f t="shared" si="430"/>
        <v>0.10875543498457765</v>
      </c>
      <c r="AQ258" s="92">
        <f t="shared" si="430"/>
        <v>0.11375528244802435</v>
      </c>
      <c r="AR258" s="441">
        <f t="shared" si="430"/>
        <v>0.11350614460571856</v>
      </c>
      <c r="AS258" s="92">
        <f t="shared" si="430"/>
        <v>0.11155245638871664</v>
      </c>
      <c r="AT258" s="92">
        <f t="shared" si="430"/>
        <v>0.11584463984161181</v>
      </c>
      <c r="AU258" s="92">
        <f t="shared" si="430"/>
        <v>0.12377785671443631</v>
      </c>
      <c r="AV258" s="92">
        <f t="shared" si="430"/>
        <v>0.12428078250863062</v>
      </c>
      <c r="AW258" s="441">
        <f t="shared" si="430"/>
        <v>0.11888857728651157</v>
      </c>
      <c r="AX258" s="92">
        <f t="shared" si="430"/>
        <v>0.1037684416653686</v>
      </c>
      <c r="AY258" s="92">
        <f t="shared" si="430"/>
        <v>0.11899490384668475</v>
      </c>
      <c r="AZ258" s="92">
        <f t="shared" si="430"/>
        <v>0.12411076814143626</v>
      </c>
      <c r="BA258" s="92">
        <f t="shared" ref="BA258:BG258" si="431">BA257/BA245</f>
        <v>0.13143483023001093</v>
      </c>
      <c r="BB258" s="451">
        <f t="shared" si="431"/>
        <v>0.11962907682047699</v>
      </c>
      <c r="BC258" s="92">
        <f t="shared" si="431"/>
        <v>0.10454065469904965</v>
      </c>
      <c r="BD258" s="92">
        <f t="shared" si="431"/>
        <v>0.10955347871235722</v>
      </c>
      <c r="BE258" s="92">
        <f t="shared" si="431"/>
        <v>0.10610766045548654</v>
      </c>
      <c r="BF258" s="92">
        <f t="shared" si="431"/>
        <v>0.11834016393442624</v>
      </c>
      <c r="BG258" s="451">
        <f t="shared" si="431"/>
        <v>0.10968328141225336</v>
      </c>
      <c r="BH258" s="92">
        <f>CHOOSE($A$3,BH259,BH260,BH261)</f>
        <v>0.10454065469904965</v>
      </c>
      <c r="BI258" s="92">
        <f>CHOOSE($A$3,BI259,BI260,BI261)</f>
        <v>0.10955347871235722</v>
      </c>
      <c r="BJ258" s="92">
        <f>CHOOSE($A$3,BJ259,BJ260,BJ261)</f>
        <v>0.10610766045548654</v>
      </c>
      <c r="BK258" s="442">
        <f>CHOOSE($A$3,BK259,BK260,BK261)</f>
        <v>0.11834016393442624</v>
      </c>
      <c r="BL258" s="451">
        <f>BL257/BL245</f>
        <v>0.10967279887049672</v>
      </c>
      <c r="BM258" s="92">
        <f>CHOOSE($A$3,BM259,BM260,BM261)</f>
        <v>0.10254065469904965</v>
      </c>
      <c r="BN258" s="92">
        <f>CHOOSE($A$3,BN259,BN260,BN261)</f>
        <v>0.10755347871235722</v>
      </c>
      <c r="BO258" s="92">
        <f>CHOOSE($A$3,BO259,BO260,BO261)</f>
        <v>0.10410766045548654</v>
      </c>
      <c r="BP258" s="442">
        <f>CHOOSE($A$3,BP259,BP260,BP261)</f>
        <v>0.11634016393442624</v>
      </c>
      <c r="BQ258" s="451">
        <f>BQ257/BQ245</f>
        <v>0.10767279887049669</v>
      </c>
      <c r="BR258" s="92">
        <f>CHOOSE($A$3,BR259,BR260,BR261)</f>
        <v>0.10054065469904964</v>
      </c>
      <c r="BS258" s="92">
        <f>CHOOSE($A$3,BS259,BS260,BS261)</f>
        <v>0.10555347871235722</v>
      </c>
      <c r="BT258" s="92">
        <f>CHOOSE($A$3,BT259,BT260,BT261)</f>
        <v>0.10210766045548654</v>
      </c>
      <c r="BU258" s="442">
        <f>CHOOSE($A$3,BU259,BU260,BU261)</f>
        <v>0.11434016393442624</v>
      </c>
      <c r="BV258" s="451">
        <f>BV257/BV245</f>
        <v>0.10567279887049671</v>
      </c>
      <c r="BW258" s="92">
        <f>CHOOSE($A$3,BW259,BW260,BW261)</f>
        <v>9.8540654699049643E-2</v>
      </c>
      <c r="BX258" s="92">
        <f>CHOOSE($A$3,BX259,BX260,BX261)</f>
        <v>0.10355347871235722</v>
      </c>
      <c r="BY258" s="92">
        <f>CHOOSE($A$3,BY259,BY260,BY261)</f>
        <v>0.10010766045548654</v>
      </c>
      <c r="BZ258" s="442">
        <f>CHOOSE($A$3,BZ259,BZ260,BZ261)</f>
        <v>0.11234016393442624</v>
      </c>
      <c r="CA258" s="451">
        <f>CA257/CA245</f>
        <v>0.1036727988704967</v>
      </c>
      <c r="CB258" s="1910"/>
      <c r="CC258" s="29"/>
      <c r="CD258" s="81" t="str">
        <f>A258</f>
        <v>% of Revenue</v>
      </c>
      <c r="CE258" s="441">
        <f>D258</f>
        <v>0.13939750419986713</v>
      </c>
      <c r="CF258" s="441">
        <f>I258</f>
        <v>0.14056806002143624</v>
      </c>
      <c r="CG258" s="441">
        <f>N258</f>
        <v>0.16220154602282752</v>
      </c>
      <c r="CH258" s="441">
        <f>S258</f>
        <v>0.15755301769546698</v>
      </c>
      <c r="CI258" s="441">
        <f>X258</f>
        <v>0.14570091010038036</v>
      </c>
      <c r="CJ258" s="441">
        <f>AC258</f>
        <v>0.14827259962972231</v>
      </c>
      <c r="CK258" s="441">
        <f>AH258</f>
        <v>0.13968103867777035</v>
      </c>
      <c r="CL258" s="441">
        <f>AM258</f>
        <v>0.12522724479035252</v>
      </c>
      <c r="CM258" s="441">
        <f>AR258</f>
        <v>0.11350614460571856</v>
      </c>
      <c r="CN258" s="441">
        <f>AW258</f>
        <v>0.11888857728651157</v>
      </c>
      <c r="CO258" s="441">
        <f>BB258</f>
        <v>0.11962907682047699</v>
      </c>
      <c r="CP258" s="441">
        <f>BG258</f>
        <v>0.10968328141225336</v>
      </c>
      <c r="CQ258" s="441">
        <f>BL258</f>
        <v>0.10967279887049672</v>
      </c>
      <c r="CR258" s="441">
        <f>BQ258</f>
        <v>0.10767279887049669</v>
      </c>
      <c r="CS258" s="441">
        <f>BV258</f>
        <v>0.10567279887049671</v>
      </c>
      <c r="CT258" s="441">
        <f>CA258</f>
        <v>0.1036727988704967</v>
      </c>
      <c r="CU258" s="1961"/>
      <c r="DB258" s="1961"/>
      <c r="DC258" s="1961"/>
      <c r="DD258" s="1961"/>
      <c r="DE258" s="1961"/>
      <c r="DF258" s="1961"/>
      <c r="DG258" s="1961"/>
      <c r="DH258" s="1961"/>
      <c r="DI258" s="90"/>
    </row>
    <row r="259" spans="1:113" ht="12" hidden="1" customHeight="1" outlineLevel="1" x14ac:dyDescent="0.25">
      <c r="A259" s="748" t="s">
        <v>214</v>
      </c>
      <c r="B259" s="730"/>
      <c r="C259" s="749"/>
      <c r="D259" s="751"/>
      <c r="E259" s="750"/>
      <c r="F259" s="750"/>
      <c r="G259" s="750"/>
      <c r="H259" s="750"/>
      <c r="I259" s="751"/>
      <c r="J259" s="750"/>
      <c r="K259" s="750"/>
      <c r="L259" s="750"/>
      <c r="M259" s="750"/>
      <c r="N259" s="752"/>
      <c r="O259" s="750"/>
      <c r="P259" s="753"/>
      <c r="Q259" s="753"/>
      <c r="R259" s="753"/>
      <c r="S259" s="754"/>
      <c r="T259" s="750"/>
      <c r="U259" s="750"/>
      <c r="V259" s="750"/>
      <c r="W259" s="750"/>
      <c r="X259" s="752"/>
      <c r="Y259" s="750"/>
      <c r="Z259" s="750"/>
      <c r="AA259" s="750"/>
      <c r="AB259" s="750"/>
      <c r="AC259" s="752"/>
      <c r="AD259" s="750"/>
      <c r="AE259" s="750"/>
      <c r="AF259" s="750"/>
      <c r="AG259" s="750"/>
      <c r="AH259" s="752"/>
      <c r="AI259" s="750"/>
      <c r="AJ259" s="753"/>
      <c r="AK259" s="753"/>
      <c r="AL259" s="753"/>
      <c r="AM259" s="752"/>
      <c r="AN259" s="750"/>
      <c r="AO259" s="753"/>
      <c r="AP259" s="753"/>
      <c r="AQ259" s="753"/>
      <c r="AR259" s="752"/>
      <c r="AS259" s="753"/>
      <c r="AT259" s="753"/>
      <c r="AU259" s="753"/>
      <c r="AV259" s="756"/>
      <c r="AW259" s="755"/>
      <c r="AX259" s="755"/>
      <c r="AY259" s="753"/>
      <c r="AZ259" s="753"/>
      <c r="BA259" s="753"/>
      <c r="BB259" s="768"/>
      <c r="BC259" s="755"/>
      <c r="BD259" s="753"/>
      <c r="BE259" s="750"/>
      <c r="BF259" s="750"/>
      <c r="BG259" s="768"/>
      <c r="BH259" s="750">
        <f>BH260+1.25%</f>
        <v>0.11704065469904965</v>
      </c>
      <c r="BI259" s="750">
        <f>BI260+1.25%</f>
        <v>0.12205347871235722</v>
      </c>
      <c r="BJ259" s="750">
        <f>BJ260+1.25%</f>
        <v>0.11860766045548654</v>
      </c>
      <c r="BK259" s="749">
        <f>BK260+1.25%</f>
        <v>0.13084016393442624</v>
      </c>
      <c r="BL259" s="768"/>
      <c r="BM259" s="750">
        <f>BM260+1.25%</f>
        <v>0.11504065469904964</v>
      </c>
      <c r="BN259" s="750">
        <f>BN260+1.25%</f>
        <v>0.12005347871235722</v>
      </c>
      <c r="BO259" s="750">
        <f>BO260+1.25%</f>
        <v>0.11660766045548654</v>
      </c>
      <c r="BP259" s="749">
        <f>BP260+1.25%</f>
        <v>0.12884016393442624</v>
      </c>
      <c r="BQ259" s="768"/>
      <c r="BR259" s="750">
        <f>BR260+1.25%</f>
        <v>0.11304065469904964</v>
      </c>
      <c r="BS259" s="750">
        <f>BS260+1.25%</f>
        <v>0.11805347871235722</v>
      </c>
      <c r="BT259" s="750">
        <f>BT260+1.25%</f>
        <v>0.11460766045548654</v>
      </c>
      <c r="BU259" s="749">
        <f>BU260+1.25%</f>
        <v>0.12684016393442624</v>
      </c>
      <c r="BV259" s="768"/>
      <c r="BW259" s="750">
        <f>BW260+1.25%</f>
        <v>0.11104065469904964</v>
      </c>
      <c r="BX259" s="750">
        <f>BX260+1.25%</f>
        <v>0.11605347871235722</v>
      </c>
      <c r="BY259" s="750">
        <f>BY260+1.25%</f>
        <v>0.11260766045548654</v>
      </c>
      <c r="BZ259" s="749">
        <f>BZ260+1.25%</f>
        <v>0.12484016393442623</v>
      </c>
      <c r="CA259" s="768"/>
      <c r="CB259" s="1910"/>
      <c r="CC259" s="29"/>
      <c r="CD259" s="748"/>
      <c r="CE259" s="752"/>
      <c r="CF259" s="752"/>
      <c r="CG259" s="752"/>
      <c r="CH259" s="752"/>
      <c r="CI259" s="752"/>
      <c r="CJ259" s="752"/>
      <c r="CK259" s="752"/>
      <c r="CL259" s="752"/>
      <c r="CM259" s="752"/>
      <c r="CN259" s="752"/>
      <c r="CO259" s="752"/>
      <c r="CP259" s="752"/>
      <c r="CQ259" s="752"/>
      <c r="CR259" s="752"/>
      <c r="CS259" s="752"/>
      <c r="CT259" s="752"/>
      <c r="CU259" s="1961"/>
      <c r="DB259" s="1961"/>
      <c r="DC259" s="1961"/>
      <c r="DD259" s="1961"/>
      <c r="DE259" s="1961"/>
      <c r="DF259" s="1961"/>
      <c r="DG259" s="1961"/>
      <c r="DH259" s="1961"/>
      <c r="DI259" s="716"/>
    </row>
    <row r="260" spans="1:113" ht="12" hidden="1" customHeight="1" outlineLevel="1" x14ac:dyDescent="0.25">
      <c r="A260" s="748" t="s">
        <v>215</v>
      </c>
      <c r="B260" s="730"/>
      <c r="C260" s="749"/>
      <c r="D260" s="751"/>
      <c r="E260" s="750"/>
      <c r="F260" s="750"/>
      <c r="G260" s="750"/>
      <c r="H260" s="750"/>
      <c r="I260" s="751"/>
      <c r="J260" s="750"/>
      <c r="K260" s="750"/>
      <c r="L260" s="750"/>
      <c r="M260" s="750"/>
      <c r="N260" s="752"/>
      <c r="O260" s="750"/>
      <c r="P260" s="753"/>
      <c r="Q260" s="753"/>
      <c r="R260" s="769"/>
      <c r="S260" s="770"/>
      <c r="T260" s="750"/>
      <c r="U260" s="750"/>
      <c r="V260" s="750"/>
      <c r="W260" s="750"/>
      <c r="X260" s="752"/>
      <c r="Y260" s="750"/>
      <c r="Z260" s="750"/>
      <c r="AA260" s="750"/>
      <c r="AB260" s="750"/>
      <c r="AC260" s="752"/>
      <c r="AD260" s="750"/>
      <c r="AE260" s="750"/>
      <c r="AF260" s="750"/>
      <c r="AG260" s="750"/>
      <c r="AH260" s="752"/>
      <c r="AI260" s="750"/>
      <c r="AJ260" s="753"/>
      <c r="AK260" s="753"/>
      <c r="AL260" s="753"/>
      <c r="AM260" s="752"/>
      <c r="AN260" s="750"/>
      <c r="AO260" s="753"/>
      <c r="AP260" s="753"/>
      <c r="AQ260" s="753"/>
      <c r="AR260" s="752"/>
      <c r="AS260" s="750">
        <f>AS258</f>
        <v>0.11155245638871664</v>
      </c>
      <c r="AT260" s="750">
        <f>AT258</f>
        <v>0.11584463984161181</v>
      </c>
      <c r="AU260" s="750">
        <f>AU258</f>
        <v>0.12377785671443631</v>
      </c>
      <c r="AV260" s="750">
        <f>AV258</f>
        <v>0.12428078250863062</v>
      </c>
      <c r="AW260" s="752"/>
      <c r="AX260" s="750">
        <f>AX258</f>
        <v>0.1037684416653686</v>
      </c>
      <c r="AY260" s="750">
        <f>AY258</f>
        <v>0.11899490384668475</v>
      </c>
      <c r="AZ260" s="750">
        <f>AZ258</f>
        <v>0.12411076814143626</v>
      </c>
      <c r="BA260" s="750">
        <f>BA258</f>
        <v>0.13143483023001093</v>
      </c>
      <c r="BB260" s="768">
        <f>AVERAGE(AX260:BA260)</f>
        <v>0.11957723597087513</v>
      </c>
      <c r="BC260" s="750">
        <f>BC258</f>
        <v>0.10454065469904965</v>
      </c>
      <c r="BD260" s="750">
        <f>BD258</f>
        <v>0.10955347871235722</v>
      </c>
      <c r="BE260" s="750">
        <f>BE258</f>
        <v>0.10610766045548654</v>
      </c>
      <c r="BF260" s="750">
        <f>BF258</f>
        <v>0.11834016393442624</v>
      </c>
      <c r="BG260" s="768">
        <f>AVERAGE(BC260:BF260)</f>
        <v>0.10963548945032991</v>
      </c>
      <c r="BH260" s="753">
        <f>BC260-0</f>
        <v>0.10454065469904965</v>
      </c>
      <c r="BI260" s="753">
        <f t="shared" ref="BI260:BK260" si="432">BD260-0</f>
        <v>0.10955347871235722</v>
      </c>
      <c r="BJ260" s="753">
        <f t="shared" si="432"/>
        <v>0.10610766045548654</v>
      </c>
      <c r="BK260" s="753">
        <f t="shared" si="432"/>
        <v>0.11834016393442624</v>
      </c>
      <c r="BL260" s="768">
        <f>AVERAGE(BH260:BK260)</f>
        <v>0.10963548945032991</v>
      </c>
      <c r="BM260" s="753">
        <f>BH260-0.002</f>
        <v>0.10254065469904965</v>
      </c>
      <c r="BN260" s="753">
        <f>BI260-0.002</f>
        <v>0.10755347871235722</v>
      </c>
      <c r="BO260" s="753">
        <f>BJ260-0.002</f>
        <v>0.10410766045548654</v>
      </c>
      <c r="BP260" s="753">
        <f>BK260-0.002</f>
        <v>0.11634016393442624</v>
      </c>
      <c r="BQ260" s="768">
        <f>AVERAGE(BM260:BP260)</f>
        <v>0.10763548945032991</v>
      </c>
      <c r="BR260" s="753">
        <f>BM260-0.002</f>
        <v>0.10054065469904964</v>
      </c>
      <c r="BS260" s="753">
        <f>BN260-0.002</f>
        <v>0.10555347871235722</v>
      </c>
      <c r="BT260" s="753">
        <f>BO260-0.002</f>
        <v>0.10210766045548654</v>
      </c>
      <c r="BU260" s="753">
        <f>BP260-0.002</f>
        <v>0.11434016393442624</v>
      </c>
      <c r="BV260" s="768">
        <f>AVERAGE(BR260:BU260)</f>
        <v>0.10563548945032991</v>
      </c>
      <c r="BW260" s="753">
        <f>BR260-0.002</f>
        <v>9.8540654699049643E-2</v>
      </c>
      <c r="BX260" s="753">
        <f>BS260-0.002</f>
        <v>0.10355347871235722</v>
      </c>
      <c r="BY260" s="753">
        <f>BT260-0.002</f>
        <v>0.10010766045548654</v>
      </c>
      <c r="BZ260" s="753">
        <f>BU260-0.002</f>
        <v>0.11234016393442624</v>
      </c>
      <c r="CA260" s="768">
        <f>AVERAGE(BW260:BZ260)</f>
        <v>0.10363548945032991</v>
      </c>
      <c r="CB260" s="1910"/>
      <c r="CC260" s="29"/>
      <c r="CD260" s="748"/>
      <c r="CE260" s="752"/>
      <c r="CF260" s="752"/>
      <c r="CG260" s="752"/>
      <c r="CH260" s="752"/>
      <c r="CI260" s="752"/>
      <c r="CJ260" s="752"/>
      <c r="CK260" s="752"/>
      <c r="CL260" s="752"/>
      <c r="CM260" s="752"/>
      <c r="CN260" s="752"/>
      <c r="CO260" s="752"/>
      <c r="CP260" s="752"/>
      <c r="CQ260" s="752"/>
      <c r="CR260" s="752"/>
      <c r="CS260" s="752"/>
      <c r="CT260" s="752"/>
      <c r="CU260" s="1961"/>
      <c r="DB260" s="1961"/>
      <c r="DC260" s="1961"/>
      <c r="DD260" s="1961"/>
      <c r="DE260" s="1961"/>
      <c r="DF260" s="1961"/>
      <c r="DG260" s="1961"/>
      <c r="DH260" s="1961"/>
      <c r="DI260" s="716"/>
    </row>
    <row r="261" spans="1:113" ht="12" hidden="1" customHeight="1" outlineLevel="1" x14ac:dyDescent="0.25">
      <c r="A261" s="748" t="s">
        <v>216</v>
      </c>
      <c r="B261" s="730"/>
      <c r="C261" s="749"/>
      <c r="D261" s="751"/>
      <c r="E261" s="750"/>
      <c r="F261" s="750"/>
      <c r="G261" s="750"/>
      <c r="H261" s="750"/>
      <c r="I261" s="751"/>
      <c r="J261" s="750"/>
      <c r="K261" s="750"/>
      <c r="L261" s="750"/>
      <c r="M261" s="750"/>
      <c r="N261" s="752"/>
      <c r="O261" s="750"/>
      <c r="P261" s="753"/>
      <c r="Q261" s="753"/>
      <c r="R261" s="753"/>
      <c r="S261" s="754"/>
      <c r="T261" s="750"/>
      <c r="U261" s="750"/>
      <c r="V261" s="750"/>
      <c r="W261" s="750"/>
      <c r="X261" s="752"/>
      <c r="Y261" s="750"/>
      <c r="Z261" s="750"/>
      <c r="AA261" s="750"/>
      <c r="AB261" s="750"/>
      <c r="AC261" s="752"/>
      <c r="AD261" s="750"/>
      <c r="AE261" s="750"/>
      <c r="AF261" s="750"/>
      <c r="AG261" s="750"/>
      <c r="AH261" s="752"/>
      <c r="AI261" s="750"/>
      <c r="AJ261" s="753"/>
      <c r="AK261" s="753"/>
      <c r="AL261" s="753"/>
      <c r="AM261" s="752"/>
      <c r="AN261" s="750"/>
      <c r="AO261" s="753"/>
      <c r="AP261" s="753"/>
      <c r="AQ261" s="753"/>
      <c r="AR261" s="752"/>
      <c r="AS261" s="753"/>
      <c r="AT261" s="753"/>
      <c r="AU261" s="753"/>
      <c r="AV261" s="756"/>
      <c r="AW261" s="752"/>
      <c r="AX261" s="753"/>
      <c r="AY261" s="753"/>
      <c r="AZ261" s="753"/>
      <c r="BA261" s="750">
        <f>BA258-(2.4/BA245)</f>
        <v>0.11829134720700983</v>
      </c>
      <c r="BB261" s="768">
        <f>(BA261*BA245+SUMPRODUCT(AX260:AZ260,$AX$245:$AZ$245))/$BB$245</f>
        <v>0.11631529022557222</v>
      </c>
      <c r="BC261" s="750"/>
      <c r="BD261" s="750"/>
      <c r="BE261" s="750"/>
      <c r="BF261" s="750"/>
      <c r="BG261" s="768"/>
      <c r="BH261" s="750">
        <f>+BH260-0.1%</f>
        <v>0.10354065469904965</v>
      </c>
      <c r="BI261" s="750">
        <f>+BI260-0.1%</f>
        <v>0.10855347871235722</v>
      </c>
      <c r="BJ261" s="750">
        <f>+BJ260-0.1%</f>
        <v>0.10510766045548654</v>
      </c>
      <c r="BK261" s="749">
        <f>+BK260-0.1%</f>
        <v>0.11734016393442624</v>
      </c>
      <c r="BL261" s="768"/>
      <c r="BM261" s="750">
        <f>+BM260-0.1%</f>
        <v>0.10154065469904965</v>
      </c>
      <c r="BN261" s="750">
        <f>+BN260-0.1%</f>
        <v>0.10655347871235722</v>
      </c>
      <c r="BO261" s="750">
        <f>+BO260-0.1%</f>
        <v>0.10310766045548654</v>
      </c>
      <c r="BP261" s="749">
        <f>+BP260-0.1%</f>
        <v>0.11534016393442624</v>
      </c>
      <c r="BQ261" s="768"/>
      <c r="BR261" s="750">
        <f>+BR260-0.1%</f>
        <v>9.9540654699049644E-2</v>
      </c>
      <c r="BS261" s="750">
        <f>+BS260-0.1%</f>
        <v>0.10455347871235722</v>
      </c>
      <c r="BT261" s="750">
        <f>+BT260-0.1%</f>
        <v>0.10110766045548654</v>
      </c>
      <c r="BU261" s="749">
        <f>+BU260-0.1%</f>
        <v>0.11334016393442624</v>
      </c>
      <c r="BV261" s="768"/>
      <c r="BW261" s="750">
        <f>+BW260-0.1%</f>
        <v>9.7540654699049642E-2</v>
      </c>
      <c r="BX261" s="750">
        <f>+BX260-0.1%</f>
        <v>0.10255347871235722</v>
      </c>
      <c r="BY261" s="750">
        <f>+BY260-0.1%</f>
        <v>9.9107660455486538E-2</v>
      </c>
      <c r="BZ261" s="749">
        <f>+BZ260-0.1%</f>
        <v>0.11134016393442624</v>
      </c>
      <c r="CA261" s="768"/>
      <c r="CB261" s="1910"/>
      <c r="CC261" s="29"/>
      <c r="CD261" s="748"/>
      <c r="CE261" s="752"/>
      <c r="CF261" s="752"/>
      <c r="CG261" s="752"/>
      <c r="CH261" s="752"/>
      <c r="CI261" s="752"/>
      <c r="CJ261" s="752"/>
      <c r="CK261" s="752"/>
      <c r="CL261" s="752"/>
      <c r="CM261" s="752"/>
      <c r="CN261" s="752"/>
      <c r="CO261" s="752"/>
      <c r="CP261" s="752"/>
      <c r="CQ261" s="752"/>
      <c r="CR261" s="752"/>
      <c r="CS261" s="752"/>
      <c r="CT261" s="752"/>
      <c r="CU261" s="1961"/>
      <c r="DB261" s="1961"/>
      <c r="DC261" s="1961"/>
      <c r="DD261" s="1961"/>
      <c r="DE261" s="1961"/>
      <c r="DF261" s="1961"/>
      <c r="DG261" s="1961"/>
      <c r="DH261" s="1961"/>
      <c r="DI261" s="716"/>
    </row>
    <row r="262" spans="1:113" ht="5.25" customHeight="1" collapsed="1" x14ac:dyDescent="0.25">
      <c r="A262" s="110"/>
      <c r="B262" s="128"/>
      <c r="C262" s="129" t="s">
        <v>60</v>
      </c>
      <c r="D262" s="129" t="s">
        <v>60</v>
      </c>
      <c r="E262" s="130" t="s">
        <v>60</v>
      </c>
      <c r="F262" s="130" t="s">
        <v>60</v>
      </c>
      <c r="G262" s="130" t="s">
        <v>60</v>
      </c>
      <c r="H262" s="130" t="s">
        <v>60</v>
      </c>
      <c r="I262" s="129" t="s">
        <v>60</v>
      </c>
      <c r="J262" s="130" t="s">
        <v>60</v>
      </c>
      <c r="K262" s="130" t="s">
        <v>60</v>
      </c>
      <c r="L262" s="130" t="s">
        <v>60</v>
      </c>
      <c r="M262" s="130" t="s">
        <v>60</v>
      </c>
      <c r="N262" s="129" t="s">
        <v>60</v>
      </c>
      <c r="O262" s="130" t="s">
        <v>60</v>
      </c>
      <c r="P262" s="130" t="s">
        <v>60</v>
      </c>
      <c r="Q262" s="130" t="s">
        <v>60</v>
      </c>
      <c r="R262" s="130" t="s">
        <v>60</v>
      </c>
      <c r="S262" s="132" t="s">
        <v>60</v>
      </c>
      <c r="T262" s="130" t="s">
        <v>60</v>
      </c>
      <c r="U262" s="130" t="s">
        <v>60</v>
      </c>
      <c r="V262" s="130" t="s">
        <v>60</v>
      </c>
      <c r="W262" s="130" t="s">
        <v>60</v>
      </c>
      <c r="X262" s="129" t="s">
        <v>60</v>
      </c>
      <c r="Y262" s="130" t="s">
        <v>60</v>
      </c>
      <c r="Z262" s="130" t="s">
        <v>60</v>
      </c>
      <c r="AA262" s="130" t="s">
        <v>60</v>
      </c>
      <c r="AB262" s="130" t="s">
        <v>60</v>
      </c>
      <c r="AC262" s="674" t="s">
        <v>60</v>
      </c>
      <c r="AD262" s="130" t="s">
        <v>60</v>
      </c>
      <c r="AE262" s="130" t="s">
        <v>60</v>
      </c>
      <c r="AF262" s="130" t="s">
        <v>60</v>
      </c>
      <c r="AG262" s="130" t="s">
        <v>60</v>
      </c>
      <c r="AH262" s="674" t="s">
        <v>60</v>
      </c>
      <c r="AI262" s="130" t="s">
        <v>60</v>
      </c>
      <c r="AJ262" s="130" t="s">
        <v>60</v>
      </c>
      <c r="AK262" s="130" t="s">
        <v>60</v>
      </c>
      <c r="AL262" s="130" t="s">
        <v>60</v>
      </c>
      <c r="AM262" s="674" t="s">
        <v>60</v>
      </c>
      <c r="AN262" s="130" t="s">
        <v>60</v>
      </c>
      <c r="AO262" s="130" t="s">
        <v>60</v>
      </c>
      <c r="AP262" s="130" t="s">
        <v>60</v>
      </c>
      <c r="AQ262" s="133" t="s">
        <v>60</v>
      </c>
      <c r="AR262" s="674" t="s">
        <v>60</v>
      </c>
      <c r="AS262" s="130" t="s">
        <v>60</v>
      </c>
      <c r="AT262" s="130" t="s">
        <v>60</v>
      </c>
      <c r="AU262" s="130" t="s">
        <v>60</v>
      </c>
      <c r="AV262" s="133" t="s">
        <v>60</v>
      </c>
      <c r="AW262" s="674" t="s">
        <v>60</v>
      </c>
      <c r="AX262" s="130" t="s">
        <v>60</v>
      </c>
      <c r="AY262" s="130" t="s">
        <v>60</v>
      </c>
      <c r="AZ262" s="130" t="s">
        <v>60</v>
      </c>
      <c r="BA262" s="133" t="s">
        <v>60</v>
      </c>
      <c r="BB262" s="674" t="s">
        <v>60</v>
      </c>
      <c r="BC262" s="130" t="s">
        <v>60</v>
      </c>
      <c r="BD262" s="130" t="s">
        <v>60</v>
      </c>
      <c r="BE262" s="130" t="s">
        <v>60</v>
      </c>
      <c r="BF262" s="133" t="s">
        <v>60</v>
      </c>
      <c r="BG262" s="674" t="s">
        <v>60</v>
      </c>
      <c r="BH262" s="130" t="s">
        <v>60</v>
      </c>
      <c r="BI262" s="130" t="s">
        <v>60</v>
      </c>
      <c r="BJ262" s="130" t="s">
        <v>60</v>
      </c>
      <c r="BK262" s="133" t="s">
        <v>60</v>
      </c>
      <c r="BL262" s="674" t="s">
        <v>60</v>
      </c>
      <c r="BM262" s="130" t="s">
        <v>60</v>
      </c>
      <c r="BN262" s="130" t="s">
        <v>60</v>
      </c>
      <c r="BO262" s="130" t="s">
        <v>60</v>
      </c>
      <c r="BP262" s="133" t="s">
        <v>60</v>
      </c>
      <c r="BQ262" s="674" t="s">
        <v>60</v>
      </c>
      <c r="BR262" s="130" t="s">
        <v>60</v>
      </c>
      <c r="BS262" s="130" t="s">
        <v>60</v>
      </c>
      <c r="BT262" s="130" t="s">
        <v>60</v>
      </c>
      <c r="BU262" s="133" t="s">
        <v>60</v>
      </c>
      <c r="BV262" s="674" t="s">
        <v>60</v>
      </c>
      <c r="BW262" s="130" t="s">
        <v>60</v>
      </c>
      <c r="BX262" s="130" t="s">
        <v>60</v>
      </c>
      <c r="BY262" s="130" t="s">
        <v>60</v>
      </c>
      <c r="BZ262" s="133" t="s">
        <v>60</v>
      </c>
      <c r="CA262" s="674" t="s">
        <v>60</v>
      </c>
      <c r="CB262" s="1910"/>
      <c r="CC262" s="29"/>
      <c r="CD262" s="110"/>
      <c r="CE262" s="674"/>
      <c r="CF262" s="674"/>
      <c r="CG262" s="674"/>
      <c r="CH262" s="674"/>
      <c r="CI262" s="674"/>
      <c r="CJ262" s="674"/>
      <c r="CK262" s="674"/>
      <c r="CL262" s="674"/>
      <c r="CM262" s="674"/>
      <c r="CN262" s="674"/>
      <c r="CO262" s="674"/>
      <c r="CP262" s="674"/>
      <c r="CQ262" s="674"/>
      <c r="CR262" s="674"/>
      <c r="CS262" s="674"/>
      <c r="CT262" s="674"/>
      <c r="CU262" s="1961"/>
      <c r="DB262" s="1961"/>
      <c r="DC262" s="1961"/>
      <c r="DD262" s="1961"/>
      <c r="DE262" s="1961"/>
      <c r="DF262" s="1961"/>
      <c r="DG262" s="1961"/>
      <c r="DH262" s="1961"/>
      <c r="DI262" s="259"/>
    </row>
    <row r="263" spans="1:113" ht="12" customHeight="1" x14ac:dyDescent="0.25">
      <c r="A263" s="136" t="s">
        <v>61</v>
      </c>
      <c r="B263" s="703"/>
      <c r="C263" s="71">
        <f t="shared" ref="C263:BC263" si="433">C257+C251</f>
        <v>252.92399999999998</v>
      </c>
      <c r="D263" s="71">
        <f t="shared" si="433"/>
        <v>269.762</v>
      </c>
      <c r="E263" s="74">
        <f t="shared" si="433"/>
        <v>70.019000000000005</v>
      </c>
      <c r="F263" s="74">
        <f t="shared" si="433"/>
        <v>69.718000000000004</v>
      </c>
      <c r="G263" s="74">
        <f t="shared" si="433"/>
        <v>65.798000000000002</v>
      </c>
      <c r="H263" s="74">
        <f t="shared" si="433"/>
        <v>66.84499999999997</v>
      </c>
      <c r="I263" s="71">
        <f t="shared" si="433"/>
        <v>272.38</v>
      </c>
      <c r="J263" s="74">
        <f t="shared" si="433"/>
        <v>68.917000000000002</v>
      </c>
      <c r="K263" s="74">
        <f t="shared" si="433"/>
        <v>70.939000000000007</v>
      </c>
      <c r="L263" s="74">
        <f t="shared" si="433"/>
        <v>71.37299999999999</v>
      </c>
      <c r="M263" s="74">
        <f t="shared" si="433"/>
        <v>70.456000000000017</v>
      </c>
      <c r="N263" s="71">
        <f t="shared" si="433"/>
        <v>281.685</v>
      </c>
      <c r="O263" s="74">
        <f t="shared" si="433"/>
        <v>68.966999999999999</v>
      </c>
      <c r="P263" s="70">
        <f>P257+P251</f>
        <v>72.709000000000003</v>
      </c>
      <c r="Q263" s="70">
        <f t="shared" si="433"/>
        <v>74.100999999999999</v>
      </c>
      <c r="R263" s="70">
        <f t="shared" si="433"/>
        <v>97.270999999999987</v>
      </c>
      <c r="S263" s="222">
        <f t="shared" si="433"/>
        <v>313.048</v>
      </c>
      <c r="T263" s="74">
        <f>T257+T251</f>
        <v>69.082000000000008</v>
      </c>
      <c r="U263" s="70">
        <f t="shared" si="433"/>
        <v>68.091000000000008</v>
      </c>
      <c r="V263" s="70">
        <f>V257+V251</f>
        <v>69.867000000000004</v>
      </c>
      <c r="W263" s="70">
        <f t="shared" si="433"/>
        <v>66.680999999999955</v>
      </c>
      <c r="X263" s="111">
        <f t="shared" si="433"/>
        <v>273.721</v>
      </c>
      <c r="Y263" s="70">
        <f t="shared" si="433"/>
        <v>66.384</v>
      </c>
      <c r="Z263" s="70">
        <f t="shared" si="433"/>
        <v>72.397999999999996</v>
      </c>
      <c r="AA263" s="70">
        <f t="shared" si="433"/>
        <v>69.274000000000001</v>
      </c>
      <c r="AB263" s="70">
        <f t="shared" si="433"/>
        <v>69.14200000000001</v>
      </c>
      <c r="AC263" s="111">
        <f t="shared" si="433"/>
        <v>277.19799999999998</v>
      </c>
      <c r="AD263" s="70">
        <f t="shared" si="433"/>
        <v>65.034000000000006</v>
      </c>
      <c r="AE263" s="70">
        <f t="shared" si="433"/>
        <v>68.216000000000008</v>
      </c>
      <c r="AF263" s="70">
        <f>AF257+AF251</f>
        <v>64.775999999999996</v>
      </c>
      <c r="AG263" s="70">
        <f>AG257+AG251</f>
        <v>65.347999999999999</v>
      </c>
      <c r="AH263" s="111">
        <f t="shared" si="433"/>
        <v>263.37400000000002</v>
      </c>
      <c r="AI263" s="70">
        <f>AI257+AI251</f>
        <v>66.38900000000001</v>
      </c>
      <c r="AJ263" s="70">
        <f t="shared" si="433"/>
        <v>68.062000000000012</v>
      </c>
      <c r="AK263" s="70">
        <f t="shared" si="433"/>
        <v>69.866</v>
      </c>
      <c r="AL263" s="70">
        <f t="shared" si="433"/>
        <v>67.652999999999963</v>
      </c>
      <c r="AM263" s="111">
        <f t="shared" si="433"/>
        <v>271.96999999999997</v>
      </c>
      <c r="AN263" s="70">
        <f t="shared" si="433"/>
        <v>68.997</v>
      </c>
      <c r="AO263" s="70">
        <f t="shared" si="433"/>
        <v>70.896000000000001</v>
      </c>
      <c r="AP263" s="70">
        <f t="shared" si="433"/>
        <v>68.373000000000005</v>
      </c>
      <c r="AQ263" s="80">
        <f t="shared" si="433"/>
        <v>73.774000000000001</v>
      </c>
      <c r="AR263" s="111">
        <f t="shared" si="433"/>
        <v>282.04000000000002</v>
      </c>
      <c r="AS263" s="70">
        <f t="shared" si="433"/>
        <v>70.040999999999997</v>
      </c>
      <c r="AT263" s="70">
        <f t="shared" si="433"/>
        <v>70.307999999999993</v>
      </c>
      <c r="AU263" s="70">
        <f t="shared" si="433"/>
        <v>69.50800000000001</v>
      </c>
      <c r="AV263" s="80">
        <f t="shared" si="433"/>
        <v>72</v>
      </c>
      <c r="AW263" s="71">
        <f t="shared" si="433"/>
        <v>281.85699999999997</v>
      </c>
      <c r="AX263" s="70">
        <f t="shared" si="433"/>
        <v>70.341000000000008</v>
      </c>
      <c r="AY263" s="70">
        <f t="shared" si="433"/>
        <v>76.575000000000003</v>
      </c>
      <c r="AZ263" s="70">
        <f t="shared" si="433"/>
        <v>74.50200000000001</v>
      </c>
      <c r="BA263" s="80">
        <f t="shared" si="433"/>
        <v>88.9</v>
      </c>
      <c r="BB263" s="77">
        <f t="shared" si="433"/>
        <v>310.31799999999998</v>
      </c>
      <c r="BC263" s="70">
        <f t="shared" si="433"/>
        <v>74.7</v>
      </c>
      <c r="BD263" s="70">
        <f t="shared" ref="BD263:CA263" si="434">BD257+BD251</f>
        <v>79.2</v>
      </c>
      <c r="BE263" s="70">
        <f t="shared" si="434"/>
        <v>77.3</v>
      </c>
      <c r="BF263" s="80">
        <f t="shared" si="434"/>
        <v>80.2</v>
      </c>
      <c r="BG263" s="77">
        <f t="shared" si="434"/>
        <v>311.39999999999998</v>
      </c>
      <c r="BH263" s="70">
        <f t="shared" si="434"/>
        <v>78.049853500000012</v>
      </c>
      <c r="BI263" s="70">
        <f t="shared" si="434"/>
        <v>82.760251499999995</v>
      </c>
      <c r="BJ263" s="70">
        <f t="shared" si="434"/>
        <v>80.769373000000016</v>
      </c>
      <c r="BK263" s="80">
        <f t="shared" si="434"/>
        <v>83.405003999999991</v>
      </c>
      <c r="BL263" s="77">
        <f t="shared" si="434"/>
        <v>324.98448200000001</v>
      </c>
      <c r="BM263" s="70">
        <f t="shared" si="434"/>
        <v>81.327397200000007</v>
      </c>
      <c r="BN263" s="70">
        <f t="shared" si="434"/>
        <v>86.262756299999992</v>
      </c>
      <c r="BO263" s="70">
        <f t="shared" si="434"/>
        <v>84.170354100000011</v>
      </c>
      <c r="BP263" s="80">
        <f t="shared" si="434"/>
        <v>86.934241799999995</v>
      </c>
      <c r="BQ263" s="77">
        <f t="shared" si="434"/>
        <v>338.69474939999998</v>
      </c>
      <c r="BR263" s="70">
        <f t="shared" si="434"/>
        <v>84.737570636250013</v>
      </c>
      <c r="BS263" s="70">
        <f t="shared" si="434"/>
        <v>89.908610951249997</v>
      </c>
      <c r="BT263" s="70">
        <f t="shared" si="434"/>
        <v>87.709509877500011</v>
      </c>
      <c r="BU263" s="80">
        <f t="shared" si="434"/>
        <v>90.607890870000006</v>
      </c>
      <c r="BV263" s="77">
        <f t="shared" si="434"/>
        <v>352.96358233500007</v>
      </c>
      <c r="BW263" s="70">
        <f t="shared" si="434"/>
        <v>88.285442923125004</v>
      </c>
      <c r="BX263" s="70">
        <f t="shared" si="434"/>
        <v>93.703394176875008</v>
      </c>
      <c r="BY263" s="70">
        <f t="shared" si="434"/>
        <v>91.392155347500037</v>
      </c>
      <c r="BZ263" s="80">
        <f t="shared" si="434"/>
        <v>94.431569242500004</v>
      </c>
      <c r="CA263" s="77">
        <f t="shared" si="434"/>
        <v>367.81256169000005</v>
      </c>
      <c r="CB263" s="1910"/>
      <c r="CC263" s="29"/>
      <c r="CD263" s="136" t="str">
        <f>A263</f>
        <v>Total Expenses</v>
      </c>
      <c r="CE263" s="111">
        <f>D263</f>
        <v>269.762</v>
      </c>
      <c r="CF263" s="111">
        <f>I263</f>
        <v>272.38</v>
      </c>
      <c r="CG263" s="111">
        <f>N263</f>
        <v>281.685</v>
      </c>
      <c r="CH263" s="111">
        <f>S263</f>
        <v>313.048</v>
      </c>
      <c r="CI263" s="111">
        <f>X263</f>
        <v>273.721</v>
      </c>
      <c r="CJ263" s="111">
        <f>AC263</f>
        <v>277.19799999999998</v>
      </c>
      <c r="CK263" s="111">
        <f>AH263</f>
        <v>263.37400000000002</v>
      </c>
      <c r="CL263" s="111">
        <f>AM263</f>
        <v>271.96999999999997</v>
      </c>
      <c r="CM263" s="111">
        <f>AR263</f>
        <v>282.04000000000002</v>
      </c>
      <c r="CN263" s="111">
        <f>AW263</f>
        <v>281.85699999999997</v>
      </c>
      <c r="CO263" s="111">
        <f>BB263</f>
        <v>310.31799999999998</v>
      </c>
      <c r="CP263" s="111">
        <f>BG263</f>
        <v>311.39999999999998</v>
      </c>
      <c r="CQ263" s="111">
        <f>BL263</f>
        <v>324.98448200000001</v>
      </c>
      <c r="CR263" s="111">
        <f>BQ263</f>
        <v>338.69474939999998</v>
      </c>
      <c r="CS263" s="111">
        <f>BV263</f>
        <v>352.96358233500007</v>
      </c>
      <c r="CT263" s="111">
        <f>CA263</f>
        <v>367.81256169000005</v>
      </c>
      <c r="CU263" s="1961"/>
      <c r="DB263" s="1961"/>
      <c r="DC263" s="1961"/>
      <c r="DD263" s="1961"/>
      <c r="DE263" s="1961"/>
      <c r="DF263" s="1961"/>
      <c r="DG263" s="1961"/>
      <c r="DH263" s="1961"/>
      <c r="DI263" s="74"/>
    </row>
    <row r="264" spans="1:113" ht="5.25" customHeight="1" x14ac:dyDescent="0.25">
      <c r="A264" s="136"/>
      <c r="B264" s="703"/>
      <c r="C264" s="71"/>
      <c r="D264" s="71"/>
      <c r="E264" s="74"/>
      <c r="F264" s="74"/>
      <c r="G264" s="74"/>
      <c r="H264" s="74"/>
      <c r="I264" s="71"/>
      <c r="J264" s="74"/>
      <c r="K264" s="74"/>
      <c r="L264" s="74"/>
      <c r="M264" s="74"/>
      <c r="N264" s="71"/>
      <c r="O264" s="74"/>
      <c r="P264" s="70"/>
      <c r="Q264" s="70"/>
      <c r="R264" s="70"/>
      <c r="S264" s="222"/>
      <c r="T264" s="74"/>
      <c r="U264" s="70"/>
      <c r="V264" s="70"/>
      <c r="W264" s="70"/>
      <c r="X264" s="111"/>
      <c r="Y264" s="70"/>
      <c r="Z264" s="70"/>
      <c r="AA264" s="70"/>
      <c r="AB264" s="70"/>
      <c r="AC264" s="111"/>
      <c r="AD264" s="70"/>
      <c r="AE264" s="70"/>
      <c r="AF264" s="70"/>
      <c r="AG264" s="70"/>
      <c r="AH264" s="111"/>
      <c r="AI264" s="70"/>
      <c r="AJ264" s="70"/>
      <c r="AK264" s="70"/>
      <c r="AL264" s="70"/>
      <c r="AM264" s="111"/>
      <c r="AN264" s="70"/>
      <c r="AO264" s="70"/>
      <c r="AP264" s="70"/>
      <c r="AQ264" s="80"/>
      <c r="AR264" s="111"/>
      <c r="AS264" s="70"/>
      <c r="AT264" s="70"/>
      <c r="AU264" s="70"/>
      <c r="AV264" s="80"/>
      <c r="AW264" s="71"/>
      <c r="AX264" s="70"/>
      <c r="AY264" s="70"/>
      <c r="AZ264" s="70"/>
      <c r="BA264" s="80"/>
      <c r="BB264" s="77"/>
      <c r="BC264" s="70"/>
      <c r="BD264" s="70"/>
      <c r="BE264" s="70"/>
      <c r="BF264" s="80"/>
      <c r="BG264" s="77"/>
      <c r="BH264" s="70"/>
      <c r="BI264" s="70"/>
      <c r="BJ264" s="70"/>
      <c r="BK264" s="80"/>
      <c r="BL264" s="77"/>
      <c r="BM264" s="70"/>
      <c r="BN264" s="70"/>
      <c r="BO264" s="70"/>
      <c r="BP264" s="80"/>
      <c r="BQ264" s="77"/>
      <c r="BR264" s="70"/>
      <c r="BS264" s="70"/>
      <c r="BT264" s="70"/>
      <c r="BU264" s="80"/>
      <c r="BV264" s="77"/>
      <c r="BW264" s="70"/>
      <c r="BX264" s="70"/>
      <c r="BY264" s="70"/>
      <c r="BZ264" s="80"/>
      <c r="CA264" s="77"/>
      <c r="CB264" s="1910"/>
      <c r="CC264" s="29"/>
      <c r="CD264" s="136"/>
      <c r="CE264" s="111"/>
      <c r="CF264" s="111"/>
      <c r="CG264" s="111"/>
      <c r="CH264" s="111"/>
      <c r="CI264" s="111"/>
      <c r="CJ264" s="111"/>
      <c r="CK264" s="111"/>
      <c r="CL264" s="111"/>
      <c r="CM264" s="111"/>
      <c r="CN264" s="111"/>
      <c r="CO264" s="111"/>
      <c r="CP264" s="111"/>
      <c r="CQ264" s="111"/>
      <c r="CR264" s="111"/>
      <c r="CS264" s="111"/>
      <c r="CT264" s="111"/>
      <c r="CU264" s="1961"/>
      <c r="DB264" s="1961"/>
      <c r="DC264" s="1961"/>
      <c r="DD264" s="1961"/>
      <c r="DE264" s="1961"/>
      <c r="DF264" s="1961"/>
      <c r="DG264" s="1961"/>
      <c r="DH264" s="1961"/>
      <c r="DI264" s="74"/>
    </row>
    <row r="265" spans="1:113" ht="12" customHeight="1" x14ac:dyDescent="0.25">
      <c r="A265" s="778" t="s">
        <v>62</v>
      </c>
      <c r="B265" s="779"/>
      <c r="C265" s="142"/>
      <c r="D265" s="558">
        <v>8.1050000000000004</v>
      </c>
      <c r="E265" s="574"/>
      <c r="F265" s="574"/>
      <c r="G265" s="574"/>
      <c r="H265" s="574"/>
      <c r="I265" s="558">
        <v>8.8070000000000004</v>
      </c>
      <c r="J265" s="150">
        <v>1.994</v>
      </c>
      <c r="K265" s="150">
        <v>2.2949999999999999</v>
      </c>
      <c r="L265" s="150">
        <v>2.0350000000000001</v>
      </c>
      <c r="M265" s="150">
        <v>1.603</v>
      </c>
      <c r="N265" s="71">
        <f>SUM(J265:M265)</f>
        <v>7.9269999999999996</v>
      </c>
      <c r="O265" s="780">
        <f>62.224-60.599</f>
        <v>1.625</v>
      </c>
      <c r="P265" s="150">
        <f>62.744-60.598</f>
        <v>2.1460000000000008</v>
      </c>
      <c r="Q265" s="150">
        <v>3.9520000000000053</v>
      </c>
      <c r="R265" s="150">
        <f>68.507-R270</f>
        <v>34.694999999999993</v>
      </c>
      <c r="S265" s="73">
        <f>SUM(O265:R265)</f>
        <v>42.417999999999999</v>
      </c>
      <c r="T265" s="150">
        <v>0</v>
      </c>
      <c r="U265" s="150">
        <v>0</v>
      </c>
      <c r="V265" s="150">
        <v>0</v>
      </c>
      <c r="W265" s="150">
        <v>0</v>
      </c>
      <c r="X265" s="73">
        <f>SUM(T265:W265)</f>
        <v>0</v>
      </c>
      <c r="Y265" s="574"/>
      <c r="Z265" s="574"/>
      <c r="AA265" s="574"/>
      <c r="AB265" s="574"/>
      <c r="AC265" s="142"/>
      <c r="AD265" s="574">
        <v>-0.435</v>
      </c>
      <c r="AE265" s="574">
        <v>-0.126</v>
      </c>
      <c r="AF265" s="74">
        <v>0.502</v>
      </c>
      <c r="AG265" s="574">
        <f>-0.128-SUM(AD265:AF265)</f>
        <v>-6.9000000000000061E-2</v>
      </c>
      <c r="AH265" s="71">
        <f>SUM(AD265:AG265)</f>
        <v>-0.128</v>
      </c>
      <c r="AI265" s="150">
        <v>0.14499999999999999</v>
      </c>
      <c r="AJ265" s="150">
        <v>-0.13700000000000001</v>
      </c>
      <c r="AK265" s="150">
        <v>-0.22800000000000001</v>
      </c>
      <c r="AL265" s="150">
        <f>0.625-SUM(AI265:AK265)</f>
        <v>0.84499999999999997</v>
      </c>
      <c r="AM265" s="71">
        <f>SUM(AI265:AL265)</f>
        <v>0.625</v>
      </c>
      <c r="AN265" s="150">
        <f>-0.009</f>
        <v>-8.9999999999999993E-3</v>
      </c>
      <c r="AO265" s="781">
        <v>-0.2</v>
      </c>
      <c r="AP265" s="781">
        <v>0.28499999999999998</v>
      </c>
      <c r="AQ265" s="782">
        <f>-0.158-SUM(AN265:AP265)</f>
        <v>-0.23399999999999996</v>
      </c>
      <c r="AR265" s="71">
        <f>SUM(AN265:AQ265)</f>
        <v>-0.158</v>
      </c>
      <c r="AS265" s="150">
        <v>0</v>
      </c>
      <c r="AT265" s="150">
        <v>-0.121</v>
      </c>
      <c r="AU265" s="150">
        <v>1.6E-2</v>
      </c>
      <c r="AV265" s="298">
        <v>0</v>
      </c>
      <c r="AW265" s="77">
        <f>SUM(AS265:AV265)</f>
        <v>-0.105</v>
      </c>
      <c r="AX265" s="150">
        <v>0.1</v>
      </c>
      <c r="AY265" s="150">
        <v>-3.4000000000000002E-2</v>
      </c>
      <c r="AZ265" s="150">
        <v>0</v>
      </c>
      <c r="BA265" s="298">
        <f>-10.7-0.1</f>
        <v>-10.799999999999999</v>
      </c>
      <c r="BB265" s="77">
        <f>SUM(AX265:BA265)</f>
        <v>-10.733999999999998</v>
      </c>
      <c r="BC265" s="150">
        <v>0.3</v>
      </c>
      <c r="BD265" s="150">
        <v>0</v>
      </c>
      <c r="BE265" s="1933">
        <v>-0.1</v>
      </c>
      <c r="BF265" s="298">
        <v>-0.2</v>
      </c>
      <c r="BG265" s="77">
        <f>SUM(BC265:BF265)</f>
        <v>0</v>
      </c>
      <c r="BH265" s="150">
        <v>0</v>
      </c>
      <c r="BI265" s="150">
        <v>0</v>
      </c>
      <c r="BJ265" s="150">
        <v>0</v>
      </c>
      <c r="BK265" s="298">
        <v>0</v>
      </c>
      <c r="BL265" s="77">
        <f>SUM(BH265:BK265)</f>
        <v>0</v>
      </c>
      <c r="BM265" s="150">
        <v>0</v>
      </c>
      <c r="BN265" s="150">
        <v>0</v>
      </c>
      <c r="BO265" s="150">
        <v>0</v>
      </c>
      <c r="BP265" s="298">
        <v>0</v>
      </c>
      <c r="BQ265" s="77">
        <f>SUM(BM265:BP265)</f>
        <v>0</v>
      </c>
      <c r="BR265" s="150">
        <v>0</v>
      </c>
      <c r="BS265" s="150">
        <v>0</v>
      </c>
      <c r="BT265" s="150">
        <v>0</v>
      </c>
      <c r="BU265" s="298">
        <v>0</v>
      </c>
      <c r="BV265" s="77">
        <f>SUM(BR265:BU265)</f>
        <v>0</v>
      </c>
      <c r="BW265" s="150">
        <v>0</v>
      </c>
      <c r="BX265" s="150">
        <v>0</v>
      </c>
      <c r="BY265" s="150">
        <v>0</v>
      </c>
      <c r="BZ265" s="298">
        <v>0</v>
      </c>
      <c r="CA265" s="77">
        <f>SUM(BW265:BZ265)</f>
        <v>0</v>
      </c>
      <c r="CB265" s="1910"/>
      <c r="CC265" s="485"/>
      <c r="CD265" s="778" t="str">
        <f>A265</f>
        <v>Adjustments</v>
      </c>
      <c r="CE265" s="71">
        <f>D265</f>
        <v>8.1050000000000004</v>
      </c>
      <c r="CF265" s="71">
        <f>I265</f>
        <v>8.8070000000000004</v>
      </c>
      <c r="CG265" s="71">
        <f>N265</f>
        <v>7.9269999999999996</v>
      </c>
      <c r="CH265" s="71">
        <f>S265</f>
        <v>42.417999999999999</v>
      </c>
      <c r="CI265" s="71">
        <f>X265</f>
        <v>0</v>
      </c>
      <c r="CJ265" s="71">
        <f>AC265</f>
        <v>0</v>
      </c>
      <c r="CK265" s="71">
        <f>AH265</f>
        <v>-0.128</v>
      </c>
      <c r="CL265" s="71">
        <f>AM265</f>
        <v>0.625</v>
      </c>
      <c r="CM265" s="71">
        <f>AR265</f>
        <v>-0.158</v>
      </c>
      <c r="CN265" s="71">
        <f>AW265</f>
        <v>-0.105</v>
      </c>
      <c r="CO265" s="71">
        <f>BB265</f>
        <v>-10.733999999999998</v>
      </c>
      <c r="CP265" s="71">
        <f>BG265</f>
        <v>0</v>
      </c>
      <c r="CQ265" s="71">
        <f>BL265</f>
        <v>0</v>
      </c>
      <c r="CR265" s="71">
        <f>BQ265</f>
        <v>0</v>
      </c>
      <c r="CS265" s="71">
        <f>BV265</f>
        <v>0</v>
      </c>
      <c r="CT265" s="71">
        <f>CA265</f>
        <v>0</v>
      </c>
      <c r="CU265" s="783"/>
      <c r="DB265" s="1961"/>
      <c r="DC265" s="1961"/>
      <c r="DD265" s="1961"/>
      <c r="DE265" s="1961"/>
      <c r="DF265" s="1961"/>
      <c r="DG265" s="1961"/>
      <c r="DH265" s="1961"/>
      <c r="DI265" s="781"/>
    </row>
    <row r="266" spans="1:113" ht="12" hidden="1" customHeight="1" x14ac:dyDescent="0.25">
      <c r="A266" s="81" t="s">
        <v>217</v>
      </c>
      <c r="B266" s="703"/>
      <c r="C266" s="441"/>
      <c r="D266" s="441">
        <f>D265/D245</f>
        <v>1.7148575853620351E-2</v>
      </c>
      <c r="E266" s="92"/>
      <c r="F266" s="92"/>
      <c r="G266" s="92"/>
      <c r="H266" s="92"/>
      <c r="I266" s="441">
        <f t="shared" ref="I266:S266" si="435">I265/I245</f>
        <v>1.8152774342484957E-2</v>
      </c>
      <c r="J266" s="92">
        <f t="shared" si="435"/>
        <v>1.5695967380095877E-2</v>
      </c>
      <c r="K266" s="92">
        <f t="shared" si="435"/>
        <v>1.8168575884481109E-2</v>
      </c>
      <c r="L266" s="92">
        <f t="shared" si="435"/>
        <v>1.6255811352707171E-2</v>
      </c>
      <c r="M266" s="92">
        <f t="shared" si="435"/>
        <v>1.2737486988374958E-2</v>
      </c>
      <c r="N266" s="441">
        <f t="shared" si="435"/>
        <v>1.5715982243933772E-2</v>
      </c>
      <c r="O266" s="759">
        <f t="shared" si="435"/>
        <v>1.254187055245975E-2</v>
      </c>
      <c r="P266" s="92">
        <f t="shared" si="435"/>
        <v>1.6098179390429613E-2</v>
      </c>
      <c r="Q266" s="92">
        <f t="shared" si="435"/>
        <v>3.0395323796339063E-2</v>
      </c>
      <c r="R266" s="92">
        <f>R265/R245</f>
        <v>0.26467963046314164</v>
      </c>
      <c r="S266" s="708">
        <f t="shared" si="435"/>
        <v>8.0954089500282461E-2</v>
      </c>
      <c r="T266" s="759">
        <f>T265/T245</f>
        <v>0</v>
      </c>
      <c r="U266" s="92">
        <f>U265/U245</f>
        <v>0</v>
      </c>
      <c r="V266" s="92">
        <f>V265/V245</f>
        <v>0</v>
      </c>
      <c r="W266" s="92">
        <f>W265/W245</f>
        <v>0</v>
      </c>
      <c r="X266" s="708">
        <f>X265/X245</f>
        <v>0</v>
      </c>
      <c r="Y266" s="706"/>
      <c r="Z266" s="706"/>
      <c r="AA266" s="706"/>
      <c r="AB266" s="706"/>
      <c r="AC266" s="441"/>
      <c r="AD266" s="706"/>
      <c r="AE266" s="706"/>
      <c r="AF266" s="706"/>
      <c r="AG266" s="706"/>
      <c r="AH266" s="441"/>
      <c r="AI266" s="706"/>
      <c r="AJ266" s="706"/>
      <c r="AK266" s="706"/>
      <c r="AL266" s="706"/>
      <c r="AM266" s="441"/>
      <c r="AN266" s="706"/>
      <c r="AO266" s="706"/>
      <c r="AP266" s="706"/>
      <c r="AQ266" s="711"/>
      <c r="AR266" s="441"/>
      <c r="AS266" s="706"/>
      <c r="AT266" s="706"/>
      <c r="AU266" s="706"/>
      <c r="AV266" s="711"/>
      <c r="AW266" s="731"/>
      <c r="AX266" s="706"/>
      <c r="AY266" s="706"/>
      <c r="AZ266" s="706"/>
      <c r="BA266" s="711"/>
      <c r="BB266" s="713"/>
      <c r="BC266" s="706"/>
      <c r="BD266" s="706"/>
      <c r="BE266" s="706"/>
      <c r="BF266" s="711"/>
      <c r="BG266" s="713"/>
      <c r="BH266" s="706"/>
      <c r="BI266" s="706"/>
      <c r="BJ266" s="706"/>
      <c r="BK266" s="711"/>
      <c r="BL266" s="713"/>
      <c r="BM266" s="706"/>
      <c r="BN266" s="706"/>
      <c r="BO266" s="706"/>
      <c r="BP266" s="711"/>
      <c r="BQ266" s="713"/>
      <c r="BR266" s="706"/>
      <c r="BS266" s="706"/>
      <c r="BT266" s="706"/>
      <c r="BU266" s="711"/>
      <c r="BV266" s="713"/>
      <c r="BW266" s="706"/>
      <c r="BX266" s="706"/>
      <c r="BY266" s="706"/>
      <c r="BZ266" s="711"/>
      <c r="CA266" s="713"/>
      <c r="CB266" s="1910"/>
      <c r="CC266" s="29"/>
      <c r="CD266" s="81" t="str">
        <f>A266</f>
        <v>% of Revenue</v>
      </c>
      <c r="CE266" s="441">
        <f>D266</f>
        <v>1.7148575853620351E-2</v>
      </c>
      <c r="CF266" s="441">
        <f>I266</f>
        <v>1.8152774342484957E-2</v>
      </c>
      <c r="CG266" s="441">
        <f>N266</f>
        <v>1.5715982243933772E-2</v>
      </c>
      <c r="CH266" s="441">
        <f>S266</f>
        <v>8.0954089500282461E-2</v>
      </c>
      <c r="CI266" s="441">
        <f>X266</f>
        <v>0</v>
      </c>
      <c r="CJ266" s="441">
        <f>AC266</f>
        <v>0</v>
      </c>
      <c r="CK266" s="441">
        <f>AH266</f>
        <v>0</v>
      </c>
      <c r="CL266" s="441">
        <f>AM266</f>
        <v>0</v>
      </c>
      <c r="CM266" s="441">
        <f>AR266</f>
        <v>0</v>
      </c>
      <c r="CN266" s="441">
        <f>AW266</f>
        <v>0</v>
      </c>
      <c r="CO266" s="441">
        <f>BB266</f>
        <v>0</v>
      </c>
      <c r="CP266" s="441">
        <f>BG266</f>
        <v>0</v>
      </c>
      <c r="CQ266" s="441">
        <f>BL266</f>
        <v>0</v>
      </c>
      <c r="CR266" s="441">
        <f>BQ266</f>
        <v>0</v>
      </c>
      <c r="CS266" s="441">
        <f>BV266</f>
        <v>0</v>
      </c>
      <c r="CT266" s="441">
        <f>CA266</f>
        <v>0</v>
      </c>
      <c r="CU266" s="1961"/>
      <c r="DB266" s="1961"/>
      <c r="DC266" s="1961"/>
      <c r="DD266" s="1961"/>
      <c r="DE266" s="1961"/>
      <c r="DF266" s="1961"/>
      <c r="DG266" s="1961"/>
      <c r="DH266" s="1961"/>
      <c r="DI266" s="716"/>
    </row>
    <row r="267" spans="1:113" ht="5.25" customHeight="1" x14ac:dyDescent="0.25">
      <c r="A267" s="136"/>
      <c r="B267" s="703"/>
      <c r="C267" s="71"/>
      <c r="D267" s="71"/>
      <c r="E267" s="74"/>
      <c r="F267" s="74"/>
      <c r="G267" s="74"/>
      <c r="H267" s="74"/>
      <c r="I267" s="71"/>
      <c r="J267" s="74"/>
      <c r="K267" s="74"/>
      <c r="L267" s="74"/>
      <c r="M267" s="74"/>
      <c r="N267" s="71"/>
      <c r="O267" s="74"/>
      <c r="P267" s="70"/>
      <c r="Q267" s="70"/>
      <c r="R267" s="70"/>
      <c r="S267" s="222"/>
      <c r="T267" s="74"/>
      <c r="U267" s="70"/>
      <c r="V267" s="70"/>
      <c r="W267" s="70"/>
      <c r="X267" s="111"/>
      <c r="Y267" s="70"/>
      <c r="Z267" s="70"/>
      <c r="AA267" s="70"/>
      <c r="AB267" s="70"/>
      <c r="AC267" s="111"/>
      <c r="AD267" s="70"/>
      <c r="AE267" s="70"/>
      <c r="AF267" s="70"/>
      <c r="AG267" s="70"/>
      <c r="AH267" s="111"/>
      <c r="AI267" s="70"/>
      <c r="AJ267" s="70"/>
      <c r="AK267" s="70"/>
      <c r="AL267" s="70"/>
      <c r="AM267" s="111"/>
      <c r="AN267" s="70"/>
      <c r="AO267" s="70"/>
      <c r="AP267" s="70"/>
      <c r="AQ267" s="80"/>
      <c r="AR267" s="111"/>
      <c r="AS267" s="70"/>
      <c r="AT267" s="70"/>
      <c r="AU267" s="70"/>
      <c r="AV267" s="80"/>
      <c r="AW267" s="71"/>
      <c r="AX267" s="70"/>
      <c r="AY267" s="70"/>
      <c r="AZ267" s="70"/>
      <c r="BA267" s="80"/>
      <c r="BB267" s="77"/>
      <c r="BC267" s="70"/>
      <c r="BD267" s="70"/>
      <c r="BE267" s="70"/>
      <c r="BF267" s="80"/>
      <c r="BG267" s="77"/>
      <c r="BH267" s="70"/>
      <c r="BI267" s="70"/>
      <c r="BJ267" s="70"/>
      <c r="BK267" s="80"/>
      <c r="BL267" s="77"/>
      <c r="BM267" s="70"/>
      <c r="BN267" s="70"/>
      <c r="BO267" s="70"/>
      <c r="BP267" s="80"/>
      <c r="BQ267" s="77"/>
      <c r="BR267" s="70"/>
      <c r="BS267" s="70"/>
      <c r="BT267" s="70"/>
      <c r="BU267" s="80"/>
      <c r="BV267" s="77"/>
      <c r="BW267" s="70"/>
      <c r="BX267" s="70"/>
      <c r="BY267" s="70"/>
      <c r="BZ267" s="80"/>
      <c r="CA267" s="77"/>
      <c r="CB267" s="1910"/>
      <c r="CC267" s="29"/>
      <c r="CD267" s="136"/>
      <c r="CE267" s="111"/>
      <c r="CF267" s="111"/>
      <c r="CG267" s="111"/>
      <c r="CH267" s="111"/>
      <c r="CI267" s="111"/>
      <c r="CJ267" s="111"/>
      <c r="CK267" s="111"/>
      <c r="CL267" s="111"/>
      <c r="CM267" s="111"/>
      <c r="CN267" s="111"/>
      <c r="CO267" s="111"/>
      <c r="CP267" s="111"/>
      <c r="CQ267" s="111"/>
      <c r="CR267" s="111"/>
      <c r="CS267" s="111"/>
      <c r="CT267" s="111"/>
      <c r="CU267" s="1961"/>
      <c r="DB267" s="1961"/>
      <c r="DC267" s="1961"/>
      <c r="DD267" s="1961"/>
      <c r="DE267" s="1961"/>
      <c r="DF267" s="1961"/>
      <c r="DG267" s="1961"/>
      <c r="DH267" s="1961"/>
      <c r="DI267" s="74"/>
    </row>
    <row r="268" spans="1:113" ht="12" customHeight="1" x14ac:dyDescent="0.25">
      <c r="A268" s="136" t="s">
        <v>218</v>
      </c>
      <c r="B268" s="703"/>
      <c r="C268" s="71">
        <f t="shared" ref="C268:I268" si="436">C263-C265</f>
        <v>252.92399999999998</v>
      </c>
      <c r="D268" s="71">
        <f t="shared" si="436"/>
        <v>261.65699999999998</v>
      </c>
      <c r="E268" s="74">
        <f t="shared" si="436"/>
        <v>70.019000000000005</v>
      </c>
      <c r="F268" s="74">
        <f t="shared" si="436"/>
        <v>69.718000000000004</v>
      </c>
      <c r="G268" s="74">
        <f t="shared" si="436"/>
        <v>65.798000000000002</v>
      </c>
      <c r="H268" s="74">
        <f t="shared" si="436"/>
        <v>66.84499999999997</v>
      </c>
      <c r="I268" s="71">
        <f t="shared" si="436"/>
        <v>263.57299999999998</v>
      </c>
      <c r="J268" s="74">
        <f>J263-J265</f>
        <v>66.923000000000002</v>
      </c>
      <c r="K268" s="74">
        <f t="shared" ref="K268:BC268" si="437">K263-K265</f>
        <v>68.644000000000005</v>
      </c>
      <c r="L268" s="74">
        <f t="shared" si="437"/>
        <v>69.337999999999994</v>
      </c>
      <c r="M268" s="74">
        <f t="shared" si="437"/>
        <v>68.853000000000023</v>
      </c>
      <c r="N268" s="71">
        <f t="shared" si="437"/>
        <v>273.75799999999998</v>
      </c>
      <c r="O268" s="74">
        <f t="shared" si="437"/>
        <v>67.341999999999999</v>
      </c>
      <c r="P268" s="70">
        <f t="shared" si="437"/>
        <v>70.563000000000002</v>
      </c>
      <c r="Q268" s="70">
        <f t="shared" si="437"/>
        <v>70.149000000000001</v>
      </c>
      <c r="R268" s="70">
        <f>R263-R265</f>
        <v>62.575999999999993</v>
      </c>
      <c r="S268" s="222">
        <f t="shared" si="437"/>
        <v>270.63</v>
      </c>
      <c r="T268" s="74">
        <f>T263-T265</f>
        <v>69.082000000000008</v>
      </c>
      <c r="U268" s="70">
        <f t="shared" si="437"/>
        <v>68.091000000000008</v>
      </c>
      <c r="V268" s="70">
        <f t="shared" si="437"/>
        <v>69.867000000000004</v>
      </c>
      <c r="W268" s="70">
        <f t="shared" si="437"/>
        <v>66.680999999999955</v>
      </c>
      <c r="X268" s="111">
        <f t="shared" si="437"/>
        <v>273.721</v>
      </c>
      <c r="Y268" s="70">
        <f t="shared" si="437"/>
        <v>66.384</v>
      </c>
      <c r="Z268" s="70">
        <f t="shared" si="437"/>
        <v>72.397999999999996</v>
      </c>
      <c r="AA268" s="70">
        <f t="shared" si="437"/>
        <v>69.274000000000001</v>
      </c>
      <c r="AB268" s="70">
        <f t="shared" si="437"/>
        <v>69.14200000000001</v>
      </c>
      <c r="AC268" s="111">
        <f t="shared" si="437"/>
        <v>277.19799999999998</v>
      </c>
      <c r="AD268" s="70">
        <f t="shared" si="437"/>
        <v>65.469000000000008</v>
      </c>
      <c r="AE268" s="70">
        <f t="shared" si="437"/>
        <v>68.342000000000013</v>
      </c>
      <c r="AF268" s="70">
        <f>AF263-AF265</f>
        <v>64.274000000000001</v>
      </c>
      <c r="AG268" s="70">
        <f>AG263-AG265</f>
        <v>65.417000000000002</v>
      </c>
      <c r="AH268" s="111">
        <f t="shared" si="437"/>
        <v>263.50200000000001</v>
      </c>
      <c r="AI268" s="70">
        <f t="shared" si="437"/>
        <v>66.244000000000014</v>
      </c>
      <c r="AJ268" s="70">
        <f t="shared" si="437"/>
        <v>68.199000000000012</v>
      </c>
      <c r="AK268" s="70">
        <f t="shared" si="437"/>
        <v>70.093999999999994</v>
      </c>
      <c r="AL268" s="70">
        <f t="shared" si="437"/>
        <v>66.807999999999964</v>
      </c>
      <c r="AM268" s="111">
        <f t="shared" si="437"/>
        <v>271.34499999999997</v>
      </c>
      <c r="AN268" s="70">
        <f t="shared" si="437"/>
        <v>69.006</v>
      </c>
      <c r="AO268" s="70">
        <f t="shared" si="437"/>
        <v>71.096000000000004</v>
      </c>
      <c r="AP268" s="70">
        <f t="shared" si="437"/>
        <v>68.088000000000008</v>
      </c>
      <c r="AQ268" s="80">
        <f t="shared" si="437"/>
        <v>74.007999999999996</v>
      </c>
      <c r="AR268" s="111">
        <f t="shared" si="437"/>
        <v>282.19800000000004</v>
      </c>
      <c r="AS268" s="70">
        <f t="shared" si="437"/>
        <v>70.040999999999997</v>
      </c>
      <c r="AT268" s="70">
        <f>AT263-AT265</f>
        <v>70.428999999999988</v>
      </c>
      <c r="AU268" s="70">
        <f>AU263-AU265</f>
        <v>69.492000000000004</v>
      </c>
      <c r="AV268" s="80">
        <f t="shared" si="437"/>
        <v>72</v>
      </c>
      <c r="AW268" s="71">
        <f t="shared" si="437"/>
        <v>281.96199999999999</v>
      </c>
      <c r="AX268" s="70">
        <f t="shared" si="437"/>
        <v>70.241000000000014</v>
      </c>
      <c r="AY268" s="70">
        <f t="shared" si="437"/>
        <v>76.609000000000009</v>
      </c>
      <c r="AZ268" s="70">
        <f t="shared" si="437"/>
        <v>74.50200000000001</v>
      </c>
      <c r="BA268" s="80">
        <f t="shared" si="437"/>
        <v>99.7</v>
      </c>
      <c r="BB268" s="77">
        <f t="shared" si="437"/>
        <v>321.05199999999996</v>
      </c>
      <c r="BC268" s="70">
        <f t="shared" si="437"/>
        <v>74.400000000000006</v>
      </c>
      <c r="BD268" s="70">
        <f t="shared" ref="BD268:CA268" si="438">BD263-BD265</f>
        <v>79.2</v>
      </c>
      <c r="BE268" s="70">
        <f t="shared" si="438"/>
        <v>77.399999999999991</v>
      </c>
      <c r="BF268" s="80">
        <f t="shared" si="438"/>
        <v>80.400000000000006</v>
      </c>
      <c r="BG268" s="77">
        <f t="shared" si="438"/>
        <v>311.39999999999998</v>
      </c>
      <c r="BH268" s="70">
        <f t="shared" si="438"/>
        <v>78.049853500000012</v>
      </c>
      <c r="BI268" s="70">
        <f t="shared" si="438"/>
        <v>82.760251499999995</v>
      </c>
      <c r="BJ268" s="70">
        <f t="shared" si="438"/>
        <v>80.769373000000016</v>
      </c>
      <c r="BK268" s="80">
        <f t="shared" si="438"/>
        <v>83.405003999999991</v>
      </c>
      <c r="BL268" s="77">
        <f t="shared" si="438"/>
        <v>324.98448200000001</v>
      </c>
      <c r="BM268" s="70">
        <f t="shared" si="438"/>
        <v>81.327397200000007</v>
      </c>
      <c r="BN268" s="70">
        <f t="shared" si="438"/>
        <v>86.262756299999992</v>
      </c>
      <c r="BO268" s="70">
        <f t="shared" si="438"/>
        <v>84.170354100000011</v>
      </c>
      <c r="BP268" s="80">
        <f t="shared" si="438"/>
        <v>86.934241799999995</v>
      </c>
      <c r="BQ268" s="77">
        <f t="shared" si="438"/>
        <v>338.69474939999998</v>
      </c>
      <c r="BR268" s="70">
        <f t="shared" si="438"/>
        <v>84.737570636250013</v>
      </c>
      <c r="BS268" s="70">
        <f t="shared" si="438"/>
        <v>89.908610951249997</v>
      </c>
      <c r="BT268" s="70">
        <f t="shared" si="438"/>
        <v>87.709509877500011</v>
      </c>
      <c r="BU268" s="80">
        <f t="shared" si="438"/>
        <v>90.607890870000006</v>
      </c>
      <c r="BV268" s="77">
        <f t="shared" si="438"/>
        <v>352.96358233500007</v>
      </c>
      <c r="BW268" s="70">
        <f t="shared" si="438"/>
        <v>88.285442923125004</v>
      </c>
      <c r="BX268" s="70">
        <f t="shared" si="438"/>
        <v>93.703394176875008</v>
      </c>
      <c r="BY268" s="70">
        <f t="shared" si="438"/>
        <v>91.392155347500037</v>
      </c>
      <c r="BZ268" s="80">
        <f t="shared" si="438"/>
        <v>94.431569242500004</v>
      </c>
      <c r="CA268" s="77">
        <f t="shared" si="438"/>
        <v>367.81256169000005</v>
      </c>
      <c r="CB268" s="1910"/>
      <c r="CC268" s="29"/>
      <c r="CD268" s="136" t="str">
        <f>A268</f>
        <v>Total Expenses ex. ESOP</v>
      </c>
      <c r="CE268" s="111">
        <f>D268</f>
        <v>261.65699999999998</v>
      </c>
      <c r="CF268" s="111">
        <f>I268</f>
        <v>263.57299999999998</v>
      </c>
      <c r="CG268" s="111">
        <f>N268</f>
        <v>273.75799999999998</v>
      </c>
      <c r="CH268" s="111">
        <f>S268</f>
        <v>270.63</v>
      </c>
      <c r="CI268" s="111">
        <f>X268</f>
        <v>273.721</v>
      </c>
      <c r="CJ268" s="111">
        <f>AC268</f>
        <v>277.19799999999998</v>
      </c>
      <c r="CK268" s="111">
        <f>AH268</f>
        <v>263.50200000000001</v>
      </c>
      <c r="CL268" s="111">
        <f>AM268</f>
        <v>271.34499999999997</v>
      </c>
      <c r="CM268" s="111">
        <f>AR268</f>
        <v>282.19800000000004</v>
      </c>
      <c r="CN268" s="111">
        <f>AW268</f>
        <v>281.96199999999999</v>
      </c>
      <c r="CO268" s="111">
        <f>BB268</f>
        <v>321.05199999999996</v>
      </c>
      <c r="CP268" s="111">
        <f>BG268</f>
        <v>311.39999999999998</v>
      </c>
      <c r="CQ268" s="111">
        <f>BL268</f>
        <v>324.98448200000001</v>
      </c>
      <c r="CR268" s="111">
        <f>BQ268</f>
        <v>338.69474939999998</v>
      </c>
      <c r="CS268" s="111">
        <f>BV268</f>
        <v>352.96358233500007</v>
      </c>
      <c r="CT268" s="111">
        <f>CA268</f>
        <v>367.81256169000005</v>
      </c>
      <c r="CU268" s="1961"/>
      <c r="DB268" s="1961"/>
      <c r="DC268" s="1961"/>
      <c r="DD268" s="1961"/>
      <c r="DE268" s="1961"/>
      <c r="DF268" s="1961"/>
      <c r="DG268" s="1961"/>
      <c r="DH268" s="1961"/>
      <c r="DI268" s="74"/>
    </row>
    <row r="269" spans="1:113" ht="7.5" customHeight="1" x14ac:dyDescent="0.25">
      <c r="A269" s="136"/>
      <c r="B269" s="703"/>
      <c r="C269" s="111"/>
      <c r="D269" s="111"/>
      <c r="E269" s="70"/>
      <c r="F269" s="70"/>
      <c r="G269" s="70"/>
      <c r="H269" s="70"/>
      <c r="I269" s="91"/>
      <c r="J269" s="223">
        <f>60.117-58.123</f>
        <v>1.9939999999999998</v>
      </c>
      <c r="K269" s="70"/>
      <c r="L269" s="70"/>
      <c r="M269" s="70"/>
      <c r="N269" s="91"/>
      <c r="O269" s="70"/>
      <c r="P269" s="92"/>
      <c r="Q269" s="706"/>
      <c r="R269" s="706"/>
      <c r="S269" s="744"/>
      <c r="T269" s="70"/>
      <c r="U269" s="716"/>
      <c r="V269" s="706"/>
      <c r="W269" s="706"/>
      <c r="X269" s="91"/>
      <c r="Y269" s="90"/>
      <c r="Z269" s="90"/>
      <c r="AA269" s="90"/>
      <c r="AB269" s="90"/>
      <c r="AC269" s="441"/>
      <c r="AD269" s="90"/>
      <c r="AE269" s="90"/>
      <c r="AF269" s="90"/>
      <c r="AG269" s="90"/>
      <c r="AH269" s="441"/>
      <c r="AI269" s="90"/>
      <c r="AJ269" s="90"/>
      <c r="AK269" s="90"/>
      <c r="AL269" s="90"/>
      <c r="AM269" s="441"/>
      <c r="AN269" s="90"/>
      <c r="AO269" s="90"/>
      <c r="AP269" s="90"/>
      <c r="AQ269" s="746"/>
      <c r="AR269" s="784"/>
      <c r="AS269" s="90"/>
      <c r="AT269" s="90"/>
      <c r="AU269" s="90"/>
      <c r="AV269" s="746"/>
      <c r="AW269" s="91"/>
      <c r="AX269" s="90"/>
      <c r="AY269" s="90"/>
      <c r="AZ269" s="90"/>
      <c r="BA269" s="746"/>
      <c r="BB269" s="747"/>
      <c r="BC269" s="90"/>
      <c r="BD269" s="90"/>
      <c r="BE269" s="90"/>
      <c r="BF269" s="746"/>
      <c r="BG269" s="747"/>
      <c r="BH269" s="90"/>
      <c r="BI269" s="90"/>
      <c r="BJ269" s="90"/>
      <c r="BK269" s="746"/>
      <c r="BL269" s="747"/>
      <c r="BM269" s="90"/>
      <c r="BN269" s="90"/>
      <c r="BO269" s="90"/>
      <c r="BP269" s="746"/>
      <c r="BQ269" s="747"/>
      <c r="BR269" s="90"/>
      <c r="BS269" s="90"/>
      <c r="BT269" s="90"/>
      <c r="BU269" s="746"/>
      <c r="BV269" s="747"/>
      <c r="BW269" s="90"/>
      <c r="BX269" s="90"/>
      <c r="BY269" s="90"/>
      <c r="BZ269" s="746"/>
      <c r="CA269" s="747"/>
      <c r="CB269" s="1910"/>
      <c r="CC269" s="29"/>
      <c r="CD269" s="136"/>
      <c r="CE269" s="784"/>
      <c r="CF269" s="784"/>
      <c r="CG269" s="784"/>
      <c r="CH269" s="784"/>
      <c r="CI269" s="784"/>
      <c r="CJ269" s="784"/>
      <c r="CK269" s="784"/>
      <c r="CL269" s="784"/>
      <c r="CM269" s="784"/>
      <c r="CN269" s="784"/>
      <c r="CO269" s="784"/>
      <c r="CP269" s="784"/>
      <c r="CQ269" s="784"/>
      <c r="CR269" s="784"/>
      <c r="CS269" s="784"/>
      <c r="CT269" s="784"/>
      <c r="CU269" s="1961"/>
      <c r="DB269" s="1961"/>
      <c r="DC269" s="1961"/>
      <c r="DD269" s="1961"/>
      <c r="DE269" s="1961"/>
      <c r="DF269" s="1961"/>
      <c r="DG269" s="1961"/>
      <c r="DH269" s="1961"/>
      <c r="DI269" s="90"/>
    </row>
    <row r="270" spans="1:113" ht="12" customHeight="1" x14ac:dyDescent="0.25">
      <c r="A270" s="164" t="s">
        <v>219</v>
      </c>
      <c r="B270" s="165"/>
      <c r="C270" s="166">
        <f t="shared" ref="C270:BG270" si="439">C245-C263</f>
        <v>195.95100000000002</v>
      </c>
      <c r="D270" s="166">
        <f t="shared" si="439"/>
        <v>202.87200000000001</v>
      </c>
      <c r="E270" s="167">
        <f t="shared" si="439"/>
        <v>51.777999999999992</v>
      </c>
      <c r="F270" s="167">
        <f t="shared" si="439"/>
        <v>53.041000000000011</v>
      </c>
      <c r="G270" s="167">
        <f t="shared" si="439"/>
        <v>55.199000000000012</v>
      </c>
      <c r="H270" s="169">
        <f t="shared" si="439"/>
        <v>52.762000000000029</v>
      </c>
      <c r="I270" s="166">
        <f t="shared" si="439"/>
        <v>212.77999999999997</v>
      </c>
      <c r="J270" s="167">
        <f t="shared" si="439"/>
        <v>58.121999999999986</v>
      </c>
      <c r="K270" s="167">
        <f t="shared" si="439"/>
        <v>55.377999999999986</v>
      </c>
      <c r="L270" s="167">
        <f t="shared" si="439"/>
        <v>53.813000000000017</v>
      </c>
      <c r="M270" s="169">
        <f t="shared" si="439"/>
        <v>55.392999999999972</v>
      </c>
      <c r="N270" s="168">
        <f t="shared" si="439"/>
        <v>222.70600000000002</v>
      </c>
      <c r="O270" s="168">
        <f t="shared" si="439"/>
        <v>60.599000000000004</v>
      </c>
      <c r="P270" s="167">
        <f t="shared" si="439"/>
        <v>60.598000000000013</v>
      </c>
      <c r="Q270" s="167">
        <f t="shared" si="439"/>
        <v>55.919000000000011</v>
      </c>
      <c r="R270" s="167">
        <f t="shared" si="439"/>
        <v>33.812000000000012</v>
      </c>
      <c r="S270" s="168">
        <f t="shared" si="439"/>
        <v>210.928</v>
      </c>
      <c r="T270" s="168">
        <f>T245-T263</f>
        <v>65.495999999999967</v>
      </c>
      <c r="U270" s="167">
        <f t="shared" si="439"/>
        <v>66.198000000000008</v>
      </c>
      <c r="V270" s="167">
        <f t="shared" si="439"/>
        <v>66.402000000000001</v>
      </c>
      <c r="W270" s="169">
        <f t="shared" si="439"/>
        <v>70.321000000000055</v>
      </c>
      <c r="X270" s="166">
        <f t="shared" si="439"/>
        <v>268.41699999999992</v>
      </c>
      <c r="Y270" s="785">
        <f t="shared" si="439"/>
        <v>74.159000000000006</v>
      </c>
      <c r="Z270" s="785">
        <f t="shared" si="439"/>
        <v>68.132000000000033</v>
      </c>
      <c r="AA270" s="785">
        <f t="shared" si="439"/>
        <v>70.703000000000003</v>
      </c>
      <c r="AB270" s="785">
        <f t="shared" si="439"/>
        <v>73.168999999999997</v>
      </c>
      <c r="AC270" s="786">
        <f t="shared" si="439"/>
        <v>286.16300000000012</v>
      </c>
      <c r="AD270" s="785">
        <f t="shared" si="439"/>
        <v>79.934999999999988</v>
      </c>
      <c r="AE270" s="785">
        <f t="shared" si="439"/>
        <v>75.972999999999985</v>
      </c>
      <c r="AF270" s="785">
        <f t="shared" si="439"/>
        <v>79.091000000000022</v>
      </c>
      <c r="AG270" s="785">
        <f t="shared" si="439"/>
        <v>81.132999999999996</v>
      </c>
      <c r="AH270" s="786">
        <f t="shared" si="439"/>
        <v>316.13200000000006</v>
      </c>
      <c r="AI270" s="785">
        <f t="shared" si="439"/>
        <v>86.22399999999999</v>
      </c>
      <c r="AJ270" s="785">
        <f t="shared" si="439"/>
        <v>86.197000000000003</v>
      </c>
      <c r="AK270" s="785">
        <f t="shared" si="439"/>
        <v>85.189000000000007</v>
      </c>
      <c r="AL270" s="785">
        <f t="shared" si="439"/>
        <v>88.696000000000026</v>
      </c>
      <c r="AM270" s="786">
        <f t="shared" si="439"/>
        <v>346.3060000000001</v>
      </c>
      <c r="AN270" s="785">
        <f t="shared" si="439"/>
        <v>93.315999999999988</v>
      </c>
      <c r="AO270" s="785">
        <f t="shared" si="439"/>
        <v>91.055999999999997</v>
      </c>
      <c r="AP270" s="785">
        <f t="shared" si="439"/>
        <v>93.081000000000003</v>
      </c>
      <c r="AQ270" s="787">
        <f t="shared" si="439"/>
        <v>91.158999999999992</v>
      </c>
      <c r="AR270" s="786">
        <f t="shared" si="439"/>
        <v>368.61200000000002</v>
      </c>
      <c r="AS270" s="167">
        <f t="shared" si="439"/>
        <v>100.90100000000001</v>
      </c>
      <c r="AT270" s="167">
        <f t="shared" si="439"/>
        <v>101.42200000000003</v>
      </c>
      <c r="AU270" s="167">
        <f t="shared" si="439"/>
        <v>102.21899999999997</v>
      </c>
      <c r="AV270" s="167">
        <f t="shared" si="439"/>
        <v>101.80000000000001</v>
      </c>
      <c r="AW270" s="788">
        <f t="shared" si="439"/>
        <v>406.3420000000001</v>
      </c>
      <c r="AX270" s="167">
        <f t="shared" si="439"/>
        <v>109.41499999999999</v>
      </c>
      <c r="AY270" s="167">
        <f t="shared" si="439"/>
        <v>104.54199999999999</v>
      </c>
      <c r="AZ270" s="167">
        <f t="shared" si="439"/>
        <v>106.27199999999999</v>
      </c>
      <c r="BA270" s="167">
        <f t="shared" si="439"/>
        <v>93.700000000000017</v>
      </c>
      <c r="BB270" s="788">
        <f t="shared" si="439"/>
        <v>413.92899999999997</v>
      </c>
      <c r="BC270" s="167">
        <f>BC245-BC263</f>
        <v>114.69999999999997</v>
      </c>
      <c r="BD270" s="167">
        <f>BD245-BD263</f>
        <v>113.39999999999999</v>
      </c>
      <c r="BE270" s="167">
        <f>BE245-BE263</f>
        <v>115.89999999999999</v>
      </c>
      <c r="BF270" s="169">
        <f t="shared" si="439"/>
        <v>114.99999999999999</v>
      </c>
      <c r="BG270" s="789">
        <f t="shared" si="439"/>
        <v>459.00000000000011</v>
      </c>
      <c r="BH270" s="785">
        <f t="shared" ref="BH270:CA270" si="440">BH245-BH263</f>
        <v>120.34664649999999</v>
      </c>
      <c r="BI270" s="785">
        <f t="shared" si="440"/>
        <v>118.98824850000001</v>
      </c>
      <c r="BJ270" s="785">
        <f t="shared" si="440"/>
        <v>121.60762699999999</v>
      </c>
      <c r="BK270" s="787">
        <f t="shared" si="440"/>
        <v>120.09099599999999</v>
      </c>
      <c r="BL270" s="789">
        <f t="shared" si="440"/>
        <v>481.0335179999999</v>
      </c>
      <c r="BM270" s="785">
        <f t="shared" si="440"/>
        <v>126.9889278</v>
      </c>
      <c r="BN270" s="785">
        <f t="shared" si="440"/>
        <v>125.57316870000001</v>
      </c>
      <c r="BO270" s="785">
        <f t="shared" si="440"/>
        <v>128.32549590000002</v>
      </c>
      <c r="BP270" s="787">
        <f t="shared" si="440"/>
        <v>126.73655819999999</v>
      </c>
      <c r="BQ270" s="789">
        <f t="shared" si="440"/>
        <v>507.62415060000001</v>
      </c>
      <c r="BR270" s="785">
        <f t="shared" si="440"/>
        <v>133.99457061375</v>
      </c>
      <c r="BS270" s="785">
        <f t="shared" si="440"/>
        <v>132.51911029875004</v>
      </c>
      <c r="BT270" s="785">
        <f t="shared" si="440"/>
        <v>135.41113262250002</v>
      </c>
      <c r="BU270" s="787">
        <f t="shared" si="440"/>
        <v>133.74644913</v>
      </c>
      <c r="BV270" s="789">
        <f t="shared" si="440"/>
        <v>535.67126266499997</v>
      </c>
      <c r="BW270" s="785">
        <f t="shared" si="440"/>
        <v>141.38330538937501</v>
      </c>
      <c r="BX270" s="785">
        <f t="shared" si="440"/>
        <v>139.84571313562503</v>
      </c>
      <c r="BY270" s="785">
        <f t="shared" si="440"/>
        <v>142.88451927750003</v>
      </c>
      <c r="BZ270" s="787">
        <f t="shared" si="440"/>
        <v>141.14048775750001</v>
      </c>
      <c r="CA270" s="789">
        <f t="shared" si="440"/>
        <v>565.25402556000006</v>
      </c>
      <c r="CB270" s="1910"/>
      <c r="CC270" s="790"/>
      <c r="CD270" s="164" t="str">
        <f>A270</f>
        <v>Segment EBITDA</v>
      </c>
      <c r="CE270" s="786">
        <f>D270</f>
        <v>202.87200000000001</v>
      </c>
      <c r="CF270" s="786">
        <f>I270</f>
        <v>212.77999999999997</v>
      </c>
      <c r="CG270" s="786">
        <f>N270</f>
        <v>222.70600000000002</v>
      </c>
      <c r="CH270" s="786">
        <f>S270</f>
        <v>210.928</v>
      </c>
      <c r="CI270" s="786">
        <f>X270</f>
        <v>268.41699999999992</v>
      </c>
      <c r="CJ270" s="786">
        <f>AC270</f>
        <v>286.16300000000012</v>
      </c>
      <c r="CK270" s="786">
        <f>AH270</f>
        <v>316.13200000000006</v>
      </c>
      <c r="CL270" s="786">
        <f>AM270</f>
        <v>346.3060000000001</v>
      </c>
      <c r="CM270" s="786">
        <f>AR270</f>
        <v>368.61200000000002</v>
      </c>
      <c r="CN270" s="786">
        <f>AW270</f>
        <v>406.3420000000001</v>
      </c>
      <c r="CO270" s="786">
        <f>BB270</f>
        <v>413.92899999999997</v>
      </c>
      <c r="CP270" s="786">
        <f>BG270</f>
        <v>459.00000000000011</v>
      </c>
      <c r="CQ270" s="786">
        <f>BL270</f>
        <v>481.0335179999999</v>
      </c>
      <c r="CR270" s="786">
        <f>BQ270</f>
        <v>507.62415060000001</v>
      </c>
      <c r="CS270" s="786">
        <f>BV270</f>
        <v>535.67126266499997</v>
      </c>
      <c r="CT270" s="786">
        <f>CA270</f>
        <v>565.25402556000006</v>
      </c>
      <c r="CU270" s="1961"/>
      <c r="DB270" s="1961"/>
      <c r="DC270" s="1961"/>
      <c r="DD270" s="1961"/>
      <c r="DE270" s="1961"/>
      <c r="DF270" s="1961"/>
      <c r="DG270" s="1961"/>
      <c r="DH270" s="1961"/>
      <c r="DI270" s="1961"/>
    </row>
    <row r="271" spans="1:113" ht="12" customHeight="1" x14ac:dyDescent="0.25">
      <c r="A271" s="791" t="s">
        <v>65</v>
      </c>
      <c r="B271" s="792"/>
      <c r="C271" s="793">
        <f t="shared" ref="C271:BG271" si="441">C270/C245</f>
        <v>0.4365380116959065</v>
      </c>
      <c r="D271" s="793">
        <f t="shared" si="441"/>
        <v>0.42923699945412308</v>
      </c>
      <c r="E271" s="794">
        <f t="shared" si="441"/>
        <v>0.42511720321518587</v>
      </c>
      <c r="F271" s="794">
        <f t="shared" si="441"/>
        <v>0.4320742267369399</v>
      </c>
      <c r="G271" s="794">
        <f t="shared" si="441"/>
        <v>0.4562013934229775</v>
      </c>
      <c r="H271" s="794">
        <f t="shared" si="441"/>
        <v>0.44112802762380154</v>
      </c>
      <c r="I271" s="793">
        <f t="shared" si="441"/>
        <v>0.43857696430043697</v>
      </c>
      <c r="J271" s="794">
        <f t="shared" si="441"/>
        <v>0.45751304717448965</v>
      </c>
      <c r="K271" s="794">
        <f t="shared" si="441"/>
        <v>0.43840496528574924</v>
      </c>
      <c r="L271" s="794">
        <f t="shared" si="441"/>
        <v>0.42986436182959764</v>
      </c>
      <c r="M271" s="794">
        <f t="shared" si="441"/>
        <v>0.44015447083409465</v>
      </c>
      <c r="N271" s="795">
        <f t="shared" si="441"/>
        <v>0.44153444450832791</v>
      </c>
      <c r="O271" s="795">
        <f t="shared" si="441"/>
        <v>0.46770757760523596</v>
      </c>
      <c r="P271" s="794">
        <f t="shared" si="441"/>
        <v>0.45457477851875749</v>
      </c>
      <c r="Q271" s="794">
        <f t="shared" si="441"/>
        <v>0.43007998769420097</v>
      </c>
      <c r="R271" s="794">
        <f t="shared" si="441"/>
        <v>0.25794344041561462</v>
      </c>
      <c r="S271" s="796">
        <f t="shared" si="441"/>
        <v>0.40255278867734401</v>
      </c>
      <c r="T271" s="795">
        <f t="shared" si="441"/>
        <v>0.48667687140543014</v>
      </c>
      <c r="U271" s="794">
        <f t="shared" si="441"/>
        <v>0.49295176820141634</v>
      </c>
      <c r="V271" s="794">
        <f t="shared" si="441"/>
        <v>0.48728617660656492</v>
      </c>
      <c r="W271" s="794">
        <f t="shared" si="441"/>
        <v>0.51328447759886753</v>
      </c>
      <c r="X271" s="796">
        <f t="shared" si="441"/>
        <v>0.49510825656936047</v>
      </c>
      <c r="Y271" s="797">
        <f t="shared" si="441"/>
        <v>0.52766057363226915</v>
      </c>
      <c r="Z271" s="797">
        <f t="shared" si="441"/>
        <v>0.48482174624635321</v>
      </c>
      <c r="AA271" s="797">
        <f t="shared" si="441"/>
        <v>0.505104410010216</v>
      </c>
      <c r="AB271" s="797">
        <f t="shared" si="441"/>
        <v>0.51414859005979852</v>
      </c>
      <c r="AC271" s="798">
        <f t="shared" si="441"/>
        <v>0.50795670981839369</v>
      </c>
      <c r="AD271" s="797">
        <f>AD270/AD245</f>
        <v>0.55139374624919801</v>
      </c>
      <c r="AE271" s="797">
        <f>AE270/AE245</f>
        <v>0.52689872320357301</v>
      </c>
      <c r="AF271" s="797">
        <f>AF270/AF245</f>
        <v>0.54975081151341176</v>
      </c>
      <c r="AG271" s="797">
        <f>AG270/AG245</f>
        <v>0.55388070807818079</v>
      </c>
      <c r="AH271" s="798">
        <f t="shared" si="441"/>
        <v>0.5455198047992601</v>
      </c>
      <c r="AI271" s="797">
        <f t="shared" si="441"/>
        <v>0.56498463433652435</v>
      </c>
      <c r="AJ271" s="797">
        <f t="shared" si="441"/>
        <v>0.55878101115656131</v>
      </c>
      <c r="AK271" s="797">
        <f t="shared" si="441"/>
        <v>0.5494114991454645</v>
      </c>
      <c r="AL271" s="797">
        <f t="shared" si="441"/>
        <v>0.56729496191213269</v>
      </c>
      <c r="AM271" s="798">
        <f t="shared" si="441"/>
        <v>0.56011554710194167</v>
      </c>
      <c r="AN271" s="797">
        <f t="shared" si="441"/>
        <v>0.57491390091982775</v>
      </c>
      <c r="AO271" s="799">
        <f>AO270/AO245</f>
        <v>0.56224066390041494</v>
      </c>
      <c r="AP271" s="799">
        <f>AP270/AP245</f>
        <v>0.57651715039577833</v>
      </c>
      <c r="AQ271" s="800">
        <f>AQ270/AQ245</f>
        <v>0.55270321888281904</v>
      </c>
      <c r="AR271" s="798">
        <f t="shared" si="441"/>
        <v>0.56652711434069214</v>
      </c>
      <c r="AS271" s="794">
        <f>AS270/AS245</f>
        <v>0.59026453416948443</v>
      </c>
      <c r="AT271" s="794">
        <f>AT270/AT245</f>
        <v>0.59058987946194619</v>
      </c>
      <c r="AU271" s="794">
        <f>AU270/AU245</f>
        <v>0.59524128413120814</v>
      </c>
      <c r="AV271" s="794">
        <f>AV270/AV245</f>
        <v>0.58573072497123135</v>
      </c>
      <c r="AW271" s="801">
        <f t="shared" si="441"/>
        <v>0.59044259000666965</v>
      </c>
      <c r="AX271" s="794">
        <f t="shared" si="441"/>
        <v>0.60868621909699816</v>
      </c>
      <c r="AY271" s="794">
        <f t="shared" si="441"/>
        <v>0.57720699879083681</v>
      </c>
      <c r="AZ271" s="794">
        <f t="shared" si="441"/>
        <v>0.58787214975604896</v>
      </c>
      <c r="BA271" s="794">
        <f>BA270/BA245</f>
        <v>0.51314348302300117</v>
      </c>
      <c r="BB271" s="801">
        <f>BB270/BB245</f>
        <v>0.57153015476764146</v>
      </c>
      <c r="BC271" s="794">
        <f>BC270/BC245</f>
        <v>0.60559662090813082</v>
      </c>
      <c r="BD271" s="794">
        <f>BD270/BD245</f>
        <v>0.58878504672897192</v>
      </c>
      <c r="BE271" s="794">
        <f>BE270/BE245</f>
        <v>0.59989648033126297</v>
      </c>
      <c r="BF271" s="203">
        <f t="shared" si="441"/>
        <v>0.58913934426229508</v>
      </c>
      <c r="BG271" s="183">
        <f t="shared" si="441"/>
        <v>0.59579439252336452</v>
      </c>
      <c r="BH271" s="799">
        <f t="shared" ref="BH271:CA271" si="442">BH270/BH245</f>
        <v>0.60659662090813093</v>
      </c>
      <c r="BI271" s="799">
        <f t="shared" si="442"/>
        <v>0.58978504672897203</v>
      </c>
      <c r="BJ271" s="799">
        <f t="shared" si="442"/>
        <v>0.60089648033126286</v>
      </c>
      <c r="BK271" s="800">
        <f t="shared" si="442"/>
        <v>0.59013934426229508</v>
      </c>
      <c r="BL271" s="183">
        <f t="shared" si="442"/>
        <v>0.5968024510618869</v>
      </c>
      <c r="BM271" s="799">
        <f t="shared" si="442"/>
        <v>0.60959662090813094</v>
      </c>
      <c r="BN271" s="799">
        <f t="shared" si="442"/>
        <v>0.59278504672897203</v>
      </c>
      <c r="BO271" s="799">
        <f t="shared" si="442"/>
        <v>0.60389648033126297</v>
      </c>
      <c r="BP271" s="800">
        <f t="shared" si="442"/>
        <v>0.59313934426229509</v>
      </c>
      <c r="BQ271" s="183">
        <f t="shared" si="442"/>
        <v>0.59980245106188701</v>
      </c>
      <c r="BR271" s="799">
        <f t="shared" si="442"/>
        <v>0.61259662090813094</v>
      </c>
      <c r="BS271" s="799">
        <f t="shared" si="442"/>
        <v>0.59578504672897203</v>
      </c>
      <c r="BT271" s="799">
        <f t="shared" si="442"/>
        <v>0.60689648033126298</v>
      </c>
      <c r="BU271" s="800">
        <f t="shared" si="442"/>
        <v>0.59613934426229509</v>
      </c>
      <c r="BV271" s="183">
        <f t="shared" si="442"/>
        <v>0.6028024510618869</v>
      </c>
      <c r="BW271" s="799">
        <f t="shared" si="442"/>
        <v>0.61559662090813094</v>
      </c>
      <c r="BX271" s="799">
        <f t="shared" si="442"/>
        <v>0.59878504672897204</v>
      </c>
      <c r="BY271" s="799">
        <f t="shared" si="442"/>
        <v>0.60989648033126298</v>
      </c>
      <c r="BZ271" s="800">
        <f t="shared" si="442"/>
        <v>0.59913934426229509</v>
      </c>
      <c r="CA271" s="183">
        <f t="shared" si="442"/>
        <v>0.6058024510618869</v>
      </c>
      <c r="CB271" s="1910"/>
      <c r="CC271" s="790"/>
      <c r="CD271" s="791" t="str">
        <f>A271</f>
        <v>EBITDA Margin</v>
      </c>
      <c r="CE271" s="793">
        <f>D271</f>
        <v>0.42923699945412308</v>
      </c>
      <c r="CF271" s="793">
        <f>I271</f>
        <v>0.43857696430043697</v>
      </c>
      <c r="CG271" s="793">
        <f>N271</f>
        <v>0.44153444450832791</v>
      </c>
      <c r="CH271" s="793">
        <f>S271</f>
        <v>0.40255278867734401</v>
      </c>
      <c r="CI271" s="793">
        <f>X271</f>
        <v>0.49510825656936047</v>
      </c>
      <c r="CJ271" s="793">
        <f>AC271</f>
        <v>0.50795670981839369</v>
      </c>
      <c r="CK271" s="793">
        <f>AH271</f>
        <v>0.5455198047992601</v>
      </c>
      <c r="CL271" s="793">
        <f>AM271</f>
        <v>0.56011554710194167</v>
      </c>
      <c r="CM271" s="793">
        <f>AR271</f>
        <v>0.56652711434069214</v>
      </c>
      <c r="CN271" s="793">
        <f>AW271</f>
        <v>0.59044259000666965</v>
      </c>
      <c r="CO271" s="793">
        <f>BB271</f>
        <v>0.57153015476764146</v>
      </c>
      <c r="CP271" s="793">
        <f>BG271</f>
        <v>0.59579439252336452</v>
      </c>
      <c r="CQ271" s="793">
        <f>BL271</f>
        <v>0.5968024510618869</v>
      </c>
      <c r="CR271" s="793">
        <f>BQ271</f>
        <v>0.59980245106188701</v>
      </c>
      <c r="CS271" s="793">
        <f>BV271</f>
        <v>0.6028024510618869</v>
      </c>
      <c r="CT271" s="793">
        <f>CA271</f>
        <v>0.6058024510618869</v>
      </c>
      <c r="CU271" s="1961"/>
      <c r="DB271" s="1961"/>
      <c r="DC271" s="1961"/>
      <c r="DD271" s="1961"/>
      <c r="DE271" s="1961"/>
      <c r="DF271" s="1961"/>
      <c r="DG271" s="1961"/>
      <c r="DH271" s="1961"/>
      <c r="DI271" s="1961"/>
    </row>
    <row r="272" spans="1:113" ht="5.25" customHeight="1" x14ac:dyDescent="0.25">
      <c r="A272" s="172"/>
      <c r="B272" s="173"/>
      <c r="C272" s="88"/>
      <c r="D272" s="88"/>
      <c r="E272" s="95"/>
      <c r="F272" s="95"/>
      <c r="G272" s="95"/>
      <c r="H272" s="95"/>
      <c r="I272" s="88"/>
      <c r="J272" s="95"/>
      <c r="K272" s="95"/>
      <c r="L272" s="95"/>
      <c r="M272" s="95"/>
      <c r="N272" s="88"/>
      <c r="O272" s="95"/>
      <c r="P272" s="92"/>
      <c r="Q272" s="706"/>
      <c r="R272" s="706"/>
      <c r="S272" s="744"/>
      <c r="T272" s="92"/>
      <c r="U272" s="716"/>
      <c r="V272" s="706"/>
      <c r="W272" s="706"/>
      <c r="X272" s="744"/>
      <c r="Y272" s="90"/>
      <c r="Z272" s="90"/>
      <c r="AA272" s="90"/>
      <c r="AB272" s="90"/>
      <c r="AC272" s="759"/>
      <c r="AD272" s="90"/>
      <c r="AE272" s="90"/>
      <c r="AF272" s="90"/>
      <c r="AG272" s="90"/>
      <c r="AH272" s="759"/>
      <c r="AI272" s="90"/>
      <c r="AJ272" s="90"/>
      <c r="AK272" s="90"/>
      <c r="AL272" s="90"/>
      <c r="AM272" s="759"/>
      <c r="AN272" s="90"/>
      <c r="AO272" s="90"/>
      <c r="AP272" s="90"/>
      <c r="AQ272" s="90"/>
      <c r="AR272" s="759"/>
      <c r="AS272" s="90"/>
      <c r="AT272" s="90"/>
      <c r="AU272" s="90"/>
      <c r="AV272" s="90"/>
      <c r="AW272" s="90"/>
      <c r="AX272" s="90"/>
      <c r="AY272" s="90"/>
      <c r="AZ272" s="90"/>
      <c r="BA272" s="90"/>
      <c r="BB272" s="802"/>
      <c r="BC272" s="90"/>
      <c r="BD272" s="90"/>
      <c r="BE272" s="90"/>
      <c r="BF272" s="90"/>
      <c r="BG272" s="802"/>
      <c r="BH272" s="90"/>
      <c r="BI272" s="90"/>
      <c r="BJ272" s="90"/>
      <c r="BK272" s="90"/>
      <c r="BL272" s="802"/>
      <c r="BM272" s="90"/>
      <c r="BN272" s="90"/>
      <c r="BO272" s="90"/>
      <c r="BP272" s="90"/>
      <c r="BQ272" s="802"/>
      <c r="BR272" s="90"/>
      <c r="BS272" s="90"/>
      <c r="BT272" s="90"/>
      <c r="BU272" s="90"/>
      <c r="BV272" s="802"/>
      <c r="BW272" s="90"/>
      <c r="BX272" s="90"/>
      <c r="BY272" s="90"/>
      <c r="BZ272" s="90"/>
      <c r="CA272" s="802"/>
      <c r="CB272" s="1910"/>
      <c r="CC272" s="29"/>
      <c r="CD272" s="172"/>
      <c r="CE272" s="759"/>
      <c r="CF272" s="759"/>
      <c r="CG272" s="759"/>
      <c r="CH272" s="759"/>
      <c r="CI272" s="759"/>
      <c r="CJ272" s="759"/>
      <c r="CK272" s="759"/>
      <c r="CL272" s="759"/>
      <c r="CM272" s="759"/>
      <c r="CN272" s="759"/>
      <c r="CO272" s="759"/>
      <c r="CP272" s="759"/>
      <c r="CQ272" s="759"/>
      <c r="CR272" s="759"/>
      <c r="CS272" s="759"/>
      <c r="CT272" s="441"/>
      <c r="CU272" s="1961"/>
      <c r="DB272" s="1961"/>
      <c r="DC272" s="1961"/>
      <c r="DD272" s="1961"/>
      <c r="DE272" s="1961"/>
      <c r="DF272" s="1961"/>
      <c r="DG272" s="1961"/>
      <c r="DH272" s="1961"/>
      <c r="DI272" s="90"/>
    </row>
    <row r="273" spans="1:113" ht="12" customHeight="1" x14ac:dyDescent="0.25">
      <c r="A273" s="164" t="s">
        <v>220</v>
      </c>
      <c r="B273" s="165"/>
      <c r="C273" s="166">
        <f t="shared" ref="C273:AM273" si="443">C270+C265</f>
        <v>195.95100000000002</v>
      </c>
      <c r="D273" s="166">
        <f t="shared" si="443"/>
        <v>210.977</v>
      </c>
      <c r="E273" s="167">
        <f t="shared" si="443"/>
        <v>51.777999999999992</v>
      </c>
      <c r="F273" s="167">
        <f t="shared" si="443"/>
        <v>53.041000000000011</v>
      </c>
      <c r="G273" s="167">
        <f t="shared" si="443"/>
        <v>55.199000000000012</v>
      </c>
      <c r="H273" s="169">
        <f t="shared" si="443"/>
        <v>52.762000000000029</v>
      </c>
      <c r="I273" s="166">
        <f t="shared" si="443"/>
        <v>221.58699999999996</v>
      </c>
      <c r="J273" s="167">
        <f t="shared" si="443"/>
        <v>60.115999999999985</v>
      </c>
      <c r="K273" s="167">
        <f t="shared" si="443"/>
        <v>57.672999999999988</v>
      </c>
      <c r="L273" s="167">
        <f t="shared" si="443"/>
        <v>55.848000000000013</v>
      </c>
      <c r="M273" s="169">
        <f t="shared" si="443"/>
        <v>56.995999999999974</v>
      </c>
      <c r="N273" s="168">
        <f t="shared" si="443"/>
        <v>230.63300000000001</v>
      </c>
      <c r="O273" s="168">
        <f t="shared" si="443"/>
        <v>62.224000000000004</v>
      </c>
      <c r="P273" s="167">
        <f t="shared" si="443"/>
        <v>62.744000000000014</v>
      </c>
      <c r="Q273" s="167">
        <f t="shared" si="443"/>
        <v>59.871000000000016</v>
      </c>
      <c r="R273" s="167">
        <f>R270+R265</f>
        <v>68.507000000000005</v>
      </c>
      <c r="S273" s="168">
        <f t="shared" si="443"/>
        <v>253.346</v>
      </c>
      <c r="T273" s="168">
        <f>T270+T265</f>
        <v>65.495999999999967</v>
      </c>
      <c r="U273" s="167">
        <f>U270+U265</f>
        <v>66.198000000000008</v>
      </c>
      <c r="V273" s="167">
        <f t="shared" si="443"/>
        <v>66.402000000000001</v>
      </c>
      <c r="W273" s="169">
        <f t="shared" si="443"/>
        <v>70.321000000000055</v>
      </c>
      <c r="X273" s="166">
        <f>X270+X265</f>
        <v>268.41699999999992</v>
      </c>
      <c r="Y273" s="167">
        <f>Y270-Y265</f>
        <v>74.159000000000006</v>
      </c>
      <c r="Z273" s="167">
        <f>Z270-Z265</f>
        <v>68.132000000000033</v>
      </c>
      <c r="AA273" s="167">
        <f>AA270-AA265</f>
        <v>70.703000000000003</v>
      </c>
      <c r="AB273" s="167">
        <f>AB270-AB265</f>
        <v>73.168999999999997</v>
      </c>
      <c r="AC273" s="166">
        <f t="shared" si="443"/>
        <v>286.16300000000012</v>
      </c>
      <c r="AD273" s="167">
        <f t="shared" ref="AD273:AJ273" si="444">AD270-AD265</f>
        <v>80.36999999999999</v>
      </c>
      <c r="AE273" s="167">
        <f t="shared" si="444"/>
        <v>76.09899999999999</v>
      </c>
      <c r="AF273" s="167">
        <f>AF270-AF265</f>
        <v>78.589000000000027</v>
      </c>
      <c r="AG273" s="167">
        <f>AG270-AG265</f>
        <v>81.201999999999998</v>
      </c>
      <c r="AH273" s="166">
        <f>AH270+AH265</f>
        <v>316.00400000000008</v>
      </c>
      <c r="AI273" s="167">
        <f t="shared" si="444"/>
        <v>86.078999999999994</v>
      </c>
      <c r="AJ273" s="167">
        <f t="shared" si="444"/>
        <v>86.334000000000003</v>
      </c>
      <c r="AK273" s="167">
        <f>AK270-AK265</f>
        <v>85.417000000000002</v>
      </c>
      <c r="AL273" s="167">
        <f>AL270-AL265</f>
        <v>87.851000000000028</v>
      </c>
      <c r="AM273" s="166">
        <f t="shared" si="443"/>
        <v>346.9310000000001</v>
      </c>
      <c r="AN273" s="167">
        <f>AN270-AN265</f>
        <v>93.324999999999989</v>
      </c>
      <c r="AO273" s="167">
        <f>AO270-AO265</f>
        <v>91.256</v>
      </c>
      <c r="AP273" s="167">
        <f>AP270-AP265</f>
        <v>92.796000000000006</v>
      </c>
      <c r="AQ273" s="167">
        <f>AQ270-AQ265</f>
        <v>91.392999999999986</v>
      </c>
      <c r="AR273" s="166">
        <f>AR270+AR265</f>
        <v>368.45400000000001</v>
      </c>
      <c r="AS273" s="167">
        <f t="shared" ref="AS273:BB273" si="445">AS270-AS265</f>
        <v>100.90100000000001</v>
      </c>
      <c r="AT273" s="167">
        <f>AT270-AT265</f>
        <v>101.54300000000002</v>
      </c>
      <c r="AU273" s="167">
        <f t="shared" si="445"/>
        <v>102.20299999999996</v>
      </c>
      <c r="AV273" s="167">
        <f t="shared" si="445"/>
        <v>101.80000000000001</v>
      </c>
      <c r="AW273" s="166">
        <f t="shared" si="445"/>
        <v>406.44700000000012</v>
      </c>
      <c r="AX273" s="167">
        <f t="shared" si="445"/>
        <v>109.315</v>
      </c>
      <c r="AY273" s="167">
        <f>AY270-AY265</f>
        <v>104.57599999999999</v>
      </c>
      <c r="AZ273" s="167">
        <f>AZ270-AZ265</f>
        <v>106.27199999999999</v>
      </c>
      <c r="BA273" s="167">
        <f t="shared" si="445"/>
        <v>104.50000000000001</v>
      </c>
      <c r="BB273" s="803">
        <f t="shared" si="445"/>
        <v>424.66299999999995</v>
      </c>
      <c r="BC273" s="167">
        <f t="shared" ref="BC273:CA273" si="446">BC270-BC265</f>
        <v>114.39999999999998</v>
      </c>
      <c r="BD273" s="167">
        <f>BD270-BD265</f>
        <v>113.39999999999999</v>
      </c>
      <c r="BE273" s="167">
        <f t="shared" si="446"/>
        <v>115.99999999999999</v>
      </c>
      <c r="BF273" s="167">
        <f t="shared" si="446"/>
        <v>115.19999999999999</v>
      </c>
      <c r="BG273" s="803">
        <f t="shared" si="446"/>
        <v>459.00000000000011</v>
      </c>
      <c r="BH273" s="167">
        <f t="shared" si="446"/>
        <v>120.34664649999999</v>
      </c>
      <c r="BI273" s="167">
        <f t="shared" si="446"/>
        <v>118.98824850000001</v>
      </c>
      <c r="BJ273" s="167">
        <f t="shared" si="446"/>
        <v>121.60762699999999</v>
      </c>
      <c r="BK273" s="167">
        <f t="shared" si="446"/>
        <v>120.09099599999999</v>
      </c>
      <c r="BL273" s="803">
        <f t="shared" si="446"/>
        <v>481.0335179999999</v>
      </c>
      <c r="BM273" s="167">
        <f t="shared" si="446"/>
        <v>126.9889278</v>
      </c>
      <c r="BN273" s="167">
        <f t="shared" si="446"/>
        <v>125.57316870000001</v>
      </c>
      <c r="BO273" s="167">
        <f t="shared" si="446"/>
        <v>128.32549590000002</v>
      </c>
      <c r="BP273" s="167">
        <f t="shared" si="446"/>
        <v>126.73655819999999</v>
      </c>
      <c r="BQ273" s="803">
        <f t="shared" si="446"/>
        <v>507.62415060000001</v>
      </c>
      <c r="BR273" s="167">
        <f t="shared" si="446"/>
        <v>133.99457061375</v>
      </c>
      <c r="BS273" s="167">
        <f t="shared" si="446"/>
        <v>132.51911029875004</v>
      </c>
      <c r="BT273" s="167">
        <f t="shared" si="446"/>
        <v>135.41113262250002</v>
      </c>
      <c r="BU273" s="167">
        <f t="shared" si="446"/>
        <v>133.74644913</v>
      </c>
      <c r="BV273" s="803">
        <f t="shared" si="446"/>
        <v>535.67126266499997</v>
      </c>
      <c r="BW273" s="167">
        <f t="shared" si="446"/>
        <v>141.38330538937501</v>
      </c>
      <c r="BX273" s="167">
        <f t="shared" si="446"/>
        <v>139.84571313562503</v>
      </c>
      <c r="BY273" s="167">
        <f t="shared" si="446"/>
        <v>142.88451927750003</v>
      </c>
      <c r="BZ273" s="167">
        <f t="shared" si="446"/>
        <v>141.14048775750001</v>
      </c>
      <c r="CA273" s="803">
        <f t="shared" si="446"/>
        <v>565.25402556000006</v>
      </c>
      <c r="CB273" s="1910">
        <f>(CA273/BG273)^(1/4)-1</f>
        <v>5.3435002571524448E-2</v>
      </c>
      <c r="CC273" s="29"/>
      <c r="CD273" s="164" t="str">
        <f>A273</f>
        <v>Segment Adj. EBITDA</v>
      </c>
      <c r="CE273" s="166">
        <f>D273</f>
        <v>210.977</v>
      </c>
      <c r="CF273" s="166">
        <f>I273</f>
        <v>221.58699999999996</v>
      </c>
      <c r="CG273" s="166">
        <f>N273</f>
        <v>230.63300000000001</v>
      </c>
      <c r="CH273" s="166">
        <f>S273</f>
        <v>253.346</v>
      </c>
      <c r="CI273" s="166">
        <f>X273</f>
        <v>268.41699999999992</v>
      </c>
      <c r="CJ273" s="166">
        <f>AC273</f>
        <v>286.16300000000012</v>
      </c>
      <c r="CK273" s="166">
        <f>AH273</f>
        <v>316.00400000000008</v>
      </c>
      <c r="CL273" s="166">
        <f>AM273</f>
        <v>346.9310000000001</v>
      </c>
      <c r="CM273" s="166">
        <f>AR273</f>
        <v>368.45400000000001</v>
      </c>
      <c r="CN273" s="166">
        <f>AW273</f>
        <v>406.44700000000012</v>
      </c>
      <c r="CO273" s="166">
        <f>BB273</f>
        <v>424.66299999999995</v>
      </c>
      <c r="CP273" s="166">
        <f>BG273</f>
        <v>459.00000000000011</v>
      </c>
      <c r="CQ273" s="166">
        <f>BL273</f>
        <v>481.0335179999999</v>
      </c>
      <c r="CR273" s="166">
        <f>BQ273</f>
        <v>507.62415060000001</v>
      </c>
      <c r="CS273" s="166">
        <f>BV273</f>
        <v>535.67126266499997</v>
      </c>
      <c r="CT273" s="166">
        <f>CA273</f>
        <v>565.25402556000006</v>
      </c>
      <c r="CU273" s="1961"/>
      <c r="DB273" s="1961"/>
      <c r="DC273" s="1961"/>
      <c r="DD273" s="1961"/>
      <c r="DE273" s="1961"/>
      <c r="DF273" s="1961"/>
      <c r="DG273" s="1961"/>
      <c r="DH273" s="1961"/>
      <c r="DI273" s="74"/>
    </row>
    <row r="274" spans="1:113" ht="12" customHeight="1" x14ac:dyDescent="0.25">
      <c r="A274" s="791" t="s">
        <v>68</v>
      </c>
      <c r="B274" s="792"/>
      <c r="C274" s="793">
        <f t="shared" ref="C274:BB274" si="447">C273/C245</f>
        <v>0.4365380116959065</v>
      </c>
      <c r="D274" s="793">
        <f t="shared" si="447"/>
        <v>0.44638557530774342</v>
      </c>
      <c r="E274" s="794">
        <f t="shared" si="447"/>
        <v>0.42511720321518587</v>
      </c>
      <c r="F274" s="794">
        <f t="shared" si="447"/>
        <v>0.4320742267369399</v>
      </c>
      <c r="G274" s="794">
        <f t="shared" si="447"/>
        <v>0.4562013934229775</v>
      </c>
      <c r="H274" s="794">
        <f t="shared" si="447"/>
        <v>0.44112802762380154</v>
      </c>
      <c r="I274" s="793">
        <f t="shared" si="447"/>
        <v>0.45672973864292188</v>
      </c>
      <c r="J274" s="794">
        <f t="shared" si="447"/>
        <v>0.47320901455458553</v>
      </c>
      <c r="K274" s="794">
        <f t="shared" si="447"/>
        <v>0.45657354117023036</v>
      </c>
      <c r="L274" s="794">
        <f t="shared" si="447"/>
        <v>0.44612017318230479</v>
      </c>
      <c r="M274" s="794">
        <f t="shared" si="447"/>
        <v>0.4528919578224696</v>
      </c>
      <c r="N274" s="795">
        <f t="shared" si="447"/>
        <v>0.45725042675226163</v>
      </c>
      <c r="O274" s="795">
        <f t="shared" si="447"/>
        <v>0.48024944815769571</v>
      </c>
      <c r="P274" s="794">
        <f t="shared" si="447"/>
        <v>0.47067295790918712</v>
      </c>
      <c r="Q274" s="794">
        <f t="shared" si="447"/>
        <v>0.46047531149054</v>
      </c>
      <c r="R274" s="794">
        <f t="shared" si="447"/>
        <v>0.52262307087875626</v>
      </c>
      <c r="S274" s="796">
        <f t="shared" si="447"/>
        <v>0.48350687817762644</v>
      </c>
      <c r="T274" s="795">
        <f t="shared" si="447"/>
        <v>0.48667687140543014</v>
      </c>
      <c r="U274" s="794">
        <f t="shared" si="447"/>
        <v>0.49295176820141634</v>
      </c>
      <c r="V274" s="794">
        <f t="shared" si="447"/>
        <v>0.48728617660656492</v>
      </c>
      <c r="W274" s="794">
        <f t="shared" si="447"/>
        <v>0.51328447759886753</v>
      </c>
      <c r="X274" s="796">
        <f t="shared" si="447"/>
        <v>0.49510825656936047</v>
      </c>
      <c r="Y274" s="794">
        <f t="shared" si="447"/>
        <v>0.52766057363226915</v>
      </c>
      <c r="Z274" s="794">
        <f t="shared" si="447"/>
        <v>0.48482174624635321</v>
      </c>
      <c r="AA274" s="794">
        <f t="shared" si="447"/>
        <v>0.505104410010216</v>
      </c>
      <c r="AB274" s="794">
        <f t="shared" si="447"/>
        <v>0.51414859005979852</v>
      </c>
      <c r="AC274" s="793">
        <f t="shared" si="447"/>
        <v>0.50795670981839369</v>
      </c>
      <c r="AD274" s="794">
        <f>AD273/AD245</f>
        <v>0.55439438776566019</v>
      </c>
      <c r="AE274" s="794">
        <f>AE273/AE245</f>
        <v>0.52777257627142149</v>
      </c>
      <c r="AF274" s="794">
        <f>AF273/AF245</f>
        <v>0.54626147761474153</v>
      </c>
      <c r="AG274" s="794">
        <f>AG273/AG245</f>
        <v>0.55435175893119248</v>
      </c>
      <c r="AH274" s="793">
        <f t="shared" si="447"/>
        <v>0.5452989270171491</v>
      </c>
      <c r="AI274" s="794">
        <f t="shared" si="447"/>
        <v>0.56403451868451571</v>
      </c>
      <c r="AJ274" s="794">
        <f t="shared" si="447"/>
        <v>0.55966912789529299</v>
      </c>
      <c r="AK274" s="794">
        <f t="shared" si="447"/>
        <v>0.55088194511624911</v>
      </c>
      <c r="AL274" s="794">
        <f t="shared" si="447"/>
        <v>0.56189038625127141</v>
      </c>
      <c r="AM274" s="793">
        <f t="shared" si="447"/>
        <v>0.56112642250386568</v>
      </c>
      <c r="AN274" s="794">
        <f t="shared" si="447"/>
        <v>0.57496934934355226</v>
      </c>
      <c r="AO274" s="794">
        <f>AO273/AO245</f>
        <v>0.56347559770796285</v>
      </c>
      <c r="AP274" s="794">
        <f>AP273/AP245</f>
        <v>0.57475194172953292</v>
      </c>
      <c r="AQ274" s="794">
        <f>AQ273/AQ245</f>
        <v>0.5541219768027017</v>
      </c>
      <c r="AR274" s="793">
        <f t="shared" si="447"/>
        <v>0.56628428099813721</v>
      </c>
      <c r="AS274" s="794">
        <f>AS273/AS245</f>
        <v>0.59026453416948443</v>
      </c>
      <c r="AT274" s="794">
        <f>AT273/AT245</f>
        <v>0.59129447388342171</v>
      </c>
      <c r="AU274" s="794">
        <f>AU273/AU245</f>
        <v>0.5951481129932974</v>
      </c>
      <c r="AV274" s="794">
        <f>AV273/AV245</f>
        <v>0.58573072497123135</v>
      </c>
      <c r="AW274" s="179">
        <f t="shared" si="447"/>
        <v>0.59059516215513252</v>
      </c>
      <c r="AX274" s="794">
        <f t="shared" si="447"/>
        <v>0.60812990943278666</v>
      </c>
      <c r="AY274" s="794">
        <f t="shared" si="447"/>
        <v>0.57739472274827874</v>
      </c>
      <c r="AZ274" s="794">
        <f>AZ273/AZ245</f>
        <v>0.58787214975604896</v>
      </c>
      <c r="BA274" s="794">
        <f t="shared" si="447"/>
        <v>0.57228915662650603</v>
      </c>
      <c r="BB274" s="179">
        <f t="shared" si="447"/>
        <v>0.58635106531335301</v>
      </c>
      <c r="BC274" s="794">
        <f t="shared" ref="BC274:CA274" si="448">BC273/BC245</f>
        <v>0.60401267159450889</v>
      </c>
      <c r="BD274" s="794">
        <f>BD273/BD245</f>
        <v>0.58878504672897192</v>
      </c>
      <c r="BE274" s="794">
        <f t="shared" si="448"/>
        <v>0.60041407867494823</v>
      </c>
      <c r="BF274" s="794">
        <f t="shared" si="448"/>
        <v>0.5901639344262295</v>
      </c>
      <c r="BG274" s="179">
        <f t="shared" si="448"/>
        <v>0.59579439252336452</v>
      </c>
      <c r="BH274" s="794">
        <f t="shared" si="448"/>
        <v>0.60659662090813093</v>
      </c>
      <c r="BI274" s="794">
        <f t="shared" si="448"/>
        <v>0.58978504672897203</v>
      </c>
      <c r="BJ274" s="794">
        <f t="shared" si="448"/>
        <v>0.60089648033126286</v>
      </c>
      <c r="BK274" s="794">
        <f t="shared" si="448"/>
        <v>0.59013934426229508</v>
      </c>
      <c r="BL274" s="179">
        <f t="shared" si="448"/>
        <v>0.5968024510618869</v>
      </c>
      <c r="BM274" s="794">
        <f t="shared" si="448"/>
        <v>0.60959662090813094</v>
      </c>
      <c r="BN274" s="794">
        <f t="shared" si="448"/>
        <v>0.59278504672897203</v>
      </c>
      <c r="BO274" s="794">
        <f t="shared" si="448"/>
        <v>0.60389648033126297</v>
      </c>
      <c r="BP274" s="794">
        <f t="shared" si="448"/>
        <v>0.59313934426229509</v>
      </c>
      <c r="BQ274" s="179">
        <f t="shared" si="448"/>
        <v>0.59980245106188701</v>
      </c>
      <c r="BR274" s="794">
        <f t="shared" si="448"/>
        <v>0.61259662090813094</v>
      </c>
      <c r="BS274" s="794">
        <f t="shared" si="448"/>
        <v>0.59578504672897203</v>
      </c>
      <c r="BT274" s="794">
        <f t="shared" si="448"/>
        <v>0.60689648033126298</v>
      </c>
      <c r="BU274" s="794">
        <f t="shared" si="448"/>
        <v>0.59613934426229509</v>
      </c>
      <c r="BV274" s="179">
        <f t="shared" si="448"/>
        <v>0.6028024510618869</v>
      </c>
      <c r="BW274" s="794">
        <f t="shared" si="448"/>
        <v>0.61559662090813094</v>
      </c>
      <c r="BX274" s="794">
        <f t="shared" si="448"/>
        <v>0.59878504672897204</v>
      </c>
      <c r="BY274" s="794">
        <f t="shared" si="448"/>
        <v>0.60989648033126298</v>
      </c>
      <c r="BZ274" s="794">
        <f t="shared" si="448"/>
        <v>0.59913934426229509</v>
      </c>
      <c r="CA274" s="179">
        <f t="shared" si="448"/>
        <v>0.6058024510618869</v>
      </c>
      <c r="CB274" s="1910"/>
      <c r="CC274" s="29"/>
      <c r="CD274" s="791" t="str">
        <f>A274</f>
        <v>Adj. EBITDA Margin</v>
      </c>
      <c r="CE274" s="793">
        <f>D274</f>
        <v>0.44638557530774342</v>
      </c>
      <c r="CF274" s="793">
        <f>I274</f>
        <v>0.45672973864292188</v>
      </c>
      <c r="CG274" s="793">
        <f>N274</f>
        <v>0.45725042675226163</v>
      </c>
      <c r="CH274" s="793">
        <f>S274</f>
        <v>0.48350687817762644</v>
      </c>
      <c r="CI274" s="793">
        <f>X274</f>
        <v>0.49510825656936047</v>
      </c>
      <c r="CJ274" s="793">
        <f>AC274</f>
        <v>0.50795670981839369</v>
      </c>
      <c r="CK274" s="793">
        <f>AH274</f>
        <v>0.5452989270171491</v>
      </c>
      <c r="CL274" s="793">
        <f>AM274</f>
        <v>0.56112642250386568</v>
      </c>
      <c r="CM274" s="793">
        <f>AR274</f>
        <v>0.56628428099813721</v>
      </c>
      <c r="CN274" s="793">
        <f>AW274</f>
        <v>0.59059516215513252</v>
      </c>
      <c r="CO274" s="793">
        <f>BB274</f>
        <v>0.58635106531335301</v>
      </c>
      <c r="CP274" s="793">
        <f>BG274</f>
        <v>0.59579439252336452</v>
      </c>
      <c r="CQ274" s="793">
        <f>BL274</f>
        <v>0.5968024510618869</v>
      </c>
      <c r="CR274" s="793">
        <f>BQ274</f>
        <v>0.59980245106188701</v>
      </c>
      <c r="CS274" s="793">
        <f>BV274</f>
        <v>0.6028024510618869</v>
      </c>
      <c r="CT274" s="793">
        <f>CA274</f>
        <v>0.6058024510618869</v>
      </c>
      <c r="CU274" s="1961"/>
      <c r="DB274" s="1961"/>
      <c r="DC274" s="1961"/>
      <c r="DD274" s="1961"/>
      <c r="DE274" s="1961"/>
      <c r="DF274" s="1961"/>
      <c r="DG274" s="1961"/>
      <c r="DH274" s="1961"/>
      <c r="DI274" s="95"/>
    </row>
    <row r="275" spans="1:113" ht="7.5" customHeight="1" x14ac:dyDescent="0.25">
      <c r="A275" s="172"/>
      <c r="B275" s="173"/>
      <c r="C275" s="88"/>
      <c r="D275" s="88"/>
      <c r="E275" s="95"/>
      <c r="F275" s="95"/>
      <c r="G275" s="95"/>
      <c r="H275" s="95"/>
      <c r="I275" s="88"/>
      <c r="J275" s="95"/>
      <c r="K275" s="95"/>
      <c r="L275" s="95"/>
      <c r="M275" s="95"/>
      <c r="N275" s="88"/>
      <c r="O275" s="95"/>
      <c r="P275" s="92"/>
      <c r="Q275" s="706"/>
      <c r="R275" s="706"/>
      <c r="S275" s="744"/>
      <c r="T275" s="92"/>
      <c r="U275" s="716"/>
      <c r="V275" s="706"/>
      <c r="W275" s="706"/>
      <c r="X275" s="91"/>
      <c r="Y275" s="90"/>
      <c r="Z275" s="90"/>
      <c r="AA275" s="90"/>
      <c r="AB275" s="90"/>
      <c r="AC275" s="441"/>
      <c r="AD275" s="90"/>
      <c r="AE275" s="90"/>
      <c r="AF275" s="90"/>
      <c r="AG275" s="90"/>
      <c r="AH275" s="441"/>
      <c r="AI275" s="90"/>
      <c r="AJ275" s="90"/>
      <c r="AK275" s="90"/>
      <c r="AL275" s="90"/>
      <c r="AM275" s="441"/>
      <c r="AN275" s="90"/>
      <c r="AO275" s="90"/>
      <c r="AP275" s="90"/>
      <c r="AQ275" s="90"/>
      <c r="AR275" s="441"/>
      <c r="AS275" s="90"/>
      <c r="AT275" s="90"/>
      <c r="AU275" s="90"/>
      <c r="AV275" s="90"/>
      <c r="AW275" s="91"/>
      <c r="AX275" s="90"/>
      <c r="AY275" s="90"/>
      <c r="AZ275" s="90"/>
      <c r="BA275" s="90"/>
      <c r="BB275" s="747"/>
      <c r="BC275" s="90"/>
      <c r="BD275" s="90"/>
      <c r="BE275" s="90"/>
      <c r="BF275" s="90"/>
      <c r="BG275" s="747"/>
      <c r="BH275" s="90"/>
      <c r="BI275" s="90"/>
      <c r="BJ275" s="90"/>
      <c r="BK275" s="90"/>
      <c r="BL275" s="747"/>
      <c r="BM275" s="90"/>
      <c r="BN275" s="90"/>
      <c r="BO275" s="90"/>
      <c r="BP275" s="90"/>
      <c r="BQ275" s="747"/>
      <c r="BR275" s="90"/>
      <c r="BS275" s="90"/>
      <c r="BT275" s="90"/>
      <c r="BU275" s="90"/>
      <c r="BV275" s="747"/>
      <c r="BW275" s="90"/>
      <c r="BX275" s="90"/>
      <c r="BY275" s="90"/>
      <c r="BZ275" s="90"/>
      <c r="CA275" s="747"/>
      <c r="CB275" s="1910"/>
      <c r="CC275" s="29"/>
      <c r="CD275" s="172"/>
      <c r="CE275" s="441"/>
      <c r="CF275" s="441"/>
      <c r="CG275" s="441"/>
      <c r="CH275" s="441"/>
      <c r="CI275" s="441"/>
      <c r="CJ275" s="441"/>
      <c r="CK275" s="441"/>
      <c r="CL275" s="441"/>
      <c r="CM275" s="441"/>
      <c r="CN275" s="441"/>
      <c r="CO275" s="441"/>
      <c r="CP275" s="441"/>
      <c r="CQ275" s="441"/>
      <c r="CR275" s="441"/>
      <c r="CS275" s="441"/>
      <c r="CT275" s="441"/>
      <c r="CU275" s="1961"/>
      <c r="DB275" s="1961"/>
      <c r="DC275" s="1961"/>
      <c r="DD275" s="1961"/>
      <c r="DE275" s="1961"/>
      <c r="DF275" s="1961"/>
      <c r="DG275" s="1961"/>
      <c r="DH275" s="1961"/>
      <c r="DI275" s="90"/>
    </row>
    <row r="276" spans="1:113" ht="12" customHeight="1" x14ac:dyDescent="0.25">
      <c r="A276" s="211" t="s">
        <v>69</v>
      </c>
      <c r="B276" s="137"/>
      <c r="C276" s="71">
        <f t="shared" ref="C276:AS276" si="449">C277+C279</f>
        <v>17.611999999999998</v>
      </c>
      <c r="D276" s="71">
        <f t="shared" si="449"/>
        <v>20.932000000000002</v>
      </c>
      <c r="E276" s="74">
        <f t="shared" si="449"/>
        <v>4.9450000000000003</v>
      </c>
      <c r="F276" s="74">
        <f t="shared" si="449"/>
        <v>5.1680000000000001</v>
      </c>
      <c r="G276" s="74">
        <f t="shared" si="449"/>
        <v>5.0909999999999993</v>
      </c>
      <c r="H276" s="74">
        <f t="shared" si="449"/>
        <v>5.2399999999999984</v>
      </c>
      <c r="I276" s="71">
        <f t="shared" si="449"/>
        <v>20.443999999999999</v>
      </c>
      <c r="J276" s="74">
        <f t="shared" si="449"/>
        <v>4.7359999999999998</v>
      </c>
      <c r="K276" s="74">
        <f t="shared" si="449"/>
        <v>4.9690000000000012</v>
      </c>
      <c r="L276" s="74">
        <f t="shared" si="449"/>
        <v>5.0469999999999997</v>
      </c>
      <c r="M276" s="74">
        <f t="shared" si="449"/>
        <v>5.5009999999999994</v>
      </c>
      <c r="N276" s="71">
        <f t="shared" si="449"/>
        <v>20.253</v>
      </c>
      <c r="O276" s="74">
        <f t="shared" si="449"/>
        <v>4.9809999999999999</v>
      </c>
      <c r="P276" s="74">
        <f t="shared" si="449"/>
        <v>4.8739999999999988</v>
      </c>
      <c r="Q276" s="74">
        <f t="shared" si="449"/>
        <v>4.8177199999999996</v>
      </c>
      <c r="R276" s="74">
        <f t="shared" si="449"/>
        <v>4.5202800000000014</v>
      </c>
      <c r="S276" s="73">
        <f t="shared" si="449"/>
        <v>19.193000000000001</v>
      </c>
      <c r="T276" s="74">
        <f t="shared" si="449"/>
        <v>4.359</v>
      </c>
      <c r="U276" s="74">
        <f t="shared" si="449"/>
        <v>4.2</v>
      </c>
      <c r="V276" s="74">
        <f t="shared" si="449"/>
        <v>4.2669999999999995</v>
      </c>
      <c r="W276" s="74">
        <f t="shared" si="449"/>
        <v>4.0909999999999975</v>
      </c>
      <c r="X276" s="71">
        <f t="shared" si="449"/>
        <v>16.916999999999998</v>
      </c>
      <c r="Y276" s="74">
        <f t="shared" si="449"/>
        <v>4.3539999999999992</v>
      </c>
      <c r="Z276" s="74">
        <f t="shared" si="449"/>
        <v>3.5659999999999998</v>
      </c>
      <c r="AA276" s="74">
        <f t="shared" si="449"/>
        <v>3.391</v>
      </c>
      <c r="AB276" s="74">
        <f t="shared" si="449"/>
        <v>3.0290000000000012</v>
      </c>
      <c r="AC276" s="71">
        <f t="shared" si="449"/>
        <v>14.34</v>
      </c>
      <c r="AD276" s="74">
        <f t="shared" si="449"/>
        <v>3.1589999999999998</v>
      </c>
      <c r="AE276" s="74">
        <f t="shared" si="449"/>
        <v>4.069</v>
      </c>
      <c r="AF276" s="74">
        <f t="shared" si="449"/>
        <v>3.278</v>
      </c>
      <c r="AG276" s="74">
        <f t="shared" si="449"/>
        <v>3.0250000000000004</v>
      </c>
      <c r="AH276" s="71">
        <f t="shared" si="449"/>
        <v>13.531000000000001</v>
      </c>
      <c r="AI276" s="74">
        <f t="shared" si="449"/>
        <v>3.4250000000000003</v>
      </c>
      <c r="AJ276" s="74">
        <f t="shared" si="449"/>
        <v>3.758</v>
      </c>
      <c r="AK276" s="74">
        <f t="shared" si="449"/>
        <v>3.4079999999999999</v>
      </c>
      <c r="AL276" s="74">
        <f t="shared" si="449"/>
        <v>4.2130000000000001</v>
      </c>
      <c r="AM276" s="71">
        <f t="shared" si="449"/>
        <v>14.804</v>
      </c>
      <c r="AN276" s="74">
        <f t="shared" si="449"/>
        <v>3.8380000000000001</v>
      </c>
      <c r="AO276" s="74">
        <f t="shared" si="449"/>
        <v>5.7140000000000004</v>
      </c>
      <c r="AP276" s="74">
        <f t="shared" si="449"/>
        <v>5.6540000000000008</v>
      </c>
      <c r="AQ276" s="74">
        <f t="shared" si="449"/>
        <v>5.8269999999999982</v>
      </c>
      <c r="AR276" s="71">
        <f t="shared" si="449"/>
        <v>21.033000000000001</v>
      </c>
      <c r="AS276" s="74">
        <f t="shared" si="449"/>
        <v>6.05</v>
      </c>
      <c r="AT276" s="74">
        <f>AT277+AT279</f>
        <v>6.44</v>
      </c>
      <c r="AU276" s="74">
        <f>AU277+AU279</f>
        <v>6.8250000000000002</v>
      </c>
      <c r="AV276" s="74">
        <f>AV277+AV279</f>
        <v>7.089000000000004</v>
      </c>
      <c r="AW276" s="71">
        <f>SUM(AS276:AV276)</f>
        <v>26.404000000000003</v>
      </c>
      <c r="AX276" s="74">
        <f>AX277+AX279</f>
        <v>7.0739999999999998</v>
      </c>
      <c r="AY276" s="74">
        <f>AY277+AY279</f>
        <v>7.0549999999999997</v>
      </c>
      <c r="AZ276" s="74">
        <f>AZ277+AZ279</f>
        <v>7.0870000000000006</v>
      </c>
      <c r="BA276" s="74">
        <f>BA277+BA279</f>
        <v>7.1839999999999975</v>
      </c>
      <c r="BB276" s="77">
        <f>SUM(AX276:BA276)</f>
        <v>28.4</v>
      </c>
      <c r="BC276" s="74">
        <f>BC277+BC279</f>
        <v>8.6999999999999993</v>
      </c>
      <c r="BD276" s="74">
        <f>BD277+BD279</f>
        <v>8.1999999999999993</v>
      </c>
      <c r="BE276" s="74">
        <f>BE277+BE279</f>
        <v>8.5</v>
      </c>
      <c r="BF276" s="74">
        <f>BF277+BF279</f>
        <v>9.0000000000000018</v>
      </c>
      <c r="BG276" s="77">
        <f>SUM(BC276:BF276)</f>
        <v>34.4</v>
      </c>
      <c r="BH276" s="74">
        <f>BH277+BH279</f>
        <v>8.5358599999999996</v>
      </c>
      <c r="BI276" s="74">
        <f>BI277+BI279</f>
        <v>9.1699400000000004</v>
      </c>
      <c r="BJ276" s="74">
        <f>BJ277+BJ279</f>
        <v>8.9950800000000015</v>
      </c>
      <c r="BK276" s="74">
        <f>BK277+BK279</f>
        <v>9.5398399999999999</v>
      </c>
      <c r="BL276" s="77">
        <f>SUM(BH276:BK276)</f>
        <v>36.240720000000003</v>
      </c>
      <c r="BM276" s="74">
        <f>BM277+BM279</f>
        <v>8.4118621875000006</v>
      </c>
      <c r="BN276" s="74">
        <f>BN277+BN279</f>
        <v>9.0438471874999991</v>
      </c>
      <c r="BO276" s="74">
        <f>BO277+BO279</f>
        <v>8.8685943750000007</v>
      </c>
      <c r="BP276" s="74">
        <f>BP277+BP279</f>
        <v>9.4126549999999991</v>
      </c>
      <c r="BQ276" s="77">
        <f>SUM(BM276:BP276)</f>
        <v>35.736958749999999</v>
      </c>
      <c r="BR276" s="74">
        <f>BR277+BR279</f>
        <v>8.2556249437500018</v>
      </c>
      <c r="BS276" s="74">
        <f>BS277+BS279</f>
        <v>8.8849702437500007</v>
      </c>
      <c r="BT276" s="74">
        <f>BT277+BT279</f>
        <v>8.7092224875000017</v>
      </c>
      <c r="BU276" s="74">
        <f>BU277+BU279</f>
        <v>9.2524019000000006</v>
      </c>
      <c r="BV276" s="77">
        <f>SUM(BR276:BU276)</f>
        <v>35.102219575000007</v>
      </c>
      <c r="BW276" s="74">
        <f>BW277+BW279</f>
        <v>8.6384061909375003</v>
      </c>
      <c r="BX276" s="74">
        <f>BX277+BX279</f>
        <v>9.2742187559375022</v>
      </c>
      <c r="BY276" s="74">
        <f>BY277+BY279</f>
        <v>9.0996836118750029</v>
      </c>
      <c r="BZ276" s="74">
        <f>BZ277+BZ279</f>
        <v>9.6450219950000022</v>
      </c>
      <c r="CA276" s="77">
        <f>SUM(BW276:BZ276)</f>
        <v>36.657330553750008</v>
      </c>
      <c r="CB276" s="1910"/>
      <c r="CC276" s="9"/>
      <c r="CD276" s="211" t="str">
        <f>A276</f>
        <v>Depreciation and Amortization</v>
      </c>
      <c r="CE276" s="71">
        <f>D276</f>
        <v>20.932000000000002</v>
      </c>
      <c r="CF276" s="71">
        <f>I276</f>
        <v>20.443999999999999</v>
      </c>
      <c r="CG276" s="71">
        <f>N276</f>
        <v>20.253</v>
      </c>
      <c r="CH276" s="71">
        <f>S276</f>
        <v>19.193000000000001</v>
      </c>
      <c r="CI276" s="71">
        <f>X276</f>
        <v>16.916999999999998</v>
      </c>
      <c r="CJ276" s="71">
        <f>AC276</f>
        <v>14.34</v>
      </c>
      <c r="CK276" s="71">
        <f>AH276</f>
        <v>13.531000000000001</v>
      </c>
      <c r="CL276" s="71">
        <f>AM276</f>
        <v>14.804</v>
      </c>
      <c r="CM276" s="71">
        <f>AR276</f>
        <v>21.033000000000001</v>
      </c>
      <c r="CN276" s="71">
        <f>AW276</f>
        <v>26.404000000000003</v>
      </c>
      <c r="CO276" s="71">
        <f>BB276</f>
        <v>28.4</v>
      </c>
      <c r="CP276" s="71">
        <f>BG276</f>
        <v>34.4</v>
      </c>
      <c r="CQ276" s="71">
        <f>BL276</f>
        <v>36.240720000000003</v>
      </c>
      <c r="CR276" s="71">
        <f>BQ276</f>
        <v>35.736958749999999</v>
      </c>
      <c r="CS276" s="71">
        <f>BV276</f>
        <v>35.102219575000007</v>
      </c>
      <c r="CT276" s="71">
        <f>CA276</f>
        <v>36.657330553750008</v>
      </c>
      <c r="CU276" s="6"/>
      <c r="DB276" s="1961"/>
      <c r="DC276" s="1961"/>
      <c r="DD276" s="1961"/>
      <c r="DE276" s="1961"/>
      <c r="DF276" s="1961"/>
      <c r="DG276" s="1961"/>
      <c r="DH276" s="1961"/>
      <c r="DI276" s="74"/>
    </row>
    <row r="277" spans="1:113" ht="12" hidden="1" customHeight="1" outlineLevel="1" x14ac:dyDescent="0.25">
      <c r="A277" s="213" t="s">
        <v>70</v>
      </c>
      <c r="B277" s="518"/>
      <c r="C277" s="278">
        <v>14.372999999999999</v>
      </c>
      <c r="D277" s="278">
        <v>17.931000000000001</v>
      </c>
      <c r="E277" s="516">
        <v>4.5979999999999999</v>
      </c>
      <c r="F277" s="516">
        <f>9.541-E277</f>
        <v>4.9430000000000005</v>
      </c>
      <c r="G277" s="516">
        <f>14.408-SUM(E277:F277)</f>
        <v>4.8669999999999991</v>
      </c>
      <c r="H277" s="516">
        <f>19.397-SUM(E277:G277)</f>
        <v>4.988999999999999</v>
      </c>
      <c r="I277" s="116">
        <f>SUM(E277:H277)</f>
        <v>19.396999999999998</v>
      </c>
      <c r="J277" s="516">
        <v>4.5039999999999996</v>
      </c>
      <c r="K277" s="516">
        <f>9.278-J277</f>
        <v>4.7740000000000009</v>
      </c>
      <c r="L277" s="516">
        <f>14.147-SUM(J277:K277)</f>
        <v>4.8689999999999998</v>
      </c>
      <c r="M277" s="516">
        <f>19.447-SUM(J277:L277)</f>
        <v>5.2999999999999989</v>
      </c>
      <c r="N277" s="116">
        <f>SUM(J277:M277)</f>
        <v>19.446999999999999</v>
      </c>
      <c r="O277" s="516">
        <v>4.8120000000000003</v>
      </c>
      <c r="P277" s="516">
        <f>9.549-O277</f>
        <v>4.7369999999999992</v>
      </c>
      <c r="Q277" s="126">
        <f>Q278*Q245</f>
        <v>4.68072</v>
      </c>
      <c r="R277" s="516">
        <f>18.69-SUM(O277:Q277)</f>
        <v>4.4602800000000009</v>
      </c>
      <c r="S277" s="118">
        <f>SUM(O277:R277)</f>
        <v>18.690000000000001</v>
      </c>
      <c r="T277" s="516">
        <v>4.3230000000000004</v>
      </c>
      <c r="U277" s="516">
        <v>4.1630000000000003</v>
      </c>
      <c r="V277" s="516">
        <v>4.2309999999999999</v>
      </c>
      <c r="W277" s="516">
        <f>16.772-SUM(T277:V277)</f>
        <v>4.0549999999999979</v>
      </c>
      <c r="X277" s="116">
        <f>SUM(T277:W277)</f>
        <v>16.771999999999998</v>
      </c>
      <c r="Y277" s="516">
        <v>4.3179999999999996</v>
      </c>
      <c r="Z277" s="516">
        <v>3.53</v>
      </c>
      <c r="AA277" s="516">
        <v>3.3540000000000001</v>
      </c>
      <c r="AB277" s="516">
        <f>14.219-SUM(Y277:AA277)</f>
        <v>3.0170000000000012</v>
      </c>
      <c r="AC277" s="116">
        <f>SUM(Y277:AB277)</f>
        <v>14.218999999999999</v>
      </c>
      <c r="AD277" s="516">
        <v>3.1589999999999998</v>
      </c>
      <c r="AE277" s="516">
        <v>4.069</v>
      </c>
      <c r="AF277" s="516">
        <v>3.278</v>
      </c>
      <c r="AG277" s="516">
        <f>13.531-SUM(AD277:AF277)</f>
        <v>3.0250000000000004</v>
      </c>
      <c r="AH277" s="116">
        <f>SUM(AD277:AG277)</f>
        <v>13.531000000000001</v>
      </c>
      <c r="AI277" s="516">
        <v>3.3370000000000002</v>
      </c>
      <c r="AJ277" s="516">
        <v>3.67</v>
      </c>
      <c r="AK277" s="516">
        <v>3.319</v>
      </c>
      <c r="AL277" s="516">
        <f>14.451-SUM(AI277:AK277)</f>
        <v>4.125</v>
      </c>
      <c r="AM277" s="116">
        <f>SUM(AI277:AL277)</f>
        <v>14.451000000000001</v>
      </c>
      <c r="AN277" s="516">
        <v>3.75</v>
      </c>
      <c r="AO277" s="516">
        <v>5.625</v>
      </c>
      <c r="AP277" s="516">
        <v>5.5650000000000004</v>
      </c>
      <c r="AQ277" s="516">
        <f>20.68-SUM(AN277:AP277)</f>
        <v>5.7399999999999984</v>
      </c>
      <c r="AR277" s="116">
        <f>SUM(AN277:AQ277)</f>
        <v>20.68</v>
      </c>
      <c r="AS277" s="516">
        <v>5.9619999999999997</v>
      </c>
      <c r="AT277" s="516">
        <v>6.351</v>
      </c>
      <c r="AU277" s="516">
        <v>6.7370000000000001</v>
      </c>
      <c r="AV277" s="516">
        <f>25.786-SUM(AS277:AU277)</f>
        <v>6.7360000000000042</v>
      </c>
      <c r="AW277" s="116">
        <f>SUM(AS277:AV277)</f>
        <v>25.786000000000001</v>
      </c>
      <c r="AX277" s="516">
        <v>6.9859999999999998</v>
      </c>
      <c r="AY277" s="516">
        <v>6.8959999999999999</v>
      </c>
      <c r="AZ277" s="516">
        <v>6.9160000000000004</v>
      </c>
      <c r="BA277" s="516">
        <f>27.7-SUM(AX277:AZ277)</f>
        <v>6.9019999999999975</v>
      </c>
      <c r="BB277" s="238">
        <f>SUM(AX277:BA277)</f>
        <v>27.7</v>
      </c>
      <c r="BC277" s="1882">
        <v>8.1</v>
      </c>
      <c r="BD277" s="1882">
        <v>7.1</v>
      </c>
      <c r="BE277" s="1944">
        <v>7.6</v>
      </c>
      <c r="BF277" s="1944">
        <f>30.4-SUM(BC277:BE277)</f>
        <v>7.6000000000000014</v>
      </c>
      <c r="BG277" s="238">
        <f>SUM(BC277:BF277)</f>
        <v>30.4</v>
      </c>
      <c r="BH277" s="126">
        <f>BH278*BH245</f>
        <v>7.9358599999999999</v>
      </c>
      <c r="BI277" s="126">
        <f>BI278*BI245</f>
        <v>8.0699400000000008</v>
      </c>
      <c r="BJ277" s="126">
        <f>BJ278*BJ245</f>
        <v>8.0950800000000012</v>
      </c>
      <c r="BK277" s="126">
        <f>BK278*BK245</f>
        <v>8.1398399999999995</v>
      </c>
      <c r="BL277" s="238">
        <f>SUM(BH277:BK277)</f>
        <v>32.240720000000003</v>
      </c>
      <c r="BM277" s="126">
        <f>BM278*BM245</f>
        <v>7.8118621875000001</v>
      </c>
      <c r="BN277" s="126">
        <f>BN278*BN245</f>
        <v>7.9438471874999994</v>
      </c>
      <c r="BO277" s="126">
        <f>BO278*BO245</f>
        <v>7.9685943750000003</v>
      </c>
      <c r="BP277" s="126">
        <f>BP278*BP245</f>
        <v>8.0126549999999988</v>
      </c>
      <c r="BQ277" s="238">
        <f>SUM(BM277:BP277)</f>
        <v>31.736958749999996</v>
      </c>
      <c r="BR277" s="126">
        <f>BR278*BR245</f>
        <v>7.6556249437500012</v>
      </c>
      <c r="BS277" s="126">
        <f>BS278*BS245</f>
        <v>7.784970243750001</v>
      </c>
      <c r="BT277" s="126">
        <f>BT278*BT245</f>
        <v>7.8092224875000023</v>
      </c>
      <c r="BU277" s="126">
        <f>BU278*BU245</f>
        <v>7.8524019000000012</v>
      </c>
      <c r="BV277" s="238">
        <f>SUM(BR277:BU277)</f>
        <v>31.102219575000003</v>
      </c>
      <c r="BW277" s="126">
        <f>BW278*BW245</f>
        <v>8.0384061909375006</v>
      </c>
      <c r="BX277" s="126">
        <f>BX278*BX245</f>
        <v>8.1742187559375026</v>
      </c>
      <c r="BY277" s="126">
        <f>BY278*BY245</f>
        <v>8.1996836118750025</v>
      </c>
      <c r="BZ277" s="126">
        <f>BZ278*BZ245</f>
        <v>8.2450219950000019</v>
      </c>
      <c r="CA277" s="238">
        <f>SUM(BW277:BZ277)</f>
        <v>32.657330553750008</v>
      </c>
      <c r="CB277" s="1910"/>
      <c r="CC277" s="9"/>
      <c r="CD277" s="213"/>
      <c r="CE277" s="116"/>
      <c r="CF277" s="116"/>
      <c r="CG277" s="116"/>
      <c r="CH277" s="116"/>
      <c r="CI277" s="116"/>
      <c r="CJ277" s="116"/>
      <c r="CK277" s="116"/>
      <c r="CL277" s="116"/>
      <c r="CM277" s="116"/>
      <c r="CN277" s="116"/>
      <c r="CO277" s="116"/>
      <c r="CP277" s="116"/>
      <c r="CQ277" s="116"/>
      <c r="CR277" s="116"/>
      <c r="CS277" s="116"/>
      <c r="CT277" s="116"/>
      <c r="CU277" s="6"/>
      <c r="DB277" s="1961"/>
      <c r="DC277" s="1961"/>
      <c r="DD277" s="1961"/>
      <c r="DE277" s="1961"/>
      <c r="DF277" s="1961"/>
      <c r="DG277" s="1961"/>
      <c r="DH277" s="1961"/>
      <c r="DI277" s="126"/>
    </row>
    <row r="278" spans="1:113" ht="12" hidden="1" customHeight="1" outlineLevel="1" x14ac:dyDescent="0.25">
      <c r="A278" s="804" t="s">
        <v>217</v>
      </c>
      <c r="B278" s="518"/>
      <c r="C278" s="91">
        <f t="shared" ref="C278:AA278" si="450">C277/C245</f>
        <v>3.2020050125313282E-2</v>
      </c>
      <c r="D278" s="91">
        <f t="shared" si="450"/>
        <v>3.7938447085905797E-2</v>
      </c>
      <c r="E278" s="745">
        <f t="shared" si="450"/>
        <v>3.7751340345000287E-2</v>
      </c>
      <c r="F278" s="90">
        <f t="shared" si="450"/>
        <v>4.0265886818889041E-2</v>
      </c>
      <c r="G278" s="90">
        <f t="shared" si="450"/>
        <v>4.0224137788540199E-2</v>
      </c>
      <c r="H278" s="746">
        <f t="shared" si="450"/>
        <v>4.1711605508038818E-2</v>
      </c>
      <c r="I278" s="91">
        <f t="shared" si="450"/>
        <v>3.9980624948470607E-2</v>
      </c>
      <c r="J278" s="90">
        <f t="shared" si="450"/>
        <v>3.5453679578712052E-2</v>
      </c>
      <c r="K278" s="90">
        <f t="shared" si="450"/>
        <v>3.779380447604045E-2</v>
      </c>
      <c r="L278" s="90">
        <f t="shared" si="450"/>
        <v>3.8894125541194695E-2</v>
      </c>
      <c r="M278" s="746">
        <f t="shared" si="450"/>
        <v>4.2113961970297729E-2</v>
      </c>
      <c r="N278" s="91">
        <f t="shared" si="450"/>
        <v>3.855540642081242E-2</v>
      </c>
      <c r="O278" s="90">
        <f t="shared" si="450"/>
        <v>3.7139372983653121E-2</v>
      </c>
      <c r="P278" s="90">
        <f t="shared" si="450"/>
        <v>3.5534518067318284E-2</v>
      </c>
      <c r="Q278" s="716">
        <v>3.5999999999999997E-2</v>
      </c>
      <c r="R278" s="90">
        <f t="shared" si="450"/>
        <v>3.4026380232371867E-2</v>
      </c>
      <c r="S278" s="744">
        <f>S277/S245</f>
        <v>3.5669572652182548E-2</v>
      </c>
      <c r="T278" s="90">
        <f t="shared" si="450"/>
        <v>3.2122635200404238E-2</v>
      </c>
      <c r="U278" s="90">
        <f t="shared" si="450"/>
        <v>3.1000305311678543E-2</v>
      </c>
      <c r="V278" s="90">
        <f t="shared" si="450"/>
        <v>3.1048881256925637E-2</v>
      </c>
      <c r="W278" s="90">
        <f t="shared" si="450"/>
        <v>2.9598108056816671E-2</v>
      </c>
      <c r="X278" s="91">
        <f>X277/X245</f>
        <v>3.0936772556065063E-2</v>
      </c>
      <c r="Y278" s="90">
        <f t="shared" si="450"/>
        <v>3.0723693104601435E-2</v>
      </c>
      <c r="Z278" s="90">
        <f t="shared" si="450"/>
        <v>2.5119191631680061E-2</v>
      </c>
      <c r="AA278" s="90">
        <f t="shared" si="450"/>
        <v>2.3961079320174029E-2</v>
      </c>
      <c r="AB278" s="90">
        <v>0.03</v>
      </c>
      <c r="AC278" s="91">
        <f t="shared" ref="AC278:BF278" si="451">AC277/AC245</f>
        <v>2.5239588824927526E-2</v>
      </c>
      <c r="AD278" s="90">
        <f t="shared" si="451"/>
        <v>2.1790865633342302E-2</v>
      </c>
      <c r="AE278" s="90">
        <f t="shared" si="451"/>
        <v>2.8219905818058243E-2</v>
      </c>
      <c r="AF278" s="90">
        <f t="shared" si="451"/>
        <v>2.2784933306456655E-2</v>
      </c>
      <c r="AG278" s="90">
        <f t="shared" si="451"/>
        <v>2.0651142468989154E-2</v>
      </c>
      <c r="AH278" s="91">
        <f t="shared" si="451"/>
        <v>2.3349197419871404E-2</v>
      </c>
      <c r="AI278" s="90">
        <f t="shared" si="451"/>
        <v>2.1865765039675522E-2</v>
      </c>
      <c r="AJ278" s="90">
        <f t="shared" si="451"/>
        <v>2.3791156431715487E-2</v>
      </c>
      <c r="AK278" s="90">
        <f t="shared" si="451"/>
        <v>2.1405307794008576E-2</v>
      </c>
      <c r="AL278" s="90">
        <f t="shared" si="451"/>
        <v>2.6383283551541743E-2</v>
      </c>
      <c r="AM278" s="91">
        <f>AM277/AM245</f>
        <v>2.337305669312734E-2</v>
      </c>
      <c r="AN278" s="90">
        <f t="shared" si="451"/>
        <v>2.3103509885221765E-2</v>
      </c>
      <c r="AO278" s="90">
        <f t="shared" si="451"/>
        <v>3.4732513337285123E-2</v>
      </c>
      <c r="AP278" s="90">
        <f t="shared" si="451"/>
        <v>3.4468021851425175E-2</v>
      </c>
      <c r="AQ278" s="90">
        <f t="shared" si="451"/>
        <v>3.480201051335996E-2</v>
      </c>
      <c r="AR278" s="91">
        <f t="shared" si="451"/>
        <v>3.1783503316673116E-2</v>
      </c>
      <c r="AS278" s="90">
        <f t="shared" si="451"/>
        <v>3.4877326812603103E-2</v>
      </c>
      <c r="AT278" s="90">
        <f t="shared" si="451"/>
        <v>3.6982472485878992E-2</v>
      </c>
      <c r="AU278" s="90">
        <f t="shared" si="451"/>
        <v>3.9230872256546735E-2</v>
      </c>
      <c r="AV278" s="90">
        <f t="shared" si="451"/>
        <v>3.8757192174913718E-2</v>
      </c>
      <c r="AW278" s="91">
        <f>AW277/AW245</f>
        <v>3.7468813526320144E-2</v>
      </c>
      <c r="AX278" s="90">
        <f t="shared" si="451"/>
        <v>3.8863793141814457E-2</v>
      </c>
      <c r="AY278" s="90">
        <f t="shared" si="451"/>
        <v>3.8074835603504921E-2</v>
      </c>
      <c r="AZ278" s="90">
        <f t="shared" si="451"/>
        <v>3.8257714051799487E-2</v>
      </c>
      <c r="BA278" s="90">
        <f t="shared" si="451"/>
        <v>3.7798466593647301E-2</v>
      </c>
      <c r="BB278" s="747">
        <f>BB277/BB245</f>
        <v>3.82466202828593E-2</v>
      </c>
      <c r="BC278" s="90">
        <f t="shared" si="451"/>
        <v>4.2766631467793033E-2</v>
      </c>
      <c r="BD278" s="90">
        <f t="shared" si="451"/>
        <v>3.6863966770508828E-2</v>
      </c>
      <c r="BE278" s="90">
        <f t="shared" si="451"/>
        <v>3.9337474120082816E-2</v>
      </c>
      <c r="BF278" s="90">
        <f t="shared" si="451"/>
        <v>3.8934426229508205E-2</v>
      </c>
      <c r="BG278" s="747">
        <f>BG277/BG245</f>
        <v>3.9460020768431976E-2</v>
      </c>
      <c r="BH278" s="716">
        <v>0.04</v>
      </c>
      <c r="BI278" s="716">
        <v>0.04</v>
      </c>
      <c r="BJ278" s="716">
        <v>0.04</v>
      </c>
      <c r="BK278" s="716">
        <v>0.04</v>
      </c>
      <c r="BL278" s="747">
        <f>BL277/BL245</f>
        <v>4.0000000000000008E-2</v>
      </c>
      <c r="BM278" s="716">
        <v>3.7499999999999999E-2</v>
      </c>
      <c r="BN278" s="716">
        <v>3.7499999999999999E-2</v>
      </c>
      <c r="BO278" s="716">
        <v>3.7499999999999999E-2</v>
      </c>
      <c r="BP278" s="716">
        <v>3.7499999999999999E-2</v>
      </c>
      <c r="BQ278" s="747">
        <f>BQ277/BQ245</f>
        <v>3.7499999999999999E-2</v>
      </c>
      <c r="BR278" s="716">
        <v>3.5000000000000003E-2</v>
      </c>
      <c r="BS278" s="716">
        <v>3.5000000000000003E-2</v>
      </c>
      <c r="BT278" s="716">
        <v>3.5000000000000003E-2</v>
      </c>
      <c r="BU278" s="716">
        <v>3.5000000000000003E-2</v>
      </c>
      <c r="BV278" s="747">
        <f>BV277/BV245</f>
        <v>3.5000000000000003E-2</v>
      </c>
      <c r="BW278" s="716">
        <v>3.5000000000000003E-2</v>
      </c>
      <c r="BX278" s="716">
        <v>3.5000000000000003E-2</v>
      </c>
      <c r="BY278" s="716">
        <v>3.5000000000000003E-2</v>
      </c>
      <c r="BZ278" s="716">
        <v>3.5000000000000003E-2</v>
      </c>
      <c r="CA278" s="747">
        <f>CA277/CA245</f>
        <v>3.5000000000000003E-2</v>
      </c>
      <c r="CB278" s="1910"/>
      <c r="CC278" s="9"/>
      <c r="CD278" s="804"/>
      <c r="CE278" s="91"/>
      <c r="CF278" s="91"/>
      <c r="CG278" s="91"/>
      <c r="CH278" s="91"/>
      <c r="CI278" s="91"/>
      <c r="CJ278" s="91"/>
      <c r="CK278" s="91"/>
      <c r="CL278" s="91"/>
      <c r="CM278" s="91"/>
      <c r="CN278" s="91"/>
      <c r="CO278" s="91"/>
      <c r="CP278" s="91"/>
      <c r="CQ278" s="91"/>
      <c r="CR278" s="91"/>
      <c r="CS278" s="91"/>
      <c r="CT278" s="91"/>
      <c r="CU278" s="6"/>
      <c r="DB278" s="1961"/>
      <c r="DC278" s="1961"/>
      <c r="DD278" s="1961"/>
      <c r="DE278" s="1961"/>
      <c r="DF278" s="1961"/>
      <c r="DG278" s="1961"/>
      <c r="DH278" s="1961"/>
      <c r="DI278" s="716"/>
    </row>
    <row r="279" spans="1:113" ht="12" hidden="1" customHeight="1" outlineLevel="1" x14ac:dyDescent="0.25">
      <c r="A279" s="213" t="s">
        <v>221</v>
      </c>
      <c r="B279" s="518"/>
      <c r="C279" s="278">
        <v>3.2389999999999999</v>
      </c>
      <c r="D279" s="278">
        <v>3.0009999999999999</v>
      </c>
      <c r="E279" s="516">
        <v>0.34699999999999998</v>
      </c>
      <c r="F279" s="516">
        <f>0.572-E279</f>
        <v>0.22499999999999998</v>
      </c>
      <c r="G279" s="516">
        <f>0.796-SUM(E279:F279)</f>
        <v>0.22400000000000009</v>
      </c>
      <c r="H279" s="516">
        <f>1.047-SUM(E279:G279)</f>
        <v>0.25099999999999989</v>
      </c>
      <c r="I279" s="116">
        <f>SUM(E279:H279)</f>
        <v>1.0469999999999999</v>
      </c>
      <c r="J279" s="516">
        <v>0.23200000000000001</v>
      </c>
      <c r="K279" s="516">
        <f>0.427-J279</f>
        <v>0.19499999999999998</v>
      </c>
      <c r="L279" s="516">
        <f>0.605-SUM(J279:K279)</f>
        <v>0.17799999999999999</v>
      </c>
      <c r="M279" s="516">
        <f>0.806-SUM(J279:L279)</f>
        <v>0.20100000000000007</v>
      </c>
      <c r="N279" s="116">
        <f>SUM(J279:M279)</f>
        <v>0.80600000000000005</v>
      </c>
      <c r="O279" s="516">
        <v>0.16900000000000001</v>
      </c>
      <c r="P279" s="516">
        <f>0.306-O279</f>
        <v>0.13699999999999998</v>
      </c>
      <c r="Q279" s="126">
        <f>P279</f>
        <v>0.13699999999999998</v>
      </c>
      <c r="R279" s="516">
        <f>0.503-SUM(O279:Q279)</f>
        <v>6.0000000000000053E-2</v>
      </c>
      <c r="S279" s="118">
        <f>SUM(O279:R279)</f>
        <v>0.503</v>
      </c>
      <c r="T279" s="516">
        <v>3.5999999999999997E-2</v>
      </c>
      <c r="U279" s="516">
        <v>3.6999999999999998E-2</v>
      </c>
      <c r="V279" s="516">
        <v>3.5999999999999997E-2</v>
      </c>
      <c r="W279" s="516">
        <f>0.145-SUM(T279:V279)</f>
        <v>3.6000000000000004E-2</v>
      </c>
      <c r="X279" s="116">
        <f>SUM(T279:W279)</f>
        <v>0.14499999999999999</v>
      </c>
      <c r="Y279" s="516">
        <v>3.5999999999999997E-2</v>
      </c>
      <c r="Z279" s="516">
        <v>3.5999999999999997E-2</v>
      </c>
      <c r="AA279" s="516">
        <v>3.6999999999999998E-2</v>
      </c>
      <c r="AB279" s="516">
        <f>0.121-SUM(Y279:AA279)</f>
        <v>1.2000000000000011E-2</v>
      </c>
      <c r="AC279" s="116">
        <f>SUM(Y279:AB279)</f>
        <v>0.121</v>
      </c>
      <c r="AD279" s="516">
        <v>0</v>
      </c>
      <c r="AE279" s="516">
        <v>0</v>
      </c>
      <c r="AF279" s="516">
        <v>0</v>
      </c>
      <c r="AG279" s="516">
        <v>0</v>
      </c>
      <c r="AH279" s="116">
        <f>SUM(AD279:AG279)</f>
        <v>0</v>
      </c>
      <c r="AI279" s="516">
        <v>8.7999999999999995E-2</v>
      </c>
      <c r="AJ279" s="516">
        <v>8.7999999999999995E-2</v>
      </c>
      <c r="AK279" s="516">
        <v>8.8999999999999996E-2</v>
      </c>
      <c r="AL279" s="516">
        <f>0.353-SUM(AI279:AK279)</f>
        <v>8.7999999999999967E-2</v>
      </c>
      <c r="AM279" s="116">
        <f>SUM(AI279:AL279)</f>
        <v>0.35299999999999998</v>
      </c>
      <c r="AN279" s="516">
        <v>8.7999999999999995E-2</v>
      </c>
      <c r="AO279" s="516">
        <v>8.8999999999999996E-2</v>
      </c>
      <c r="AP279" s="516">
        <v>8.8999999999999996E-2</v>
      </c>
      <c r="AQ279" s="516">
        <f>0.353-SUM(AN279:AP279)</f>
        <v>8.6999999999999966E-2</v>
      </c>
      <c r="AR279" s="116">
        <f>AM279</f>
        <v>0.35299999999999998</v>
      </c>
      <c r="AS279" s="516">
        <f>0.088</f>
        <v>8.7999999999999995E-2</v>
      </c>
      <c r="AT279" s="516">
        <v>8.8999999999999996E-2</v>
      </c>
      <c r="AU279" s="516">
        <v>8.7999999999999995E-2</v>
      </c>
      <c r="AV279" s="516">
        <v>0.35299999999999998</v>
      </c>
      <c r="AW279" s="116">
        <f>SUM(AS279:AV279)</f>
        <v>0.61799999999999999</v>
      </c>
      <c r="AX279" s="516">
        <v>8.7999999999999995E-2</v>
      </c>
      <c r="AY279" s="516">
        <v>0.159</v>
      </c>
      <c r="AZ279" s="516">
        <v>0.17100000000000001</v>
      </c>
      <c r="BA279" s="516">
        <f>0.7-SUM(AX279:AZ279)</f>
        <v>0.28199999999999992</v>
      </c>
      <c r="BB279" s="238">
        <f>SUM(AX279:BA279)</f>
        <v>0.7</v>
      </c>
      <c r="BC279" s="516">
        <v>0.6</v>
      </c>
      <c r="BD279" s="516">
        <v>1.1000000000000001</v>
      </c>
      <c r="BE279" s="516">
        <v>0.9</v>
      </c>
      <c r="BF279" s="516">
        <f>4-SUM(BC279:BE279)</f>
        <v>1.4</v>
      </c>
      <c r="BG279" s="238">
        <f>SUM(BC279:BF279)</f>
        <v>4</v>
      </c>
      <c r="BH279" s="516">
        <f>BC279</f>
        <v>0.6</v>
      </c>
      <c r="BI279" s="516">
        <f>BD279</f>
        <v>1.1000000000000001</v>
      </c>
      <c r="BJ279" s="516">
        <f>BE279</f>
        <v>0.9</v>
      </c>
      <c r="BK279" s="516">
        <f>BF279</f>
        <v>1.4</v>
      </c>
      <c r="BL279" s="238">
        <f>SUM(BH279:BK279)</f>
        <v>4</v>
      </c>
      <c r="BM279" s="516">
        <f>BH279</f>
        <v>0.6</v>
      </c>
      <c r="BN279" s="516">
        <f>BI279</f>
        <v>1.1000000000000001</v>
      </c>
      <c r="BO279" s="516">
        <f>BJ279</f>
        <v>0.9</v>
      </c>
      <c r="BP279" s="516">
        <f>BK279</f>
        <v>1.4</v>
      </c>
      <c r="BQ279" s="238">
        <f>SUM(BM279:BP279)</f>
        <v>4</v>
      </c>
      <c r="BR279" s="516">
        <f>BM279</f>
        <v>0.6</v>
      </c>
      <c r="BS279" s="516">
        <f>BN279</f>
        <v>1.1000000000000001</v>
      </c>
      <c r="BT279" s="516">
        <f>BO279</f>
        <v>0.9</v>
      </c>
      <c r="BU279" s="516">
        <f>BP279</f>
        <v>1.4</v>
      </c>
      <c r="BV279" s="238">
        <f>SUM(BR279:BU279)</f>
        <v>4</v>
      </c>
      <c r="BW279" s="516">
        <f>BR279</f>
        <v>0.6</v>
      </c>
      <c r="BX279" s="516">
        <f>BS279</f>
        <v>1.1000000000000001</v>
      </c>
      <c r="BY279" s="516">
        <f>BT279</f>
        <v>0.9</v>
      </c>
      <c r="BZ279" s="516">
        <f>BU279</f>
        <v>1.4</v>
      </c>
      <c r="CA279" s="238">
        <f>SUM(BW279:BZ279)</f>
        <v>4</v>
      </c>
      <c r="CB279" s="1910"/>
      <c r="CC279" s="9"/>
      <c r="CD279" s="213"/>
      <c r="CE279" s="116"/>
      <c r="CF279" s="116"/>
      <c r="CG279" s="116"/>
      <c r="CH279" s="116"/>
      <c r="CI279" s="116"/>
      <c r="CJ279" s="116"/>
      <c r="CK279" s="116"/>
      <c r="CL279" s="116"/>
      <c r="CM279" s="116"/>
      <c r="CN279" s="116"/>
      <c r="CO279" s="116"/>
      <c r="CP279" s="116"/>
      <c r="CQ279" s="116"/>
      <c r="CR279" s="116"/>
      <c r="CS279" s="116"/>
      <c r="CT279" s="116"/>
      <c r="CU279" s="6"/>
      <c r="DB279" s="1961"/>
      <c r="DC279" s="1961"/>
      <c r="DD279" s="1961"/>
      <c r="DE279" s="1961"/>
      <c r="DF279" s="1961"/>
      <c r="DG279" s="1961"/>
      <c r="DH279" s="1961"/>
      <c r="DI279" s="514"/>
    </row>
    <row r="280" spans="1:113" ht="12" customHeight="1" collapsed="1" x14ac:dyDescent="0.25">
      <c r="A280" s="136" t="s">
        <v>222</v>
      </c>
      <c r="B280" s="703"/>
      <c r="C280" s="111"/>
      <c r="D280" s="111"/>
      <c r="E280" s="70"/>
      <c r="F280" s="70"/>
      <c r="G280" s="70"/>
      <c r="H280" s="70"/>
      <c r="I280" s="91"/>
      <c r="J280" s="70"/>
      <c r="K280" s="70"/>
      <c r="L280" s="70"/>
      <c r="M280" s="70"/>
      <c r="N280" s="91"/>
      <c r="O280" s="70"/>
      <c r="P280" s="658"/>
      <c r="Q280" s="706"/>
      <c r="R280" s="706"/>
      <c r="S280" s="744"/>
      <c r="T280" s="92"/>
      <c r="U280" s="716"/>
      <c r="V280" s="706"/>
      <c r="W280" s="706"/>
      <c r="X280" s="91"/>
      <c r="Y280" s="706"/>
      <c r="Z280" s="706"/>
      <c r="AA280" s="706"/>
      <c r="AB280" s="706"/>
      <c r="AC280" s="441"/>
      <c r="AD280" s="706"/>
      <c r="AE280" s="706"/>
      <c r="AF280" s="706"/>
      <c r="AG280" s="706"/>
      <c r="AH280" s="441"/>
      <c r="AI280" s="706"/>
      <c r="AJ280" s="706"/>
      <c r="AK280" s="706"/>
      <c r="AL280" s="706"/>
      <c r="AM280" s="441"/>
      <c r="AN280" s="706"/>
      <c r="AO280" s="706"/>
      <c r="AP280" s="706"/>
      <c r="AQ280" s="706"/>
      <c r="AR280" s="441"/>
      <c r="AS280" s="516">
        <v>-6.7000000000000004E-2</v>
      </c>
      <c r="AT280" s="516">
        <f>AT265</f>
        <v>-0.121</v>
      </c>
      <c r="AU280" s="516">
        <v>-1.6E-2</v>
      </c>
      <c r="AV280" s="516">
        <v>0.11799999999999999</v>
      </c>
      <c r="AW280" s="116">
        <f>SUM(AS280:AV280)</f>
        <v>-8.6000000000000021E-2</v>
      </c>
      <c r="AX280" s="805">
        <v>-6.8000000000000005E-2</v>
      </c>
      <c r="AY280" s="805">
        <v>3.4000000000000002E-2</v>
      </c>
      <c r="AZ280" s="805">
        <v>1.5</v>
      </c>
      <c r="BA280" s="805">
        <v>1</v>
      </c>
      <c r="BB280" s="116">
        <f>SUM(AX280:BA280)</f>
        <v>2.4660000000000002</v>
      </c>
      <c r="BC280" s="805">
        <v>-3.0000000000000001E-3</v>
      </c>
      <c r="BD280" s="805"/>
      <c r="BE280" s="706"/>
      <c r="BF280" s="706"/>
      <c r="BG280" s="116">
        <f>SUM(BC280:BF280)</f>
        <v>-3.0000000000000001E-3</v>
      </c>
      <c r="BH280" s="706"/>
      <c r="BI280" s="706"/>
      <c r="BJ280" s="706"/>
      <c r="BK280" s="706"/>
      <c r="BL280" s="116">
        <f>SUM(BH280:BK280)</f>
        <v>0</v>
      </c>
      <c r="BM280" s="706"/>
      <c r="BN280" s="706"/>
      <c r="BO280" s="706"/>
      <c r="BP280" s="706"/>
      <c r="BQ280" s="116">
        <f>SUM(BM280:BP280)</f>
        <v>0</v>
      </c>
      <c r="BR280" s="706"/>
      <c r="BS280" s="706"/>
      <c r="BT280" s="706"/>
      <c r="BU280" s="706"/>
      <c r="BV280" s="116">
        <f>SUM(BR280:BU280)</f>
        <v>0</v>
      </c>
      <c r="BW280" s="706"/>
      <c r="BX280" s="706"/>
      <c r="BY280" s="706"/>
      <c r="BZ280" s="706"/>
      <c r="CA280" s="116">
        <f>SUM(BW280:BZ280)</f>
        <v>0</v>
      </c>
      <c r="CB280" s="1910"/>
      <c r="CC280" s="29"/>
      <c r="CD280" s="136"/>
      <c r="CE280" s="441"/>
      <c r="CF280" s="441"/>
      <c r="CG280" s="441"/>
      <c r="CH280" s="441"/>
      <c r="CI280" s="441"/>
      <c r="CJ280" s="441"/>
      <c r="CK280" s="441"/>
      <c r="CL280" s="441"/>
      <c r="CM280" s="441"/>
      <c r="CN280" s="441"/>
      <c r="CO280" s="441"/>
      <c r="CP280" s="441"/>
      <c r="CQ280" s="441"/>
      <c r="CR280" s="441"/>
      <c r="CS280" s="441"/>
      <c r="CT280" s="441"/>
      <c r="CU280" s="1961"/>
      <c r="DB280" s="1961"/>
      <c r="DC280" s="1961"/>
      <c r="DD280" s="1961"/>
      <c r="DE280" s="1961"/>
      <c r="DF280" s="1961"/>
      <c r="DG280" s="1961"/>
      <c r="DH280" s="1961"/>
      <c r="DI280" s="90"/>
    </row>
    <row r="281" spans="1:113" ht="12" customHeight="1" x14ac:dyDescent="0.25">
      <c r="A281" s="136" t="s">
        <v>72</v>
      </c>
      <c r="B281" s="137"/>
      <c r="C281" s="71">
        <f t="shared" ref="C281:AX281" si="452">C270-C276</f>
        <v>178.33900000000003</v>
      </c>
      <c r="D281" s="71">
        <f t="shared" si="452"/>
        <v>181.94</v>
      </c>
      <c r="E281" s="74">
        <f t="shared" si="452"/>
        <v>46.832999999999991</v>
      </c>
      <c r="F281" s="74">
        <f t="shared" si="452"/>
        <v>47.873000000000012</v>
      </c>
      <c r="G281" s="74">
        <f t="shared" si="452"/>
        <v>50.108000000000011</v>
      </c>
      <c r="H281" s="141">
        <f t="shared" si="452"/>
        <v>47.522000000000034</v>
      </c>
      <c r="I281" s="71">
        <f t="shared" si="452"/>
        <v>192.33599999999998</v>
      </c>
      <c r="J281" s="74">
        <f t="shared" si="452"/>
        <v>53.385999999999989</v>
      </c>
      <c r="K281" s="74">
        <f t="shared" si="452"/>
        <v>50.408999999999985</v>
      </c>
      <c r="L281" s="74">
        <f t="shared" si="452"/>
        <v>48.76600000000002</v>
      </c>
      <c r="M281" s="141">
        <f t="shared" si="452"/>
        <v>49.891999999999975</v>
      </c>
      <c r="N281" s="71">
        <f t="shared" si="452"/>
        <v>202.45300000000003</v>
      </c>
      <c r="O281" s="74">
        <f t="shared" si="452"/>
        <v>55.618000000000002</v>
      </c>
      <c r="P281" s="74">
        <f t="shared" si="452"/>
        <v>55.724000000000018</v>
      </c>
      <c r="Q281" s="74">
        <f t="shared" si="452"/>
        <v>51.10128000000001</v>
      </c>
      <c r="R281" s="141">
        <f t="shared" si="452"/>
        <v>29.291720000000012</v>
      </c>
      <c r="S281" s="73">
        <f t="shared" si="452"/>
        <v>191.73499999999999</v>
      </c>
      <c r="T281" s="74">
        <f t="shared" si="452"/>
        <v>61.136999999999965</v>
      </c>
      <c r="U281" s="74">
        <f t="shared" si="452"/>
        <v>61.998000000000005</v>
      </c>
      <c r="V281" s="74">
        <f t="shared" si="452"/>
        <v>62.135000000000005</v>
      </c>
      <c r="W281" s="141">
        <f t="shared" si="452"/>
        <v>66.230000000000061</v>
      </c>
      <c r="X281" s="71">
        <f t="shared" si="452"/>
        <v>251.49999999999991</v>
      </c>
      <c r="Y281" s="74">
        <f>Y270-Y276</f>
        <v>69.805000000000007</v>
      </c>
      <c r="Z281" s="74">
        <f>Z270-Z276</f>
        <v>64.566000000000031</v>
      </c>
      <c r="AA281" s="74">
        <f>AA270-AA276</f>
        <v>67.311999999999998</v>
      </c>
      <c r="AB281" s="74">
        <f>AB270-AB276</f>
        <v>70.14</v>
      </c>
      <c r="AC281" s="71">
        <f t="shared" si="452"/>
        <v>271.82300000000015</v>
      </c>
      <c r="AD281" s="74">
        <f t="shared" si="452"/>
        <v>76.775999999999982</v>
      </c>
      <c r="AE281" s="74">
        <f t="shared" si="452"/>
        <v>71.903999999999982</v>
      </c>
      <c r="AF281" s="74">
        <f t="shared" si="452"/>
        <v>75.813000000000017</v>
      </c>
      <c r="AG281" s="74">
        <f t="shared" si="452"/>
        <v>78.10799999999999</v>
      </c>
      <c r="AH281" s="71">
        <f t="shared" si="452"/>
        <v>302.60100000000006</v>
      </c>
      <c r="AI281" s="74">
        <f t="shared" si="452"/>
        <v>82.798999999999992</v>
      </c>
      <c r="AJ281" s="74">
        <f t="shared" si="452"/>
        <v>82.439000000000007</v>
      </c>
      <c r="AK281" s="74">
        <f t="shared" si="452"/>
        <v>81.781000000000006</v>
      </c>
      <c r="AL281" s="74">
        <f t="shared" si="452"/>
        <v>84.483000000000033</v>
      </c>
      <c r="AM281" s="71">
        <f t="shared" si="452"/>
        <v>331.50200000000012</v>
      </c>
      <c r="AN281" s="74">
        <f t="shared" si="452"/>
        <v>89.477999999999994</v>
      </c>
      <c r="AO281" s="74">
        <f t="shared" si="452"/>
        <v>85.341999999999999</v>
      </c>
      <c r="AP281" s="74">
        <f t="shared" si="452"/>
        <v>87.427000000000007</v>
      </c>
      <c r="AQ281" s="74">
        <f>AQ270-AQ276</f>
        <v>85.331999999999994</v>
      </c>
      <c r="AR281" s="71">
        <f t="shared" si="452"/>
        <v>347.57900000000001</v>
      </c>
      <c r="AS281" s="74">
        <f>AS270-AS276+AS280</f>
        <v>94.78400000000002</v>
      </c>
      <c r="AT281" s="74">
        <f>AT270-AT276</f>
        <v>94.982000000000028</v>
      </c>
      <c r="AU281" s="74">
        <f t="shared" si="452"/>
        <v>95.393999999999963</v>
      </c>
      <c r="AV281" s="74">
        <f>AV270-AV276</f>
        <v>94.711000000000013</v>
      </c>
      <c r="AW281" s="71">
        <f>AW270-AW276</f>
        <v>379.9380000000001</v>
      </c>
      <c r="AX281" s="74">
        <f t="shared" si="452"/>
        <v>102.34099999999999</v>
      </c>
      <c r="AY281" s="74">
        <f t="shared" ref="AY281:CA281" si="453">AY270-AY276</f>
        <v>97.486999999999995</v>
      </c>
      <c r="AZ281" s="74">
        <f t="shared" si="453"/>
        <v>99.184999999999988</v>
      </c>
      <c r="BA281" s="74">
        <f t="shared" si="453"/>
        <v>86.51600000000002</v>
      </c>
      <c r="BB281" s="77">
        <f t="shared" si="453"/>
        <v>385.529</v>
      </c>
      <c r="BC281" s="74">
        <f t="shared" si="453"/>
        <v>105.99999999999997</v>
      </c>
      <c r="BD281" s="74">
        <f t="shared" si="453"/>
        <v>105.19999999999999</v>
      </c>
      <c r="BE281" s="74">
        <f t="shared" si="453"/>
        <v>107.39999999999999</v>
      </c>
      <c r="BF281" s="74">
        <f t="shared" si="453"/>
        <v>105.99999999999999</v>
      </c>
      <c r="BG281" s="77">
        <f t="shared" si="453"/>
        <v>424.60000000000014</v>
      </c>
      <c r="BH281" s="74">
        <f t="shared" si="453"/>
        <v>111.81078649999999</v>
      </c>
      <c r="BI281" s="74">
        <f t="shared" si="453"/>
        <v>109.81830850000001</v>
      </c>
      <c r="BJ281" s="74">
        <f t="shared" si="453"/>
        <v>112.61254699999999</v>
      </c>
      <c r="BK281" s="74">
        <f t="shared" si="453"/>
        <v>110.55115599999999</v>
      </c>
      <c r="BL281" s="77">
        <f t="shared" si="453"/>
        <v>444.79279799999989</v>
      </c>
      <c r="BM281" s="74">
        <f t="shared" si="453"/>
        <v>118.57706561249999</v>
      </c>
      <c r="BN281" s="74">
        <f t="shared" si="453"/>
        <v>116.52932151250002</v>
      </c>
      <c r="BO281" s="74">
        <f t="shared" si="453"/>
        <v>119.45690152500002</v>
      </c>
      <c r="BP281" s="74">
        <f t="shared" si="453"/>
        <v>117.32390319999999</v>
      </c>
      <c r="BQ281" s="77">
        <f t="shared" si="453"/>
        <v>471.88719185000002</v>
      </c>
      <c r="BR281" s="74">
        <f t="shared" si="453"/>
        <v>125.73894566999999</v>
      </c>
      <c r="BS281" s="74">
        <f t="shared" si="453"/>
        <v>123.63414005500003</v>
      </c>
      <c r="BT281" s="74">
        <f t="shared" si="453"/>
        <v>126.70191013500002</v>
      </c>
      <c r="BU281" s="74">
        <f t="shared" si="453"/>
        <v>124.49404723000001</v>
      </c>
      <c r="BV281" s="77">
        <f t="shared" si="453"/>
        <v>500.56904308999998</v>
      </c>
      <c r="BW281" s="74">
        <f t="shared" si="453"/>
        <v>132.74489919843751</v>
      </c>
      <c r="BX281" s="74">
        <f t="shared" si="453"/>
        <v>130.57149437968752</v>
      </c>
      <c r="BY281" s="74">
        <f t="shared" si="453"/>
        <v>133.78483566562502</v>
      </c>
      <c r="BZ281" s="74">
        <f t="shared" si="453"/>
        <v>131.4954657625</v>
      </c>
      <c r="CA281" s="77">
        <f t="shared" si="453"/>
        <v>528.59669500625</v>
      </c>
      <c r="CB281" s="1910"/>
      <c r="CC281" s="29"/>
      <c r="CD281" s="136" t="str">
        <f>A281</f>
        <v>Income from Operations</v>
      </c>
      <c r="CE281" s="71">
        <f>D281</f>
        <v>181.94</v>
      </c>
      <c r="CF281" s="71">
        <f>I281</f>
        <v>192.33599999999998</v>
      </c>
      <c r="CG281" s="71">
        <f>N281</f>
        <v>202.45300000000003</v>
      </c>
      <c r="CH281" s="71">
        <f>S281</f>
        <v>191.73499999999999</v>
      </c>
      <c r="CI281" s="71">
        <f>X281</f>
        <v>251.49999999999991</v>
      </c>
      <c r="CJ281" s="71">
        <f>AC281</f>
        <v>271.82300000000015</v>
      </c>
      <c r="CK281" s="71">
        <f>AH281</f>
        <v>302.60100000000006</v>
      </c>
      <c r="CL281" s="71">
        <f>AM281</f>
        <v>331.50200000000012</v>
      </c>
      <c r="CM281" s="71">
        <f>AR281</f>
        <v>347.57900000000001</v>
      </c>
      <c r="CN281" s="71">
        <f>AW281</f>
        <v>379.9380000000001</v>
      </c>
      <c r="CO281" s="71">
        <f>BB281</f>
        <v>385.529</v>
      </c>
      <c r="CP281" s="71">
        <f>BG281</f>
        <v>424.60000000000014</v>
      </c>
      <c r="CQ281" s="71">
        <f>BL281</f>
        <v>444.79279799999989</v>
      </c>
      <c r="CR281" s="71">
        <f>BQ281</f>
        <v>471.88719185000002</v>
      </c>
      <c r="CS281" s="71">
        <f>BV281</f>
        <v>500.56904308999998</v>
      </c>
      <c r="CT281" s="71">
        <f>CA281</f>
        <v>528.59669500625</v>
      </c>
      <c r="CU281" s="1961"/>
      <c r="DB281" s="1961"/>
      <c r="DC281" s="1961"/>
      <c r="DD281" s="1961"/>
      <c r="DE281" s="1961"/>
      <c r="DF281" s="1961"/>
      <c r="DG281" s="1961"/>
      <c r="DH281" s="1961"/>
      <c r="DI281" s="74"/>
    </row>
    <row r="282" spans="1:113" ht="12" customHeight="1" x14ac:dyDescent="0.25">
      <c r="A282" s="172" t="s">
        <v>73</v>
      </c>
      <c r="B282" s="173"/>
      <c r="C282" s="83">
        <f t="shared" ref="C282:BB282" si="454">C281/C245</f>
        <v>0.39730214424951271</v>
      </c>
      <c r="D282" s="83">
        <f t="shared" si="454"/>
        <v>0.384949030327907</v>
      </c>
      <c r="E282" s="84">
        <f t="shared" si="454"/>
        <v>0.38451686002118274</v>
      </c>
      <c r="F282" s="84">
        <f t="shared" si="454"/>
        <v>0.38997548041284147</v>
      </c>
      <c r="G282" s="84">
        <f t="shared" si="454"/>
        <v>0.41412597006537355</v>
      </c>
      <c r="H282" s="84">
        <f t="shared" si="454"/>
        <v>0.39731788273261626</v>
      </c>
      <c r="I282" s="83">
        <f t="shared" si="454"/>
        <v>0.39643828839970319</v>
      </c>
      <c r="J282" s="84">
        <f t="shared" si="454"/>
        <v>0.42023315674714057</v>
      </c>
      <c r="K282" s="84">
        <f t="shared" si="454"/>
        <v>0.39906742560383784</v>
      </c>
      <c r="L282" s="84">
        <f t="shared" si="454"/>
        <v>0.38954835205214655</v>
      </c>
      <c r="M282" s="84">
        <f t="shared" si="454"/>
        <v>0.39644335672114978</v>
      </c>
      <c r="N282" s="85">
        <f t="shared" si="454"/>
        <v>0.40138107143069568</v>
      </c>
      <c r="O282" s="85">
        <f t="shared" si="454"/>
        <v>0.42926385008412704</v>
      </c>
      <c r="P282" s="84">
        <f t="shared" si="454"/>
        <v>0.41801255748010241</v>
      </c>
      <c r="Q282" s="84">
        <f t="shared" si="454"/>
        <v>0.39302630364559304</v>
      </c>
      <c r="R282" s="84">
        <f t="shared" si="454"/>
        <v>0.22345933492520015</v>
      </c>
      <c r="S282" s="86">
        <f t="shared" si="454"/>
        <v>0.36592324839305612</v>
      </c>
      <c r="T282" s="84">
        <f t="shared" si="454"/>
        <v>0.45428673334423142</v>
      </c>
      <c r="U282" s="84">
        <f t="shared" si="454"/>
        <v>0.46167593771641757</v>
      </c>
      <c r="V282" s="84">
        <f t="shared" si="454"/>
        <v>0.45597311200639912</v>
      </c>
      <c r="W282" s="84">
        <f t="shared" si="454"/>
        <v>0.48342359965547987</v>
      </c>
      <c r="X282" s="83">
        <f t="shared" si="454"/>
        <v>0.46390402443658246</v>
      </c>
      <c r="Y282" s="84">
        <f t="shared" si="454"/>
        <v>0.49668073116412775</v>
      </c>
      <c r="Z282" s="84">
        <f t="shared" si="454"/>
        <v>0.45944638155553985</v>
      </c>
      <c r="AA282" s="84">
        <f t="shared" si="454"/>
        <v>0.48087900155025465</v>
      </c>
      <c r="AB282" s="84">
        <f t="shared" si="454"/>
        <v>0.49286421991272633</v>
      </c>
      <c r="AC282" s="83">
        <f t="shared" si="454"/>
        <v>0.48250233864254022</v>
      </c>
      <c r="AD282" s="84">
        <f>AD281/AD245</f>
        <v>0.5296028806158557</v>
      </c>
      <c r="AE282" s="84">
        <f>AE281/AE245</f>
        <v>0.49867881738551473</v>
      </c>
      <c r="AF282" s="84">
        <f>AF281/AF245</f>
        <v>0.52696587820695506</v>
      </c>
      <c r="AG282" s="84">
        <f>AG281/AG245</f>
        <v>0.53322956560919155</v>
      </c>
      <c r="AH282" s="83">
        <f t="shared" si="454"/>
        <v>0.5221706073793887</v>
      </c>
      <c r="AI282" s="84">
        <f t="shared" si="454"/>
        <v>0.54254224738390566</v>
      </c>
      <c r="AJ282" s="84">
        <f t="shared" si="454"/>
        <v>0.53441938557879931</v>
      </c>
      <c r="AK282" s="84">
        <f t="shared" si="454"/>
        <v>0.52743220147689529</v>
      </c>
      <c r="AL282" s="84">
        <f t="shared" si="454"/>
        <v>0.54034883497815811</v>
      </c>
      <c r="AM282" s="83">
        <f t="shared" si="454"/>
        <v>0.53617154798180766</v>
      </c>
      <c r="AN282" s="84">
        <f t="shared" si="454"/>
        <v>0.55126822866929948</v>
      </c>
      <c r="AO282" s="84">
        <f>AO281/AO245</f>
        <v>0.52695860501877101</v>
      </c>
      <c r="AP282" s="84">
        <f>AP281/AP245</f>
        <v>0.5414978879433151</v>
      </c>
      <c r="AQ282" s="84">
        <f>AQ281/AQ245</f>
        <v>0.5173737214505284</v>
      </c>
      <c r="AR282" s="83">
        <f t="shared" si="454"/>
        <v>0.53420107830299446</v>
      </c>
      <c r="AS282" s="84">
        <f>AS281/AS245</f>
        <v>0.55448046705900256</v>
      </c>
      <c r="AT282" s="84">
        <f>AT281/AT245</f>
        <v>0.55308915157514715</v>
      </c>
      <c r="AU282" s="84">
        <f>AU281/AU245</f>
        <v>0.55549797061615225</v>
      </c>
      <c r="AV282" s="84">
        <f>AV281/AV245</f>
        <v>0.54494246260069046</v>
      </c>
      <c r="AW282" s="88">
        <f t="shared" si="454"/>
        <v>0.55207578040653948</v>
      </c>
      <c r="AX282" s="84">
        <f t="shared" si="454"/>
        <v>0.56933287345067751</v>
      </c>
      <c r="AY282" s="84">
        <f t="shared" si="454"/>
        <v>0.5382542776216479</v>
      </c>
      <c r="AZ282" s="84">
        <f t="shared" si="454"/>
        <v>0.54866850321395766</v>
      </c>
      <c r="BA282" s="84">
        <f t="shared" si="454"/>
        <v>0.47380065717415121</v>
      </c>
      <c r="BB282" s="88">
        <f t="shared" si="454"/>
        <v>0.53231701339460158</v>
      </c>
      <c r="BC282" s="84">
        <f t="shared" ref="BC282:CA282" si="455">BC281/BC245</f>
        <v>0.55966209081309393</v>
      </c>
      <c r="BD282" s="84">
        <f t="shared" si="455"/>
        <v>0.5462097611630321</v>
      </c>
      <c r="BE282" s="84">
        <f t="shared" si="455"/>
        <v>0.55590062111801242</v>
      </c>
      <c r="BF282" s="84">
        <f t="shared" si="455"/>
        <v>0.54303278688524581</v>
      </c>
      <c r="BG282" s="88">
        <f t="shared" si="455"/>
        <v>0.55114226375908626</v>
      </c>
      <c r="BH282" s="84">
        <f t="shared" si="455"/>
        <v>0.56357237400861404</v>
      </c>
      <c r="BI282" s="84">
        <f t="shared" si="455"/>
        <v>0.54433271375004033</v>
      </c>
      <c r="BJ282" s="84">
        <f t="shared" si="455"/>
        <v>0.55644933465759439</v>
      </c>
      <c r="BK282" s="84">
        <f t="shared" si="455"/>
        <v>0.5432596021543421</v>
      </c>
      <c r="BL282" s="88">
        <f t="shared" si="455"/>
        <v>0.5518397827343805</v>
      </c>
      <c r="BM282" s="84">
        <f t="shared" si="455"/>
        <v>0.56921638576573386</v>
      </c>
      <c r="BN282" s="84">
        <f t="shared" si="455"/>
        <v>0.55009234865379897</v>
      </c>
      <c r="BO282" s="84">
        <f t="shared" si="455"/>
        <v>0.56216110349919779</v>
      </c>
      <c r="BP282" s="84">
        <f t="shared" si="455"/>
        <v>0.54908720892138752</v>
      </c>
      <c r="BQ282" s="88">
        <f t="shared" si="455"/>
        <v>0.55757610027378568</v>
      </c>
      <c r="BR282" s="84">
        <f t="shared" si="455"/>
        <v>0.57485353982013365</v>
      </c>
      <c r="BS282" s="84">
        <f t="shared" si="455"/>
        <v>0.55583961999071207</v>
      </c>
      <c r="BT282" s="84">
        <f t="shared" si="455"/>
        <v>0.56786278811024848</v>
      </c>
      <c r="BU282" s="84">
        <f t="shared" si="455"/>
        <v>0.55489921536619258</v>
      </c>
      <c r="BV282" s="88">
        <f t="shared" si="455"/>
        <v>0.5633011645970285</v>
      </c>
      <c r="BW282" s="84">
        <f t="shared" si="455"/>
        <v>0.57798416272908604</v>
      </c>
      <c r="BX282" s="84">
        <f t="shared" si="455"/>
        <v>0.55907511650205766</v>
      </c>
      <c r="BY282" s="84">
        <f t="shared" si="455"/>
        <v>0.57105486869220157</v>
      </c>
      <c r="BZ282" s="84">
        <f t="shared" si="455"/>
        <v>0.55819636436124509</v>
      </c>
      <c r="CA282" s="88">
        <f t="shared" si="455"/>
        <v>0.56651551157154556</v>
      </c>
      <c r="CB282" s="1910"/>
      <c r="CC282" s="29"/>
      <c r="CD282" s="172" t="str">
        <f>A282</f>
        <v>Operating Margin</v>
      </c>
      <c r="CE282" s="83">
        <f>D282</f>
        <v>0.384949030327907</v>
      </c>
      <c r="CF282" s="83">
        <f>I282</f>
        <v>0.39643828839970319</v>
      </c>
      <c r="CG282" s="83">
        <f>N282</f>
        <v>0.40138107143069568</v>
      </c>
      <c r="CH282" s="83">
        <f>S282</f>
        <v>0.36592324839305612</v>
      </c>
      <c r="CI282" s="83">
        <f>X282</f>
        <v>0.46390402443658246</v>
      </c>
      <c r="CJ282" s="83">
        <f>AC282</f>
        <v>0.48250233864254022</v>
      </c>
      <c r="CK282" s="83">
        <f>AH282</f>
        <v>0.5221706073793887</v>
      </c>
      <c r="CL282" s="83">
        <f>AM282</f>
        <v>0.53617154798180766</v>
      </c>
      <c r="CM282" s="83">
        <f>AR282</f>
        <v>0.53420107830299446</v>
      </c>
      <c r="CN282" s="83">
        <f>AW282</f>
        <v>0.55207578040653948</v>
      </c>
      <c r="CO282" s="83">
        <f>BB282</f>
        <v>0.53231701339460158</v>
      </c>
      <c r="CP282" s="83">
        <f>BG282</f>
        <v>0.55114226375908626</v>
      </c>
      <c r="CQ282" s="83">
        <f>BL282</f>
        <v>0.5518397827343805</v>
      </c>
      <c r="CR282" s="83">
        <f>BQ282</f>
        <v>0.55757610027378568</v>
      </c>
      <c r="CS282" s="83">
        <f>BV282</f>
        <v>0.5633011645970285</v>
      </c>
      <c r="CT282" s="83">
        <f>CA282</f>
        <v>0.56651551157154556</v>
      </c>
      <c r="CU282" s="1961"/>
      <c r="DB282" s="1961"/>
      <c r="DC282" s="1961"/>
      <c r="DD282" s="1961"/>
      <c r="DE282" s="1961"/>
      <c r="DF282" s="1961"/>
      <c r="DG282" s="1961"/>
      <c r="DH282" s="1961"/>
      <c r="DI282" s="95"/>
    </row>
    <row r="283" spans="1:113" ht="5.0999999999999996" customHeight="1" x14ac:dyDescent="0.25">
      <c r="A283" s="172"/>
      <c r="B283" s="173"/>
      <c r="C283" s="87"/>
      <c r="D283" s="83"/>
      <c r="E283" s="84"/>
      <c r="F283" s="84"/>
      <c r="G283" s="84"/>
      <c r="H283" s="84"/>
      <c r="I283" s="83"/>
      <c r="J283" s="84"/>
      <c r="K283" s="84"/>
      <c r="L283" s="84"/>
      <c r="M283" s="84"/>
      <c r="N283" s="85"/>
      <c r="O283" s="84"/>
      <c r="P283" s="84"/>
      <c r="Q283" s="84"/>
      <c r="R283" s="84"/>
      <c r="S283" s="86"/>
      <c r="T283" s="84"/>
      <c r="U283" s="84"/>
      <c r="V283" s="84"/>
      <c r="W283" s="84"/>
      <c r="X283" s="83"/>
      <c r="Y283" s="84"/>
      <c r="Z283" s="84"/>
      <c r="AA283" s="84"/>
      <c r="AB283" s="84"/>
      <c r="AC283" s="83"/>
      <c r="AD283" s="84"/>
      <c r="AE283" s="84"/>
      <c r="AF283" s="84"/>
      <c r="AG283" s="84"/>
      <c r="AH283" s="83"/>
      <c r="AI283" s="84"/>
      <c r="AJ283" s="84"/>
      <c r="AK283" s="84"/>
      <c r="AL283" s="84"/>
      <c r="AM283" s="83"/>
      <c r="AN283" s="84"/>
      <c r="AO283" s="84"/>
      <c r="AP283" s="84"/>
      <c r="AQ283" s="84"/>
      <c r="AR283" s="83"/>
      <c r="AS283" s="84"/>
      <c r="AT283" s="84"/>
      <c r="AU283" s="84"/>
      <c r="AV283" s="84"/>
      <c r="AW283" s="88"/>
      <c r="AX283" s="84"/>
      <c r="AY283" s="84"/>
      <c r="AZ283" s="84"/>
      <c r="BA283" s="84"/>
      <c r="BB283" s="88"/>
      <c r="BC283" s="84"/>
      <c r="BD283" s="84"/>
      <c r="BE283" s="84"/>
      <c r="BF283" s="84"/>
      <c r="BG283" s="88"/>
      <c r="BH283" s="84"/>
      <c r="BI283" s="84"/>
      <c r="BJ283" s="84"/>
      <c r="BK283" s="84"/>
      <c r="BL283" s="88"/>
      <c r="BM283" s="84"/>
      <c r="BN283" s="84"/>
      <c r="BO283" s="84"/>
      <c r="BP283" s="84"/>
      <c r="BQ283" s="88"/>
      <c r="BR283" s="84"/>
      <c r="BS283" s="84"/>
      <c r="BT283" s="84"/>
      <c r="BU283" s="84"/>
      <c r="BV283" s="88"/>
      <c r="BW283" s="84"/>
      <c r="BX283" s="84"/>
      <c r="BY283" s="84"/>
      <c r="BZ283" s="84"/>
      <c r="CA283" s="88"/>
      <c r="CB283" s="1910"/>
      <c r="CC283" s="29"/>
      <c r="CD283" s="172"/>
      <c r="CE283" s="83"/>
      <c r="CF283" s="83"/>
      <c r="CG283" s="83"/>
      <c r="CH283" s="83"/>
      <c r="CI283" s="83"/>
      <c r="CJ283" s="83"/>
      <c r="CK283" s="83"/>
      <c r="CL283" s="83"/>
      <c r="CM283" s="83"/>
      <c r="CN283" s="83"/>
      <c r="CO283" s="83"/>
      <c r="CP283" s="83"/>
      <c r="CQ283" s="83"/>
      <c r="CR283" s="83"/>
      <c r="CS283" s="83"/>
      <c r="CT283" s="83"/>
      <c r="CU283" s="1961"/>
      <c r="DB283" s="1961"/>
      <c r="DC283" s="1961"/>
      <c r="DD283" s="1961"/>
      <c r="DE283" s="1961"/>
      <c r="DF283" s="1961"/>
      <c r="DG283" s="1961"/>
      <c r="DH283" s="1961"/>
      <c r="DI283" s="95"/>
    </row>
    <row r="284" spans="1:113" x14ac:dyDescent="0.25">
      <c r="A284" s="806" t="s">
        <v>99</v>
      </c>
      <c r="B284" s="807"/>
      <c r="C284" s="808">
        <f>+C$1</f>
        <v>2005</v>
      </c>
      <c r="D284" s="809">
        <f t="shared" ref="D284:BW284" si="456">+D$1</f>
        <v>2006</v>
      </c>
      <c r="E284" s="810" t="str">
        <f t="shared" si="456"/>
        <v>1Q07</v>
      </c>
      <c r="F284" s="810" t="str">
        <f t="shared" si="456"/>
        <v>2Q07</v>
      </c>
      <c r="G284" s="810" t="str">
        <f t="shared" si="456"/>
        <v>3Q07</v>
      </c>
      <c r="H284" s="810" t="str">
        <f t="shared" si="456"/>
        <v>4Q07</v>
      </c>
      <c r="I284" s="809">
        <f t="shared" si="456"/>
        <v>2007</v>
      </c>
      <c r="J284" s="810" t="str">
        <f t="shared" si="456"/>
        <v>1Q08</v>
      </c>
      <c r="K284" s="810" t="str">
        <f t="shared" si="456"/>
        <v>2Q08</v>
      </c>
      <c r="L284" s="810" t="str">
        <f t="shared" si="456"/>
        <v>3Q08</v>
      </c>
      <c r="M284" s="810" t="str">
        <f t="shared" si="456"/>
        <v>4Q08</v>
      </c>
      <c r="N284" s="809">
        <f t="shared" si="456"/>
        <v>2008</v>
      </c>
      <c r="O284" s="810" t="str">
        <f t="shared" si="456"/>
        <v>1Q09</v>
      </c>
      <c r="P284" s="810" t="str">
        <f t="shared" si="456"/>
        <v>2Q09</v>
      </c>
      <c r="Q284" s="810" t="str">
        <f t="shared" si="456"/>
        <v>3Q09</v>
      </c>
      <c r="R284" s="810" t="str">
        <f t="shared" si="456"/>
        <v>4Q09</v>
      </c>
      <c r="S284" s="811">
        <f t="shared" si="456"/>
        <v>2009</v>
      </c>
      <c r="T284" s="810" t="str">
        <f t="shared" si="456"/>
        <v>1Q10</v>
      </c>
      <c r="U284" s="810" t="str">
        <f t="shared" si="456"/>
        <v>2Q10</v>
      </c>
      <c r="V284" s="810" t="str">
        <f t="shared" si="456"/>
        <v>3Q10</v>
      </c>
      <c r="W284" s="810" t="str">
        <f t="shared" si="456"/>
        <v>4Q10</v>
      </c>
      <c r="X284" s="809">
        <f t="shared" si="456"/>
        <v>2010</v>
      </c>
      <c r="Y284" s="810" t="str">
        <f t="shared" si="456"/>
        <v>1Q11</v>
      </c>
      <c r="Z284" s="810" t="str">
        <f t="shared" si="456"/>
        <v>2Q11</v>
      </c>
      <c r="AA284" s="810" t="str">
        <f t="shared" si="456"/>
        <v>3Q11</v>
      </c>
      <c r="AB284" s="810" t="str">
        <f t="shared" si="456"/>
        <v>4Q11</v>
      </c>
      <c r="AC284" s="809">
        <f t="shared" si="456"/>
        <v>2011</v>
      </c>
      <c r="AD284" s="810" t="str">
        <f t="shared" si="456"/>
        <v>1Q12</v>
      </c>
      <c r="AE284" s="810" t="str">
        <f t="shared" si="456"/>
        <v>2Q12</v>
      </c>
      <c r="AF284" s="810" t="str">
        <f t="shared" si="456"/>
        <v>3Q12</v>
      </c>
      <c r="AG284" s="810" t="str">
        <f t="shared" si="456"/>
        <v>4Q12</v>
      </c>
      <c r="AH284" s="809">
        <f t="shared" si="456"/>
        <v>2012</v>
      </c>
      <c r="AI284" s="810" t="str">
        <f t="shared" si="456"/>
        <v>1Q13</v>
      </c>
      <c r="AJ284" s="810" t="str">
        <f t="shared" si="456"/>
        <v>2Q13</v>
      </c>
      <c r="AK284" s="810" t="str">
        <f t="shared" si="456"/>
        <v>3Q13</v>
      </c>
      <c r="AL284" s="810" t="str">
        <f t="shared" si="456"/>
        <v>4Q13</v>
      </c>
      <c r="AM284" s="809">
        <f t="shared" si="456"/>
        <v>2013</v>
      </c>
      <c r="AN284" s="810" t="str">
        <f t="shared" si="456"/>
        <v>1Q14</v>
      </c>
      <c r="AO284" s="810" t="str">
        <f t="shared" si="456"/>
        <v>2Q14</v>
      </c>
      <c r="AP284" s="810" t="str">
        <f t="shared" si="456"/>
        <v>3Q14</v>
      </c>
      <c r="AQ284" s="810" t="str">
        <f t="shared" si="456"/>
        <v>4Q14</v>
      </c>
      <c r="AR284" s="809">
        <f t="shared" si="456"/>
        <v>2014</v>
      </c>
      <c r="AS284" s="810" t="str">
        <f t="shared" si="456"/>
        <v>1Q15</v>
      </c>
      <c r="AT284" s="810" t="str">
        <f t="shared" si="456"/>
        <v>2Q15</v>
      </c>
      <c r="AU284" s="810" t="str">
        <f t="shared" si="456"/>
        <v>3Q15</v>
      </c>
      <c r="AV284" s="810" t="str">
        <f t="shared" si="456"/>
        <v>4Q15</v>
      </c>
      <c r="AW284" s="489">
        <f t="shared" si="456"/>
        <v>2015</v>
      </c>
      <c r="AX284" s="810" t="str">
        <f t="shared" si="456"/>
        <v>1Q16</v>
      </c>
      <c r="AY284" s="810" t="str">
        <f t="shared" si="456"/>
        <v>2Q16</v>
      </c>
      <c r="AZ284" s="810" t="str">
        <f t="shared" si="456"/>
        <v>3Q16</v>
      </c>
      <c r="BA284" s="810" t="str">
        <f t="shared" si="456"/>
        <v>4Q16</v>
      </c>
      <c r="BB284" s="489">
        <f t="shared" si="456"/>
        <v>2016</v>
      </c>
      <c r="BC284" s="810" t="str">
        <f t="shared" si="456"/>
        <v>1Q17</v>
      </c>
      <c r="BD284" s="810" t="str">
        <f t="shared" si="456"/>
        <v>2Q17</v>
      </c>
      <c r="BE284" s="810" t="str">
        <f t="shared" si="456"/>
        <v>3Q17</v>
      </c>
      <c r="BF284" s="810" t="str">
        <f t="shared" si="456"/>
        <v>4Q17</v>
      </c>
      <c r="BG284" s="489">
        <f t="shared" si="456"/>
        <v>2017</v>
      </c>
      <c r="BH284" s="810" t="str">
        <f t="shared" si="456"/>
        <v>1Q18E</v>
      </c>
      <c r="BI284" s="810" t="str">
        <f t="shared" si="456"/>
        <v>2Q18E</v>
      </c>
      <c r="BJ284" s="810" t="str">
        <f t="shared" si="456"/>
        <v>3Q18E</v>
      </c>
      <c r="BK284" s="810" t="str">
        <f t="shared" si="456"/>
        <v>4Q18E</v>
      </c>
      <c r="BL284" s="489" t="str">
        <f t="shared" si="456"/>
        <v>2018E</v>
      </c>
      <c r="BM284" s="810" t="str">
        <f t="shared" si="456"/>
        <v>1Q19E</v>
      </c>
      <c r="BN284" s="810" t="str">
        <f t="shared" si="456"/>
        <v>2Q19E</v>
      </c>
      <c r="BO284" s="810" t="str">
        <f t="shared" si="456"/>
        <v>3Q19E</v>
      </c>
      <c r="BP284" s="810" t="str">
        <f t="shared" si="456"/>
        <v>4Q19E</v>
      </c>
      <c r="BQ284" s="489" t="str">
        <f t="shared" si="456"/>
        <v>2019E</v>
      </c>
      <c r="BR284" s="810" t="str">
        <f t="shared" si="456"/>
        <v>1Q20E</v>
      </c>
      <c r="BS284" s="810" t="str">
        <f t="shared" si="456"/>
        <v>2Q20E</v>
      </c>
      <c r="BT284" s="810" t="str">
        <f t="shared" si="456"/>
        <v>3Q20E</v>
      </c>
      <c r="BU284" s="810" t="str">
        <f t="shared" si="456"/>
        <v>4Q20E</v>
      </c>
      <c r="BV284" s="489" t="str">
        <f t="shared" si="456"/>
        <v>2020E</v>
      </c>
      <c r="BW284" s="810" t="str">
        <f t="shared" si="456"/>
        <v>1Q21E</v>
      </c>
      <c r="BX284" s="810" t="str">
        <f>+BX$1</f>
        <v>2Q21E</v>
      </c>
      <c r="BY284" s="810" t="str">
        <f>+BY$1</f>
        <v>3Q21E</v>
      </c>
      <c r="BZ284" s="810" t="str">
        <f>+BZ$1</f>
        <v>4Q21E</v>
      </c>
      <c r="CA284" s="489" t="str">
        <f>+CA$1</f>
        <v>2021E</v>
      </c>
      <c r="CB284" s="1910"/>
      <c r="CC284" s="29"/>
      <c r="CD284" s="806" t="str">
        <f>A284</f>
        <v>Fiscal Year Ending December 31</v>
      </c>
      <c r="CE284" s="809">
        <f>D284</f>
        <v>2006</v>
      </c>
      <c r="CF284" s="809">
        <f>I284</f>
        <v>2007</v>
      </c>
      <c r="CG284" s="809">
        <f>N284</f>
        <v>2008</v>
      </c>
      <c r="CH284" s="809">
        <f>S284</f>
        <v>2009</v>
      </c>
      <c r="CI284" s="809">
        <f>X284</f>
        <v>2010</v>
      </c>
      <c r="CJ284" s="809">
        <f>AC284</f>
        <v>2011</v>
      </c>
      <c r="CK284" s="809">
        <f>AH284</f>
        <v>2012</v>
      </c>
      <c r="CL284" s="809">
        <f>AM284</f>
        <v>2013</v>
      </c>
      <c r="CM284" s="809">
        <f>AR284</f>
        <v>2014</v>
      </c>
      <c r="CN284" s="809">
        <f>AW284</f>
        <v>2015</v>
      </c>
      <c r="CO284" s="809">
        <f>BB284</f>
        <v>2016</v>
      </c>
      <c r="CP284" s="809">
        <f>BG284</f>
        <v>2017</v>
      </c>
      <c r="CQ284" s="809" t="str">
        <f>BL284</f>
        <v>2018E</v>
      </c>
      <c r="CR284" s="809" t="str">
        <f>BQ284</f>
        <v>2019E</v>
      </c>
      <c r="CS284" s="809" t="str">
        <f>BV284</f>
        <v>2020E</v>
      </c>
      <c r="CT284" s="809" t="str">
        <f>CA284</f>
        <v>2021E</v>
      </c>
      <c r="CU284" s="1961"/>
      <c r="DB284" s="1961"/>
      <c r="DC284" s="1961"/>
      <c r="DD284" s="1961"/>
      <c r="DE284" s="1961"/>
      <c r="DF284" s="1961"/>
      <c r="DG284" s="1961"/>
      <c r="DH284" s="1961"/>
      <c r="DI284" s="491"/>
    </row>
    <row r="285" spans="1:113" ht="9" customHeight="1" x14ac:dyDescent="0.25">
      <c r="A285" s="812"/>
      <c r="B285" s="696"/>
      <c r="C285" s="697"/>
      <c r="D285" s="700"/>
      <c r="E285" s="230"/>
      <c r="F285" s="230"/>
      <c r="G285" s="230"/>
      <c r="H285" s="236"/>
      <c r="I285" s="700"/>
      <c r="J285" s="236"/>
      <c r="K285" s="236"/>
      <c r="L285" s="241"/>
      <c r="M285" s="241"/>
      <c r="N285" s="700"/>
      <c r="O285" s="236"/>
      <c r="P285" s="241"/>
      <c r="Q285" s="241"/>
      <c r="R285" s="241"/>
      <c r="S285" s="813"/>
      <c r="T285" s="236"/>
      <c r="U285" s="241"/>
      <c r="V285" s="241"/>
      <c r="W285" s="241"/>
      <c r="X285" s="700"/>
      <c r="Y285" s="241"/>
      <c r="Z285" s="241"/>
      <c r="AA285" s="241"/>
      <c r="AB285" s="241"/>
      <c r="AC285" s="700"/>
      <c r="AD285" s="241"/>
      <c r="AE285" s="241"/>
      <c r="AF285" s="241"/>
      <c r="AG285" s="241"/>
      <c r="AH285" s="700"/>
      <c r="AI285" s="241"/>
      <c r="AJ285" s="241"/>
      <c r="AK285" s="241"/>
      <c r="AL285" s="241"/>
      <c r="AM285" s="700"/>
      <c r="AN285" s="241"/>
      <c r="AO285" s="241"/>
      <c r="AP285" s="241"/>
      <c r="AQ285" s="241"/>
      <c r="AR285" s="700"/>
      <c r="AS285" s="241"/>
      <c r="AT285" s="241"/>
      <c r="AU285" s="241"/>
      <c r="AV285" s="241"/>
      <c r="AW285" s="224"/>
      <c r="AX285" s="241"/>
      <c r="AY285" s="241"/>
      <c r="AZ285" s="241"/>
      <c r="BA285" s="241"/>
      <c r="BB285" s="225"/>
      <c r="BC285" s="241"/>
      <c r="BD285" s="241"/>
      <c r="BE285" s="241"/>
      <c r="BF285" s="241"/>
      <c r="BG285" s="225"/>
      <c r="BH285" s="241"/>
      <c r="BI285" s="241"/>
      <c r="BJ285" s="241"/>
      <c r="BK285" s="241"/>
      <c r="BL285" s="225"/>
      <c r="BM285" s="241"/>
      <c r="BN285" s="241"/>
      <c r="BO285" s="241"/>
      <c r="BP285" s="241"/>
      <c r="BQ285" s="225"/>
      <c r="BR285" s="241"/>
      <c r="BS285" s="241"/>
      <c r="BT285" s="241"/>
      <c r="BU285" s="241"/>
      <c r="BV285" s="225"/>
      <c r="BW285" s="241"/>
      <c r="BX285" s="241"/>
      <c r="BY285" s="241"/>
      <c r="BZ285" s="241"/>
      <c r="CA285" s="225"/>
      <c r="CB285" s="1910"/>
      <c r="CC285" s="29"/>
      <c r="CD285" s="812"/>
      <c r="CE285" s="700"/>
      <c r="CF285" s="700"/>
      <c r="CG285" s="700"/>
      <c r="CH285" s="700"/>
      <c r="CI285" s="700"/>
      <c r="CJ285" s="700"/>
      <c r="CK285" s="700"/>
      <c r="CL285" s="700"/>
      <c r="CM285" s="700"/>
      <c r="CN285" s="700"/>
      <c r="CO285" s="700"/>
      <c r="CP285" s="700"/>
      <c r="CQ285" s="700"/>
      <c r="CR285" s="700"/>
      <c r="CS285" s="700"/>
      <c r="CT285" s="700"/>
      <c r="CU285" s="1961"/>
      <c r="DB285" s="1961"/>
      <c r="DC285" s="1961"/>
      <c r="DD285" s="1961"/>
      <c r="DE285" s="1961"/>
      <c r="DF285" s="1961"/>
      <c r="DG285" s="1961"/>
      <c r="DH285" s="1961"/>
      <c r="DI285" s="226"/>
    </row>
    <row r="286" spans="1:113" x14ac:dyDescent="0.25">
      <c r="A286" s="702" t="s">
        <v>223</v>
      </c>
      <c r="B286" s="703"/>
      <c r="C286" s="705"/>
      <c r="D286" s="705"/>
      <c r="E286" s="78"/>
      <c r="F286" s="92"/>
      <c r="G286" s="92"/>
      <c r="H286" s="92"/>
      <c r="I286" s="441"/>
      <c r="J286" s="92"/>
      <c r="K286" s="92"/>
      <c r="L286" s="92"/>
      <c r="M286" s="706"/>
      <c r="N286" s="441"/>
      <c r="O286" s="92"/>
      <c r="P286" s="92"/>
      <c r="Q286" s="719"/>
      <c r="R286" s="706"/>
      <c r="S286" s="814"/>
      <c r="T286" s="815"/>
      <c r="U286" s="816"/>
      <c r="V286" s="817"/>
      <c r="W286" s="817"/>
      <c r="X286" s="91"/>
      <c r="Y286" s="147"/>
      <c r="Z286" s="147"/>
      <c r="AA286" s="147"/>
      <c r="AB286" s="147"/>
      <c r="AC286" s="441"/>
      <c r="AD286" s="516"/>
      <c r="AE286" s="516"/>
      <c r="AF286" s="516"/>
      <c r="AG286" s="516"/>
      <c r="AH286" s="441"/>
      <c r="AI286" s="516"/>
      <c r="AJ286" s="516"/>
      <c r="AK286" s="516"/>
      <c r="AL286" s="147"/>
      <c r="AM286" s="441"/>
      <c r="AN286" s="147"/>
      <c r="AO286" s="147"/>
      <c r="AP286" s="147"/>
      <c r="AQ286" s="658"/>
      <c r="AR286" s="441"/>
      <c r="AS286" s="147"/>
      <c r="AT286" s="147"/>
      <c r="AU286" s="147"/>
      <c r="AV286" s="147"/>
      <c r="AW286" s="91"/>
      <c r="AX286" s="147"/>
      <c r="AY286" s="147"/>
      <c r="AZ286" s="147"/>
      <c r="BA286" s="147"/>
      <c r="BB286" s="747"/>
      <c r="BC286" s="147"/>
      <c r="BD286" s="147"/>
      <c r="BE286" s="147"/>
      <c r="BF286" s="147"/>
      <c r="BG286" s="747"/>
      <c r="BH286" s="147"/>
      <c r="BI286" s="147"/>
      <c r="BJ286" s="147"/>
      <c r="BK286" s="147"/>
      <c r="BL286" s="747"/>
      <c r="BM286" s="147"/>
      <c r="BN286" s="147"/>
      <c r="BO286" s="147"/>
      <c r="BP286" s="147"/>
      <c r="BQ286" s="747"/>
      <c r="BR286" s="147"/>
      <c r="BS286" s="147"/>
      <c r="BT286" s="147"/>
      <c r="BU286" s="147"/>
      <c r="BV286" s="747"/>
      <c r="BW286" s="147"/>
      <c r="BX286" s="147"/>
      <c r="BY286" s="147"/>
      <c r="BZ286" s="147"/>
      <c r="CA286" s="747"/>
      <c r="CB286" s="1910"/>
      <c r="CC286" s="29"/>
      <c r="CD286" s="702" t="str">
        <f>+A286</f>
        <v>Decision Analytics:</v>
      </c>
      <c r="CE286" s="441"/>
      <c r="CF286" s="441"/>
      <c r="CG286" s="441"/>
      <c r="CH286" s="441"/>
      <c r="CI286" s="441"/>
      <c r="CJ286" s="441"/>
      <c r="CK286" s="441"/>
      <c r="CL286" s="441"/>
      <c r="CM286" s="441"/>
      <c r="CN286" s="441"/>
      <c r="CO286" s="441"/>
      <c r="CP286" s="441"/>
      <c r="CQ286" s="441"/>
      <c r="CR286" s="441"/>
      <c r="CS286" s="441"/>
      <c r="CT286" s="441"/>
      <c r="CU286" s="1961"/>
      <c r="DB286" s="1961"/>
      <c r="DC286" s="1961"/>
      <c r="DD286" s="1961"/>
      <c r="DE286" s="1961"/>
      <c r="DF286" s="1961"/>
      <c r="DG286" s="1961"/>
      <c r="DH286" s="1961"/>
      <c r="DI286" s="90"/>
    </row>
    <row r="287" spans="1:113" hidden="1" outlineLevel="2" x14ac:dyDescent="0.25">
      <c r="A287" s="211" t="s">
        <v>107</v>
      </c>
      <c r="B287" s="703"/>
      <c r="C287" s="760">
        <v>143.25800000000001</v>
      </c>
      <c r="D287" s="760">
        <v>168.18899999999999</v>
      </c>
      <c r="E287" s="739">
        <v>44.768000000000001</v>
      </c>
      <c r="F287" s="739">
        <f>88.532-E287</f>
        <v>43.763999999999996</v>
      </c>
      <c r="G287" s="739">
        <f>129.602-SUM(E287:F287)</f>
        <v>41.070000000000007</v>
      </c>
      <c r="H287" s="739">
        <f>172.726-SUM(E287:G287)</f>
        <v>43.123999999999995</v>
      </c>
      <c r="I287" s="740">
        <f>SUM(E287:H287)</f>
        <v>172.726</v>
      </c>
      <c r="J287" s="739">
        <v>50.32</v>
      </c>
      <c r="K287" s="739">
        <f>102.858-J287</f>
        <v>52.538000000000004</v>
      </c>
      <c r="L287" s="739">
        <f>157.654-SUM(J287:K287)</f>
        <v>54.795999999999992</v>
      </c>
      <c r="M287" s="739">
        <f>213.994-SUM(J287:L287)</f>
        <v>56.34</v>
      </c>
      <c r="N287" s="740">
        <f>SUM(J287:M287)</f>
        <v>213.994</v>
      </c>
      <c r="O287" s="739">
        <v>63.841999999999999</v>
      </c>
      <c r="P287" s="762">
        <f>130.475-O287</f>
        <v>66.632999999999996</v>
      </c>
      <c r="Q287" s="762">
        <v>69.302999999999997</v>
      </c>
      <c r="R287" s="762">
        <v>73.325000000000003</v>
      </c>
      <c r="S287" s="761">
        <f>SUM(O287:R287)</f>
        <v>273.10300000000001</v>
      </c>
      <c r="T287" s="739">
        <v>78.795000000000002</v>
      </c>
      <c r="U287" s="739">
        <v>79.194999999999993</v>
      </c>
      <c r="V287" s="739">
        <v>81.584000000000003</v>
      </c>
      <c r="W287" s="762">
        <v>81.206999999999994</v>
      </c>
      <c r="X287" s="738">
        <f>SUM(T287:W287)</f>
        <v>320.78100000000001</v>
      </c>
      <c r="Y287" s="739">
        <v>86.585999999999999</v>
      </c>
      <c r="Z287" s="739">
        <v>93.067999999999998</v>
      </c>
      <c r="AA287" s="739">
        <v>94.662999999999997</v>
      </c>
      <c r="AB287" s="765">
        <f>W287*(1+AB288)</f>
        <v>93.550463999999991</v>
      </c>
      <c r="AC287" s="738">
        <f>SUM(Y287:AB287)</f>
        <v>367.86746399999998</v>
      </c>
      <c r="AD287" s="765"/>
      <c r="AE287" s="765"/>
      <c r="AF287" s="765"/>
      <c r="AG287" s="765"/>
      <c r="AH287" s="738"/>
      <c r="AI287" s="765"/>
      <c r="AJ287" s="765"/>
      <c r="AK287" s="765"/>
      <c r="AL287" s="765"/>
      <c r="AM287" s="738"/>
      <c r="AN287" s="765"/>
      <c r="AO287" s="765"/>
      <c r="AP287" s="765"/>
      <c r="AQ287" s="765"/>
      <c r="AR287" s="738"/>
      <c r="AS287" s="765"/>
      <c r="AT287" s="765"/>
      <c r="AU287" s="765"/>
      <c r="AV287" s="765"/>
      <c r="AW287" s="712"/>
      <c r="AX287" s="765"/>
      <c r="AY287" s="765"/>
      <c r="AZ287" s="765"/>
      <c r="BA287" s="765"/>
      <c r="BB287" s="764"/>
      <c r="BC287" s="765"/>
      <c r="BD287" s="765"/>
      <c r="BE287" s="765"/>
      <c r="BF287" s="765"/>
      <c r="BG287" s="764"/>
      <c r="BH287" s="765"/>
      <c r="BI287" s="765"/>
      <c r="BJ287" s="765"/>
      <c r="BK287" s="765"/>
      <c r="BL287" s="764"/>
      <c r="BM287" s="765"/>
      <c r="BN287" s="765"/>
      <c r="BO287" s="765"/>
      <c r="BP287" s="765"/>
      <c r="BQ287" s="764"/>
      <c r="BR287" s="765"/>
      <c r="BS287" s="765"/>
      <c r="BT287" s="765"/>
      <c r="BU287" s="765"/>
      <c r="BV287" s="764"/>
      <c r="BW287" s="765"/>
      <c r="BX287" s="765"/>
      <c r="BY287" s="765"/>
      <c r="BZ287" s="765"/>
      <c r="CA287" s="764"/>
      <c r="CB287" s="1910"/>
      <c r="CC287" s="29"/>
      <c r="CD287" s="211"/>
      <c r="CE287" s="738"/>
      <c r="CF287" s="738"/>
      <c r="CG287" s="738"/>
      <c r="CH287" s="738"/>
      <c r="CI287" s="738"/>
      <c r="CJ287" s="738"/>
      <c r="CK287" s="738"/>
      <c r="CL287" s="738"/>
      <c r="CM287" s="738"/>
      <c r="CN287" s="738"/>
      <c r="CO287" s="738"/>
      <c r="CP287" s="738"/>
      <c r="CQ287" s="738"/>
      <c r="CR287" s="738"/>
      <c r="CS287" s="738"/>
      <c r="CT287" s="738"/>
      <c r="CU287" s="1961"/>
      <c r="DB287" s="1961"/>
      <c r="DC287" s="1961"/>
      <c r="DD287" s="1961"/>
      <c r="DE287" s="1961"/>
      <c r="DF287" s="1961"/>
      <c r="DG287" s="1961"/>
      <c r="DH287" s="1961"/>
      <c r="DI287" s="767"/>
    </row>
    <row r="288" spans="1:113" hidden="1" outlineLevel="2" x14ac:dyDescent="0.25">
      <c r="A288" s="724" t="s">
        <v>209</v>
      </c>
      <c r="B288" s="730"/>
      <c r="C288" s="91"/>
      <c r="D288" s="91">
        <f>D287/C287-1</f>
        <v>0.17402867553644463</v>
      </c>
      <c r="E288" s="90"/>
      <c r="F288" s="90"/>
      <c r="G288" s="90"/>
      <c r="H288" s="90"/>
      <c r="I288" s="91">
        <f t="shared" ref="I288:AA288" si="457">I287/D287-1</f>
        <v>2.6975604825523636E-2</v>
      </c>
      <c r="J288" s="90">
        <f t="shared" si="457"/>
        <v>0.12401715511079336</v>
      </c>
      <c r="K288" s="90">
        <f t="shared" si="457"/>
        <v>0.20048441641531878</v>
      </c>
      <c r="L288" s="90">
        <f t="shared" si="457"/>
        <v>0.33420988556123654</v>
      </c>
      <c r="M288" s="90">
        <f t="shared" si="457"/>
        <v>0.30646507745107154</v>
      </c>
      <c r="N288" s="91">
        <f t="shared" si="457"/>
        <v>0.23892176047612979</v>
      </c>
      <c r="O288" s="90">
        <f t="shared" si="457"/>
        <v>0.26872019077901421</v>
      </c>
      <c r="P288" s="90">
        <f t="shared" si="457"/>
        <v>0.26828200540561098</v>
      </c>
      <c r="Q288" s="90">
        <f t="shared" si="457"/>
        <v>0.26474560186874974</v>
      </c>
      <c r="R288" s="90">
        <f t="shared" si="457"/>
        <v>0.30147319843805453</v>
      </c>
      <c r="S288" s="744">
        <f>S287/N287-1</f>
        <v>0.27621802480443391</v>
      </c>
      <c r="T288" s="90">
        <f t="shared" si="457"/>
        <v>0.23421885279283239</v>
      </c>
      <c r="U288" s="90">
        <f t="shared" si="457"/>
        <v>0.18852520522864036</v>
      </c>
      <c r="V288" s="90">
        <f t="shared" si="457"/>
        <v>0.17720733590176474</v>
      </c>
      <c r="W288" s="90">
        <f t="shared" si="457"/>
        <v>0.10749403341288777</v>
      </c>
      <c r="X288" s="91">
        <f>X287/S287-1</f>
        <v>0.17457882190968244</v>
      </c>
      <c r="Y288" s="90">
        <f t="shared" si="457"/>
        <v>9.8876832286312499E-2</v>
      </c>
      <c r="Z288" s="90">
        <f t="shared" si="457"/>
        <v>0.17517520045457413</v>
      </c>
      <c r="AA288" s="90">
        <f t="shared" si="457"/>
        <v>0.16031329672484795</v>
      </c>
      <c r="AB288" s="92">
        <f>CHOOSE($A$3,AB289,AB290,AB291)</f>
        <v>0.152</v>
      </c>
      <c r="AC288" s="91">
        <f>AC287/X287-1</f>
        <v>0.14678694810478166</v>
      </c>
      <c r="AD288" s="92"/>
      <c r="AE288" s="92"/>
      <c r="AF288" s="92"/>
      <c r="AG288" s="92"/>
      <c r="AH288" s="91"/>
      <c r="AI288" s="92"/>
      <c r="AJ288" s="92"/>
      <c r="AK288" s="92"/>
      <c r="AL288" s="92"/>
      <c r="AM288" s="91"/>
      <c r="AN288" s="92"/>
      <c r="AO288" s="92"/>
      <c r="AP288" s="92"/>
      <c r="AQ288" s="92"/>
      <c r="AR288" s="91"/>
      <c r="AS288" s="92"/>
      <c r="AT288" s="92"/>
      <c r="AU288" s="92"/>
      <c r="AV288" s="92"/>
      <c r="AW288" s="91"/>
      <c r="AX288" s="92"/>
      <c r="AY288" s="92"/>
      <c r="AZ288" s="92"/>
      <c r="BA288" s="92"/>
      <c r="BB288" s="747"/>
      <c r="BC288" s="92"/>
      <c r="BD288" s="92"/>
      <c r="BE288" s="92"/>
      <c r="BF288" s="92"/>
      <c r="BG288" s="747"/>
      <c r="BH288" s="92"/>
      <c r="BI288" s="92"/>
      <c r="BJ288" s="92"/>
      <c r="BK288" s="92"/>
      <c r="BL288" s="747"/>
      <c r="BM288" s="92"/>
      <c r="BN288" s="92"/>
      <c r="BO288" s="92"/>
      <c r="BP288" s="92"/>
      <c r="BQ288" s="747"/>
      <c r="BR288" s="92"/>
      <c r="BS288" s="92"/>
      <c r="BT288" s="92"/>
      <c r="BU288" s="92"/>
      <c r="BV288" s="747"/>
      <c r="BW288" s="92"/>
      <c r="BX288" s="92"/>
      <c r="BY288" s="92"/>
      <c r="BZ288" s="92"/>
      <c r="CA288" s="747"/>
      <c r="CB288" s="1910"/>
      <c r="CC288" s="29"/>
      <c r="CD288" s="724"/>
      <c r="CE288" s="91"/>
      <c r="CF288" s="91"/>
      <c r="CG288" s="91"/>
      <c r="CH288" s="91"/>
      <c r="CI288" s="91"/>
      <c r="CJ288" s="91"/>
      <c r="CK288" s="91"/>
      <c r="CL288" s="91"/>
      <c r="CM288" s="91"/>
      <c r="CN288" s="91"/>
      <c r="CO288" s="91"/>
      <c r="CP288" s="91"/>
      <c r="CQ288" s="91"/>
      <c r="CR288" s="91"/>
      <c r="CS288" s="91"/>
      <c r="CT288" s="91"/>
      <c r="CU288" s="1961"/>
      <c r="DB288" s="1961"/>
      <c r="DC288" s="1961"/>
      <c r="DD288" s="1961"/>
      <c r="DE288" s="1961"/>
      <c r="DF288" s="1961"/>
      <c r="DG288" s="1961"/>
      <c r="DH288" s="1961"/>
      <c r="DI288" s="90"/>
    </row>
    <row r="289" spans="1:113" hidden="1" outlineLevel="3" x14ac:dyDescent="0.25">
      <c r="A289" s="748" t="s">
        <v>214</v>
      </c>
      <c r="B289" s="730"/>
      <c r="C289" s="751"/>
      <c r="D289" s="749"/>
      <c r="E289" s="750"/>
      <c r="F289" s="750"/>
      <c r="G289" s="750"/>
      <c r="H289" s="750"/>
      <c r="I289" s="751"/>
      <c r="J289" s="750"/>
      <c r="K289" s="750"/>
      <c r="L289" s="750"/>
      <c r="M289" s="750"/>
      <c r="N289" s="752"/>
      <c r="O289" s="750"/>
      <c r="P289" s="753"/>
      <c r="Q289" s="753"/>
      <c r="R289" s="753"/>
      <c r="S289" s="754"/>
      <c r="T289" s="750"/>
      <c r="U289" s="750"/>
      <c r="V289" s="750"/>
      <c r="W289" s="750"/>
      <c r="X289" s="752"/>
      <c r="Y289" s="818"/>
      <c r="Z289" s="819"/>
      <c r="AA289" s="819"/>
      <c r="AB289" s="753">
        <f>AB290-3%</f>
        <v>0.122</v>
      </c>
      <c r="AC289" s="752"/>
      <c r="AD289" s="753"/>
      <c r="AE289" s="753"/>
      <c r="AF289" s="753"/>
      <c r="AG289" s="753"/>
      <c r="AH289" s="752"/>
      <c r="AI289" s="753"/>
      <c r="AJ289" s="753"/>
      <c r="AK289" s="753"/>
      <c r="AL289" s="753"/>
      <c r="AM289" s="752"/>
      <c r="AN289" s="753"/>
      <c r="AO289" s="753"/>
      <c r="AP289" s="753"/>
      <c r="AQ289" s="753"/>
      <c r="AR289" s="752"/>
      <c r="AS289" s="753"/>
      <c r="AT289" s="753"/>
      <c r="AU289" s="753"/>
      <c r="AV289" s="753"/>
      <c r="AW289" s="752"/>
      <c r="AX289" s="753"/>
      <c r="AY289" s="753"/>
      <c r="AZ289" s="753"/>
      <c r="BA289" s="753"/>
      <c r="BB289" s="757"/>
      <c r="BC289" s="753"/>
      <c r="BD289" s="753"/>
      <c r="BE289" s="753"/>
      <c r="BF289" s="753"/>
      <c r="BG289" s="757"/>
      <c r="BH289" s="753"/>
      <c r="BI289" s="753"/>
      <c r="BJ289" s="753"/>
      <c r="BK289" s="753"/>
      <c r="BL289" s="757"/>
      <c r="BM289" s="753"/>
      <c r="BN289" s="753"/>
      <c r="BO289" s="753"/>
      <c r="BP289" s="753"/>
      <c r="BQ289" s="757"/>
      <c r="BR289" s="753"/>
      <c r="BS289" s="753"/>
      <c r="BT289" s="753"/>
      <c r="BU289" s="753"/>
      <c r="BV289" s="757"/>
      <c r="BW289" s="753"/>
      <c r="BX289" s="753"/>
      <c r="BY289" s="753"/>
      <c r="BZ289" s="753"/>
      <c r="CA289" s="757"/>
      <c r="CB289" s="1910"/>
      <c r="CC289" s="29"/>
      <c r="CD289" s="748"/>
      <c r="CE289" s="752"/>
      <c r="CF289" s="752"/>
      <c r="CG289" s="752"/>
      <c r="CH289" s="752"/>
      <c r="CI289" s="752"/>
      <c r="CJ289" s="752"/>
      <c r="CK289" s="752"/>
      <c r="CL289" s="752"/>
      <c r="CM289" s="752"/>
      <c r="CN289" s="752"/>
      <c r="CO289" s="752"/>
      <c r="CP289" s="752"/>
      <c r="CQ289" s="752"/>
      <c r="CR289" s="752"/>
      <c r="CS289" s="752"/>
      <c r="CT289" s="752"/>
      <c r="CU289" s="1961"/>
      <c r="DB289" s="1961"/>
      <c r="DC289" s="1961"/>
      <c r="DD289" s="1961"/>
      <c r="DE289" s="1961"/>
      <c r="DF289" s="1961"/>
      <c r="DG289" s="1961"/>
      <c r="DH289" s="1961"/>
      <c r="DI289" s="716"/>
    </row>
    <row r="290" spans="1:113" hidden="1" outlineLevel="3" x14ac:dyDescent="0.25">
      <c r="A290" s="748" t="s">
        <v>215</v>
      </c>
      <c r="B290" s="730"/>
      <c r="C290" s="751"/>
      <c r="D290" s="749"/>
      <c r="E290" s="750"/>
      <c r="F290" s="750"/>
      <c r="G290" s="750"/>
      <c r="H290" s="750"/>
      <c r="I290" s="751"/>
      <c r="J290" s="750"/>
      <c r="K290" s="750"/>
      <c r="L290" s="750"/>
      <c r="M290" s="750"/>
      <c r="N290" s="752"/>
      <c r="O290" s="750"/>
      <c r="P290" s="753"/>
      <c r="Q290" s="753"/>
      <c r="R290" s="753"/>
      <c r="S290" s="754"/>
      <c r="T290" s="819"/>
      <c r="U290" s="819"/>
      <c r="V290" s="819"/>
      <c r="W290" s="819"/>
      <c r="X290" s="752"/>
      <c r="Y290" s="819"/>
      <c r="Z290" s="819"/>
      <c r="AA290" s="819"/>
      <c r="AB290" s="753">
        <v>0.152</v>
      </c>
      <c r="AC290" s="752"/>
      <c r="AD290" s="753"/>
      <c r="AE290" s="753"/>
      <c r="AF290" s="753"/>
      <c r="AG290" s="753"/>
      <c r="AH290" s="752"/>
      <c r="AI290" s="753"/>
      <c r="AJ290" s="753"/>
      <c r="AK290" s="753"/>
      <c r="AL290" s="753"/>
      <c r="AM290" s="752"/>
      <c r="AN290" s="753"/>
      <c r="AO290" s="753"/>
      <c r="AP290" s="753"/>
      <c r="AQ290" s="753"/>
      <c r="AR290" s="752"/>
      <c r="AS290" s="753"/>
      <c r="AT290" s="753"/>
      <c r="AU290" s="753"/>
      <c r="AV290" s="753"/>
      <c r="AW290" s="752"/>
      <c r="AX290" s="753"/>
      <c r="AY290" s="753"/>
      <c r="AZ290" s="753"/>
      <c r="BA290" s="753"/>
      <c r="BB290" s="757"/>
      <c r="BC290" s="753"/>
      <c r="BD290" s="753"/>
      <c r="BE290" s="753"/>
      <c r="BF290" s="753"/>
      <c r="BG290" s="757"/>
      <c r="BH290" s="753"/>
      <c r="BI290" s="753"/>
      <c r="BJ290" s="753"/>
      <c r="BK290" s="753"/>
      <c r="BL290" s="757"/>
      <c r="BM290" s="753"/>
      <c r="BN290" s="753"/>
      <c r="BO290" s="753"/>
      <c r="BP290" s="753"/>
      <c r="BQ290" s="757"/>
      <c r="BR290" s="753"/>
      <c r="BS290" s="753"/>
      <c r="BT290" s="753"/>
      <c r="BU290" s="753"/>
      <c r="BV290" s="757"/>
      <c r="BW290" s="753"/>
      <c r="BX290" s="753"/>
      <c r="BY290" s="753"/>
      <c r="BZ290" s="753"/>
      <c r="CA290" s="757"/>
      <c r="CB290" s="1910"/>
      <c r="CC290" s="29"/>
      <c r="CD290" s="748"/>
      <c r="CE290" s="752"/>
      <c r="CF290" s="752"/>
      <c r="CG290" s="752"/>
      <c r="CH290" s="752"/>
      <c r="CI290" s="752"/>
      <c r="CJ290" s="752"/>
      <c r="CK290" s="752"/>
      <c r="CL290" s="752"/>
      <c r="CM290" s="752"/>
      <c r="CN290" s="752"/>
      <c r="CO290" s="752"/>
      <c r="CP290" s="752"/>
      <c r="CQ290" s="752"/>
      <c r="CR290" s="752"/>
      <c r="CS290" s="752"/>
      <c r="CT290" s="752"/>
      <c r="CU290" s="1961"/>
      <c r="DB290" s="1961"/>
      <c r="DC290" s="1961"/>
      <c r="DD290" s="1961"/>
      <c r="DE290" s="1961"/>
      <c r="DF290" s="1961"/>
      <c r="DG290" s="1961"/>
      <c r="DH290" s="1961"/>
      <c r="DI290" s="716"/>
    </row>
    <row r="291" spans="1:113" hidden="1" outlineLevel="3" x14ac:dyDescent="0.25">
      <c r="A291" s="748" t="s">
        <v>216</v>
      </c>
      <c r="B291" s="730"/>
      <c r="C291" s="751"/>
      <c r="D291" s="749"/>
      <c r="E291" s="750"/>
      <c r="F291" s="750"/>
      <c r="G291" s="750"/>
      <c r="H291" s="750"/>
      <c r="I291" s="751"/>
      <c r="J291" s="750"/>
      <c r="K291" s="750"/>
      <c r="L291" s="750"/>
      <c r="M291" s="750"/>
      <c r="N291" s="752"/>
      <c r="O291" s="750"/>
      <c r="P291" s="753"/>
      <c r="Q291" s="753"/>
      <c r="R291" s="753"/>
      <c r="S291" s="754"/>
      <c r="T291" s="819"/>
      <c r="U291" s="819"/>
      <c r="V291" s="819"/>
      <c r="W291" s="819"/>
      <c r="X291" s="752"/>
      <c r="Y291" s="819"/>
      <c r="Z291" s="819"/>
      <c r="AA291" s="819"/>
      <c r="AB291" s="753">
        <f>AB290</f>
        <v>0.152</v>
      </c>
      <c r="AC291" s="752"/>
      <c r="AD291" s="753"/>
      <c r="AE291" s="753"/>
      <c r="AF291" s="753"/>
      <c r="AG291" s="753"/>
      <c r="AH291" s="752"/>
      <c r="AI291" s="753"/>
      <c r="AJ291" s="753"/>
      <c r="AK291" s="753"/>
      <c r="AL291" s="753"/>
      <c r="AM291" s="752"/>
      <c r="AN291" s="753"/>
      <c r="AO291" s="753"/>
      <c r="AP291" s="753"/>
      <c r="AQ291" s="753"/>
      <c r="AR291" s="752"/>
      <c r="AS291" s="753"/>
      <c r="AT291" s="753"/>
      <c r="AU291" s="753"/>
      <c r="AV291" s="753"/>
      <c r="AW291" s="752"/>
      <c r="AX291" s="753"/>
      <c r="AY291" s="753"/>
      <c r="AZ291" s="753"/>
      <c r="BA291" s="753"/>
      <c r="BB291" s="757"/>
      <c r="BC291" s="753"/>
      <c r="BD291" s="753"/>
      <c r="BE291" s="753"/>
      <c r="BF291" s="753"/>
      <c r="BG291" s="757"/>
      <c r="BH291" s="753"/>
      <c r="BI291" s="753"/>
      <c r="BJ291" s="753"/>
      <c r="BK291" s="753"/>
      <c r="BL291" s="757"/>
      <c r="BM291" s="753"/>
      <c r="BN291" s="753"/>
      <c r="BO291" s="753"/>
      <c r="BP291" s="753"/>
      <c r="BQ291" s="757"/>
      <c r="BR291" s="753"/>
      <c r="BS291" s="753"/>
      <c r="BT291" s="753"/>
      <c r="BU291" s="753"/>
      <c r="BV291" s="757"/>
      <c r="BW291" s="753"/>
      <c r="BX291" s="753"/>
      <c r="BY291" s="753"/>
      <c r="BZ291" s="753"/>
      <c r="CA291" s="757"/>
      <c r="CB291" s="1910"/>
      <c r="CC291" s="29"/>
      <c r="CD291" s="748"/>
      <c r="CE291" s="752"/>
      <c r="CF291" s="752"/>
      <c r="CG291" s="752"/>
      <c r="CH291" s="752"/>
      <c r="CI291" s="752"/>
      <c r="CJ291" s="752"/>
      <c r="CK291" s="752"/>
      <c r="CL291" s="752"/>
      <c r="CM291" s="752"/>
      <c r="CN291" s="752"/>
      <c r="CO291" s="752"/>
      <c r="CP291" s="752"/>
      <c r="CQ291" s="752"/>
      <c r="CR291" s="752"/>
      <c r="CS291" s="752"/>
      <c r="CT291" s="752"/>
      <c r="CU291" s="1961"/>
      <c r="DB291" s="1961"/>
      <c r="DC291" s="1961"/>
      <c r="DD291" s="1961"/>
      <c r="DE291" s="1961"/>
      <c r="DF291" s="1961"/>
      <c r="DG291" s="1961"/>
      <c r="DH291" s="1961"/>
      <c r="DI291" s="716"/>
    </row>
    <row r="292" spans="1:113" hidden="1" outlineLevel="2" x14ac:dyDescent="0.25">
      <c r="A292" s="729" t="s">
        <v>224</v>
      </c>
      <c r="B292" s="730"/>
      <c r="C292" s="91"/>
      <c r="D292" s="91"/>
      <c r="E292" s="90"/>
      <c r="F292" s="90"/>
      <c r="G292" s="90"/>
      <c r="H292" s="90"/>
      <c r="I292" s="91">
        <f>I287/I313</f>
        <v>0.54481681833236073</v>
      </c>
      <c r="J292" s="90">
        <f>J287/J$313</f>
        <v>0.56808047054042154</v>
      </c>
      <c r="K292" s="90">
        <f>K287/K$313</f>
        <v>0.54867108767166206</v>
      </c>
      <c r="L292" s="90">
        <f>L287/L$313</f>
        <v>0.55235119197621085</v>
      </c>
      <c r="M292" s="90">
        <f>M287/M$313</f>
        <v>0.5334217004355235</v>
      </c>
      <c r="N292" s="91">
        <f>N287/N313</f>
        <v>0.54988834897818117</v>
      </c>
      <c r="O292" s="90">
        <f>O287/O$313</f>
        <v>0.54948573395877265</v>
      </c>
      <c r="P292" s="90">
        <f>P287/P$313</f>
        <v>0.5347366562607837</v>
      </c>
      <c r="Q292" s="90">
        <f>Q287/Q$313</f>
        <v>0.54020157298641369</v>
      </c>
      <c r="R292" s="90">
        <f>R287/R$313</f>
        <v>0.54702595435792989</v>
      </c>
      <c r="S292" s="744">
        <f>S287/S313</f>
        <v>0.54281017951694199</v>
      </c>
      <c r="T292" s="90">
        <f>T287/T$313</f>
        <v>0.55655619596541794</v>
      </c>
      <c r="U292" s="90">
        <f>U287/U$313</f>
        <v>0.53732325562460992</v>
      </c>
      <c r="V292" s="90">
        <f>V287/V$313</f>
        <v>0.53998742429758084</v>
      </c>
      <c r="W292" s="90">
        <f>W287/W$313</f>
        <v>0.52003765465303919</v>
      </c>
      <c r="X292" s="91">
        <f>X287/X313</f>
        <v>0.53803809092510124</v>
      </c>
      <c r="Y292" s="90">
        <f>Y287/Y$313</f>
        <v>0.50245464990773303</v>
      </c>
      <c r="Z292" s="90">
        <f>Z287/Z$313</f>
        <v>0.49835609103078982</v>
      </c>
      <c r="AA292" s="90">
        <f>AA287/AA$313</f>
        <v>0.47302881756537291</v>
      </c>
      <c r="AB292" s="90">
        <f>AB287/AB$313</f>
        <v>0.44700673732093538</v>
      </c>
      <c r="AC292" s="91">
        <f>AC287/AC$313</f>
        <v>0.4786955323437595</v>
      </c>
      <c r="AD292" s="90"/>
      <c r="AE292" s="90"/>
      <c r="AF292" s="90"/>
      <c r="AG292" s="90"/>
      <c r="AH292" s="91"/>
      <c r="AI292" s="90"/>
      <c r="AJ292" s="90"/>
      <c r="AK292" s="90"/>
      <c r="AL292" s="90"/>
      <c r="AM292" s="91"/>
      <c r="AN292" s="90"/>
      <c r="AO292" s="90"/>
      <c r="AP292" s="90"/>
      <c r="AQ292" s="90"/>
      <c r="AR292" s="91"/>
      <c r="AS292" s="90"/>
      <c r="AT292" s="90"/>
      <c r="AU292" s="90"/>
      <c r="AV292" s="90"/>
      <c r="AW292" s="91"/>
      <c r="AX292" s="90"/>
      <c r="AY292" s="90"/>
      <c r="AZ292" s="90"/>
      <c r="BA292" s="90"/>
      <c r="BB292" s="747"/>
      <c r="BC292" s="90"/>
      <c r="BD292" s="90"/>
      <c r="BE292" s="90"/>
      <c r="BF292" s="90"/>
      <c r="BG292" s="747"/>
      <c r="BH292" s="90"/>
      <c r="BI292" s="90"/>
      <c r="BJ292" s="90"/>
      <c r="BK292" s="90"/>
      <c r="BL292" s="747"/>
      <c r="BM292" s="90"/>
      <c r="BN292" s="90"/>
      <c r="BO292" s="90"/>
      <c r="BP292" s="90"/>
      <c r="BQ292" s="747"/>
      <c r="BR292" s="90"/>
      <c r="BS292" s="90"/>
      <c r="BT292" s="90"/>
      <c r="BU292" s="90"/>
      <c r="BV292" s="747"/>
      <c r="BW292" s="90"/>
      <c r="BX292" s="90"/>
      <c r="BY292" s="90"/>
      <c r="BZ292" s="90"/>
      <c r="CA292" s="747"/>
      <c r="CB292" s="1910"/>
      <c r="CC292" s="9"/>
      <c r="CD292" s="729"/>
      <c r="CE292" s="91"/>
      <c r="CF292" s="91"/>
      <c r="CG292" s="91"/>
      <c r="CH292" s="91"/>
      <c r="CI292" s="91"/>
      <c r="CJ292" s="91"/>
      <c r="CK292" s="91"/>
      <c r="CL292" s="91"/>
      <c r="CM292" s="91"/>
      <c r="CN292" s="91"/>
      <c r="CO292" s="91"/>
      <c r="CP292" s="91"/>
      <c r="CQ292" s="91"/>
      <c r="CR292" s="91"/>
      <c r="CS292" s="91"/>
      <c r="CT292" s="91"/>
      <c r="CU292" s="6"/>
      <c r="DB292" s="1961"/>
      <c r="DC292" s="1961"/>
      <c r="DD292" s="1961"/>
      <c r="DE292" s="1961"/>
      <c r="DF292" s="1961"/>
      <c r="DG292" s="1961"/>
      <c r="DH292" s="1961"/>
      <c r="DI292" s="90"/>
    </row>
    <row r="293" spans="1:113" ht="9" hidden="1" customHeight="1" outlineLevel="2" x14ac:dyDescent="0.25">
      <c r="A293" s="729"/>
      <c r="B293" s="730"/>
      <c r="C293" s="91"/>
      <c r="D293" s="91"/>
      <c r="E293" s="90"/>
      <c r="F293" s="90"/>
      <c r="G293" s="90"/>
      <c r="H293" s="90"/>
      <c r="I293" s="91"/>
      <c r="J293" s="90"/>
      <c r="K293" s="90"/>
      <c r="L293" s="90"/>
      <c r="M293" s="90"/>
      <c r="N293" s="91"/>
      <c r="O293" s="90"/>
      <c r="P293" s="90"/>
      <c r="Q293" s="90"/>
      <c r="R293" s="90"/>
      <c r="S293" s="744"/>
      <c r="T293" s="90"/>
      <c r="U293" s="90"/>
      <c r="V293" s="90"/>
      <c r="W293" s="90"/>
      <c r="X293" s="91"/>
      <c r="Y293" s="90"/>
      <c r="Z293" s="90"/>
      <c r="AA293" s="90"/>
      <c r="AB293" s="147"/>
      <c r="AC293" s="731"/>
      <c r="AD293" s="147"/>
      <c r="AE293" s="147"/>
      <c r="AF293" s="147"/>
      <c r="AG293" s="147"/>
      <c r="AH293" s="731"/>
      <c r="AI293" s="147"/>
      <c r="AJ293" s="147"/>
      <c r="AK293" s="147"/>
      <c r="AL293" s="147"/>
      <c r="AM293" s="731"/>
      <c r="AN293" s="147"/>
      <c r="AO293" s="147"/>
      <c r="AP293" s="147"/>
      <c r="AQ293" s="147"/>
      <c r="AR293" s="731"/>
      <c r="AS293" s="147"/>
      <c r="AT293" s="147"/>
      <c r="AU293" s="147"/>
      <c r="AV293" s="147"/>
      <c r="AW293" s="731"/>
      <c r="AX293" s="147"/>
      <c r="AY293" s="147"/>
      <c r="AZ293" s="147"/>
      <c r="BA293" s="147"/>
      <c r="BB293" s="713"/>
      <c r="BC293" s="147"/>
      <c r="BD293" s="147"/>
      <c r="BE293" s="147"/>
      <c r="BF293" s="147"/>
      <c r="BG293" s="713"/>
      <c r="BH293" s="147"/>
      <c r="BI293" s="147"/>
      <c r="BJ293" s="147"/>
      <c r="BK293" s="147"/>
      <c r="BL293" s="713"/>
      <c r="BM293" s="147"/>
      <c r="BN293" s="147"/>
      <c r="BO293" s="147"/>
      <c r="BP293" s="147"/>
      <c r="BQ293" s="713"/>
      <c r="BR293" s="147"/>
      <c r="BS293" s="147"/>
      <c r="BT293" s="147"/>
      <c r="BU293" s="147"/>
      <c r="BV293" s="713"/>
      <c r="BW293" s="147"/>
      <c r="BX293" s="147"/>
      <c r="BY293" s="147"/>
      <c r="BZ293" s="147"/>
      <c r="CA293" s="713"/>
      <c r="CB293" s="1910"/>
      <c r="CC293" s="9"/>
      <c r="CD293" s="729"/>
      <c r="CE293" s="731"/>
      <c r="CF293" s="731"/>
      <c r="CG293" s="731"/>
      <c r="CH293" s="731"/>
      <c r="CI293" s="731"/>
      <c r="CJ293" s="731"/>
      <c r="CK293" s="731"/>
      <c r="CL293" s="731"/>
      <c r="CM293" s="731"/>
      <c r="CN293" s="731"/>
      <c r="CO293" s="731"/>
      <c r="CP293" s="731"/>
      <c r="CQ293" s="731"/>
      <c r="CR293" s="731"/>
      <c r="CS293" s="731"/>
      <c r="CT293" s="731"/>
      <c r="CU293" s="6"/>
      <c r="DB293" s="1961"/>
      <c r="DC293" s="1961"/>
      <c r="DD293" s="1961"/>
      <c r="DE293" s="1961"/>
      <c r="DF293" s="1961"/>
      <c r="DG293" s="1961"/>
      <c r="DH293" s="1961"/>
      <c r="DI293" s="716"/>
    </row>
    <row r="294" spans="1:113" hidden="1" outlineLevel="2" x14ac:dyDescent="0.25">
      <c r="A294" s="211" t="s">
        <v>108</v>
      </c>
      <c r="B294" s="703"/>
      <c r="C294" s="278">
        <v>53.527000000000001</v>
      </c>
      <c r="D294" s="278">
        <v>67.129000000000005</v>
      </c>
      <c r="E294" s="516">
        <v>17.899999999999999</v>
      </c>
      <c r="F294" s="516">
        <f>38.025-E294</f>
        <v>20.125</v>
      </c>
      <c r="G294" s="516">
        <f>59.408-SUM(E294:F294)</f>
        <v>21.383000000000003</v>
      </c>
      <c r="H294" s="516">
        <f>81.11-SUM(E294:G294)</f>
        <v>21.701999999999998</v>
      </c>
      <c r="I294" s="510">
        <f>SUM(E294:H294)</f>
        <v>81.11</v>
      </c>
      <c r="J294" s="516">
        <v>21.434000000000001</v>
      </c>
      <c r="K294" s="516">
        <f>46.26-J294</f>
        <v>24.825999999999997</v>
      </c>
      <c r="L294" s="516">
        <f>69.353-SUM(J294:K294)</f>
        <v>23.092999999999996</v>
      </c>
      <c r="M294" s="516">
        <f>95.128-SUM(J294:L294)</f>
        <v>25.775000000000006</v>
      </c>
      <c r="N294" s="510">
        <f>SUM(J294:M294)</f>
        <v>95.128</v>
      </c>
      <c r="O294" s="516">
        <v>30.952999999999999</v>
      </c>
      <c r="P294" s="516">
        <f>66.896-O294</f>
        <v>35.942999999999998</v>
      </c>
      <c r="Q294" s="279">
        <v>33.805999999999997</v>
      </c>
      <c r="R294" s="279">
        <v>36.625999999999998</v>
      </c>
      <c r="S294" s="820">
        <f>SUM(O294:R294)</f>
        <v>137.328</v>
      </c>
      <c r="T294" s="516">
        <v>36.927999999999997</v>
      </c>
      <c r="U294" s="516">
        <v>39.779000000000003</v>
      </c>
      <c r="V294" s="516">
        <v>38.079000000000001</v>
      </c>
      <c r="W294" s="279">
        <v>43.62</v>
      </c>
      <c r="X294" s="114">
        <f>SUM(T294:W294)</f>
        <v>158.40600000000001</v>
      </c>
      <c r="Y294" s="516">
        <v>52.941000000000003</v>
      </c>
      <c r="Z294" s="516">
        <v>55.405000000000001</v>
      </c>
      <c r="AA294" s="516">
        <v>64.680000000000007</v>
      </c>
      <c r="AB294" s="115">
        <f>W294*(1+AB295)</f>
        <v>62.594699999999996</v>
      </c>
      <c r="AC294" s="114">
        <f>SUM(Y294:AB294)</f>
        <v>235.6207</v>
      </c>
      <c r="AD294" s="115"/>
      <c r="AE294" s="115"/>
      <c r="AF294" s="115"/>
      <c r="AG294" s="115"/>
      <c r="AH294" s="114"/>
      <c r="AI294" s="115"/>
      <c r="AJ294" s="115"/>
      <c r="AK294" s="115"/>
      <c r="AL294" s="115"/>
      <c r="AM294" s="114"/>
      <c r="AN294" s="115"/>
      <c r="AO294" s="115"/>
      <c r="AP294" s="115"/>
      <c r="AQ294" s="115"/>
      <c r="AR294" s="114"/>
      <c r="AS294" s="115"/>
      <c r="AT294" s="115"/>
      <c r="AU294" s="115"/>
      <c r="AV294" s="115"/>
      <c r="AW294" s="122"/>
      <c r="AX294" s="115"/>
      <c r="AY294" s="115"/>
      <c r="AZ294" s="115"/>
      <c r="BA294" s="115"/>
      <c r="BB294" s="216"/>
      <c r="BC294" s="115"/>
      <c r="BD294" s="115"/>
      <c r="BE294" s="115"/>
      <c r="BF294" s="115"/>
      <c r="BG294" s="216"/>
      <c r="BH294" s="115"/>
      <c r="BI294" s="115"/>
      <c r="BJ294" s="115"/>
      <c r="BK294" s="115"/>
      <c r="BL294" s="216"/>
      <c r="BM294" s="115"/>
      <c r="BN294" s="115"/>
      <c r="BO294" s="115"/>
      <c r="BP294" s="115"/>
      <c r="BQ294" s="216"/>
      <c r="BR294" s="115"/>
      <c r="BS294" s="115"/>
      <c r="BT294" s="115"/>
      <c r="BU294" s="115"/>
      <c r="BV294" s="216"/>
      <c r="BW294" s="115"/>
      <c r="BX294" s="115"/>
      <c r="BY294" s="115"/>
      <c r="BZ294" s="115"/>
      <c r="CA294" s="216"/>
      <c r="CB294" s="1910"/>
      <c r="CC294" s="29"/>
      <c r="CD294" s="211"/>
      <c r="CE294" s="114"/>
      <c r="CF294" s="114"/>
      <c r="CG294" s="114"/>
      <c r="CH294" s="114"/>
      <c r="CI294" s="114"/>
      <c r="CJ294" s="114"/>
      <c r="CK294" s="114"/>
      <c r="CL294" s="114"/>
      <c r="CM294" s="114"/>
      <c r="CN294" s="114"/>
      <c r="CO294" s="114"/>
      <c r="CP294" s="114"/>
      <c r="CQ294" s="114"/>
      <c r="CR294" s="114"/>
      <c r="CS294" s="114"/>
      <c r="CT294" s="114"/>
      <c r="CU294" s="1961"/>
      <c r="DB294" s="1961"/>
      <c r="DC294" s="1961"/>
      <c r="DD294" s="1961"/>
      <c r="DE294" s="1961"/>
      <c r="DF294" s="1961"/>
      <c r="DG294" s="1961"/>
      <c r="DH294" s="1961"/>
      <c r="DI294" s="126"/>
    </row>
    <row r="295" spans="1:113" hidden="1" outlineLevel="2" x14ac:dyDescent="0.25">
      <c r="A295" s="724" t="s">
        <v>209</v>
      </c>
      <c r="B295" s="730"/>
      <c r="C295" s="91"/>
      <c r="D295" s="91">
        <f>D294/C294-1</f>
        <v>0.25411474582920768</v>
      </c>
      <c r="E295" s="90"/>
      <c r="F295" s="90"/>
      <c r="G295" s="90"/>
      <c r="H295" s="90"/>
      <c r="I295" s="91">
        <f t="shared" ref="I295:AA295" si="458">I294/D294-1</f>
        <v>0.20827064309016952</v>
      </c>
      <c r="J295" s="90">
        <f t="shared" si="458"/>
        <v>0.19743016759776544</v>
      </c>
      <c r="K295" s="90">
        <f t="shared" si="458"/>
        <v>0.233590062111801</v>
      </c>
      <c r="L295" s="90">
        <f t="shared" si="458"/>
        <v>7.9970069681522427E-2</v>
      </c>
      <c r="M295" s="90">
        <f t="shared" si="458"/>
        <v>0.18767855497189245</v>
      </c>
      <c r="N295" s="91">
        <f t="shared" si="458"/>
        <v>0.17282702502774017</v>
      </c>
      <c r="O295" s="90">
        <f t="shared" si="458"/>
        <v>0.44410749276849848</v>
      </c>
      <c r="P295" s="90">
        <f t="shared" si="458"/>
        <v>0.44779666478691693</v>
      </c>
      <c r="Q295" s="90">
        <f t="shared" si="458"/>
        <v>0.46390681158792724</v>
      </c>
      <c r="R295" s="90">
        <f t="shared" si="458"/>
        <v>0.4209893307468473</v>
      </c>
      <c r="S295" s="744">
        <f>S294/N294-1</f>
        <v>0.44361281641577666</v>
      </c>
      <c r="T295" s="90">
        <f t="shared" si="458"/>
        <v>0.19303460084644453</v>
      </c>
      <c r="U295" s="90">
        <f t="shared" si="458"/>
        <v>0.10672453607100141</v>
      </c>
      <c r="V295" s="90">
        <f t="shared" si="458"/>
        <v>0.12639768088504999</v>
      </c>
      <c r="W295" s="90">
        <f t="shared" si="458"/>
        <v>0.19095724348823251</v>
      </c>
      <c r="X295" s="91">
        <f>X294/S294-1</f>
        <v>0.15348654316672494</v>
      </c>
      <c r="Y295" s="90">
        <f t="shared" si="458"/>
        <v>0.43362759965337982</v>
      </c>
      <c r="Z295" s="90">
        <f t="shared" si="458"/>
        <v>0.39282033233615721</v>
      </c>
      <c r="AA295" s="90">
        <f t="shared" si="458"/>
        <v>0.69857401717482093</v>
      </c>
      <c r="AB295" s="92">
        <f>CHOOSE($A$3,AB296,AB297,AB298)</f>
        <v>0.435</v>
      </c>
      <c r="AC295" s="91">
        <f>AC294/X294-1</f>
        <v>0.48744807646175015</v>
      </c>
      <c r="AD295" s="92"/>
      <c r="AE295" s="92"/>
      <c r="AF295" s="92"/>
      <c r="AG295" s="92"/>
      <c r="AH295" s="91"/>
      <c r="AI295" s="92"/>
      <c r="AJ295" s="92"/>
      <c r="AK295" s="92"/>
      <c r="AL295" s="92"/>
      <c r="AM295" s="91"/>
      <c r="AN295" s="92"/>
      <c r="AO295" s="92"/>
      <c r="AP295" s="92"/>
      <c r="AQ295" s="92"/>
      <c r="AR295" s="91"/>
      <c r="AS295" s="92"/>
      <c r="AT295" s="92"/>
      <c r="AU295" s="92"/>
      <c r="AV295" s="92"/>
      <c r="AW295" s="91"/>
      <c r="AX295" s="92"/>
      <c r="AY295" s="92"/>
      <c r="AZ295" s="92"/>
      <c r="BA295" s="92"/>
      <c r="BB295" s="747"/>
      <c r="BC295" s="92"/>
      <c r="BD295" s="92"/>
      <c r="BE295" s="92"/>
      <c r="BF295" s="92"/>
      <c r="BG295" s="747"/>
      <c r="BH295" s="92"/>
      <c r="BI295" s="92"/>
      <c r="BJ295" s="92"/>
      <c r="BK295" s="92"/>
      <c r="BL295" s="747"/>
      <c r="BM295" s="92"/>
      <c r="BN295" s="92"/>
      <c r="BO295" s="92"/>
      <c r="BP295" s="92"/>
      <c r="BQ295" s="747"/>
      <c r="BR295" s="92"/>
      <c r="BS295" s="92"/>
      <c r="BT295" s="92"/>
      <c r="BU295" s="92"/>
      <c r="BV295" s="747"/>
      <c r="BW295" s="92"/>
      <c r="BX295" s="92"/>
      <c r="BY295" s="92"/>
      <c r="BZ295" s="92"/>
      <c r="CA295" s="747"/>
      <c r="CB295" s="1910"/>
      <c r="CC295" s="29"/>
      <c r="CD295" s="724"/>
      <c r="CE295" s="91"/>
      <c r="CF295" s="91"/>
      <c r="CG295" s="91"/>
      <c r="CH295" s="91"/>
      <c r="CI295" s="91"/>
      <c r="CJ295" s="91"/>
      <c r="CK295" s="91"/>
      <c r="CL295" s="91"/>
      <c r="CM295" s="91"/>
      <c r="CN295" s="91"/>
      <c r="CO295" s="91"/>
      <c r="CP295" s="91"/>
      <c r="CQ295" s="91"/>
      <c r="CR295" s="91"/>
      <c r="CS295" s="91"/>
      <c r="CT295" s="91"/>
      <c r="CU295" s="1961"/>
      <c r="DB295" s="1961"/>
      <c r="DC295" s="1961"/>
      <c r="DD295" s="1961"/>
      <c r="DE295" s="1961"/>
      <c r="DF295" s="1961"/>
      <c r="DG295" s="1961"/>
      <c r="DH295" s="1961"/>
      <c r="DI295" s="90"/>
    </row>
    <row r="296" spans="1:113" hidden="1" outlineLevel="3" x14ac:dyDescent="0.25">
      <c r="A296" s="748" t="s">
        <v>214</v>
      </c>
      <c r="B296" s="730"/>
      <c r="C296" s="751"/>
      <c r="D296" s="751"/>
      <c r="E296" s="750"/>
      <c r="F296" s="750"/>
      <c r="G296" s="750"/>
      <c r="H296" s="750"/>
      <c r="I296" s="751"/>
      <c r="J296" s="750"/>
      <c r="K296" s="750"/>
      <c r="L296" s="750"/>
      <c r="M296" s="750"/>
      <c r="N296" s="752"/>
      <c r="O296" s="750"/>
      <c r="P296" s="753"/>
      <c r="Q296" s="753"/>
      <c r="R296" s="753"/>
      <c r="S296" s="754"/>
      <c r="T296" s="750"/>
      <c r="U296" s="750"/>
      <c r="V296" s="750"/>
      <c r="W296" s="750"/>
      <c r="X296" s="752"/>
      <c r="Y296" s="750"/>
      <c r="Z296" s="750"/>
      <c r="AA296" s="750"/>
      <c r="AB296" s="753">
        <f>AB297-5%</f>
        <v>0.38500000000000001</v>
      </c>
      <c r="AC296" s="752"/>
      <c r="AD296" s="753"/>
      <c r="AE296" s="753"/>
      <c r="AF296" s="753"/>
      <c r="AG296" s="753"/>
      <c r="AH296" s="752"/>
      <c r="AI296" s="753"/>
      <c r="AJ296" s="753"/>
      <c r="AK296" s="753"/>
      <c r="AL296" s="753"/>
      <c r="AM296" s="752"/>
      <c r="AN296" s="753"/>
      <c r="AO296" s="753"/>
      <c r="AP296" s="753"/>
      <c r="AQ296" s="753"/>
      <c r="AR296" s="752"/>
      <c r="AS296" s="753"/>
      <c r="AT296" s="753"/>
      <c r="AU296" s="753"/>
      <c r="AV296" s="753"/>
      <c r="AW296" s="752"/>
      <c r="AX296" s="753"/>
      <c r="AY296" s="753"/>
      <c r="AZ296" s="753"/>
      <c r="BA296" s="753"/>
      <c r="BB296" s="757"/>
      <c r="BC296" s="753"/>
      <c r="BD296" s="753"/>
      <c r="BE296" s="753"/>
      <c r="BF296" s="753"/>
      <c r="BG296" s="757"/>
      <c r="BH296" s="753"/>
      <c r="BI296" s="753"/>
      <c r="BJ296" s="753"/>
      <c r="BK296" s="753"/>
      <c r="BL296" s="757"/>
      <c r="BM296" s="753"/>
      <c r="BN296" s="753"/>
      <c r="BO296" s="753"/>
      <c r="BP296" s="753"/>
      <c r="BQ296" s="757"/>
      <c r="BR296" s="753"/>
      <c r="BS296" s="753"/>
      <c r="BT296" s="753"/>
      <c r="BU296" s="753"/>
      <c r="BV296" s="757"/>
      <c r="BW296" s="753"/>
      <c r="BX296" s="753"/>
      <c r="BY296" s="753"/>
      <c r="BZ296" s="753"/>
      <c r="CA296" s="757"/>
      <c r="CB296" s="1910"/>
      <c r="CC296" s="29"/>
      <c r="CD296" s="748"/>
      <c r="CE296" s="752"/>
      <c r="CF296" s="752"/>
      <c r="CG296" s="752"/>
      <c r="CH296" s="752"/>
      <c r="CI296" s="752"/>
      <c r="CJ296" s="752"/>
      <c r="CK296" s="752"/>
      <c r="CL296" s="752"/>
      <c r="CM296" s="752"/>
      <c r="CN296" s="752"/>
      <c r="CO296" s="752"/>
      <c r="CP296" s="752"/>
      <c r="CQ296" s="752"/>
      <c r="CR296" s="752"/>
      <c r="CS296" s="752"/>
      <c r="CT296" s="752"/>
      <c r="CU296" s="1961"/>
      <c r="DB296" s="1961"/>
      <c r="DC296" s="1961"/>
      <c r="DD296" s="1961"/>
      <c r="DE296" s="1961"/>
      <c r="DF296" s="1961"/>
      <c r="DG296" s="1961"/>
      <c r="DH296" s="1961"/>
      <c r="DI296" s="716"/>
    </row>
    <row r="297" spans="1:113" hidden="1" outlineLevel="3" x14ac:dyDescent="0.25">
      <c r="A297" s="748" t="s">
        <v>215</v>
      </c>
      <c r="B297" s="730"/>
      <c r="C297" s="751"/>
      <c r="D297" s="751"/>
      <c r="E297" s="750"/>
      <c r="F297" s="750"/>
      <c r="G297" s="750"/>
      <c r="H297" s="750"/>
      <c r="I297" s="751"/>
      <c r="J297" s="750"/>
      <c r="K297" s="750"/>
      <c r="L297" s="750"/>
      <c r="M297" s="750"/>
      <c r="N297" s="752"/>
      <c r="O297" s="750"/>
      <c r="P297" s="753"/>
      <c r="Q297" s="753"/>
      <c r="R297" s="753"/>
      <c r="S297" s="754"/>
      <c r="T297" s="819"/>
      <c r="U297" s="819"/>
      <c r="V297" s="819"/>
      <c r="W297" s="819"/>
      <c r="X297" s="752"/>
      <c r="Y297" s="819"/>
      <c r="Z297" s="819"/>
      <c r="AA297" s="819"/>
      <c r="AB297" s="753">
        <v>0.435</v>
      </c>
      <c r="AC297" s="752"/>
      <c r="AD297" s="753"/>
      <c r="AE297" s="753"/>
      <c r="AF297" s="753"/>
      <c r="AG297" s="753"/>
      <c r="AH297" s="752"/>
      <c r="AI297" s="753"/>
      <c r="AJ297" s="753"/>
      <c r="AK297" s="753"/>
      <c r="AL297" s="753"/>
      <c r="AM297" s="752"/>
      <c r="AN297" s="753"/>
      <c r="AO297" s="753"/>
      <c r="AP297" s="753"/>
      <c r="AQ297" s="753"/>
      <c r="AR297" s="752"/>
      <c r="AS297" s="753"/>
      <c r="AT297" s="753"/>
      <c r="AU297" s="753"/>
      <c r="AV297" s="753"/>
      <c r="AW297" s="752"/>
      <c r="AX297" s="753"/>
      <c r="AY297" s="753"/>
      <c r="AZ297" s="753"/>
      <c r="BA297" s="753"/>
      <c r="BB297" s="757"/>
      <c r="BC297" s="753"/>
      <c r="BD297" s="753"/>
      <c r="BE297" s="753"/>
      <c r="BF297" s="753"/>
      <c r="BG297" s="757"/>
      <c r="BH297" s="753"/>
      <c r="BI297" s="753"/>
      <c r="BJ297" s="753"/>
      <c r="BK297" s="753"/>
      <c r="BL297" s="757"/>
      <c r="BM297" s="753"/>
      <c r="BN297" s="753"/>
      <c r="BO297" s="753"/>
      <c r="BP297" s="753"/>
      <c r="BQ297" s="757"/>
      <c r="BR297" s="753"/>
      <c r="BS297" s="753"/>
      <c r="BT297" s="753"/>
      <c r="BU297" s="753"/>
      <c r="BV297" s="757"/>
      <c r="BW297" s="753"/>
      <c r="BX297" s="753"/>
      <c r="BY297" s="753"/>
      <c r="BZ297" s="753"/>
      <c r="CA297" s="757"/>
      <c r="CB297" s="1910"/>
      <c r="CC297" s="29"/>
      <c r="CD297" s="748"/>
      <c r="CE297" s="752"/>
      <c r="CF297" s="752"/>
      <c r="CG297" s="752"/>
      <c r="CH297" s="752"/>
      <c r="CI297" s="752"/>
      <c r="CJ297" s="752"/>
      <c r="CK297" s="752"/>
      <c r="CL297" s="752"/>
      <c r="CM297" s="752"/>
      <c r="CN297" s="752"/>
      <c r="CO297" s="752"/>
      <c r="CP297" s="752"/>
      <c r="CQ297" s="752"/>
      <c r="CR297" s="752"/>
      <c r="CS297" s="752"/>
      <c r="CT297" s="752"/>
      <c r="CU297" s="1961"/>
      <c r="DB297" s="1961"/>
      <c r="DC297" s="1961"/>
      <c r="DD297" s="1961"/>
      <c r="DE297" s="1961"/>
      <c r="DF297" s="1961"/>
      <c r="DG297" s="1961"/>
      <c r="DH297" s="1961"/>
      <c r="DI297" s="716"/>
    </row>
    <row r="298" spans="1:113" hidden="1" outlineLevel="3" x14ac:dyDescent="0.25">
      <c r="A298" s="748" t="s">
        <v>216</v>
      </c>
      <c r="B298" s="730"/>
      <c r="C298" s="751"/>
      <c r="D298" s="751"/>
      <c r="E298" s="750"/>
      <c r="F298" s="750"/>
      <c r="G298" s="750"/>
      <c r="H298" s="750"/>
      <c r="I298" s="751"/>
      <c r="J298" s="750"/>
      <c r="K298" s="750"/>
      <c r="L298" s="750"/>
      <c r="M298" s="750"/>
      <c r="N298" s="752"/>
      <c r="O298" s="750"/>
      <c r="P298" s="753"/>
      <c r="Q298" s="753"/>
      <c r="R298" s="753"/>
      <c r="S298" s="754"/>
      <c r="T298" s="819"/>
      <c r="U298" s="819"/>
      <c r="V298" s="819"/>
      <c r="W298" s="819"/>
      <c r="X298" s="752"/>
      <c r="Y298" s="821"/>
      <c r="Z298" s="819"/>
      <c r="AA298" s="819"/>
      <c r="AB298" s="753">
        <f>AB297</f>
        <v>0.435</v>
      </c>
      <c r="AC298" s="752"/>
      <c r="AD298" s="753"/>
      <c r="AE298" s="753"/>
      <c r="AF298" s="753"/>
      <c r="AG298" s="753"/>
      <c r="AH298" s="752"/>
      <c r="AI298" s="753"/>
      <c r="AJ298" s="753"/>
      <c r="AK298" s="753"/>
      <c r="AL298" s="753"/>
      <c r="AM298" s="752"/>
      <c r="AN298" s="753"/>
      <c r="AO298" s="753"/>
      <c r="AP298" s="753"/>
      <c r="AQ298" s="753"/>
      <c r="AR298" s="752"/>
      <c r="AS298" s="753"/>
      <c r="AT298" s="753"/>
      <c r="AU298" s="753"/>
      <c r="AV298" s="753"/>
      <c r="AW298" s="752"/>
      <c r="AX298" s="753"/>
      <c r="AY298" s="753"/>
      <c r="AZ298" s="753"/>
      <c r="BA298" s="753"/>
      <c r="BB298" s="757"/>
      <c r="BC298" s="753"/>
      <c r="BD298" s="753"/>
      <c r="BE298" s="753"/>
      <c r="BF298" s="753"/>
      <c r="BG298" s="757"/>
      <c r="BH298" s="753"/>
      <c r="BI298" s="753"/>
      <c r="BJ298" s="753"/>
      <c r="BK298" s="753"/>
      <c r="BL298" s="757"/>
      <c r="BM298" s="753"/>
      <c r="BN298" s="753"/>
      <c r="BO298" s="753"/>
      <c r="BP298" s="753"/>
      <c r="BQ298" s="757"/>
      <c r="BR298" s="753"/>
      <c r="BS298" s="753"/>
      <c r="BT298" s="753"/>
      <c r="BU298" s="753"/>
      <c r="BV298" s="757"/>
      <c r="BW298" s="753"/>
      <c r="BX298" s="753"/>
      <c r="BY298" s="753"/>
      <c r="BZ298" s="753"/>
      <c r="CA298" s="757"/>
      <c r="CB298" s="1910"/>
      <c r="CC298" s="29"/>
      <c r="CD298" s="748"/>
      <c r="CE298" s="752"/>
      <c r="CF298" s="752"/>
      <c r="CG298" s="752"/>
      <c r="CH298" s="752"/>
      <c r="CI298" s="752"/>
      <c r="CJ298" s="752"/>
      <c r="CK298" s="752"/>
      <c r="CL298" s="752"/>
      <c r="CM298" s="752"/>
      <c r="CN298" s="752"/>
      <c r="CO298" s="752"/>
      <c r="CP298" s="752"/>
      <c r="CQ298" s="752"/>
      <c r="CR298" s="752"/>
      <c r="CS298" s="752"/>
      <c r="CT298" s="752"/>
      <c r="CU298" s="1961"/>
      <c r="DB298" s="1961"/>
      <c r="DC298" s="1961"/>
      <c r="DD298" s="1961"/>
      <c r="DE298" s="1961"/>
      <c r="DF298" s="1961"/>
      <c r="DG298" s="1961"/>
      <c r="DH298" s="1961"/>
      <c r="DI298" s="716"/>
    </row>
    <row r="299" spans="1:113" hidden="1" outlineLevel="2" x14ac:dyDescent="0.25">
      <c r="A299" s="729" t="s">
        <v>224</v>
      </c>
      <c r="B299" s="730"/>
      <c r="C299" s="91"/>
      <c r="D299" s="91"/>
      <c r="E299" s="90"/>
      <c r="F299" s="90"/>
      <c r="G299" s="90"/>
      <c r="H299" s="90"/>
      <c r="I299" s="91">
        <f>I294/I313</f>
        <v>0.25583926064945506</v>
      </c>
      <c r="J299" s="90">
        <f>J294/J$313</f>
        <v>0.24197608914076699</v>
      </c>
      <c r="K299" s="90">
        <f>K294/K$313</f>
        <v>0.25926583468226194</v>
      </c>
      <c r="L299" s="90">
        <f>L294/L$313</f>
        <v>0.23278060581623911</v>
      </c>
      <c r="M299" s="90">
        <f>M294/M$313</f>
        <v>0.24403522060215868</v>
      </c>
      <c r="N299" s="91">
        <f>N294/N313</f>
        <v>0.24444507257958831</v>
      </c>
      <c r="O299" s="90">
        <f>O294/$O$313</f>
        <v>0.26641132676335155</v>
      </c>
      <c r="P299" s="90">
        <f>P294/P$313</f>
        <v>0.28844625990097023</v>
      </c>
      <c r="Q299" s="90">
        <f>Q294/Q$313</f>
        <v>0.26351030080052379</v>
      </c>
      <c r="R299" s="90">
        <f>R294/R$313</f>
        <v>0.27324067649933226</v>
      </c>
      <c r="S299" s="744">
        <f>S294/S313</f>
        <v>0.27294843459318502</v>
      </c>
      <c r="T299" s="90">
        <f>T294/$T$313</f>
        <v>0.26083516980279142</v>
      </c>
      <c r="U299" s="90">
        <f>U294/$T$313</f>
        <v>0.28097276374526758</v>
      </c>
      <c r="V299" s="90">
        <f>V294/$T$313</f>
        <v>0.26896507882691983</v>
      </c>
      <c r="W299" s="90">
        <f>W294/W$313</f>
        <v>0.27933604856681776</v>
      </c>
      <c r="X299" s="91">
        <f>X294/X313</f>
        <v>0.26569049236420356</v>
      </c>
      <c r="Y299" s="90">
        <f>Y294/Y$313</f>
        <v>0.30721423348769195</v>
      </c>
      <c r="Z299" s="90">
        <f>Z294/Z$313</f>
        <v>0.29668005354752341</v>
      </c>
      <c r="AA299" s="90">
        <f>AA294/AA$313</f>
        <v>0.32320446130091296</v>
      </c>
      <c r="AB299" s="90">
        <f>AB294/AB$313</f>
        <v>0.29909261188253172</v>
      </c>
      <c r="AC299" s="91">
        <f>AC294/AC313</f>
        <v>0.30660655658775321</v>
      </c>
      <c r="AD299" s="90"/>
      <c r="AE299" s="90"/>
      <c r="AF299" s="90"/>
      <c r="AG299" s="90"/>
      <c r="AH299" s="91"/>
      <c r="AI299" s="90"/>
      <c r="AJ299" s="90"/>
      <c r="AK299" s="90"/>
      <c r="AL299" s="90"/>
      <c r="AM299" s="91"/>
      <c r="AN299" s="90"/>
      <c r="AO299" s="90"/>
      <c r="AP299" s="90"/>
      <c r="AQ299" s="90"/>
      <c r="AR299" s="91"/>
      <c r="AS299" s="90"/>
      <c r="AT299" s="90"/>
      <c r="AU299" s="90"/>
      <c r="AV299" s="90"/>
      <c r="AW299" s="91"/>
      <c r="AX299" s="90"/>
      <c r="AY299" s="90"/>
      <c r="AZ299" s="90"/>
      <c r="BA299" s="90"/>
      <c r="BB299" s="747"/>
      <c r="BC299" s="90"/>
      <c r="BD299" s="90"/>
      <c r="BE299" s="90"/>
      <c r="BF299" s="90"/>
      <c r="BG299" s="747"/>
      <c r="BH299" s="90"/>
      <c r="BI299" s="90"/>
      <c r="BJ299" s="90"/>
      <c r="BK299" s="90"/>
      <c r="BL299" s="747"/>
      <c r="BM299" s="90"/>
      <c r="BN299" s="90"/>
      <c r="BO299" s="90"/>
      <c r="BP299" s="90"/>
      <c r="BQ299" s="747"/>
      <c r="BR299" s="90"/>
      <c r="BS299" s="90"/>
      <c r="BT299" s="90"/>
      <c r="BU299" s="90"/>
      <c r="BV299" s="747"/>
      <c r="BW299" s="90"/>
      <c r="BX299" s="90"/>
      <c r="BY299" s="90"/>
      <c r="BZ299" s="90"/>
      <c r="CA299" s="747"/>
      <c r="CB299" s="1910"/>
      <c r="CC299" s="9"/>
      <c r="CD299" s="729"/>
      <c r="CE299" s="91"/>
      <c r="CF299" s="91"/>
      <c r="CG299" s="91"/>
      <c r="CH299" s="91"/>
      <c r="CI299" s="91"/>
      <c r="CJ299" s="91"/>
      <c r="CK299" s="91"/>
      <c r="CL299" s="91"/>
      <c r="CM299" s="91"/>
      <c r="CN299" s="91"/>
      <c r="CO299" s="91"/>
      <c r="CP299" s="91"/>
      <c r="CQ299" s="91"/>
      <c r="CR299" s="91"/>
      <c r="CS299" s="91"/>
      <c r="CT299" s="91"/>
      <c r="CU299" s="6"/>
      <c r="DB299" s="1961"/>
      <c r="DC299" s="1961"/>
      <c r="DD299" s="1961"/>
      <c r="DE299" s="1961"/>
      <c r="DF299" s="1961"/>
      <c r="DG299" s="1961"/>
      <c r="DH299" s="1961"/>
      <c r="DI299" s="90"/>
    </row>
    <row r="300" spans="1:113" hidden="1" outlineLevel="2" x14ac:dyDescent="0.25">
      <c r="A300" s="729"/>
      <c r="B300" s="730"/>
      <c r="C300" s="91"/>
      <c r="D300" s="91"/>
      <c r="E300" s="90"/>
      <c r="F300" s="90"/>
      <c r="G300" s="90"/>
      <c r="H300" s="90"/>
      <c r="I300" s="91"/>
      <c r="J300" s="90"/>
      <c r="K300" s="90"/>
      <c r="L300" s="90"/>
      <c r="M300" s="90"/>
      <c r="N300" s="731"/>
      <c r="O300" s="90"/>
      <c r="P300" s="90"/>
      <c r="Q300" s="90"/>
      <c r="R300" s="90"/>
      <c r="S300" s="822"/>
      <c r="T300" s="90"/>
      <c r="U300" s="90"/>
      <c r="V300" s="90"/>
      <c r="W300" s="90"/>
      <c r="X300" s="731"/>
      <c r="Y300" s="90"/>
      <c r="Z300" s="90"/>
      <c r="AA300" s="90"/>
      <c r="AB300" s="716"/>
      <c r="AC300" s="731"/>
      <c r="AD300" s="716"/>
      <c r="AE300" s="716"/>
      <c r="AF300" s="716"/>
      <c r="AG300" s="716"/>
      <c r="AH300" s="731"/>
      <c r="AI300" s="716"/>
      <c r="AJ300" s="716"/>
      <c r="AK300" s="716"/>
      <c r="AL300" s="716"/>
      <c r="AM300" s="731"/>
      <c r="AN300" s="716"/>
      <c r="AO300" s="716"/>
      <c r="AP300" s="716"/>
      <c r="AQ300" s="716"/>
      <c r="AR300" s="731"/>
      <c r="AS300" s="716"/>
      <c r="AT300" s="716"/>
      <c r="AU300" s="716"/>
      <c r="AV300" s="716"/>
      <c r="AW300" s="731"/>
      <c r="AX300" s="716"/>
      <c r="AY300" s="716"/>
      <c r="AZ300" s="716"/>
      <c r="BA300" s="716"/>
      <c r="BB300" s="713"/>
      <c r="BC300" s="716"/>
      <c r="BD300" s="716"/>
      <c r="BE300" s="716"/>
      <c r="BF300" s="716"/>
      <c r="BG300" s="713"/>
      <c r="BH300" s="716"/>
      <c r="BI300" s="716"/>
      <c r="BJ300" s="716"/>
      <c r="BK300" s="716"/>
      <c r="BL300" s="713"/>
      <c r="BM300" s="716"/>
      <c r="BN300" s="716"/>
      <c r="BO300" s="716"/>
      <c r="BP300" s="716"/>
      <c r="BQ300" s="713"/>
      <c r="BR300" s="716"/>
      <c r="BS300" s="716"/>
      <c r="BT300" s="716"/>
      <c r="BU300" s="716"/>
      <c r="BV300" s="713"/>
      <c r="BW300" s="716"/>
      <c r="BX300" s="716"/>
      <c r="BY300" s="716"/>
      <c r="BZ300" s="716"/>
      <c r="CA300" s="713"/>
      <c r="CB300" s="1910"/>
      <c r="CC300" s="9"/>
      <c r="CD300" s="729"/>
      <c r="CE300" s="731"/>
      <c r="CF300" s="731"/>
      <c r="CG300" s="731"/>
      <c r="CH300" s="731"/>
      <c r="CI300" s="731"/>
      <c r="CJ300" s="731"/>
      <c r="CK300" s="731"/>
      <c r="CL300" s="731"/>
      <c r="CM300" s="731"/>
      <c r="CN300" s="731"/>
      <c r="CO300" s="731"/>
      <c r="CP300" s="731"/>
      <c r="CQ300" s="731"/>
      <c r="CR300" s="731"/>
      <c r="CS300" s="731"/>
      <c r="CT300" s="731"/>
      <c r="CU300" s="6"/>
      <c r="DB300" s="1961"/>
      <c r="DC300" s="1961"/>
      <c r="DD300" s="1961"/>
      <c r="DE300" s="1961"/>
      <c r="DF300" s="1961"/>
      <c r="DG300" s="1961"/>
      <c r="DH300" s="1961"/>
      <c r="DI300" s="716"/>
    </row>
    <row r="301" spans="1:113" hidden="1" outlineLevel="2" x14ac:dyDescent="0.25">
      <c r="A301" s="211" t="s">
        <v>109</v>
      </c>
      <c r="B301" s="703"/>
      <c r="C301" s="278">
        <v>0</v>
      </c>
      <c r="D301" s="278">
        <v>22.181000000000001</v>
      </c>
      <c r="E301" s="516">
        <v>14.369</v>
      </c>
      <c r="F301" s="516">
        <f>28.875-E301</f>
        <v>14.506</v>
      </c>
      <c r="G301" s="516">
        <f>45.148-SUM(E301:F301)</f>
        <v>16.273000000000003</v>
      </c>
      <c r="H301" s="516">
        <f>63.199-SUM(E301:G301)</f>
        <v>18.050999999999995</v>
      </c>
      <c r="I301" s="510">
        <f>SUM(E301:H301)</f>
        <v>63.198999999999998</v>
      </c>
      <c r="J301" s="516">
        <v>16.824999999999999</v>
      </c>
      <c r="K301" s="516">
        <f>35.216-J301</f>
        <v>18.391000000000002</v>
      </c>
      <c r="L301" s="516">
        <f>56.532-SUM(J301:K301)</f>
        <v>21.315999999999995</v>
      </c>
      <c r="M301" s="516">
        <f>80.037-SUM(J301:L301)</f>
        <v>23.50500000000001</v>
      </c>
      <c r="N301" s="510">
        <f>SUM(J301:M301)</f>
        <v>80.037000000000006</v>
      </c>
      <c r="O301" s="516">
        <v>21.39</v>
      </c>
      <c r="P301" s="516">
        <f>43.423-O301</f>
        <v>22.033000000000001</v>
      </c>
      <c r="Q301" s="279">
        <v>25.181999999999999</v>
      </c>
      <c r="R301" s="279">
        <v>24.091999999999999</v>
      </c>
      <c r="S301" s="820">
        <f>SUM(O301:R301)</f>
        <v>92.697000000000003</v>
      </c>
      <c r="T301" s="516">
        <v>25.853000000000002</v>
      </c>
      <c r="U301" s="516">
        <v>28.414000000000001</v>
      </c>
      <c r="V301" s="516">
        <v>31.422000000000001</v>
      </c>
      <c r="W301" s="279">
        <v>31.329000000000001</v>
      </c>
      <c r="X301" s="114">
        <f>SUM(T301:W301)</f>
        <v>117.018</v>
      </c>
      <c r="Y301" s="516">
        <v>32.798999999999999</v>
      </c>
      <c r="Z301" s="516">
        <v>38.277000000000001</v>
      </c>
      <c r="AA301" s="516">
        <v>40.777999999999999</v>
      </c>
      <c r="AB301" s="115">
        <f>W301*(1+AB302)</f>
        <v>37.594799999999999</v>
      </c>
      <c r="AC301" s="114">
        <f>SUM(Y301:AB301)</f>
        <v>149.44879999999998</v>
      </c>
      <c r="AD301" s="115"/>
      <c r="AE301" s="115"/>
      <c r="AF301" s="115"/>
      <c r="AG301" s="115"/>
      <c r="AH301" s="114"/>
      <c r="AI301" s="115"/>
      <c r="AJ301" s="115"/>
      <c r="AK301" s="115"/>
      <c r="AL301" s="115"/>
      <c r="AM301" s="114"/>
      <c r="AN301" s="115"/>
      <c r="AO301" s="115"/>
      <c r="AP301" s="115"/>
      <c r="AQ301" s="115"/>
      <c r="AR301" s="114"/>
      <c r="AS301" s="115"/>
      <c r="AT301" s="115"/>
      <c r="AU301" s="115"/>
      <c r="AV301" s="115"/>
      <c r="AW301" s="122"/>
      <c r="AX301" s="115"/>
      <c r="AY301" s="115"/>
      <c r="AZ301" s="115"/>
      <c r="BA301" s="115"/>
      <c r="BB301" s="216"/>
      <c r="BC301" s="115"/>
      <c r="BD301" s="115"/>
      <c r="BE301" s="115"/>
      <c r="BF301" s="115"/>
      <c r="BG301" s="216"/>
      <c r="BH301" s="115"/>
      <c r="BI301" s="115"/>
      <c r="BJ301" s="115"/>
      <c r="BK301" s="115"/>
      <c r="BL301" s="216"/>
      <c r="BM301" s="115"/>
      <c r="BN301" s="115"/>
      <c r="BO301" s="115"/>
      <c r="BP301" s="115"/>
      <c r="BQ301" s="216"/>
      <c r="BR301" s="115"/>
      <c r="BS301" s="115"/>
      <c r="BT301" s="115"/>
      <c r="BU301" s="115"/>
      <c r="BV301" s="216"/>
      <c r="BW301" s="115"/>
      <c r="BX301" s="115"/>
      <c r="BY301" s="115"/>
      <c r="BZ301" s="115"/>
      <c r="CA301" s="216"/>
      <c r="CB301" s="1910"/>
      <c r="CC301" s="29"/>
      <c r="CD301" s="211"/>
      <c r="CE301" s="114"/>
      <c r="CF301" s="114"/>
      <c r="CG301" s="114"/>
      <c r="CH301" s="114"/>
      <c r="CI301" s="114"/>
      <c r="CJ301" s="114"/>
      <c r="CK301" s="114"/>
      <c r="CL301" s="114"/>
      <c r="CM301" s="114"/>
      <c r="CN301" s="114"/>
      <c r="CO301" s="114"/>
      <c r="CP301" s="114"/>
      <c r="CQ301" s="114"/>
      <c r="CR301" s="114"/>
      <c r="CS301" s="114"/>
      <c r="CT301" s="114"/>
      <c r="CU301" s="1961"/>
      <c r="DB301" s="1961"/>
      <c r="DC301" s="1961"/>
      <c r="DD301" s="1961"/>
      <c r="DE301" s="1961"/>
      <c r="DF301" s="1961"/>
      <c r="DG301" s="1961"/>
      <c r="DH301" s="1961"/>
      <c r="DI301" s="126"/>
    </row>
    <row r="302" spans="1:113" hidden="1" outlineLevel="2" x14ac:dyDescent="0.25">
      <c r="A302" s="724" t="s">
        <v>209</v>
      </c>
      <c r="B302" s="730"/>
      <c r="C302" s="91"/>
      <c r="D302" s="91"/>
      <c r="E302" s="90"/>
      <c r="F302" s="90"/>
      <c r="G302" s="90"/>
      <c r="H302" s="90"/>
      <c r="I302" s="91">
        <f t="shared" ref="I302:AA302" si="459">I301/D301-1</f>
        <v>1.8492403408322438</v>
      </c>
      <c r="J302" s="90">
        <f t="shared" si="459"/>
        <v>0.17092351590228971</v>
      </c>
      <c r="K302" s="90">
        <f t="shared" si="459"/>
        <v>0.26782021232593411</v>
      </c>
      <c r="L302" s="90">
        <f t="shared" si="459"/>
        <v>0.30989983408099242</v>
      </c>
      <c r="M302" s="90">
        <f t="shared" si="459"/>
        <v>0.30214392554429215</v>
      </c>
      <c r="N302" s="91">
        <f t="shared" si="459"/>
        <v>0.26642826627003613</v>
      </c>
      <c r="O302" s="90">
        <f t="shared" si="459"/>
        <v>0.27132243684992585</v>
      </c>
      <c r="P302" s="90">
        <f t="shared" si="459"/>
        <v>0.1980316459137621</v>
      </c>
      <c r="Q302" s="90">
        <f t="shared" si="459"/>
        <v>0.18136610996434621</v>
      </c>
      <c r="R302" s="90">
        <f t="shared" si="459"/>
        <v>2.4973409912784073E-2</v>
      </c>
      <c r="S302" s="744">
        <f>S301/N301-1</f>
        <v>0.15817684321001524</v>
      </c>
      <c r="T302" s="90">
        <f t="shared" si="459"/>
        <v>0.20864890135577374</v>
      </c>
      <c r="U302" s="90">
        <f t="shared" si="459"/>
        <v>0.28961103798847176</v>
      </c>
      <c r="V302" s="90">
        <f t="shared" si="459"/>
        <v>0.24779604479390049</v>
      </c>
      <c r="W302" s="90">
        <f t="shared" si="459"/>
        <v>0.30039017101112409</v>
      </c>
      <c r="X302" s="91">
        <f>X301/S301-1</f>
        <v>0.26237095051619796</v>
      </c>
      <c r="Y302" s="90">
        <f t="shared" si="459"/>
        <v>0.26867288129037248</v>
      </c>
      <c r="Z302" s="90">
        <f t="shared" si="459"/>
        <v>0.3471176180755966</v>
      </c>
      <c r="AA302" s="90">
        <f t="shared" si="459"/>
        <v>0.29775316657119211</v>
      </c>
      <c r="AB302" s="92">
        <f>CHOOSE($A$3,AB303,AB304,AB305)</f>
        <v>0.2</v>
      </c>
      <c r="AC302" s="91">
        <f>AC301/X301-1</f>
        <v>0.27714368729597139</v>
      </c>
      <c r="AD302" s="92"/>
      <c r="AE302" s="92"/>
      <c r="AF302" s="92"/>
      <c r="AG302" s="92"/>
      <c r="AH302" s="91"/>
      <c r="AI302" s="92"/>
      <c r="AJ302" s="92"/>
      <c r="AK302" s="92"/>
      <c r="AL302" s="92"/>
      <c r="AM302" s="91"/>
      <c r="AN302" s="92"/>
      <c r="AO302" s="92"/>
      <c r="AP302" s="92"/>
      <c r="AQ302" s="92"/>
      <c r="AR302" s="91"/>
      <c r="AS302" s="92"/>
      <c r="AT302" s="92"/>
      <c r="AU302" s="92"/>
      <c r="AV302" s="92"/>
      <c r="AW302" s="91"/>
      <c r="AX302" s="92"/>
      <c r="AY302" s="92"/>
      <c r="AZ302" s="92"/>
      <c r="BA302" s="92"/>
      <c r="BB302" s="747"/>
      <c r="BC302" s="92"/>
      <c r="BD302" s="92"/>
      <c r="BE302" s="92"/>
      <c r="BF302" s="92"/>
      <c r="BG302" s="747"/>
      <c r="BH302" s="92"/>
      <c r="BI302" s="92"/>
      <c r="BJ302" s="92"/>
      <c r="BK302" s="92"/>
      <c r="BL302" s="747"/>
      <c r="BM302" s="92"/>
      <c r="BN302" s="92"/>
      <c r="BO302" s="92"/>
      <c r="BP302" s="92"/>
      <c r="BQ302" s="747"/>
      <c r="BR302" s="92"/>
      <c r="BS302" s="92"/>
      <c r="BT302" s="92"/>
      <c r="BU302" s="92"/>
      <c r="BV302" s="747"/>
      <c r="BW302" s="92"/>
      <c r="BX302" s="92"/>
      <c r="BY302" s="92"/>
      <c r="BZ302" s="92"/>
      <c r="CA302" s="747"/>
      <c r="CB302" s="1910"/>
      <c r="CC302" s="29"/>
      <c r="CD302" s="724"/>
      <c r="CE302" s="91"/>
      <c r="CF302" s="91"/>
      <c r="CG302" s="91"/>
      <c r="CH302" s="91"/>
      <c r="CI302" s="91"/>
      <c r="CJ302" s="91"/>
      <c r="CK302" s="91"/>
      <c r="CL302" s="91"/>
      <c r="CM302" s="91"/>
      <c r="CN302" s="91"/>
      <c r="CO302" s="91"/>
      <c r="CP302" s="91"/>
      <c r="CQ302" s="91"/>
      <c r="CR302" s="91"/>
      <c r="CS302" s="91"/>
      <c r="CT302" s="91"/>
      <c r="CU302" s="1961"/>
      <c r="DB302" s="1961"/>
      <c r="DC302" s="1961"/>
      <c r="DD302" s="1961"/>
      <c r="DE302" s="1961"/>
      <c r="DF302" s="1961"/>
      <c r="DG302" s="1961"/>
      <c r="DH302" s="1961"/>
      <c r="DI302" s="90"/>
    </row>
    <row r="303" spans="1:113" hidden="1" outlineLevel="3" x14ac:dyDescent="0.25">
      <c r="A303" s="748" t="s">
        <v>214</v>
      </c>
      <c r="B303" s="730"/>
      <c r="C303" s="751"/>
      <c r="D303" s="751"/>
      <c r="E303" s="750"/>
      <c r="F303" s="750"/>
      <c r="G303" s="750"/>
      <c r="H303" s="750"/>
      <c r="I303" s="751"/>
      <c r="J303" s="750"/>
      <c r="K303" s="750"/>
      <c r="L303" s="750"/>
      <c r="M303" s="750"/>
      <c r="N303" s="752"/>
      <c r="O303" s="750"/>
      <c r="P303" s="753"/>
      <c r="Q303" s="753"/>
      <c r="R303" s="753"/>
      <c r="S303" s="754"/>
      <c r="T303" s="750"/>
      <c r="U303" s="750"/>
      <c r="V303" s="750"/>
      <c r="W303" s="750"/>
      <c r="X303" s="752"/>
      <c r="Y303" s="753"/>
      <c r="Z303" s="753"/>
      <c r="AA303" s="753"/>
      <c r="AB303" s="753">
        <f>AB304-3%</f>
        <v>0.17</v>
      </c>
      <c r="AC303" s="752"/>
      <c r="AD303" s="753"/>
      <c r="AE303" s="753"/>
      <c r="AF303" s="753"/>
      <c r="AG303" s="753"/>
      <c r="AH303" s="752"/>
      <c r="AI303" s="753"/>
      <c r="AJ303" s="753"/>
      <c r="AK303" s="753"/>
      <c r="AL303" s="753"/>
      <c r="AM303" s="752"/>
      <c r="AN303" s="753"/>
      <c r="AO303" s="753"/>
      <c r="AP303" s="753"/>
      <c r="AQ303" s="753"/>
      <c r="AR303" s="752"/>
      <c r="AS303" s="753"/>
      <c r="AT303" s="753"/>
      <c r="AU303" s="753"/>
      <c r="AV303" s="753"/>
      <c r="AW303" s="752"/>
      <c r="AX303" s="753"/>
      <c r="AY303" s="753"/>
      <c r="AZ303" s="753"/>
      <c r="BA303" s="753"/>
      <c r="BB303" s="757"/>
      <c r="BC303" s="753"/>
      <c r="BD303" s="753"/>
      <c r="BE303" s="753"/>
      <c r="BF303" s="753"/>
      <c r="BG303" s="757"/>
      <c r="BH303" s="753"/>
      <c r="BI303" s="753"/>
      <c r="BJ303" s="753"/>
      <c r="BK303" s="753"/>
      <c r="BL303" s="757"/>
      <c r="BM303" s="753"/>
      <c r="BN303" s="753"/>
      <c r="BO303" s="753"/>
      <c r="BP303" s="753"/>
      <c r="BQ303" s="757"/>
      <c r="BR303" s="753"/>
      <c r="BS303" s="753"/>
      <c r="BT303" s="753"/>
      <c r="BU303" s="753"/>
      <c r="BV303" s="757"/>
      <c r="BW303" s="753"/>
      <c r="BX303" s="753"/>
      <c r="BY303" s="753"/>
      <c r="BZ303" s="753"/>
      <c r="CA303" s="757"/>
      <c r="CB303" s="1910"/>
      <c r="CC303" s="29"/>
      <c r="CD303" s="748"/>
      <c r="CE303" s="752"/>
      <c r="CF303" s="752"/>
      <c r="CG303" s="752"/>
      <c r="CH303" s="752"/>
      <c r="CI303" s="752"/>
      <c r="CJ303" s="752"/>
      <c r="CK303" s="752"/>
      <c r="CL303" s="752"/>
      <c r="CM303" s="752"/>
      <c r="CN303" s="752"/>
      <c r="CO303" s="752"/>
      <c r="CP303" s="752"/>
      <c r="CQ303" s="752"/>
      <c r="CR303" s="752"/>
      <c r="CS303" s="752"/>
      <c r="CT303" s="752"/>
      <c r="CU303" s="1961"/>
      <c r="DB303" s="1961"/>
      <c r="DC303" s="1961"/>
      <c r="DD303" s="1961"/>
      <c r="DE303" s="1961"/>
      <c r="DF303" s="1961"/>
      <c r="DG303" s="1961"/>
      <c r="DH303" s="1961"/>
      <c r="DI303" s="716"/>
    </row>
    <row r="304" spans="1:113" hidden="1" outlineLevel="3" x14ac:dyDescent="0.25">
      <c r="A304" s="748" t="s">
        <v>215</v>
      </c>
      <c r="B304" s="730"/>
      <c r="C304" s="751"/>
      <c r="D304" s="751"/>
      <c r="E304" s="750"/>
      <c r="F304" s="750"/>
      <c r="G304" s="750"/>
      <c r="H304" s="750"/>
      <c r="I304" s="751"/>
      <c r="J304" s="750"/>
      <c r="K304" s="750"/>
      <c r="L304" s="750"/>
      <c r="M304" s="750"/>
      <c r="N304" s="752"/>
      <c r="O304" s="750"/>
      <c r="P304" s="753"/>
      <c r="Q304" s="753"/>
      <c r="R304" s="753"/>
      <c r="S304" s="754"/>
      <c r="T304" s="750"/>
      <c r="U304" s="750"/>
      <c r="V304" s="750"/>
      <c r="W304" s="750"/>
      <c r="X304" s="752"/>
      <c r="Y304" s="753"/>
      <c r="Z304" s="753"/>
      <c r="AA304" s="753"/>
      <c r="AB304" s="753">
        <v>0.2</v>
      </c>
      <c r="AC304" s="752"/>
      <c r="AD304" s="753"/>
      <c r="AE304" s="753"/>
      <c r="AF304" s="753"/>
      <c r="AG304" s="753"/>
      <c r="AH304" s="752"/>
      <c r="AI304" s="753"/>
      <c r="AJ304" s="753"/>
      <c r="AK304" s="753"/>
      <c r="AL304" s="753"/>
      <c r="AM304" s="752"/>
      <c r="AN304" s="753"/>
      <c r="AO304" s="753"/>
      <c r="AP304" s="753"/>
      <c r="AQ304" s="753"/>
      <c r="AR304" s="752"/>
      <c r="AS304" s="753"/>
      <c r="AT304" s="753"/>
      <c r="AU304" s="753"/>
      <c r="AV304" s="753"/>
      <c r="AW304" s="752"/>
      <c r="AX304" s="753"/>
      <c r="AY304" s="753"/>
      <c r="AZ304" s="753"/>
      <c r="BA304" s="753"/>
      <c r="BB304" s="757"/>
      <c r="BC304" s="753"/>
      <c r="BD304" s="753"/>
      <c r="BE304" s="753"/>
      <c r="BF304" s="753"/>
      <c r="BG304" s="757"/>
      <c r="BH304" s="753"/>
      <c r="BI304" s="753"/>
      <c r="BJ304" s="753"/>
      <c r="BK304" s="753"/>
      <c r="BL304" s="757"/>
      <c r="BM304" s="753"/>
      <c r="BN304" s="753"/>
      <c r="BO304" s="753"/>
      <c r="BP304" s="753"/>
      <c r="BQ304" s="757"/>
      <c r="BR304" s="753"/>
      <c r="BS304" s="753"/>
      <c r="BT304" s="753"/>
      <c r="BU304" s="753"/>
      <c r="BV304" s="757"/>
      <c r="BW304" s="753"/>
      <c r="BX304" s="753"/>
      <c r="BY304" s="753"/>
      <c r="BZ304" s="753"/>
      <c r="CA304" s="757"/>
      <c r="CB304" s="1910"/>
      <c r="CC304" s="9"/>
      <c r="CD304" s="748"/>
      <c r="CE304" s="752"/>
      <c r="CF304" s="752"/>
      <c r="CG304" s="752"/>
      <c r="CH304" s="752"/>
      <c r="CI304" s="752"/>
      <c r="CJ304" s="752"/>
      <c r="CK304" s="752"/>
      <c r="CL304" s="752"/>
      <c r="CM304" s="752"/>
      <c r="CN304" s="752"/>
      <c r="CO304" s="752"/>
      <c r="CP304" s="752"/>
      <c r="CQ304" s="752"/>
      <c r="CR304" s="752"/>
      <c r="CS304" s="752"/>
      <c r="CT304" s="752"/>
      <c r="CU304" s="6"/>
      <c r="DB304" s="1961"/>
      <c r="DC304" s="1961"/>
      <c r="DD304" s="1961"/>
      <c r="DE304" s="1961"/>
      <c r="DF304" s="1961"/>
      <c r="DG304" s="1961"/>
      <c r="DH304" s="1961"/>
      <c r="DI304" s="716"/>
    </row>
    <row r="305" spans="1:113" hidden="1" outlineLevel="3" x14ac:dyDescent="0.25">
      <c r="A305" s="748" t="s">
        <v>216</v>
      </c>
      <c r="B305" s="730"/>
      <c r="C305" s="751"/>
      <c r="D305" s="751"/>
      <c r="E305" s="750"/>
      <c r="F305" s="750"/>
      <c r="G305" s="750"/>
      <c r="H305" s="750"/>
      <c r="I305" s="751"/>
      <c r="J305" s="750"/>
      <c r="K305" s="750"/>
      <c r="L305" s="750"/>
      <c r="M305" s="750"/>
      <c r="N305" s="752"/>
      <c r="O305" s="750"/>
      <c r="P305" s="753"/>
      <c r="Q305" s="753"/>
      <c r="R305" s="753"/>
      <c r="S305" s="754"/>
      <c r="T305" s="750"/>
      <c r="U305" s="750"/>
      <c r="V305" s="750"/>
      <c r="W305" s="750"/>
      <c r="X305" s="752"/>
      <c r="Y305" s="753"/>
      <c r="Z305" s="753"/>
      <c r="AA305" s="753"/>
      <c r="AB305" s="753">
        <f>AB304</f>
        <v>0.2</v>
      </c>
      <c r="AC305" s="752"/>
      <c r="AD305" s="753"/>
      <c r="AE305" s="753"/>
      <c r="AF305" s="753"/>
      <c r="AG305" s="753"/>
      <c r="AH305" s="752"/>
      <c r="AI305" s="753"/>
      <c r="AJ305" s="753"/>
      <c r="AK305" s="753"/>
      <c r="AL305" s="753"/>
      <c r="AM305" s="752"/>
      <c r="AN305" s="753"/>
      <c r="AO305" s="753"/>
      <c r="AP305" s="753"/>
      <c r="AQ305" s="753"/>
      <c r="AR305" s="752"/>
      <c r="AS305" s="753"/>
      <c r="AT305" s="753"/>
      <c r="AU305" s="753"/>
      <c r="AV305" s="753"/>
      <c r="AW305" s="752"/>
      <c r="AX305" s="753"/>
      <c r="AY305" s="753"/>
      <c r="AZ305" s="753"/>
      <c r="BA305" s="753"/>
      <c r="BB305" s="757"/>
      <c r="BC305" s="753"/>
      <c r="BD305" s="753"/>
      <c r="BE305" s="753"/>
      <c r="BF305" s="753"/>
      <c r="BG305" s="757"/>
      <c r="BH305" s="753"/>
      <c r="BI305" s="753"/>
      <c r="BJ305" s="753"/>
      <c r="BK305" s="753"/>
      <c r="BL305" s="757"/>
      <c r="BM305" s="753"/>
      <c r="BN305" s="753"/>
      <c r="BO305" s="753"/>
      <c r="BP305" s="753"/>
      <c r="BQ305" s="757"/>
      <c r="BR305" s="753"/>
      <c r="BS305" s="753"/>
      <c r="BT305" s="753"/>
      <c r="BU305" s="753"/>
      <c r="BV305" s="757"/>
      <c r="BW305" s="753"/>
      <c r="BX305" s="753"/>
      <c r="BY305" s="753"/>
      <c r="BZ305" s="753"/>
      <c r="CA305" s="757"/>
      <c r="CB305" s="1910"/>
      <c r="CC305" s="29"/>
      <c r="CD305" s="748"/>
      <c r="CE305" s="752"/>
      <c r="CF305" s="752"/>
      <c r="CG305" s="752"/>
      <c r="CH305" s="752"/>
      <c r="CI305" s="752"/>
      <c r="CJ305" s="752"/>
      <c r="CK305" s="752"/>
      <c r="CL305" s="752"/>
      <c r="CM305" s="752"/>
      <c r="CN305" s="752"/>
      <c r="CO305" s="752"/>
      <c r="CP305" s="752"/>
      <c r="CQ305" s="752"/>
      <c r="CR305" s="752"/>
      <c r="CS305" s="752"/>
      <c r="CT305" s="752"/>
      <c r="CU305" s="1961"/>
      <c r="DB305" s="1961"/>
      <c r="DC305" s="1961"/>
      <c r="DD305" s="1961"/>
      <c r="DE305" s="1961"/>
      <c r="DF305" s="1961"/>
      <c r="DG305" s="1961"/>
      <c r="DH305" s="1961"/>
      <c r="DI305" s="716"/>
    </row>
    <row r="306" spans="1:113" hidden="1" outlineLevel="2" x14ac:dyDescent="0.25">
      <c r="A306" s="729" t="s">
        <v>224</v>
      </c>
      <c r="B306" s="730"/>
      <c r="C306" s="91"/>
      <c r="D306" s="91"/>
      <c r="E306" s="90"/>
      <c r="F306" s="90"/>
      <c r="G306" s="90"/>
      <c r="H306" s="90"/>
      <c r="I306" s="91">
        <f>I301/I313</f>
        <v>0.1993439210181841</v>
      </c>
      <c r="J306" s="90">
        <f>J301/J$313</f>
        <v>0.18994344031881144</v>
      </c>
      <c r="K306" s="90">
        <f>K301/K$313</f>
        <v>0.19206307764607591</v>
      </c>
      <c r="L306" s="90">
        <f>L301/L$313</f>
        <v>0.21486820220755001</v>
      </c>
      <c r="M306" s="90">
        <f>M301/M$313</f>
        <v>0.22254307896231779</v>
      </c>
      <c r="N306" s="91">
        <f>N301/N313</f>
        <v>0.20566657844223057</v>
      </c>
      <c r="O306" s="90">
        <f>O301/$O$313</f>
        <v>0.1841029392778758</v>
      </c>
      <c r="P306" s="90">
        <f>P301/P$313</f>
        <v>0.17681708383824604</v>
      </c>
      <c r="Q306" s="90">
        <f>Q301/Q$313</f>
        <v>0.19628812621306249</v>
      </c>
      <c r="R306" s="90">
        <f>R301/R$313</f>
        <v>0.17973336914273777</v>
      </c>
      <c r="S306" s="744">
        <f>S301/S313</f>
        <v>0.18424138588987293</v>
      </c>
      <c r="T306" s="90">
        <f>T301/$T$313</f>
        <v>0.18260863423179072</v>
      </c>
      <c r="U306" s="90">
        <f>U301/$T$313</f>
        <v>0.20069785839407811</v>
      </c>
      <c r="V306" s="90">
        <f>V301/V$313</f>
        <v>0.2079756428500513</v>
      </c>
      <c r="W306" s="90">
        <f>W301/W$313</f>
        <v>0.20062629678014293</v>
      </c>
      <c r="X306" s="91">
        <f>X301/X313</f>
        <v>0.19627141671069515</v>
      </c>
      <c r="Y306" s="90">
        <f>Y301/Y$313</f>
        <v>0.19033111660457505</v>
      </c>
      <c r="Z306" s="90">
        <f>Z301/Z$313</f>
        <v>0.20496385542168674</v>
      </c>
      <c r="AA306" s="90">
        <f>AA301/AA$313</f>
        <v>0.20376672113371408</v>
      </c>
      <c r="AB306" s="90">
        <f>AB301/AB$313</f>
        <v>0.1796370447530127</v>
      </c>
      <c r="AC306" s="91">
        <f>AC301/AC313</f>
        <v>0.19447349895052432</v>
      </c>
      <c r="AD306" s="90"/>
      <c r="AE306" s="90"/>
      <c r="AF306" s="90"/>
      <c r="AG306" s="90"/>
      <c r="AH306" s="91"/>
      <c r="AI306" s="90"/>
      <c r="AJ306" s="90"/>
      <c r="AK306" s="90"/>
      <c r="AL306" s="90"/>
      <c r="AM306" s="91"/>
      <c r="AN306" s="90"/>
      <c r="AO306" s="90"/>
      <c r="AP306" s="90"/>
      <c r="AQ306" s="90"/>
      <c r="AR306" s="91"/>
      <c r="AS306" s="90"/>
      <c r="AT306" s="90"/>
      <c r="AU306" s="90"/>
      <c r="AV306" s="90"/>
      <c r="AW306" s="91"/>
      <c r="AX306" s="90"/>
      <c r="AY306" s="90"/>
      <c r="AZ306" s="90"/>
      <c r="BA306" s="90"/>
      <c r="BB306" s="747"/>
      <c r="BC306" s="90"/>
      <c r="BD306" s="90"/>
      <c r="BE306" s="90"/>
      <c r="BF306" s="90"/>
      <c r="BG306" s="747"/>
      <c r="BH306" s="90"/>
      <c r="BI306" s="90"/>
      <c r="BJ306" s="90"/>
      <c r="BK306" s="90"/>
      <c r="BL306" s="747"/>
      <c r="BM306" s="90"/>
      <c r="BN306" s="90"/>
      <c r="BO306" s="90"/>
      <c r="BP306" s="90"/>
      <c r="BQ306" s="747"/>
      <c r="BR306" s="90"/>
      <c r="BS306" s="90"/>
      <c r="BT306" s="90"/>
      <c r="BU306" s="90"/>
      <c r="BV306" s="747"/>
      <c r="BW306" s="90"/>
      <c r="BX306" s="90"/>
      <c r="BY306" s="90"/>
      <c r="BZ306" s="90"/>
      <c r="CA306" s="747"/>
      <c r="CB306" s="1910"/>
      <c r="CC306" s="9"/>
      <c r="CD306" s="729"/>
      <c r="CE306" s="91"/>
      <c r="CF306" s="91"/>
      <c r="CG306" s="91"/>
      <c r="CH306" s="91"/>
      <c r="CI306" s="91"/>
      <c r="CJ306" s="91"/>
      <c r="CK306" s="91"/>
      <c r="CL306" s="91"/>
      <c r="CM306" s="91"/>
      <c r="CN306" s="91"/>
      <c r="CO306" s="91"/>
      <c r="CP306" s="91"/>
      <c r="CQ306" s="91"/>
      <c r="CR306" s="91"/>
      <c r="CS306" s="91"/>
      <c r="CT306" s="91"/>
      <c r="CU306" s="6"/>
      <c r="DB306" s="1961"/>
      <c r="DC306" s="1961"/>
      <c r="DD306" s="1961"/>
      <c r="DE306" s="1961"/>
      <c r="DF306" s="1961"/>
      <c r="DG306" s="1961"/>
      <c r="DH306" s="1961"/>
      <c r="DI306" s="90"/>
    </row>
    <row r="307" spans="1:113" hidden="1" outlineLevel="2" x14ac:dyDescent="0.25">
      <c r="A307" s="729"/>
      <c r="B307" s="730"/>
      <c r="C307" s="91"/>
      <c r="D307" s="91"/>
      <c r="E307" s="90"/>
      <c r="F307" s="90"/>
      <c r="G307" s="90"/>
      <c r="H307" s="90"/>
      <c r="I307" s="91"/>
      <c r="J307" s="90"/>
      <c r="K307" s="90"/>
      <c r="L307" s="90"/>
      <c r="M307" s="90"/>
      <c r="N307" s="91"/>
      <c r="O307" s="90"/>
      <c r="P307" s="90"/>
      <c r="Q307" s="90"/>
      <c r="R307" s="90"/>
      <c r="S307" s="744"/>
      <c r="T307" s="90"/>
      <c r="U307" s="90"/>
      <c r="V307" s="90"/>
      <c r="W307" s="90"/>
      <c r="X307" s="91"/>
      <c r="Y307" s="90"/>
      <c r="Z307" s="90"/>
      <c r="AA307" s="90"/>
      <c r="AB307" s="90"/>
      <c r="AC307" s="91"/>
      <c r="AD307" s="90"/>
      <c r="AE307" s="90"/>
      <c r="AF307" s="90"/>
      <c r="AG307" s="90"/>
      <c r="AH307" s="91"/>
      <c r="AI307" s="90"/>
      <c r="AJ307" s="90"/>
      <c r="AK307" s="90"/>
      <c r="AL307" s="90"/>
      <c r="AM307" s="91"/>
      <c r="AN307" s="90"/>
      <c r="AO307" s="90"/>
      <c r="AP307" s="90"/>
      <c r="AQ307" s="90"/>
      <c r="AR307" s="91"/>
      <c r="AS307" s="90"/>
      <c r="AT307" s="90"/>
      <c r="AU307" s="90"/>
      <c r="AV307" s="90"/>
      <c r="AW307" s="91"/>
      <c r="AX307" s="90"/>
      <c r="AY307" s="90"/>
      <c r="AZ307" s="90"/>
      <c r="BA307" s="90"/>
      <c r="BB307" s="747"/>
      <c r="BC307" s="90"/>
      <c r="BD307" s="90"/>
      <c r="BE307" s="90"/>
      <c r="BF307" s="90"/>
      <c r="BG307" s="747"/>
      <c r="BH307" s="90"/>
      <c r="BI307" s="90"/>
      <c r="BJ307" s="90"/>
      <c r="BK307" s="90"/>
      <c r="BL307" s="747"/>
      <c r="BM307" s="90"/>
      <c r="BN307" s="90"/>
      <c r="BO307" s="90"/>
      <c r="BP307" s="90"/>
      <c r="BQ307" s="747"/>
      <c r="BR307" s="90"/>
      <c r="BS307" s="90"/>
      <c r="BT307" s="90"/>
      <c r="BU307" s="90"/>
      <c r="BV307" s="747"/>
      <c r="BW307" s="90"/>
      <c r="BX307" s="90"/>
      <c r="BY307" s="90"/>
      <c r="BZ307" s="90"/>
      <c r="CA307" s="747"/>
      <c r="CB307" s="1910"/>
      <c r="CC307" s="9"/>
      <c r="CD307" s="729"/>
      <c r="CE307" s="91"/>
      <c r="CF307" s="91"/>
      <c r="CG307" s="91"/>
      <c r="CH307" s="91"/>
      <c r="CI307" s="91"/>
      <c r="CJ307" s="91"/>
      <c r="CK307" s="91"/>
      <c r="CL307" s="91"/>
      <c r="CM307" s="91"/>
      <c r="CN307" s="91"/>
      <c r="CO307" s="91"/>
      <c r="CP307" s="91"/>
      <c r="CQ307" s="91"/>
      <c r="CR307" s="91"/>
      <c r="CS307" s="91"/>
      <c r="CT307" s="91"/>
      <c r="CU307" s="6"/>
      <c r="DB307" s="1961"/>
      <c r="DC307" s="1961"/>
      <c r="DD307" s="1961"/>
      <c r="DE307" s="1961"/>
      <c r="DF307" s="1961"/>
      <c r="DG307" s="1961"/>
      <c r="DH307" s="1961"/>
      <c r="DI307" s="90"/>
    </row>
    <row r="308" spans="1:113" hidden="1" outlineLevel="1" collapsed="1" x14ac:dyDescent="0.25">
      <c r="A308" s="823" t="str">
        <f>Revenue_end_mkt!A24</f>
        <v>Insurance</v>
      </c>
      <c r="B308" s="730"/>
      <c r="C308" s="91"/>
      <c r="D308" s="91"/>
      <c r="E308" s="90"/>
      <c r="F308" s="90"/>
      <c r="G308" s="90"/>
      <c r="H308" s="90"/>
      <c r="I308" s="91"/>
      <c r="J308" s="90"/>
      <c r="K308" s="90"/>
      <c r="L308" s="90"/>
      <c r="M308" s="90"/>
      <c r="N308" s="91"/>
      <c r="O308" s="90"/>
      <c r="P308" s="90"/>
      <c r="Q308" s="90"/>
      <c r="R308" s="90"/>
      <c r="S308" s="744"/>
      <c r="T308" s="90"/>
      <c r="U308" s="90"/>
      <c r="V308" s="90"/>
      <c r="W308" s="90"/>
      <c r="X308" s="91"/>
      <c r="Y308" s="90"/>
      <c r="Z308" s="90"/>
      <c r="AA308" s="90"/>
      <c r="AB308" s="90"/>
      <c r="AC308" s="824">
        <f>Revenue_end_mkt!M24</f>
        <v>451.21600000000001</v>
      </c>
      <c r="AD308" s="654">
        <f>Revenue_end_mkt!N24</f>
        <v>116.336</v>
      </c>
      <c r="AE308" s="654">
        <f>Revenue_end_mkt!O24</f>
        <v>122.21</v>
      </c>
      <c r="AF308" s="654">
        <f>Revenue_end_mkt!P24</f>
        <v>126.301</v>
      </c>
      <c r="AG308" s="654">
        <f>Revenue_end_mkt!Q24</f>
        <v>128.60900000000001</v>
      </c>
      <c r="AH308" s="824">
        <f>Revenue_end_mkt!R24</f>
        <v>493.45600000000002</v>
      </c>
      <c r="AI308" s="654">
        <f>Revenue_end_mkt!S24</f>
        <v>126.54900000000001</v>
      </c>
      <c r="AJ308" s="654">
        <f>Revenue_end_mkt!T24</f>
        <v>133.785</v>
      </c>
      <c r="AK308" s="654">
        <f>Revenue_end_mkt!U24</f>
        <v>140.77099999999999</v>
      </c>
      <c r="AL308" s="654">
        <f>Revenue_end_mkt!V24</f>
        <v>138.04499999999999</v>
      </c>
      <c r="AM308" s="824">
        <f>Revenue_end_mkt!W24</f>
        <v>539.15</v>
      </c>
      <c r="AN308" s="654">
        <f>Revenue_end_mkt!X24</f>
        <v>141.43</v>
      </c>
      <c r="AO308" s="654">
        <f>Revenue_end_mkt!Y24</f>
        <v>152.83099999999999</v>
      </c>
      <c r="AP308" s="654">
        <f>Revenue_end_mkt!Z24</f>
        <v>149.49600000000001</v>
      </c>
      <c r="AQ308" s="654">
        <f>Revenue_end_mkt!AA24</f>
        <v>155</v>
      </c>
      <c r="AR308" s="824">
        <f>Revenue_end_mkt!AB24</f>
        <v>598.75699999999995</v>
      </c>
      <c r="AS308" s="654">
        <f>Revenue_end_mkt!AC24</f>
        <v>153.733</v>
      </c>
      <c r="AT308" s="654">
        <f>Revenue_end_mkt!AD24</f>
        <v>165.27600000000001</v>
      </c>
      <c r="AU308" s="654">
        <f>Revenue_end_mkt!AE24</f>
        <v>162.37200000000001</v>
      </c>
      <c r="AV308" s="654">
        <f>Revenue_end_mkt!AF24</f>
        <v>165.8</v>
      </c>
      <c r="AW308" s="824">
        <f>Revenue_end_mkt!AG24</f>
        <v>647.18100000000004</v>
      </c>
      <c r="AX308" s="654">
        <f>Revenue_end_mkt!AH24</f>
        <v>171.54499999999999</v>
      </c>
      <c r="AY308" s="654">
        <f>Revenue_end_mkt!AI24</f>
        <v>175.476</v>
      </c>
      <c r="AZ308" s="654">
        <f>Revenue_end_mkt!AJ24</f>
        <v>174.446</v>
      </c>
      <c r="BA308" s="654">
        <f>Revenue_end_mkt!AK24</f>
        <v>178.3</v>
      </c>
      <c r="BB308" s="825">
        <f>Revenue_end_mkt!AL24</f>
        <v>699.76700000000005</v>
      </c>
      <c r="BC308" s="654">
        <f>Revenue_end_mkt!AM24</f>
        <v>178.6</v>
      </c>
      <c r="BD308" s="654">
        <f>Revenue_end_mkt!AN24</f>
        <v>191</v>
      </c>
      <c r="BE308" s="654">
        <f>Revenue_end_mkt!AO24</f>
        <v>203.9</v>
      </c>
      <c r="BF308" s="654">
        <f>Revenue_end_mkt!AP24</f>
        <v>211.2</v>
      </c>
      <c r="BG308" s="825">
        <f>Revenue_end_mkt!AQ24</f>
        <v>784.7</v>
      </c>
      <c r="BH308" s="654">
        <f>Revenue_end_mkt!AR24</f>
        <v>206.42399999999998</v>
      </c>
      <c r="BI308" s="654">
        <f>Revenue_end_mkt!AS24</f>
        <v>216.12</v>
      </c>
      <c r="BJ308" s="654">
        <f>Revenue_end_mkt!AT24</f>
        <v>222.48683333333335</v>
      </c>
      <c r="BK308" s="654">
        <f>Revenue_end_mkt!AU24</f>
        <v>225.45599999999996</v>
      </c>
      <c r="BL308" s="825">
        <f>Revenue_end_mkt!AV24</f>
        <v>870.48683333333338</v>
      </c>
      <c r="BM308" s="654">
        <f>Revenue_end_mkt!AW24</f>
        <v>220.87367999999998</v>
      </c>
      <c r="BN308" s="654">
        <f>Revenue_end_mkt!AX24</f>
        <v>231.78870000000001</v>
      </c>
      <c r="BO308" s="654">
        <f>Revenue_end_mkt!AY24</f>
        <v>238.61712875000003</v>
      </c>
      <c r="BP308" s="654">
        <f>Revenue_end_mkt!AZ24</f>
        <v>242.36519999999996</v>
      </c>
      <c r="BQ308" s="825">
        <f>Revenue_end_mkt!BA24</f>
        <v>933.64470874999995</v>
      </c>
      <c r="BR308" s="654">
        <f>Revenue_end_mkt!BB24</f>
        <v>236.33483759999999</v>
      </c>
      <c r="BS308" s="654">
        <f>Revenue_end_mkt!BC24</f>
        <v>248.01390900000001</v>
      </c>
      <c r="BT308" s="654">
        <f>Revenue_end_mkt!BD24</f>
        <v>255.32032776250006</v>
      </c>
      <c r="BU308" s="654">
        <f>Revenue_end_mkt!BE24</f>
        <v>259.33076399999999</v>
      </c>
      <c r="BV308" s="825">
        <f>Revenue_end_mkt!BF24</f>
        <v>998.99983836249999</v>
      </c>
      <c r="BW308" s="654">
        <f>Revenue_end_mkt!BG24</f>
        <v>252.87827623199999</v>
      </c>
      <c r="BX308" s="654">
        <f>Revenue_end_mkt!BH24</f>
        <v>265.37488263</v>
      </c>
      <c r="BY308" s="654">
        <f>Revenue_end_mkt!BI24</f>
        <v>273.19275070587508</v>
      </c>
      <c r="BZ308" s="654">
        <f>Revenue_end_mkt!BJ24</f>
        <v>277.48391748</v>
      </c>
      <c r="CA308" s="825">
        <f>Revenue_end_mkt!BK24</f>
        <v>1068.9298270478751</v>
      </c>
      <c r="CB308" s="1910">
        <f>(CA308/BB308)^(1/5)-1</f>
        <v>8.8426601516994552E-2</v>
      </c>
      <c r="CC308" s="9"/>
      <c r="CD308" s="729"/>
      <c r="CE308" s="91"/>
      <c r="CF308" s="91"/>
      <c r="CG308" s="91"/>
      <c r="CH308" s="91"/>
      <c r="CI308" s="91"/>
      <c r="CJ308" s="91"/>
      <c r="CK308" s="91"/>
      <c r="CL308" s="91"/>
      <c r="CM308" s="91"/>
      <c r="CN308" s="91"/>
      <c r="CO308" s="91"/>
      <c r="CP308" s="91"/>
      <c r="CQ308" s="91"/>
      <c r="CR308" s="91"/>
      <c r="CS308" s="91"/>
      <c r="CT308" s="91"/>
      <c r="CU308" s="6"/>
      <c r="DB308" s="1961"/>
      <c r="DC308" s="1961"/>
      <c r="DD308" s="1961"/>
      <c r="DE308" s="1961"/>
      <c r="DF308" s="1961"/>
      <c r="DG308" s="1961"/>
      <c r="DH308" s="1961"/>
      <c r="DI308" s="74"/>
    </row>
    <row r="309" spans="1:113" hidden="1" outlineLevel="1" x14ac:dyDescent="0.25">
      <c r="A309" s="823" t="str">
        <f>Revenue_end_mkt!A31</f>
        <v>Financial Services</v>
      </c>
      <c r="B309" s="730"/>
      <c r="C309" s="91"/>
      <c r="D309" s="91"/>
      <c r="E309" s="90"/>
      <c r="F309" s="90"/>
      <c r="G309" s="90"/>
      <c r="H309" s="90"/>
      <c r="I309" s="91"/>
      <c r="J309" s="90"/>
      <c r="K309" s="90"/>
      <c r="L309" s="90"/>
      <c r="M309" s="90"/>
      <c r="N309" s="91"/>
      <c r="O309" s="90"/>
      <c r="P309" s="90"/>
      <c r="Q309" s="90"/>
      <c r="R309" s="90"/>
      <c r="S309" s="744"/>
      <c r="T309" s="90"/>
      <c r="U309" s="90"/>
      <c r="V309" s="90"/>
      <c r="W309" s="90"/>
      <c r="X309" s="91"/>
      <c r="Y309" s="90"/>
      <c r="Z309" s="90"/>
      <c r="AA309" s="90"/>
      <c r="AB309" s="90"/>
      <c r="AC309" s="826">
        <f>Revenue_end_mkt!M31</f>
        <v>134.702</v>
      </c>
      <c r="AD309" s="514">
        <f>Revenue_end_mkt!N31</f>
        <v>34.274999999999999</v>
      </c>
      <c r="AE309" s="514">
        <f>Revenue_end_mkt!O31</f>
        <v>35.298999999999999</v>
      </c>
      <c r="AF309" s="514">
        <f>Revenue_end_mkt!P31</f>
        <v>37.96</v>
      </c>
      <c r="AG309" s="514">
        <f>Revenue_end_mkt!Q31</f>
        <v>45.505000000000003</v>
      </c>
      <c r="AH309" s="826">
        <f>Revenue_end_mkt!R31</f>
        <v>153.03899999999999</v>
      </c>
      <c r="AI309" s="514">
        <f>Revenue_end_mkt!S31</f>
        <v>17.282</v>
      </c>
      <c r="AJ309" s="514">
        <f>Revenue_end_mkt!T31</f>
        <v>19.574999999999999</v>
      </c>
      <c r="AK309" s="514">
        <f>Revenue_end_mkt!U31</f>
        <v>21.379000000000001</v>
      </c>
      <c r="AL309" s="514">
        <f>Revenue_end_mkt!V31</f>
        <v>22.888000000000002</v>
      </c>
      <c r="AM309" s="826">
        <f>Revenue_end_mkt!W31</f>
        <v>81.124000000000009</v>
      </c>
      <c r="AN309" s="514">
        <f>Revenue_end_mkt!X31</f>
        <v>21.015999999999998</v>
      </c>
      <c r="AO309" s="514">
        <f>Revenue_end_mkt!Y31</f>
        <v>21.837</v>
      </c>
      <c r="AP309" s="514">
        <f>Revenue_end_mkt!Z31</f>
        <v>25.257999999999999</v>
      </c>
      <c r="AQ309" s="514">
        <f>Revenue_end_mkt!AA31</f>
        <v>28.652000000000001</v>
      </c>
      <c r="AR309" s="826">
        <f>Revenue_end_mkt!AB31</f>
        <v>96.762999999999991</v>
      </c>
      <c r="AS309" s="514">
        <f>Revenue_end_mkt!AC31</f>
        <v>35.17</v>
      </c>
      <c r="AT309" s="514">
        <f>Revenue_end_mkt!AD31</f>
        <v>26.38</v>
      </c>
      <c r="AU309" s="514">
        <f>Revenue_end_mkt!AE31</f>
        <v>27.103999999999999</v>
      </c>
      <c r="AV309" s="514">
        <f>Revenue_end_mkt!AF31</f>
        <v>27.9</v>
      </c>
      <c r="AW309" s="826">
        <f>Revenue_end_mkt!AG31</f>
        <v>116.554</v>
      </c>
      <c r="AX309" s="514">
        <f>Revenue_end_mkt!AH31</f>
        <v>28.474</v>
      </c>
      <c r="AY309" s="514">
        <f>Revenue_end_mkt!AI31</f>
        <v>30.585000000000001</v>
      </c>
      <c r="AZ309" s="514">
        <f>Revenue_end_mkt!AJ31</f>
        <v>33.750999999999998</v>
      </c>
      <c r="BA309" s="514">
        <f>Revenue_end_mkt!AK31</f>
        <v>35.5</v>
      </c>
      <c r="BB309" s="826">
        <f>Revenue_end_mkt!AL31</f>
        <v>128.31</v>
      </c>
      <c r="BC309" s="514">
        <f>Revenue_end_mkt!AM31</f>
        <v>28.3</v>
      </c>
      <c r="BD309" s="514">
        <f>Revenue_end_mkt!AN31</f>
        <v>29.3</v>
      </c>
      <c r="BE309" s="514">
        <f>Revenue_end_mkt!AO31</f>
        <v>40.6</v>
      </c>
      <c r="BF309" s="514">
        <f>Revenue_end_mkt!AP31</f>
        <v>47.3</v>
      </c>
      <c r="BG309" s="826">
        <f>Revenue_end_mkt!AQ31</f>
        <v>145.5</v>
      </c>
      <c r="BH309" s="514">
        <f>Revenue_end_mkt!AR31</f>
        <v>43.25</v>
      </c>
      <c r="BI309" s="514">
        <f>Revenue_end_mkt!AS31</f>
        <v>40.550000000000004</v>
      </c>
      <c r="BJ309" s="514">
        <f>Revenue_end_mkt!AT31</f>
        <v>47.951500000000003</v>
      </c>
      <c r="BK309" s="514">
        <f>Revenue_end_mkt!AU31</f>
        <v>50.55</v>
      </c>
      <c r="BL309" s="826">
        <f>Revenue_end_mkt!AV31</f>
        <v>182.30150000000003</v>
      </c>
      <c r="BM309" s="514">
        <f>Revenue_end_mkt!AW31</f>
        <v>46.277500000000003</v>
      </c>
      <c r="BN309" s="514">
        <f>Revenue_end_mkt!AX31</f>
        <v>43.388500000000008</v>
      </c>
      <c r="BO309" s="514">
        <f>Revenue_end_mkt!AY31</f>
        <v>51.308105000000005</v>
      </c>
      <c r="BP309" s="514">
        <f>Revenue_end_mkt!AZ31</f>
        <v>54.088500000000003</v>
      </c>
      <c r="BQ309" s="826">
        <f>Revenue_end_mkt!BA31</f>
        <v>195.06260500000002</v>
      </c>
      <c r="BR309" s="514">
        <f>Revenue_end_mkt!BB31</f>
        <v>49.054150000000007</v>
      </c>
      <c r="BS309" s="514">
        <f>Revenue_end_mkt!BC31</f>
        <v>45.991810000000008</v>
      </c>
      <c r="BT309" s="514">
        <f>Revenue_end_mkt!BD31</f>
        <v>54.386591300000006</v>
      </c>
      <c r="BU309" s="514">
        <f>Revenue_end_mkt!BE31</f>
        <v>57.333810000000007</v>
      </c>
      <c r="BV309" s="826">
        <f>Revenue_end_mkt!BF31</f>
        <v>206.7663613</v>
      </c>
      <c r="BW309" s="514">
        <f>Revenue_end_mkt!BG31</f>
        <v>51.997399000000009</v>
      </c>
      <c r="BX309" s="514">
        <f>Revenue_end_mkt!BH31</f>
        <v>48.751318600000012</v>
      </c>
      <c r="BY309" s="514">
        <f>Revenue_end_mkt!BI31</f>
        <v>57.649786778000006</v>
      </c>
      <c r="BZ309" s="514">
        <f>Revenue_end_mkt!BJ31</f>
        <v>60.773838600000012</v>
      </c>
      <c r="CA309" s="826">
        <f>Revenue_end_mkt!BK31</f>
        <v>219.17234297800005</v>
      </c>
      <c r="CB309" s="1910">
        <f>(CA309/BB309)^(1/5)-1</f>
        <v>0.11302533265664083</v>
      </c>
      <c r="CC309" s="9"/>
      <c r="CD309" s="729"/>
      <c r="CE309" s="91"/>
      <c r="CF309" s="91"/>
      <c r="CG309" s="91"/>
      <c r="CH309" s="91"/>
      <c r="CI309" s="91"/>
      <c r="CJ309" s="91"/>
      <c r="CK309" s="91"/>
      <c r="CL309" s="91"/>
      <c r="CM309" s="91"/>
      <c r="CN309" s="91"/>
      <c r="CO309" s="91"/>
      <c r="CP309" s="91"/>
      <c r="CQ309" s="91"/>
      <c r="CR309" s="91"/>
      <c r="CS309" s="91"/>
      <c r="CT309" s="91"/>
      <c r="CU309" s="6"/>
      <c r="DB309" s="1961"/>
      <c r="DC309" s="1961"/>
      <c r="DD309" s="1961"/>
      <c r="DE309" s="1961"/>
      <c r="DF309" s="1961"/>
      <c r="DG309" s="1961"/>
      <c r="DH309" s="1961"/>
      <c r="DI309" s="539"/>
    </row>
    <row r="310" spans="1:113" hidden="1" outlineLevel="1" x14ac:dyDescent="0.25">
      <c r="A310" s="823" t="str">
        <f>Revenue_end_mkt!A46</f>
        <v>Healthcare</v>
      </c>
      <c r="B310" s="730"/>
      <c r="C310" s="91"/>
      <c r="D310" s="91"/>
      <c r="E310" s="90"/>
      <c r="F310" s="90"/>
      <c r="G310" s="90"/>
      <c r="H310" s="90"/>
      <c r="I310" s="91"/>
      <c r="J310" s="90"/>
      <c r="K310" s="90"/>
      <c r="L310" s="90"/>
      <c r="M310" s="90"/>
      <c r="N310" s="91"/>
      <c r="O310" s="90"/>
      <c r="P310" s="90"/>
      <c r="Q310" s="90"/>
      <c r="R310" s="90"/>
      <c r="S310" s="744"/>
      <c r="T310" s="90"/>
      <c r="U310" s="90"/>
      <c r="V310" s="90"/>
      <c r="W310" s="90"/>
      <c r="X310" s="91"/>
      <c r="Y310" s="90"/>
      <c r="Z310" s="90"/>
      <c r="AA310" s="90"/>
      <c r="AB310" s="90"/>
      <c r="AC310" s="826">
        <f>Revenue_end_mkt!M46</f>
        <v>103.72200000000001</v>
      </c>
      <c r="AD310" s="514">
        <f>Revenue_end_mkt!N46</f>
        <v>30.448</v>
      </c>
      <c r="AE310" s="514">
        <f>Revenue_end_mkt!O46</f>
        <v>50.381</v>
      </c>
      <c r="AF310" s="514">
        <f>Revenue_end_mkt!P46</f>
        <v>69.323999999999998</v>
      </c>
      <c r="AG310" s="514">
        <f>Revenue_end_mkt!Q46</f>
        <v>72.802000000000007</v>
      </c>
      <c r="AH310" s="826">
        <f>Revenue_end_mkt!R46</f>
        <v>222.95500000000004</v>
      </c>
      <c r="AI310" s="514">
        <f>Revenue_end_mkt!S46</f>
        <v>59.048999999999999</v>
      </c>
      <c r="AJ310" s="514">
        <f>Revenue_end_mkt!T46</f>
        <v>61.087000000000003</v>
      </c>
      <c r="AK310" s="514">
        <f>Revenue_end_mkt!U46</f>
        <v>73.611999999999995</v>
      </c>
      <c r="AL310" s="514">
        <f>Revenue_end_mkt!V46</f>
        <v>77.790000000000006</v>
      </c>
      <c r="AM310" s="826">
        <f>Revenue_end_mkt!W46</f>
        <v>271.53800000000001</v>
      </c>
      <c r="AN310" s="514">
        <f>Revenue_end_mkt!X46</f>
        <v>63.896000000000001</v>
      </c>
      <c r="AO310" s="514">
        <f>Revenue_end_mkt!Y46</f>
        <v>65.091999999999999</v>
      </c>
      <c r="AP310" s="514">
        <f>Revenue_end_mkt!Z46</f>
        <v>91.9</v>
      </c>
      <c r="AQ310" s="514">
        <f>Revenue_end_mkt!AA46</f>
        <v>94.74</v>
      </c>
      <c r="AR310" s="826">
        <f>Revenue_end_mkt!AB46</f>
        <v>315.62799999999999</v>
      </c>
      <c r="AS310" s="514">
        <f>Revenue_end_mkt!AC46</f>
        <v>75.103999999999999</v>
      </c>
      <c r="AT310" s="514">
        <f>Revenue_end_mkt!AD46</f>
        <v>69.051000000000002</v>
      </c>
      <c r="AU310" s="514">
        <f>Revenue_end_mkt!AE46</f>
        <v>79.992999999999995</v>
      </c>
      <c r="AV310" s="514">
        <f>Revenue_end_mkt!AF46</f>
        <v>83.2</v>
      </c>
      <c r="AW310" s="826">
        <f>Revenue_end_mkt!AG46</f>
        <v>307.34800000000001</v>
      </c>
      <c r="AX310" s="514"/>
      <c r="AY310" s="514"/>
      <c r="AZ310" s="514"/>
      <c r="BA310" s="514"/>
      <c r="BB310" s="826"/>
      <c r="BC310" s="514"/>
      <c r="BD310" s="514"/>
      <c r="BE310" s="514"/>
      <c r="BF310" s="514"/>
      <c r="BG310" s="826"/>
      <c r="BH310" s="514"/>
      <c r="BI310" s="514"/>
      <c r="BJ310" s="514"/>
      <c r="BK310" s="514"/>
      <c r="BL310" s="826"/>
      <c r="BM310" s="514"/>
      <c r="BN310" s="514"/>
      <c r="BO310" s="514"/>
      <c r="BP310" s="514"/>
      <c r="BQ310" s="826"/>
      <c r="BR310" s="514"/>
      <c r="BS310" s="514"/>
      <c r="BT310" s="514"/>
      <c r="BU310" s="514"/>
      <c r="BV310" s="826"/>
      <c r="BW310" s="514"/>
      <c r="BX310" s="514"/>
      <c r="BY310" s="514"/>
      <c r="BZ310" s="514"/>
      <c r="CA310" s="826"/>
      <c r="CB310" s="1910"/>
      <c r="CC310" s="9"/>
      <c r="CD310" s="729"/>
      <c r="CE310" s="91"/>
      <c r="CF310" s="91"/>
      <c r="CG310" s="91"/>
      <c r="CH310" s="91"/>
      <c r="CI310" s="91"/>
      <c r="CJ310" s="91"/>
      <c r="CK310" s="91"/>
      <c r="CL310" s="91"/>
      <c r="CM310" s="91"/>
      <c r="CN310" s="91"/>
      <c r="CO310" s="91"/>
      <c r="CP310" s="91"/>
      <c r="CQ310" s="91"/>
      <c r="CR310" s="91"/>
      <c r="CS310" s="91"/>
      <c r="CT310" s="91"/>
      <c r="CU310" s="6"/>
      <c r="DB310" s="1961"/>
      <c r="DC310" s="1961"/>
      <c r="DD310" s="1961"/>
      <c r="DE310" s="1961"/>
      <c r="DF310" s="1961"/>
      <c r="DG310" s="1961"/>
      <c r="DH310" s="1961"/>
      <c r="DI310" s="539"/>
    </row>
    <row r="311" spans="1:113" hidden="1" outlineLevel="1" x14ac:dyDescent="0.25">
      <c r="A311" s="823" t="str">
        <f>Revenue_end_mkt!A61</f>
        <v>Specialized Markets incl. Energy</v>
      </c>
      <c r="B311" s="730"/>
      <c r="C311" s="91"/>
      <c r="D311" s="91"/>
      <c r="E311" s="90"/>
      <c r="F311" s="90"/>
      <c r="G311" s="90"/>
      <c r="H311" s="90"/>
      <c r="I311" s="91"/>
      <c r="J311" s="90"/>
      <c r="K311" s="90"/>
      <c r="L311" s="90"/>
      <c r="M311" s="90"/>
      <c r="N311" s="91"/>
      <c r="O311" s="90"/>
      <c r="P311" s="90"/>
      <c r="Q311" s="90"/>
      <c r="R311" s="90"/>
      <c r="S311" s="744"/>
      <c r="T311" s="90"/>
      <c r="U311" s="90"/>
      <c r="V311" s="90"/>
      <c r="W311" s="90"/>
      <c r="X311" s="91"/>
      <c r="Y311" s="90"/>
      <c r="Z311" s="90"/>
      <c r="AA311" s="90"/>
      <c r="AB311" s="90"/>
      <c r="AC311" s="826">
        <f>Revenue_end_mkt!M61</f>
        <v>78.838999999999999</v>
      </c>
      <c r="AD311" s="514">
        <f>Revenue_end_mkt!N61</f>
        <v>20.472999999999999</v>
      </c>
      <c r="AE311" s="514">
        <f>Revenue_end_mkt!O61</f>
        <v>21.146999999999998</v>
      </c>
      <c r="AF311" s="514">
        <f>Revenue_end_mkt!P61</f>
        <v>21.411000000000001</v>
      </c>
      <c r="AG311" s="514">
        <f>Revenue_end_mkt!Q61</f>
        <v>22.332999999999998</v>
      </c>
      <c r="AH311" s="826">
        <f>Revenue_end_mkt!R61</f>
        <v>85.364000000000004</v>
      </c>
      <c r="AI311" s="514">
        <f>Revenue_end_mkt!S61</f>
        <v>21.204000000000001</v>
      </c>
      <c r="AJ311" s="514">
        <f>Revenue_end_mkt!T61</f>
        <v>21.66</v>
      </c>
      <c r="AK311" s="514">
        <f>Revenue_end_mkt!U61</f>
        <v>21.11</v>
      </c>
      <c r="AL311" s="514">
        <f>Revenue_end_mkt!V61</f>
        <v>21.651</v>
      </c>
      <c r="AM311" s="826">
        <f>Revenue_end_mkt!W61</f>
        <v>85.625</v>
      </c>
      <c r="AN311" s="514">
        <f>Revenue_end_mkt!X61</f>
        <v>20.988</v>
      </c>
      <c r="AO311" s="514">
        <f>Revenue_end_mkt!Y61</f>
        <v>21.841999999999999</v>
      </c>
      <c r="AP311" s="514">
        <f>Revenue_end_mkt!Z61</f>
        <v>20.556999999999999</v>
      </c>
      <c r="AQ311" s="514">
        <f>Revenue_end_mkt!AA61</f>
        <v>21.539000000000001</v>
      </c>
      <c r="AR311" s="826">
        <f>Revenue_end_mkt!AB61</f>
        <v>84.926000000000002</v>
      </c>
      <c r="AS311" s="514">
        <f>Revenue_end_mkt!AC61</f>
        <v>24.448</v>
      </c>
      <c r="AT311" s="514">
        <f>Revenue_end_mkt!AD61</f>
        <v>65.212999999999994</v>
      </c>
      <c r="AU311" s="514">
        <f>Revenue_end_mkt!AE61</f>
        <v>109.205</v>
      </c>
      <c r="AV311" s="514">
        <f>Revenue_end_mkt!AF61</f>
        <v>109.9</v>
      </c>
      <c r="AW311" s="826">
        <f>Revenue_end_mkt!AG61</f>
        <v>308.76599999999996</v>
      </c>
      <c r="AX311" s="514">
        <f>Revenue_end_mkt!AH61</f>
        <v>112.926</v>
      </c>
      <c r="AY311" s="514">
        <f>Revenue_end_mkt!AI61</f>
        <v>111.11799999999999</v>
      </c>
      <c r="AZ311" s="514">
        <f>Revenue_end_mkt!AJ61</f>
        <v>109.11</v>
      </c>
      <c r="BA311" s="514">
        <f>Revenue_end_mkt!AK61</f>
        <v>109.7</v>
      </c>
      <c r="BB311" s="826">
        <f>Revenue_end_mkt!AL61</f>
        <v>442.85399999999998</v>
      </c>
      <c r="BC311" s="514">
        <f>Revenue_end_mkt!AM61</f>
        <v>106.3</v>
      </c>
      <c r="BD311" s="514">
        <f>Revenue_end_mkt!AN61</f>
        <v>110.3</v>
      </c>
      <c r="BE311" s="514">
        <f>Revenue_end_mkt!AO61</f>
        <v>111.4</v>
      </c>
      <c r="BF311" s="514">
        <f>Revenue_end_mkt!AP61</f>
        <v>116.6</v>
      </c>
      <c r="BG311" s="826">
        <f>Revenue_end_mkt!AQ61</f>
        <v>444.6</v>
      </c>
      <c r="BH311" s="514">
        <f>Revenue_end_mkt!AR61</f>
        <v>120.0835</v>
      </c>
      <c r="BI311" s="514">
        <f>Revenue_end_mkt!AS61</f>
        <v>124.26349999999999</v>
      </c>
      <c r="BJ311" s="514">
        <f>Revenue_end_mkt!AT61</f>
        <v>125.413</v>
      </c>
      <c r="BK311" s="514">
        <f>Revenue_end_mkt!AU61</f>
        <v>130.84700000000001</v>
      </c>
      <c r="BL311" s="826">
        <f>Revenue_end_mkt!AV61</f>
        <v>500.60699999999997</v>
      </c>
      <c r="BM311" s="514">
        <f>Revenue_end_mkt!AW61</f>
        <v>124.88684000000001</v>
      </c>
      <c r="BN311" s="514">
        <f>Revenue_end_mkt!AX61</f>
        <v>129.23403999999999</v>
      </c>
      <c r="BO311" s="514">
        <f>Revenue_end_mkt!AY61</f>
        <v>130.42952</v>
      </c>
      <c r="BP311" s="514">
        <f>Revenue_end_mkt!AZ61</f>
        <v>136.08088000000001</v>
      </c>
      <c r="BQ311" s="826">
        <f>Revenue_end_mkt!BA61</f>
        <v>520.63127999999995</v>
      </c>
      <c r="BR311" s="514">
        <f>Revenue_end_mkt!BB61</f>
        <v>129.8823136</v>
      </c>
      <c r="BS311" s="514">
        <f>Revenue_end_mkt!BC61</f>
        <v>134.4034016</v>
      </c>
      <c r="BT311" s="514">
        <f>Revenue_end_mkt!BD61</f>
        <v>135.64670079999999</v>
      </c>
      <c r="BU311" s="514">
        <f>Revenue_end_mkt!BE61</f>
        <v>141.52411520000001</v>
      </c>
      <c r="BV311" s="826">
        <f>Revenue_end_mkt!BF61</f>
        <v>541.45653119999997</v>
      </c>
      <c r="BW311" s="514">
        <f>Revenue_end_mkt!BG61</f>
        <v>135.07760614400001</v>
      </c>
      <c r="BX311" s="514">
        <f>Revenue_end_mkt!BH61</f>
        <v>139.779537664</v>
      </c>
      <c r="BY311" s="514">
        <f>Revenue_end_mkt!BI61</f>
        <v>141.072568832</v>
      </c>
      <c r="BZ311" s="514">
        <f>Revenue_end_mkt!BJ61</f>
        <v>147.18507980800001</v>
      </c>
      <c r="CA311" s="826">
        <f>Revenue_end_mkt!BK61</f>
        <v>563.11479244800012</v>
      </c>
      <c r="CB311" s="1910">
        <f>(CA311/BB311)^(1/5)-1</f>
        <v>4.9221721163704713E-2</v>
      </c>
      <c r="CC311" s="9"/>
      <c r="CD311" s="729"/>
      <c r="CE311" s="91"/>
      <c r="CF311" s="91"/>
      <c r="CG311" s="91"/>
      <c r="CH311" s="91"/>
      <c r="CI311" s="91"/>
      <c r="CJ311" s="91"/>
      <c r="CK311" s="91"/>
      <c r="CL311" s="91"/>
      <c r="CM311" s="91"/>
      <c r="CN311" s="91"/>
      <c r="CO311" s="91"/>
      <c r="CP311" s="91"/>
      <c r="CQ311" s="91"/>
      <c r="CR311" s="91"/>
      <c r="CS311" s="91"/>
      <c r="CT311" s="91"/>
      <c r="CU311" s="6"/>
      <c r="DB311" s="1961"/>
      <c r="DC311" s="1961"/>
      <c r="DD311" s="1961"/>
      <c r="DE311" s="1961"/>
      <c r="DF311" s="1961"/>
      <c r="DG311" s="1961"/>
      <c r="DH311" s="1961"/>
      <c r="DI311" s="539"/>
    </row>
    <row r="312" spans="1:113" ht="5.25" hidden="1" customHeight="1" outlineLevel="1" x14ac:dyDescent="0.25">
      <c r="A312" s="110"/>
      <c r="B312" s="128"/>
      <c r="C312" s="129" t="s">
        <v>60</v>
      </c>
      <c r="D312" s="129" t="s">
        <v>60</v>
      </c>
      <c r="E312" s="130" t="s">
        <v>60</v>
      </c>
      <c r="F312" s="130" t="s">
        <v>60</v>
      </c>
      <c r="G312" s="130" t="s">
        <v>60</v>
      </c>
      <c r="H312" s="130" t="s">
        <v>60</v>
      </c>
      <c r="I312" s="129" t="s">
        <v>60</v>
      </c>
      <c r="J312" s="130" t="s">
        <v>60</v>
      </c>
      <c r="K312" s="130" t="s">
        <v>60</v>
      </c>
      <c r="L312" s="130" t="s">
        <v>60</v>
      </c>
      <c r="M312" s="130" t="s">
        <v>60</v>
      </c>
      <c r="N312" s="129" t="s">
        <v>60</v>
      </c>
      <c r="O312" s="130" t="s">
        <v>60</v>
      </c>
      <c r="P312" s="130" t="s">
        <v>60</v>
      </c>
      <c r="Q312" s="130" t="s">
        <v>60</v>
      </c>
      <c r="R312" s="130" t="s">
        <v>60</v>
      </c>
      <c r="S312" s="132" t="s">
        <v>60</v>
      </c>
      <c r="T312" s="130" t="s">
        <v>60</v>
      </c>
      <c r="U312" s="130" t="s">
        <v>60</v>
      </c>
      <c r="V312" s="130" t="s">
        <v>60</v>
      </c>
      <c r="W312" s="130" t="s">
        <v>60</v>
      </c>
      <c r="X312" s="129" t="s">
        <v>60</v>
      </c>
      <c r="Y312" s="130" t="s">
        <v>60</v>
      </c>
      <c r="Z312" s="130" t="s">
        <v>60</v>
      </c>
      <c r="AA312" s="130" t="s">
        <v>60</v>
      </c>
      <c r="AB312" s="130" t="s">
        <v>60</v>
      </c>
      <c r="AC312" s="827" t="s">
        <v>60</v>
      </c>
      <c r="AD312" s="828" t="s">
        <v>60</v>
      </c>
      <c r="AE312" s="828" t="s">
        <v>60</v>
      </c>
      <c r="AF312" s="828" t="s">
        <v>60</v>
      </c>
      <c r="AG312" s="828" t="s">
        <v>60</v>
      </c>
      <c r="AH312" s="827" t="s">
        <v>60</v>
      </c>
      <c r="AI312" s="828" t="s">
        <v>60</v>
      </c>
      <c r="AJ312" s="828" t="s">
        <v>60</v>
      </c>
      <c r="AK312" s="828" t="s">
        <v>60</v>
      </c>
      <c r="AL312" s="828" t="s">
        <v>60</v>
      </c>
      <c r="AM312" s="827" t="s">
        <v>60</v>
      </c>
      <c r="AN312" s="828" t="s">
        <v>60</v>
      </c>
      <c r="AO312" s="828" t="s">
        <v>60</v>
      </c>
      <c r="AP312" s="828" t="s">
        <v>60</v>
      </c>
      <c r="AQ312" s="828" t="s">
        <v>60</v>
      </c>
      <c r="AR312" s="827" t="s">
        <v>60</v>
      </c>
      <c r="AS312" s="828" t="s">
        <v>60</v>
      </c>
      <c r="AT312" s="828" t="s">
        <v>60</v>
      </c>
      <c r="AU312" s="828" t="s">
        <v>60</v>
      </c>
      <c r="AV312" s="828" t="s">
        <v>60</v>
      </c>
      <c r="AW312" s="829" t="s">
        <v>60</v>
      </c>
      <c r="AX312" s="828" t="s">
        <v>60</v>
      </c>
      <c r="AY312" s="828" t="s">
        <v>60</v>
      </c>
      <c r="AZ312" s="828" t="s">
        <v>60</v>
      </c>
      <c r="BA312" s="828" t="s">
        <v>60</v>
      </c>
      <c r="BB312" s="829" t="s">
        <v>60</v>
      </c>
      <c r="BC312" s="828" t="s">
        <v>60</v>
      </c>
      <c r="BD312" s="828" t="s">
        <v>60</v>
      </c>
      <c r="BE312" s="828" t="s">
        <v>60</v>
      </c>
      <c r="BF312" s="828" t="s">
        <v>60</v>
      </c>
      <c r="BG312" s="829" t="s">
        <v>60</v>
      </c>
      <c r="BH312" s="828" t="s">
        <v>60</v>
      </c>
      <c r="BI312" s="828" t="s">
        <v>60</v>
      </c>
      <c r="BJ312" s="828" t="s">
        <v>60</v>
      </c>
      <c r="BK312" s="828" t="s">
        <v>60</v>
      </c>
      <c r="BL312" s="829" t="s">
        <v>60</v>
      </c>
      <c r="BM312" s="828" t="s">
        <v>60</v>
      </c>
      <c r="BN312" s="828" t="s">
        <v>60</v>
      </c>
      <c r="BO312" s="828" t="s">
        <v>60</v>
      </c>
      <c r="BP312" s="828" t="s">
        <v>60</v>
      </c>
      <c r="BQ312" s="829" t="s">
        <v>60</v>
      </c>
      <c r="BR312" s="828" t="s">
        <v>60</v>
      </c>
      <c r="BS312" s="828" t="s">
        <v>60</v>
      </c>
      <c r="BT312" s="828" t="s">
        <v>60</v>
      </c>
      <c r="BU312" s="828" t="s">
        <v>60</v>
      </c>
      <c r="BV312" s="829" t="s">
        <v>60</v>
      </c>
      <c r="BW312" s="828" t="s">
        <v>60</v>
      </c>
      <c r="BX312" s="828" t="s">
        <v>60</v>
      </c>
      <c r="BY312" s="828" t="s">
        <v>60</v>
      </c>
      <c r="BZ312" s="828" t="s">
        <v>60</v>
      </c>
      <c r="CA312" s="829" t="s">
        <v>60</v>
      </c>
      <c r="CB312" s="1910"/>
      <c r="CC312" s="29"/>
      <c r="CD312" s="110"/>
      <c r="CE312" s="674"/>
      <c r="CF312" s="674"/>
      <c r="CG312" s="674"/>
      <c r="CH312" s="674"/>
      <c r="CI312" s="674"/>
      <c r="CJ312" s="674"/>
      <c r="CK312" s="674"/>
      <c r="CL312" s="674"/>
      <c r="CM312" s="674"/>
      <c r="CN312" s="674"/>
      <c r="CO312" s="674"/>
      <c r="CP312" s="674"/>
      <c r="CQ312" s="674"/>
      <c r="CR312" s="674"/>
      <c r="CS312" s="674"/>
      <c r="CT312" s="674"/>
      <c r="CU312" s="1961"/>
      <c r="DB312" s="1961"/>
      <c r="DC312" s="1961"/>
      <c r="DD312" s="1961"/>
      <c r="DE312" s="1961"/>
      <c r="DF312" s="1961"/>
      <c r="DG312" s="1961"/>
      <c r="DH312" s="1961"/>
      <c r="DI312" s="259"/>
    </row>
    <row r="313" spans="1:113" ht="12" customHeight="1" collapsed="1" x14ac:dyDescent="0.25">
      <c r="A313" s="211" t="s">
        <v>50</v>
      </c>
      <c r="B313" s="737"/>
      <c r="C313" s="111">
        <f t="shared" ref="C313:X313" si="460">C287+C294+C301</f>
        <v>196.78500000000003</v>
      </c>
      <c r="D313" s="111">
        <f t="shared" si="460"/>
        <v>257.49899999999997</v>
      </c>
      <c r="E313" s="70">
        <f t="shared" si="460"/>
        <v>77.037000000000006</v>
      </c>
      <c r="F313" s="70">
        <f t="shared" si="460"/>
        <v>78.394999999999996</v>
      </c>
      <c r="G313" s="70">
        <f t="shared" si="460"/>
        <v>78.726000000000013</v>
      </c>
      <c r="H313" s="70">
        <f t="shared" si="460"/>
        <v>82.876999999999981</v>
      </c>
      <c r="I313" s="111">
        <f t="shared" si="460"/>
        <v>317.03500000000003</v>
      </c>
      <c r="J313" s="70">
        <f t="shared" si="460"/>
        <v>88.579000000000008</v>
      </c>
      <c r="K313" s="70">
        <f t="shared" si="460"/>
        <v>95.75500000000001</v>
      </c>
      <c r="L313" s="70">
        <f t="shared" si="460"/>
        <v>99.204999999999984</v>
      </c>
      <c r="M313" s="70">
        <f t="shared" si="460"/>
        <v>105.62000000000002</v>
      </c>
      <c r="N313" s="111">
        <f t="shared" si="460"/>
        <v>389.15899999999999</v>
      </c>
      <c r="O313" s="70">
        <f t="shared" si="460"/>
        <v>116.185</v>
      </c>
      <c r="P313" s="70">
        <f t="shared" si="460"/>
        <v>124.60899999999999</v>
      </c>
      <c r="Q313" s="70">
        <f t="shared" si="460"/>
        <v>128.291</v>
      </c>
      <c r="R313" s="70">
        <f t="shared" si="460"/>
        <v>134.04300000000001</v>
      </c>
      <c r="S313" s="222">
        <f t="shared" si="460"/>
        <v>503.12800000000004</v>
      </c>
      <c r="T313" s="70">
        <f t="shared" si="460"/>
        <v>141.57599999999999</v>
      </c>
      <c r="U313" s="70">
        <f t="shared" si="460"/>
        <v>147.38799999999998</v>
      </c>
      <c r="V313" s="70">
        <f t="shared" si="460"/>
        <v>151.08500000000001</v>
      </c>
      <c r="W313" s="70">
        <f t="shared" si="460"/>
        <v>156.15600000000001</v>
      </c>
      <c r="X313" s="222">
        <f t="shared" si="460"/>
        <v>596.20500000000004</v>
      </c>
      <c r="Y313" s="70">
        <f>Y287+Y294+Y301+Y534</f>
        <v>172.32599999999999</v>
      </c>
      <c r="Z313" s="70">
        <f>Z287+Z294+Z301+Z534</f>
        <v>186.75</v>
      </c>
      <c r="AA313" s="70">
        <f>AA287+AA294+AA301+AA534</f>
        <v>200.12100000000001</v>
      </c>
      <c r="AB313" s="70">
        <f>Revenue_end_mkt!L76</f>
        <v>209.28199999999998</v>
      </c>
      <c r="AC313" s="824">
        <f>SUM(Y313:AB313)</f>
        <v>768.47900000000004</v>
      </c>
      <c r="AD313" s="830">
        <f>Revenue_end_mkt!N76</f>
        <v>201.53199999999998</v>
      </c>
      <c r="AE313" s="830">
        <f>Revenue_end_mkt!O76</f>
        <v>229.03699999999998</v>
      </c>
      <c r="AF313" s="830">
        <f>Revenue_end_mkt!P76</f>
        <v>254.99599999999998</v>
      </c>
      <c r="AG313" s="830">
        <f>Revenue_end_mkt!Q76</f>
        <v>269.24900000000002</v>
      </c>
      <c r="AH313" s="824">
        <f>SUM(AD313:AG313)</f>
        <v>954.81399999999996</v>
      </c>
      <c r="AI313" s="831">
        <f>Revenue_end_mkt!S76</f>
        <v>224.08400000000003</v>
      </c>
      <c r="AJ313" s="831">
        <f>Revenue_end_mkt!T76</f>
        <v>236.107</v>
      </c>
      <c r="AK313" s="831">
        <f>Revenue_end_mkt!U76</f>
        <v>256.87199999999996</v>
      </c>
      <c r="AL313" s="830">
        <f>Revenue_end_mkt!V76</f>
        <v>260.37400000000002</v>
      </c>
      <c r="AM313" s="824">
        <f>Revenue_end_mkt!W76</f>
        <v>977.43700000000001</v>
      </c>
      <c r="AN313" s="830">
        <f>Revenue_end_mkt!X76</f>
        <v>247.32999999999998</v>
      </c>
      <c r="AO313" s="830">
        <f>Revenue_end_mkt!Y76</f>
        <v>261.60199999999998</v>
      </c>
      <c r="AP313" s="830">
        <f>Revenue_end_mkt!Z76</f>
        <v>287.21100000000001</v>
      </c>
      <c r="AQ313" s="830">
        <f>Revenue_end_mkt!AA76</f>
        <v>299.93099999999998</v>
      </c>
      <c r="AR313" s="824">
        <f>Revenue_end_mkt!AB76</f>
        <v>1096.0739999999998</v>
      </c>
      <c r="AS313" s="830">
        <f>Revenue_end_mkt!AC76</f>
        <v>288.45499999999998</v>
      </c>
      <c r="AT313" s="514">
        <f t="shared" ref="AT313:BG313" si="461">SUM(AT308:AT311)</f>
        <v>325.91999999999996</v>
      </c>
      <c r="AU313" s="514">
        <f t="shared" si="461"/>
        <v>378.67399999999998</v>
      </c>
      <c r="AV313" s="514">
        <f t="shared" si="461"/>
        <v>386.80000000000007</v>
      </c>
      <c r="AW313" s="826">
        <f t="shared" si="461"/>
        <v>1379.8490000000002</v>
      </c>
      <c r="AX313" s="514">
        <f>SUM(AX308:AX311)</f>
        <v>312.94499999999999</v>
      </c>
      <c r="AY313" s="514">
        <f t="shared" si="461"/>
        <v>317.17899999999997</v>
      </c>
      <c r="AZ313" s="514">
        <f t="shared" si="461"/>
        <v>317.30700000000002</v>
      </c>
      <c r="BA313" s="514">
        <f t="shared" si="461"/>
        <v>323.5</v>
      </c>
      <c r="BB313" s="826">
        <f>SUM(BB308:BB311)</f>
        <v>1270.931</v>
      </c>
      <c r="BC313" s="514">
        <f t="shared" si="461"/>
        <v>313.2</v>
      </c>
      <c r="BD313" s="514">
        <f t="shared" si="461"/>
        <v>330.6</v>
      </c>
      <c r="BE313" s="514">
        <f t="shared" si="461"/>
        <v>355.9</v>
      </c>
      <c r="BF313" s="514">
        <f t="shared" si="461"/>
        <v>375.1</v>
      </c>
      <c r="BG313" s="826">
        <f t="shared" si="461"/>
        <v>1374.8000000000002</v>
      </c>
      <c r="BH313" s="514">
        <f t="shared" ref="BH313:CA313" si="462">SUM(BH308:BH311)</f>
        <v>369.75749999999999</v>
      </c>
      <c r="BI313" s="514">
        <f t="shared" si="462"/>
        <v>380.93349999999998</v>
      </c>
      <c r="BJ313" s="514">
        <f t="shared" si="462"/>
        <v>395.85133333333334</v>
      </c>
      <c r="BK313" s="514">
        <f t="shared" si="462"/>
        <v>406.85299999999995</v>
      </c>
      <c r="BL313" s="826">
        <f t="shared" si="462"/>
        <v>1553.3953333333334</v>
      </c>
      <c r="BM313" s="514">
        <f t="shared" si="462"/>
        <v>392.03801999999996</v>
      </c>
      <c r="BN313" s="514">
        <f t="shared" si="462"/>
        <v>404.41124000000002</v>
      </c>
      <c r="BO313" s="514">
        <f t="shared" si="462"/>
        <v>420.35475374999999</v>
      </c>
      <c r="BP313" s="514">
        <f t="shared" si="462"/>
        <v>432.53458000000001</v>
      </c>
      <c r="BQ313" s="826">
        <f t="shared" si="462"/>
        <v>1649.3385937499997</v>
      </c>
      <c r="BR313" s="514">
        <f t="shared" si="462"/>
        <v>415.27130120000004</v>
      </c>
      <c r="BS313" s="514">
        <f t="shared" si="462"/>
        <v>428.40912059999999</v>
      </c>
      <c r="BT313" s="514">
        <f t="shared" si="462"/>
        <v>445.35361986250007</v>
      </c>
      <c r="BU313" s="514">
        <f t="shared" si="462"/>
        <v>458.1886892</v>
      </c>
      <c r="BV313" s="826">
        <f t="shared" si="462"/>
        <v>1747.2227308624999</v>
      </c>
      <c r="BW313" s="514">
        <f t="shared" si="462"/>
        <v>439.95328137600001</v>
      </c>
      <c r="BX313" s="514">
        <f t="shared" si="462"/>
        <v>453.90573889400002</v>
      </c>
      <c r="BY313" s="514">
        <f t="shared" si="462"/>
        <v>471.91510631587511</v>
      </c>
      <c r="BZ313" s="514">
        <f t="shared" si="462"/>
        <v>485.44283588800005</v>
      </c>
      <c r="CA313" s="826">
        <f t="shared" si="462"/>
        <v>1851.2169624738751</v>
      </c>
      <c r="CB313" s="1910">
        <f>(CA313/BG313)^(1/4)-1</f>
        <v>7.7220102506659893E-2</v>
      </c>
      <c r="CC313" s="92"/>
      <c r="CD313" s="211" t="str">
        <f>A313</f>
        <v>Total Revenue</v>
      </c>
      <c r="CE313" s="111">
        <f>D313</f>
        <v>257.49899999999997</v>
      </c>
      <c r="CF313" s="111">
        <f>I313</f>
        <v>317.03500000000003</v>
      </c>
      <c r="CG313" s="111">
        <f>N313</f>
        <v>389.15899999999999</v>
      </c>
      <c r="CH313" s="111">
        <f>S313</f>
        <v>503.12800000000004</v>
      </c>
      <c r="CI313" s="111">
        <f>X313</f>
        <v>596.20500000000004</v>
      </c>
      <c r="CJ313" s="111">
        <f>AC313</f>
        <v>768.47900000000004</v>
      </c>
      <c r="CK313" s="111">
        <f>AH313</f>
        <v>954.81399999999996</v>
      </c>
      <c r="CL313" s="111">
        <f>AM313</f>
        <v>977.43700000000001</v>
      </c>
      <c r="CM313" s="111">
        <f>AR313</f>
        <v>1096.0739999999998</v>
      </c>
      <c r="CN313" s="111">
        <f>AW313</f>
        <v>1379.8490000000002</v>
      </c>
      <c r="CO313" s="111">
        <f>BB313</f>
        <v>1270.931</v>
      </c>
      <c r="CP313" s="111">
        <f>BG313</f>
        <v>1374.8000000000002</v>
      </c>
      <c r="CQ313" s="111">
        <f>BL313</f>
        <v>1553.3953333333334</v>
      </c>
      <c r="CR313" s="111">
        <f>BQ313</f>
        <v>1649.3385937499997</v>
      </c>
      <c r="CS313" s="111">
        <f>BV313</f>
        <v>1747.2227308624999</v>
      </c>
      <c r="CT313" s="111">
        <f>CA313</f>
        <v>1851.2169624738751</v>
      </c>
      <c r="CU313" s="1961"/>
      <c r="DB313" s="1961"/>
      <c r="DC313" s="1961"/>
      <c r="DD313" s="1961"/>
      <c r="DE313" s="1961"/>
      <c r="DF313" s="1961"/>
      <c r="DG313" s="1961"/>
      <c r="DH313" s="1961"/>
      <c r="DI313" s="539"/>
    </row>
    <row r="314" spans="1:113" ht="12" customHeight="1" x14ac:dyDescent="0.25">
      <c r="A314" s="724" t="s">
        <v>209</v>
      </c>
      <c r="B314" s="730"/>
      <c r="C314" s="91"/>
      <c r="D314" s="91">
        <f>D313/C313-1</f>
        <v>0.30852961353761676</v>
      </c>
      <c r="E314" s="90"/>
      <c r="F314" s="90"/>
      <c r="G314" s="90"/>
      <c r="H314" s="90"/>
      <c r="I314" s="91">
        <f t="shared" ref="I314:AW314" si="463">I313/D313-1</f>
        <v>0.23120866488801917</v>
      </c>
      <c r="J314" s="90">
        <f t="shared" si="463"/>
        <v>0.14982411049236077</v>
      </c>
      <c r="K314" s="90">
        <f t="shared" si="463"/>
        <v>0.22144269404936567</v>
      </c>
      <c r="L314" s="90">
        <f t="shared" si="463"/>
        <v>0.26013007138683486</v>
      </c>
      <c r="M314" s="90">
        <f t="shared" si="463"/>
        <v>0.27441871689371045</v>
      </c>
      <c r="N314" s="91">
        <f t="shared" si="463"/>
        <v>0.22749538694465898</v>
      </c>
      <c r="O314" s="90">
        <f t="shared" si="463"/>
        <v>0.31165400377064523</v>
      </c>
      <c r="P314" s="90">
        <f t="shared" si="463"/>
        <v>0.30133152315805933</v>
      </c>
      <c r="Q314" s="90">
        <f t="shared" si="463"/>
        <v>0.29319086739579681</v>
      </c>
      <c r="R314" s="90">
        <f t="shared" si="463"/>
        <v>0.26910622988070432</v>
      </c>
      <c r="S314" s="744">
        <f t="shared" si="463"/>
        <v>0.29285973085551165</v>
      </c>
      <c r="T314" s="90">
        <f t="shared" si="463"/>
        <v>0.21853939837328396</v>
      </c>
      <c r="U314" s="90">
        <f t="shared" si="463"/>
        <v>0.18280381031867665</v>
      </c>
      <c r="V314" s="90">
        <f t="shared" si="463"/>
        <v>0.17767419382497618</v>
      </c>
      <c r="W314" s="90">
        <f t="shared" si="463"/>
        <v>0.16496945010183306</v>
      </c>
      <c r="X314" s="91">
        <f t="shared" si="463"/>
        <v>0.18499666088947553</v>
      </c>
      <c r="Y314" s="90">
        <f t="shared" si="463"/>
        <v>0.21719783014070182</v>
      </c>
      <c r="Z314" s="90">
        <f t="shared" si="463"/>
        <v>0.26706380438027533</v>
      </c>
      <c r="AA314" s="90">
        <f t="shared" si="463"/>
        <v>0.32455902306648565</v>
      </c>
      <c r="AB314" s="90">
        <f t="shared" si="463"/>
        <v>0.34021107098030168</v>
      </c>
      <c r="AC314" s="91">
        <f t="shared" si="463"/>
        <v>0.28895094807993882</v>
      </c>
      <c r="AD314" s="90">
        <f t="shared" si="463"/>
        <v>0.16948109977600589</v>
      </c>
      <c r="AE314" s="90">
        <f t="shared" si="463"/>
        <v>0.22643641231593037</v>
      </c>
      <c r="AF314" s="90">
        <f t="shared" si="463"/>
        <v>0.27420910349238703</v>
      </c>
      <c r="AG314" s="90">
        <f t="shared" si="463"/>
        <v>0.28653682590953844</v>
      </c>
      <c r="AH314" s="91">
        <f t="shared" si="463"/>
        <v>0.24247246834331171</v>
      </c>
      <c r="AI314" s="90">
        <f t="shared" si="463"/>
        <v>0.1119028243653617</v>
      </c>
      <c r="AJ314" s="90">
        <f t="shared" si="463"/>
        <v>3.0868374978715307E-2</v>
      </c>
      <c r="AK314" s="90">
        <f t="shared" si="463"/>
        <v>7.3569781486766406E-3</v>
      </c>
      <c r="AL314" s="90">
        <f t="shared" si="463"/>
        <v>-3.2962053712362938E-2</v>
      </c>
      <c r="AM314" s="91">
        <f t="shared" si="463"/>
        <v>2.3693619909217922E-2</v>
      </c>
      <c r="AN314" s="90">
        <f t="shared" si="463"/>
        <v>0.1037378840077825</v>
      </c>
      <c r="AO314" s="90">
        <f t="shared" si="463"/>
        <v>0.10798070366401658</v>
      </c>
      <c r="AP314" s="90">
        <f t="shared" si="463"/>
        <v>0.11810940857703467</v>
      </c>
      <c r="AQ314" s="90">
        <f t="shared" si="463"/>
        <v>0.1519237711906718</v>
      </c>
      <c r="AR314" s="91">
        <f t="shared" si="463"/>
        <v>0.1213755976088482</v>
      </c>
      <c r="AS314" s="90">
        <f t="shared" si="463"/>
        <v>0.16627582581975497</v>
      </c>
      <c r="AT314" s="90">
        <f t="shared" si="463"/>
        <v>0.24586203469392442</v>
      </c>
      <c r="AU314" s="90">
        <f t="shared" si="463"/>
        <v>0.31845228769093081</v>
      </c>
      <c r="AV314" s="90">
        <f>AV313/AQ313-1</f>
        <v>0.28962994822142463</v>
      </c>
      <c r="AW314" s="91">
        <f t="shared" si="463"/>
        <v>0.25890131505719527</v>
      </c>
      <c r="AX314" s="89">
        <f>Revenue_end_mkt!AH82</f>
        <v>0.46680821744449275</v>
      </c>
      <c r="AY314" s="90">
        <f>Revenue_end_mkt!AI82</f>
        <v>0.23478893910903986</v>
      </c>
      <c r="AZ314" s="90">
        <f>Revenue_end_mkt!AJ82</f>
        <v>6.2360846521874569E-2</v>
      </c>
      <c r="BA314" s="90">
        <f>Revenue_end_mkt!AK82</f>
        <v>6.5546772068511228E-2</v>
      </c>
      <c r="BB314" s="747">
        <f>Revenue_end_mkt!AL82</f>
        <v>0.18501614450709147</v>
      </c>
      <c r="BC314" s="90">
        <f>Revenue_end_mkt!AM82</f>
        <v>8.1483966831230603E-4</v>
      </c>
      <c r="BD314" s="90">
        <f>Revenue_end_mkt!AN82</f>
        <v>4.2313646237613689E-2</v>
      </c>
      <c r="BE314" s="90">
        <f>Revenue_end_mkt!AO82</f>
        <v>0.12162668960974687</v>
      </c>
      <c r="BF314" s="90">
        <f>Revenue_end_mkt!AP82</f>
        <v>0.15950540958268933</v>
      </c>
      <c r="BG314" s="747">
        <f>BG313/BB313-1</f>
        <v>8.1726702708487142E-2</v>
      </c>
      <c r="BH314" s="90">
        <f>Revenue_end_mkt!AR82</f>
        <v>0.18057950191570882</v>
      </c>
      <c r="BI314" s="90">
        <f>Revenue_end_mkt!AS82</f>
        <v>0.15224894131881417</v>
      </c>
      <c r="BJ314" s="90">
        <f>Revenue_end_mkt!AT82</f>
        <v>0.11225437857075971</v>
      </c>
      <c r="BK314" s="90">
        <f>Revenue_end_mkt!AU82</f>
        <v>8.4652092775259646E-2</v>
      </c>
      <c r="BL314" s="747">
        <f>BL313/BG313-1</f>
        <v>0.12990641062942476</v>
      </c>
      <c r="BM314" s="90">
        <f>Revenue_end_mkt!AW82</f>
        <v>6.0257114460152916E-2</v>
      </c>
      <c r="BN314" s="90">
        <f>Revenue_end_mkt!AX82</f>
        <v>6.1632122142053714E-2</v>
      </c>
      <c r="BO314" s="90">
        <f>Revenue_end_mkt!AY82</f>
        <v>6.1900563048080226E-2</v>
      </c>
      <c r="BP314" s="90">
        <f>Revenue_end_mkt!AZ82</f>
        <v>6.3122503705269617E-2</v>
      </c>
      <c r="BQ314" s="747">
        <f>BQ313/BL313-1</f>
        <v>6.1763582236846082E-2</v>
      </c>
      <c r="BR314" s="90">
        <f>Revenue_end_mkt!BB82</f>
        <v>5.9262826600338547E-2</v>
      </c>
      <c r="BS314" s="90">
        <f>Revenue_end_mkt!BC82</f>
        <v>5.9340290838602705E-2</v>
      </c>
      <c r="BT314" s="90">
        <f>Revenue_end_mkt!BD82</f>
        <v>5.9470877608696737E-2</v>
      </c>
      <c r="BU314" s="90">
        <f>Revenue_end_mkt!BE82</f>
        <v>5.9311117275293812E-2</v>
      </c>
      <c r="BV314" s="747">
        <f>BV313/BQ313-1</f>
        <v>5.9347509046003166E-2</v>
      </c>
      <c r="BW314" s="90">
        <f>Revenue_end_mkt!BG82</f>
        <v>5.9435795598388408E-2</v>
      </c>
      <c r="BX314" s="90">
        <f>Revenue_end_mkt!BH82</f>
        <v>5.9514648657085667E-2</v>
      </c>
      <c r="BY314" s="90">
        <f>Revenue_end_mkt!BI82</f>
        <v>5.9641339530541515E-2</v>
      </c>
      <c r="BZ314" s="90">
        <f>Revenue_end_mkt!BJ82</f>
        <v>5.9482364646726626E-2</v>
      </c>
      <c r="CA314" s="747">
        <f>CA313/BV313-1</f>
        <v>5.9519733674732622E-2</v>
      </c>
      <c r="CC314" s="29"/>
      <c r="CD314" s="724" t="str">
        <f>A314</f>
        <v>YoY Change</v>
      </c>
      <c r="CE314" s="91">
        <f>D314</f>
        <v>0.30852961353761676</v>
      </c>
      <c r="CF314" s="91">
        <f>I314</f>
        <v>0.23120866488801917</v>
      </c>
      <c r="CG314" s="91">
        <f>N314</f>
        <v>0.22749538694465898</v>
      </c>
      <c r="CH314" s="91">
        <f>S314</f>
        <v>0.29285973085551165</v>
      </c>
      <c r="CI314" s="91">
        <f>X314</f>
        <v>0.18499666088947553</v>
      </c>
      <c r="CJ314" s="91">
        <f>AC314</f>
        <v>0.28895094807993882</v>
      </c>
      <c r="CK314" s="91">
        <f>AH314</f>
        <v>0.24247246834331171</v>
      </c>
      <c r="CL314" s="91">
        <f>AM314</f>
        <v>2.3693619909217922E-2</v>
      </c>
      <c r="CM314" s="91">
        <f>AR314</f>
        <v>0.1213755976088482</v>
      </c>
      <c r="CN314" s="91">
        <f>AW314</f>
        <v>0.25890131505719527</v>
      </c>
      <c r="CO314" s="91">
        <f>BB314</f>
        <v>0.18501614450709147</v>
      </c>
      <c r="CP314" s="91">
        <f>BG314</f>
        <v>8.1726702708487142E-2</v>
      </c>
      <c r="CQ314" s="91">
        <f>BL314</f>
        <v>0.12990641062942476</v>
      </c>
      <c r="CR314" s="91">
        <f>BQ314</f>
        <v>6.1763582236846082E-2</v>
      </c>
      <c r="CS314" s="91">
        <f>BV314</f>
        <v>5.9347509046003166E-2</v>
      </c>
      <c r="CT314" s="91">
        <f>CA314</f>
        <v>5.9519733674732622E-2</v>
      </c>
      <c r="CU314" s="1961"/>
      <c r="DB314" s="1961"/>
      <c r="DC314" s="1961"/>
      <c r="DD314" s="1961"/>
      <c r="DE314" s="1961"/>
      <c r="DF314" s="1961"/>
      <c r="DG314" s="1961"/>
      <c r="DH314" s="1961"/>
      <c r="DI314" s="90"/>
    </row>
    <row r="315" spans="1:113" ht="12" customHeight="1" x14ac:dyDescent="0.25">
      <c r="A315" s="724" t="s">
        <v>225</v>
      </c>
      <c r="B315" s="730"/>
      <c r="C315" s="91"/>
      <c r="D315" s="91"/>
      <c r="E315" s="90"/>
      <c r="F315" s="90"/>
      <c r="G315" s="90"/>
      <c r="H315" s="90"/>
      <c r="I315" s="91"/>
      <c r="J315" s="90"/>
      <c r="K315" s="90"/>
      <c r="L315" s="90"/>
      <c r="M315" s="90"/>
      <c r="N315" s="91"/>
      <c r="O315" s="90"/>
      <c r="P315" s="90"/>
      <c r="Q315" s="90"/>
      <c r="R315" s="90"/>
      <c r="S315" s="744"/>
      <c r="T315" s="90"/>
      <c r="U315" s="90"/>
      <c r="V315" s="90"/>
      <c r="W315" s="90"/>
      <c r="X315" s="91"/>
      <c r="Y315" s="90"/>
      <c r="Z315" s="90"/>
      <c r="AA315" s="90"/>
      <c r="AB315" s="90"/>
      <c r="AC315" s="91"/>
      <c r="AD315" s="90"/>
      <c r="AE315" s="90"/>
      <c r="AF315" s="90"/>
      <c r="AG315" s="90"/>
      <c r="AH315" s="91"/>
      <c r="AI315" s="90"/>
      <c r="AJ315" s="90"/>
      <c r="AK315" s="90"/>
      <c r="AL315" s="90">
        <f>+Revenue_end_mkt!V78</f>
        <v>7.5999999999999998E-2</v>
      </c>
      <c r="AM315" s="91">
        <f>+Revenue_end_mkt!W75/+Revenue_end_mkt!R75-1</f>
        <v>0.1800519135578893</v>
      </c>
      <c r="AN315" s="90">
        <f>+Revenue_end_mkt!X78</f>
        <v>0.1037378840077825</v>
      </c>
      <c r="AO315" s="90">
        <f>+Revenue_end_mkt!Y78</f>
        <v>0.1079807036640168</v>
      </c>
      <c r="AP315" s="90">
        <f>+Revenue_end_mkt!Z78</f>
        <v>0.11810940857703467</v>
      </c>
      <c r="AQ315" s="90">
        <f>+Revenue_end_mkt!AA78</f>
        <v>0.15192377119067202</v>
      </c>
      <c r="AR315" s="91">
        <f>+Revenue_end_mkt!AB78</f>
        <v>0.121</v>
      </c>
      <c r="AS315" s="90">
        <f>+Revenue_end_mkt!AC78</f>
        <v>0.156</v>
      </c>
      <c r="AT315" s="90">
        <f>+Revenue_end_mkt!AD78</f>
        <v>0.11600000000000001</v>
      </c>
      <c r="AU315" s="90">
        <f>+Revenue_end_mkt!AE78</f>
        <v>1.4E-2</v>
      </c>
      <c r="AV315" s="90">
        <f>+Revenue_end_mkt!AF78</f>
        <v>3.0581297481594882E-2</v>
      </c>
      <c r="AW315" s="91">
        <f>+AW314</f>
        <v>0.25890131505719527</v>
      </c>
      <c r="AX315" s="89">
        <f>Revenue_end_mkt!AH83</f>
        <v>4.8000000000000001E-2</v>
      </c>
      <c r="AY315" s="90">
        <f>Revenue_end_mkt!AI83</f>
        <v>5.5E-2</v>
      </c>
      <c r="AZ315" s="90">
        <f>Revenue_end_mkt!AJ83</f>
        <v>6.9000000000000006E-2</v>
      </c>
      <c r="BA315" s="90">
        <f>Revenue_end_mkt!AK83</f>
        <v>7.2999999999999995E-2</v>
      </c>
      <c r="BB315" s="747">
        <f>Revenue_end_mkt!AL83</f>
        <v>6.3E-2</v>
      </c>
      <c r="BC315" s="90">
        <f>Revenue_end_mkt!AM83</f>
        <v>1.4999999999999999E-2</v>
      </c>
      <c r="BD315" s="90">
        <f>Revenue_end_mkt!AN83</f>
        <v>0.04</v>
      </c>
      <c r="BE315" s="90">
        <f>Revenue_end_mkt!AO83</f>
        <v>8.2000000000000003E-2</v>
      </c>
      <c r="BF315" s="90">
        <f>Revenue_end_mkt!AP83</f>
        <v>8.5999999999999993E-2</v>
      </c>
      <c r="BG315" s="747">
        <f>+BG314</f>
        <v>8.1726702708487142E-2</v>
      </c>
      <c r="BH315" s="90">
        <f>Revenue_end_mkt!AR83</f>
        <v>7.6971583652618136E-2</v>
      </c>
      <c r="BI315" s="90">
        <f>Revenue_end_mkt!AS83</f>
        <v>6.5285843920145137E-2</v>
      </c>
      <c r="BJ315" s="90">
        <f>Revenue_end_mkt!AT83</f>
        <v>6.0741781399269668E-2</v>
      </c>
      <c r="BK315" s="90">
        <f>Revenue_end_mkt!AU83</f>
        <v>6.0658491069047971E-2</v>
      </c>
      <c r="BL315" s="747">
        <f>+BL314</f>
        <v>0.12990641062942476</v>
      </c>
      <c r="BM315" s="90">
        <f>Revenue_end_mkt!AW83</f>
        <v>6.0257114460152916E-2</v>
      </c>
      <c r="BN315" s="90">
        <f>Revenue_end_mkt!AX83</f>
        <v>6.1632122142053714E-2</v>
      </c>
      <c r="BO315" s="90">
        <f>Revenue_end_mkt!AY83</f>
        <v>6.1900563048080226E-2</v>
      </c>
      <c r="BP315" s="90">
        <f>Revenue_end_mkt!AZ83</f>
        <v>6.3122503705269617E-2</v>
      </c>
      <c r="BQ315" s="747">
        <f>+BQ314</f>
        <v>6.1763582236846082E-2</v>
      </c>
      <c r="BR315" s="90">
        <f>Revenue_end_mkt!BB83</f>
        <v>5.9262826600338547E-2</v>
      </c>
      <c r="BS315" s="90">
        <f>Revenue_end_mkt!BC83</f>
        <v>5.9340290838602705E-2</v>
      </c>
      <c r="BT315" s="90">
        <f>Revenue_end_mkt!BD83</f>
        <v>5.9470877608696737E-2</v>
      </c>
      <c r="BU315" s="90">
        <f>Revenue_end_mkt!BE83</f>
        <v>5.9311117275293812E-2</v>
      </c>
      <c r="BV315" s="747">
        <f>+BV314</f>
        <v>5.9347509046003166E-2</v>
      </c>
      <c r="BW315" s="90">
        <f>Revenue_end_mkt!BG83</f>
        <v>5.9435795598388408E-2</v>
      </c>
      <c r="BX315" s="90">
        <f>Revenue_end_mkt!BH83</f>
        <v>5.9514648657085667E-2</v>
      </c>
      <c r="BY315" s="90">
        <f>Revenue_end_mkt!BI83</f>
        <v>5.9641339530541515E-2</v>
      </c>
      <c r="BZ315" s="90">
        <f>Revenue_end_mkt!BJ83</f>
        <v>5.9482364646726626E-2</v>
      </c>
      <c r="CA315" s="747">
        <f>+CA314</f>
        <v>5.9519733674732622E-2</v>
      </c>
      <c r="CC315" s="29"/>
      <c r="CD315" s="724"/>
      <c r="CE315" s="91"/>
      <c r="CF315" s="91"/>
      <c r="CG315" s="91"/>
      <c r="CH315" s="91"/>
      <c r="CI315" s="91"/>
      <c r="CJ315" s="91"/>
      <c r="CK315" s="91"/>
      <c r="CL315" s="91"/>
      <c r="CM315" s="91"/>
      <c r="CN315" s="91"/>
      <c r="CO315" s="91"/>
      <c r="CP315" s="91"/>
      <c r="CQ315" s="91"/>
      <c r="CR315" s="91"/>
      <c r="CS315" s="91"/>
      <c r="CT315" s="91"/>
      <c r="CU315" s="1961"/>
      <c r="DB315" s="1961"/>
      <c r="DC315" s="1961"/>
      <c r="DD315" s="1961"/>
      <c r="DE315" s="1961"/>
      <c r="DF315" s="1961"/>
      <c r="DG315" s="1961"/>
      <c r="DH315" s="1961"/>
      <c r="DI315" s="90"/>
    </row>
    <row r="316" spans="1:113" ht="5.0999999999999996" customHeight="1" x14ac:dyDescent="0.25">
      <c r="A316" s="758"/>
      <c r="B316" s="703"/>
      <c r="C316" s="441"/>
      <c r="D316" s="441"/>
      <c r="E316" s="92"/>
      <c r="F316" s="92"/>
      <c r="G316" s="92"/>
      <c r="H316" s="92"/>
      <c r="I316" s="91"/>
      <c r="J316" s="92"/>
      <c r="K316" s="92"/>
      <c r="L316" s="92"/>
      <c r="M316" s="92"/>
      <c r="N316" s="91"/>
      <c r="O316" s="92"/>
      <c r="P316" s="92"/>
      <c r="Q316" s="719"/>
      <c r="R316" s="719"/>
      <c r="S316" s="832"/>
      <c r="T316" s="92"/>
      <c r="U316" s="92"/>
      <c r="V316" s="92"/>
      <c r="W316" s="143"/>
      <c r="X316" s="91"/>
      <c r="Y316" s="143"/>
      <c r="Z316" s="143"/>
      <c r="AA316" s="143"/>
      <c r="AB316" s="833"/>
      <c r="AC316" s="834"/>
      <c r="AD316" s="516"/>
      <c r="AE316" s="516"/>
      <c r="AF316" s="516"/>
      <c r="AG316" s="516"/>
      <c r="AH316" s="834"/>
      <c r="AI316" s="516"/>
      <c r="AJ316" s="516"/>
      <c r="AK316" s="516"/>
      <c r="AL316" s="833"/>
      <c r="AM316" s="834"/>
      <c r="AN316" s="835"/>
      <c r="AO316" s="833"/>
      <c r="AP316" s="833"/>
      <c r="AQ316" s="833"/>
      <c r="AR316" s="834"/>
      <c r="AS316" s="835"/>
      <c r="AT316" s="833"/>
      <c r="AU316" s="833"/>
      <c r="AV316" s="833"/>
      <c r="AW316" s="836"/>
      <c r="AX316" s="833"/>
      <c r="AY316" s="833"/>
      <c r="AZ316" s="833"/>
      <c r="BA316" s="833"/>
      <c r="BB316" s="837"/>
      <c r="BC316" s="833"/>
      <c r="BD316" s="833"/>
      <c r="BE316" s="833"/>
      <c r="BF316" s="833"/>
      <c r="BG316" s="837"/>
      <c r="BH316" s="833"/>
      <c r="BI316" s="833"/>
      <c r="BJ316" s="833"/>
      <c r="BK316" s="833"/>
      <c r="BL316" s="837"/>
      <c r="BM316" s="833"/>
      <c r="BN316" s="833"/>
      <c r="BO316" s="833"/>
      <c r="BP316" s="833"/>
      <c r="BQ316" s="837"/>
      <c r="BR316" s="833"/>
      <c r="BS316" s="833"/>
      <c r="BT316" s="833"/>
      <c r="BU316" s="833"/>
      <c r="BV316" s="837"/>
      <c r="BW316" s="833"/>
      <c r="BX316" s="833"/>
      <c r="BY316" s="833"/>
      <c r="BZ316" s="833"/>
      <c r="CA316" s="837"/>
      <c r="CC316" s="29"/>
      <c r="CD316" s="758"/>
      <c r="CE316" s="834"/>
      <c r="CF316" s="834"/>
      <c r="CG316" s="834"/>
      <c r="CH316" s="834"/>
      <c r="CI316" s="834"/>
      <c r="CJ316" s="834"/>
      <c r="CK316" s="834"/>
      <c r="CL316" s="834"/>
      <c r="CM316" s="834"/>
      <c r="CN316" s="834"/>
      <c r="CO316" s="834"/>
      <c r="CP316" s="834"/>
      <c r="CQ316" s="834"/>
      <c r="CR316" s="834"/>
      <c r="CS316" s="834"/>
      <c r="CT316" s="834"/>
      <c r="CU316" s="1961"/>
      <c r="DB316" s="1961"/>
      <c r="DC316" s="1961"/>
      <c r="DD316" s="1961"/>
      <c r="DE316" s="1961"/>
      <c r="DF316" s="1961"/>
      <c r="DG316" s="1961"/>
      <c r="DH316" s="1961"/>
      <c r="DI316" s="1961"/>
    </row>
    <row r="317" spans="1:113" ht="12" customHeight="1" x14ac:dyDescent="0.25">
      <c r="A317" s="110" t="s">
        <v>56</v>
      </c>
      <c r="B317" s="737"/>
      <c r="C317" s="760">
        <v>103.595</v>
      </c>
      <c r="D317" s="760">
        <v>127.926</v>
      </c>
      <c r="E317" s="739">
        <v>34.194000000000003</v>
      </c>
      <c r="F317" s="739">
        <f>71.585-E317</f>
        <v>37.390999999999991</v>
      </c>
      <c r="G317" s="739">
        <f>108.575-SUM(E317:F317)</f>
        <v>36.990000000000009</v>
      </c>
      <c r="H317" s="739">
        <f>153.009-SUM(E317:G317)</f>
        <v>44.433999999999983</v>
      </c>
      <c r="I317" s="740">
        <f>SUM(E317:H317)</f>
        <v>153.00899999999999</v>
      </c>
      <c r="J317" s="739">
        <v>41.942999999999998</v>
      </c>
      <c r="K317" s="739">
        <f>87.538-J317</f>
        <v>45.594999999999999</v>
      </c>
      <c r="L317" s="739">
        <f>134.261-SUM(J317:K317)</f>
        <v>46.722999999999999</v>
      </c>
      <c r="M317" s="739">
        <f>187.025-SUM(J317:L317)</f>
        <v>52.76400000000001</v>
      </c>
      <c r="N317" s="740">
        <f>SUM(J317:M317)</f>
        <v>187.02500000000001</v>
      </c>
      <c r="O317" s="739">
        <v>56.024000000000001</v>
      </c>
      <c r="P317" s="762">
        <f>116.034-O317</f>
        <v>60.010000000000005</v>
      </c>
      <c r="Q317" s="562">
        <v>62.674999999999997</v>
      </c>
      <c r="R317" s="562">
        <f>260.8-SUM(O317:Q317)</f>
        <v>82.091000000000008</v>
      </c>
      <c r="S317" s="761">
        <f>SUM(O317:R317)</f>
        <v>260.8</v>
      </c>
      <c r="T317" s="739">
        <v>65.094999999999999</v>
      </c>
      <c r="U317" s="739">
        <v>66.347999999999999</v>
      </c>
      <c r="V317" s="762">
        <v>67.478999999999999</v>
      </c>
      <c r="W317" s="562">
        <f>268.742-SUM(T317:V317)</f>
        <v>69.82000000000005</v>
      </c>
      <c r="X317" s="738">
        <f>SUM(T317:W317)</f>
        <v>268.74200000000002</v>
      </c>
      <c r="Y317" s="739">
        <v>77.299000000000007</v>
      </c>
      <c r="Z317" s="739">
        <v>82.132000000000005</v>
      </c>
      <c r="AA317" s="762">
        <v>88.41</v>
      </c>
      <c r="AB317" s="762">
        <f>340.068-SUM(Y317:AA317)</f>
        <v>92.226999999999975</v>
      </c>
      <c r="AC317" s="738">
        <f>SUM(Y317:AB317)</f>
        <v>340.06799999999998</v>
      </c>
      <c r="AD317" s="762">
        <f>87.898</f>
        <v>87.897999999999996</v>
      </c>
      <c r="AE317" s="739">
        <f>101.769</f>
        <v>101.76900000000001</v>
      </c>
      <c r="AF317" s="739">
        <f>111.709</f>
        <v>111.709</v>
      </c>
      <c r="AG317" s="739">
        <f>424.746-SUM(AD317:AF317)</f>
        <v>123.37</v>
      </c>
      <c r="AH317" s="738">
        <f>SUM(AD317:AG317)</f>
        <v>424.74599999999998</v>
      </c>
      <c r="AI317" s="838">
        <v>96.816000000000003</v>
      </c>
      <c r="AJ317" s="297">
        <v>103.96899999999999</v>
      </c>
      <c r="AK317" s="297">
        <v>106.072</v>
      </c>
      <c r="AL317" s="765">
        <f>170.156-AL251</f>
        <v>121.12000000000003</v>
      </c>
      <c r="AM317" s="738">
        <f>SUM(AI317:AL317)</f>
        <v>427.97699999999998</v>
      </c>
      <c r="AN317" s="838">
        <v>119.759</v>
      </c>
      <c r="AO317" s="838">
        <v>120.023</v>
      </c>
      <c r="AP317" s="838">
        <v>130.059</v>
      </c>
      <c r="AQ317" s="838">
        <f>508.411-SUM(AN317:AP317)</f>
        <v>138.57</v>
      </c>
      <c r="AR317" s="738">
        <f>SUM(AN317:AQ317)</f>
        <v>508.411</v>
      </c>
      <c r="AS317" s="838">
        <v>133.244</v>
      </c>
      <c r="AT317" s="562">
        <v>144.78200000000001</v>
      </c>
      <c r="AU317" s="762">
        <v>161.91499999999999</v>
      </c>
      <c r="AV317" s="762">
        <v>163.30000000000001</v>
      </c>
      <c r="AW317" s="712">
        <f>SUM(AS317:AV317)</f>
        <v>603.24099999999999</v>
      </c>
      <c r="AX317" s="762">
        <v>121.589</v>
      </c>
      <c r="AY317" s="762">
        <v>123.443</v>
      </c>
      <c r="AZ317" s="762">
        <v>117.599</v>
      </c>
      <c r="BA317" s="762">
        <v>128.1</v>
      </c>
      <c r="BB317" s="764">
        <f>SUM(AX317:BA317)</f>
        <v>490.73099999999999</v>
      </c>
      <c r="BC317" s="1880">
        <v>128</v>
      </c>
      <c r="BD317" s="1880">
        <v>135.6</v>
      </c>
      <c r="BE317" s="1949">
        <v>141.69999999999999</v>
      </c>
      <c r="BF317" s="765">
        <v>151.6</v>
      </c>
      <c r="BG317" s="764">
        <f>SUM(BC317:BF317)</f>
        <v>556.9</v>
      </c>
      <c r="BH317" s="765">
        <f>(1-BH318)*BH313</f>
        <v>158.50932624521073</v>
      </c>
      <c r="BI317" s="765">
        <f>(1-BI318)*BI313</f>
        <v>160.05429144283119</v>
      </c>
      <c r="BJ317" s="765">
        <f>(1-BJ318)*BJ313</f>
        <v>157.60644544347667</v>
      </c>
      <c r="BK317" s="765">
        <f>(1-BK318)*BK313</f>
        <v>164.43325726472938</v>
      </c>
      <c r="BL317" s="764">
        <f>SUM(BH317:BK317)</f>
        <v>640.60332039624791</v>
      </c>
      <c r="BM317" s="765">
        <f>(1-BM318)*BM313</f>
        <v>167.2765648197701</v>
      </c>
      <c r="BN317" s="765">
        <f>(1-BN318)*BN313</f>
        <v>169.10995460239562</v>
      </c>
      <c r="BO317" s="765">
        <f>(1-BO318)*BO313</f>
        <v>166.52166364893441</v>
      </c>
      <c r="BP317" s="765">
        <f>(1-BP318)*BP313</f>
        <v>173.94762699569179</v>
      </c>
      <c r="BQ317" s="764">
        <f>SUM(BM317:BP317)</f>
        <v>676.85581006679195</v>
      </c>
      <c r="BR317" s="765">
        <f>(1-BR318)*BR313</f>
        <v>176.35930427258444</v>
      </c>
      <c r="BS317" s="765">
        <f>(1-BS318)*BS313</f>
        <v>178.28817025100469</v>
      </c>
      <c r="BT317" s="765">
        <f>(1-BT318)*BT313</f>
        <v>175.53414588727176</v>
      </c>
      <c r="BU317" s="765">
        <f>(1-BU318)*BU313</f>
        <v>183.34827772179236</v>
      </c>
      <c r="BV317" s="764">
        <f>SUM(BR317:BU317)</f>
        <v>713.52989813265322</v>
      </c>
      <c r="BW317" s="765">
        <f>(1-BW318)*BW313</f>
        <v>185.96145327045173</v>
      </c>
      <c r="BX317" s="765">
        <f>(1-BX318)*BX313</f>
        <v>187.99111658541989</v>
      </c>
      <c r="BY317" s="765">
        <f>(1-BY318)*BY313</f>
        <v>185.05940726870637</v>
      </c>
      <c r="BZ317" s="765">
        <f>(1-BZ318)*BZ313</f>
        <v>193.2833811628133</v>
      </c>
      <c r="CA317" s="764">
        <f>SUM(BW317:BZ317)</f>
        <v>752.2953582873912</v>
      </c>
      <c r="CC317" s="29"/>
      <c r="CD317" s="110" t="str">
        <f>A317</f>
        <v>Cost Of Revenues</v>
      </c>
      <c r="CE317" s="738">
        <f>D317</f>
        <v>127.926</v>
      </c>
      <c r="CF317" s="738">
        <f>I317</f>
        <v>153.00899999999999</v>
      </c>
      <c r="CG317" s="738">
        <f>N317</f>
        <v>187.02500000000001</v>
      </c>
      <c r="CH317" s="738">
        <f>S317</f>
        <v>260.8</v>
      </c>
      <c r="CI317" s="738">
        <f>X317</f>
        <v>268.74200000000002</v>
      </c>
      <c r="CJ317" s="738">
        <f>AC317</f>
        <v>340.06799999999998</v>
      </c>
      <c r="CK317" s="738">
        <f>AH317</f>
        <v>424.74599999999998</v>
      </c>
      <c r="CL317" s="738">
        <f>AM317</f>
        <v>427.97699999999998</v>
      </c>
      <c r="CM317" s="738">
        <f>AR317</f>
        <v>508.411</v>
      </c>
      <c r="CN317" s="738">
        <f>AW317</f>
        <v>603.24099999999999</v>
      </c>
      <c r="CO317" s="738">
        <f>BB317</f>
        <v>490.73099999999999</v>
      </c>
      <c r="CP317" s="738">
        <f>BG317</f>
        <v>556.9</v>
      </c>
      <c r="CQ317" s="738">
        <f>BL317</f>
        <v>640.60332039624791</v>
      </c>
      <c r="CR317" s="738">
        <f>BQ317</f>
        <v>676.85581006679195</v>
      </c>
      <c r="CS317" s="738">
        <f>BV317</f>
        <v>713.52989813265322</v>
      </c>
      <c r="CT317" s="738">
        <f>CA317</f>
        <v>752.2953582873912</v>
      </c>
      <c r="CU317" s="1961"/>
      <c r="DB317" s="1961"/>
      <c r="DC317" s="1961"/>
      <c r="DD317" s="1961"/>
      <c r="DE317" s="1961"/>
      <c r="DF317" s="1961"/>
      <c r="DG317" s="1961"/>
      <c r="DH317" s="1961"/>
      <c r="DI317" s="767"/>
    </row>
    <row r="318" spans="1:113" ht="12" customHeight="1" x14ac:dyDescent="0.25">
      <c r="A318" s="81" t="s">
        <v>57</v>
      </c>
      <c r="B318" s="703"/>
      <c r="C318" s="441">
        <f t="shared" ref="C318:AZ318" si="464">1-C317/C313</f>
        <v>0.47356251746830302</v>
      </c>
      <c r="D318" s="441">
        <f t="shared" si="464"/>
        <v>0.50319807067211908</v>
      </c>
      <c r="E318" s="92">
        <f t="shared" si="464"/>
        <v>0.55613536352661708</v>
      </c>
      <c r="F318" s="92">
        <f t="shared" si="464"/>
        <v>0.52304356145162334</v>
      </c>
      <c r="G318" s="92">
        <f t="shared" si="464"/>
        <v>0.53014251962502856</v>
      </c>
      <c r="H318" s="92">
        <f t="shared" si="464"/>
        <v>0.46385607587147226</v>
      </c>
      <c r="I318" s="441">
        <f t="shared" si="464"/>
        <v>0.51737505322756172</v>
      </c>
      <c r="J318" s="92">
        <f t="shared" si="464"/>
        <v>0.52649047742692967</v>
      </c>
      <c r="K318" s="92">
        <f t="shared" si="464"/>
        <v>0.52383687535898915</v>
      </c>
      <c r="L318" s="92">
        <f t="shared" si="464"/>
        <v>0.52902575475026459</v>
      </c>
      <c r="M318" s="92">
        <f t="shared" si="464"/>
        <v>0.50043552357508048</v>
      </c>
      <c r="N318" s="441">
        <f t="shared" si="464"/>
        <v>0.51941237386261141</v>
      </c>
      <c r="O318" s="759">
        <f t="shared" si="464"/>
        <v>0.5178035030339545</v>
      </c>
      <c r="P318" s="92">
        <f t="shared" si="464"/>
        <v>0.51841359773371098</v>
      </c>
      <c r="Q318" s="92">
        <f t="shared" si="464"/>
        <v>0.51146222260330032</v>
      </c>
      <c r="R318" s="92">
        <f t="shared" si="464"/>
        <v>0.38757712077467676</v>
      </c>
      <c r="S318" s="708">
        <f t="shared" si="464"/>
        <v>0.48164284237808275</v>
      </c>
      <c r="T318" s="759">
        <f t="shared" si="464"/>
        <v>0.54021161778832572</v>
      </c>
      <c r="U318" s="92">
        <f t="shared" si="464"/>
        <v>0.5498412353787282</v>
      </c>
      <c r="V318" s="92">
        <f t="shared" si="464"/>
        <v>0.55337061918787445</v>
      </c>
      <c r="W318" s="92">
        <f t="shared" si="464"/>
        <v>0.55288301442147558</v>
      </c>
      <c r="X318" s="441">
        <f>1-X317/X313</f>
        <v>0.54924564537365506</v>
      </c>
      <c r="Y318" s="759">
        <f t="shared" si="464"/>
        <v>0.55143739191996555</v>
      </c>
      <c r="Z318" s="92">
        <f t="shared" si="464"/>
        <v>0.56020348058902281</v>
      </c>
      <c r="AA318" s="92">
        <f t="shared" si="464"/>
        <v>0.5582172785464794</v>
      </c>
      <c r="AB318" s="92">
        <f t="shared" si="464"/>
        <v>0.55931709368220872</v>
      </c>
      <c r="AC318" s="441">
        <f>1-AC317/AC313</f>
        <v>0.55747912434822555</v>
      </c>
      <c r="AD318" s="759">
        <f t="shared" si="464"/>
        <v>0.56385090208999067</v>
      </c>
      <c r="AE318" s="92">
        <f t="shared" si="464"/>
        <v>0.55566567847116399</v>
      </c>
      <c r="AF318" s="92">
        <f t="shared" si="464"/>
        <v>0.56191861833126788</v>
      </c>
      <c r="AG318" s="92">
        <f t="shared" si="464"/>
        <v>0.54179959814149736</v>
      </c>
      <c r="AH318" s="441">
        <f>1-AH317/AH313</f>
        <v>0.55515315024706391</v>
      </c>
      <c r="AI318" s="759">
        <f t="shared" si="464"/>
        <v>0.56794773388550723</v>
      </c>
      <c r="AJ318" s="92">
        <f t="shared" si="464"/>
        <v>0.5596530386646732</v>
      </c>
      <c r="AK318" s="92">
        <f t="shared" si="464"/>
        <v>0.58706281727864451</v>
      </c>
      <c r="AL318" s="92">
        <f t="shared" si="464"/>
        <v>0.5348229853979275</v>
      </c>
      <c r="AM318" s="441">
        <f t="shared" si="464"/>
        <v>0.56214364710973697</v>
      </c>
      <c r="AN318" s="759">
        <f t="shared" si="464"/>
        <v>0.51579266566934856</v>
      </c>
      <c r="AO318" s="92">
        <f t="shared" si="464"/>
        <v>0.5411999908257582</v>
      </c>
      <c r="AP318" s="92">
        <f t="shared" si="464"/>
        <v>0.54716567262395943</v>
      </c>
      <c r="AQ318" s="92">
        <f t="shared" si="464"/>
        <v>0.53799373855986876</v>
      </c>
      <c r="AR318" s="441">
        <f t="shared" si="464"/>
        <v>0.5361526685242054</v>
      </c>
      <c r="AS318" s="759">
        <f t="shared" si="464"/>
        <v>0.53807699641191864</v>
      </c>
      <c r="AT318" s="90">
        <f t="shared" si="464"/>
        <v>0.5557744231713303</v>
      </c>
      <c r="AU318" s="90">
        <f t="shared" si="464"/>
        <v>0.57241585110147519</v>
      </c>
      <c r="AV318" s="90">
        <f t="shared" si="464"/>
        <v>0.57781799379524301</v>
      </c>
      <c r="AW318" s="441">
        <f t="shared" si="464"/>
        <v>0.56282100432728521</v>
      </c>
      <c r="AX318" s="90">
        <f t="shared" si="464"/>
        <v>0.61146846890028606</v>
      </c>
      <c r="AY318" s="90">
        <f t="shared" si="464"/>
        <v>0.6108096689881739</v>
      </c>
      <c r="AZ318" s="90">
        <f t="shared" si="464"/>
        <v>0.62938416108059392</v>
      </c>
      <c r="BA318" s="90">
        <f t="shared" ref="BA318:BG318" si="465">1-BA317/BA313</f>
        <v>0.60401854714064918</v>
      </c>
      <c r="BB318" s="451">
        <f t="shared" si="465"/>
        <v>0.61388069061184281</v>
      </c>
      <c r="BC318" s="90">
        <f t="shared" si="465"/>
        <v>0.59131545338441893</v>
      </c>
      <c r="BD318" s="90">
        <f t="shared" si="465"/>
        <v>0.58983666061705997</v>
      </c>
      <c r="BE318" s="90">
        <f t="shared" si="465"/>
        <v>0.60185445349817357</v>
      </c>
      <c r="BF318" s="90">
        <f t="shared" si="465"/>
        <v>0.59584110903759002</v>
      </c>
      <c r="BG318" s="451">
        <f t="shared" si="465"/>
        <v>0.59492289787605479</v>
      </c>
      <c r="BH318" s="92">
        <f>CHOOSE($A$3,BH319,BH320,BH321)</f>
        <v>0.57131545338441891</v>
      </c>
      <c r="BI318" s="92">
        <f>CHOOSE($A$3,BI319,BI320,BI321)</f>
        <v>0.57983666061705996</v>
      </c>
      <c r="BJ318" s="92">
        <f>CHOOSE($A$3,BJ319,BJ320,BJ321)</f>
        <v>0.60185445349817357</v>
      </c>
      <c r="BK318" s="92">
        <f>CHOOSE($A$3,BK319,BK320,BK321)</f>
        <v>0.59584110903759002</v>
      </c>
      <c r="BL318" s="451">
        <f>1-BL317/BL313</f>
        <v>0.58761088909568338</v>
      </c>
      <c r="BM318" s="92">
        <f>CHOOSE($A$3,BM319,BM320,BM321)</f>
        <v>0.57331545338441892</v>
      </c>
      <c r="BN318" s="92">
        <f>CHOOSE($A$3,BN319,BN320,BN321)</f>
        <v>0.58183666061705996</v>
      </c>
      <c r="BO318" s="92">
        <f>CHOOSE($A$3,BO319,BO320,BO321)</f>
        <v>0.60385445349817357</v>
      </c>
      <c r="BP318" s="92">
        <f>CHOOSE($A$3,BP319,BP320,BP321)</f>
        <v>0.59784110903759002</v>
      </c>
      <c r="BQ318" s="451">
        <f>1-BQ317/BQ313</f>
        <v>0.58961985572176145</v>
      </c>
      <c r="BR318" s="92">
        <f>CHOOSE($A$3,BR319,BR320,BR321)</f>
        <v>0.57531545338441892</v>
      </c>
      <c r="BS318" s="92">
        <f>CHOOSE($A$3,BS319,BS320,BS321)</f>
        <v>0.58383666061705997</v>
      </c>
      <c r="BT318" s="92">
        <f>CHOOSE($A$3,BT319,BT320,BT321)</f>
        <v>0.60585445349817357</v>
      </c>
      <c r="BU318" s="92">
        <f>CHOOSE($A$3,BU319,BU320,BU321)</f>
        <v>0.59984110903759003</v>
      </c>
      <c r="BV318" s="451">
        <f>1-BV317/BV313</f>
        <v>0.59162052694883038</v>
      </c>
      <c r="BW318" s="92">
        <f>CHOOSE($A$3,BW319,BW320,BW321)</f>
        <v>0.57731545338441892</v>
      </c>
      <c r="BX318" s="92">
        <f>CHOOSE($A$3,BX319,BX320,BX321)</f>
        <v>0.58583666061705997</v>
      </c>
      <c r="BY318" s="92">
        <f>CHOOSE($A$3,BY319,BY320,BY321)</f>
        <v>0.60785445349817357</v>
      </c>
      <c r="BZ318" s="92">
        <f>CHOOSE($A$3,BZ319,BZ320,BZ321)</f>
        <v>0.60184110903759003</v>
      </c>
      <c r="CA318" s="451">
        <f>1-CA317/CA313</f>
        <v>0.59362118350403359</v>
      </c>
      <c r="CC318" s="29"/>
      <c r="CD318" s="81" t="str">
        <f>A318</f>
        <v>Gross Margin</v>
      </c>
      <c r="CE318" s="441">
        <f>D318</f>
        <v>0.50319807067211908</v>
      </c>
      <c r="CF318" s="441">
        <f>I318</f>
        <v>0.51737505322756172</v>
      </c>
      <c r="CG318" s="441">
        <f>N318</f>
        <v>0.51941237386261141</v>
      </c>
      <c r="CH318" s="441">
        <f>S318</f>
        <v>0.48164284237808275</v>
      </c>
      <c r="CI318" s="441">
        <f>X318</f>
        <v>0.54924564537365506</v>
      </c>
      <c r="CJ318" s="441">
        <f>AC318</f>
        <v>0.55747912434822555</v>
      </c>
      <c r="CK318" s="441">
        <f>AH318</f>
        <v>0.55515315024706391</v>
      </c>
      <c r="CL318" s="441">
        <f>AM318</f>
        <v>0.56214364710973697</v>
      </c>
      <c r="CM318" s="441">
        <f>AR318</f>
        <v>0.5361526685242054</v>
      </c>
      <c r="CN318" s="441">
        <f>AW318</f>
        <v>0.56282100432728521</v>
      </c>
      <c r="CO318" s="441">
        <f>BB318</f>
        <v>0.61388069061184281</v>
      </c>
      <c r="CP318" s="441">
        <f>BG318</f>
        <v>0.59492289787605479</v>
      </c>
      <c r="CQ318" s="441">
        <f>BL318</f>
        <v>0.58761088909568338</v>
      </c>
      <c r="CR318" s="441">
        <f>BQ318</f>
        <v>0.58961985572176145</v>
      </c>
      <c r="CS318" s="441">
        <f>BV318</f>
        <v>0.59162052694883038</v>
      </c>
      <c r="CT318" s="441">
        <f>CA318</f>
        <v>0.59362118350403359</v>
      </c>
      <c r="CU318" s="1961"/>
      <c r="DB318" s="1961"/>
      <c r="DC318" s="1961"/>
      <c r="DD318" s="1961"/>
      <c r="DE318" s="1961"/>
      <c r="DF318" s="1961"/>
      <c r="DG318" s="1961"/>
      <c r="DH318" s="1961"/>
      <c r="DI318" s="90"/>
    </row>
    <row r="319" spans="1:113" ht="12" hidden="1" customHeight="1" outlineLevel="1" x14ac:dyDescent="0.25">
      <c r="A319" s="748" t="s">
        <v>214</v>
      </c>
      <c r="B319" s="730"/>
      <c r="C319" s="751"/>
      <c r="D319" s="751"/>
      <c r="E319" s="750"/>
      <c r="F319" s="750"/>
      <c r="G319" s="750"/>
      <c r="H319" s="750"/>
      <c r="I319" s="751"/>
      <c r="J319" s="750"/>
      <c r="K319" s="750"/>
      <c r="L319" s="750"/>
      <c r="M319" s="750"/>
      <c r="N319" s="752"/>
      <c r="O319" s="750"/>
      <c r="P319" s="753"/>
      <c r="Q319" s="753"/>
      <c r="R319" s="753"/>
      <c r="S319" s="754"/>
      <c r="T319" s="750"/>
      <c r="U319" s="750"/>
      <c r="V319" s="750"/>
      <c r="W319" s="750"/>
      <c r="X319" s="752"/>
      <c r="Y319" s="750"/>
      <c r="Z319" s="750"/>
      <c r="AA319" s="750"/>
      <c r="AB319" s="750"/>
      <c r="AC319" s="752"/>
      <c r="AD319" s="750"/>
      <c r="AE319" s="750"/>
      <c r="AF319" s="750"/>
      <c r="AG319" s="750"/>
      <c r="AH319" s="752"/>
      <c r="AI319" s="750"/>
      <c r="AJ319" s="753"/>
      <c r="AK319" s="753"/>
      <c r="AL319" s="753"/>
      <c r="AM319" s="752"/>
      <c r="AN319" s="750"/>
      <c r="AO319" s="750"/>
      <c r="AP319" s="750"/>
      <c r="AQ319" s="750"/>
      <c r="AR319" s="752"/>
      <c r="AS319" s="750"/>
      <c r="AT319" s="750"/>
      <c r="AU319" s="750"/>
      <c r="AV319" s="750"/>
      <c r="AW319" s="752"/>
      <c r="AX319" s="750"/>
      <c r="AY319" s="750"/>
      <c r="AZ319" s="750"/>
      <c r="BA319" s="750"/>
      <c r="BB319" s="757"/>
      <c r="BC319" s="750"/>
      <c r="BD319" s="750"/>
      <c r="BE319" s="750"/>
      <c r="BF319" s="750"/>
      <c r="BG319" s="757"/>
      <c r="BH319" s="750">
        <f t="shared" ref="BH319:BZ319" si="466">BH320-2.25%</f>
        <v>0.54881545338441895</v>
      </c>
      <c r="BI319" s="750">
        <f t="shared" si="466"/>
        <v>0.55733666061706</v>
      </c>
      <c r="BJ319" s="750">
        <f t="shared" si="466"/>
        <v>0.5793544534981736</v>
      </c>
      <c r="BK319" s="750">
        <f t="shared" si="466"/>
        <v>0.57334110903759006</v>
      </c>
      <c r="BL319" s="757"/>
      <c r="BM319" s="750">
        <f t="shared" si="466"/>
        <v>0.55081545338441895</v>
      </c>
      <c r="BN319" s="750">
        <f t="shared" si="466"/>
        <v>0.55933666061706</v>
      </c>
      <c r="BO319" s="750">
        <f t="shared" si="466"/>
        <v>0.58135445349817361</v>
      </c>
      <c r="BP319" s="750">
        <f t="shared" si="466"/>
        <v>0.57534110903759006</v>
      </c>
      <c r="BQ319" s="757"/>
      <c r="BR319" s="750">
        <f t="shared" si="466"/>
        <v>0.55281545338441895</v>
      </c>
      <c r="BS319" s="750">
        <f t="shared" si="466"/>
        <v>0.56133666061706</v>
      </c>
      <c r="BT319" s="750">
        <f t="shared" si="466"/>
        <v>0.58335445349817361</v>
      </c>
      <c r="BU319" s="750">
        <f t="shared" si="466"/>
        <v>0.57734110903759006</v>
      </c>
      <c r="BV319" s="757"/>
      <c r="BW319" s="750">
        <f t="shared" si="466"/>
        <v>0.55481545338441896</v>
      </c>
      <c r="BX319" s="750">
        <f t="shared" si="466"/>
        <v>0.56333666061706</v>
      </c>
      <c r="BY319" s="750">
        <f t="shared" si="466"/>
        <v>0.58535445349817361</v>
      </c>
      <c r="BZ319" s="750">
        <f t="shared" si="466"/>
        <v>0.57934110903759006</v>
      </c>
      <c r="CA319" s="757"/>
      <c r="CC319" s="29"/>
      <c r="CD319" s="748"/>
      <c r="CE319" s="752"/>
      <c r="CF319" s="752"/>
      <c r="CG319" s="752"/>
      <c r="CH319" s="752"/>
      <c r="CI319" s="752"/>
      <c r="CJ319" s="752"/>
      <c r="CK319" s="752"/>
      <c r="CL319" s="752"/>
      <c r="CM319" s="752"/>
      <c r="CN319" s="752"/>
      <c r="CO319" s="752"/>
      <c r="CP319" s="752"/>
      <c r="CQ319" s="752"/>
      <c r="CR319" s="752"/>
      <c r="CS319" s="752"/>
      <c r="CT319" s="752"/>
      <c r="CU319" s="1961"/>
      <c r="DB319" s="1961"/>
      <c r="DC319" s="1961"/>
      <c r="DD319" s="1961"/>
      <c r="DE319" s="1961"/>
      <c r="DF319" s="1961"/>
      <c r="DG319" s="1961"/>
      <c r="DH319" s="1961"/>
      <c r="DI319" s="716"/>
    </row>
    <row r="320" spans="1:113" ht="12" hidden="1" customHeight="1" outlineLevel="1" x14ac:dyDescent="0.25">
      <c r="A320" s="748" t="s">
        <v>215</v>
      </c>
      <c r="B320" s="730"/>
      <c r="C320" s="751"/>
      <c r="D320" s="751"/>
      <c r="E320" s="750"/>
      <c r="F320" s="750"/>
      <c r="G320" s="750"/>
      <c r="H320" s="750"/>
      <c r="I320" s="751"/>
      <c r="J320" s="750"/>
      <c r="K320" s="750"/>
      <c r="L320" s="750"/>
      <c r="M320" s="750"/>
      <c r="N320" s="752"/>
      <c r="O320" s="750"/>
      <c r="P320" s="753"/>
      <c r="Q320" s="753"/>
      <c r="R320" s="769"/>
      <c r="S320" s="754"/>
      <c r="T320" s="750"/>
      <c r="U320" s="750"/>
      <c r="V320" s="750"/>
      <c r="W320" s="750"/>
      <c r="X320" s="752"/>
      <c r="Y320" s="750"/>
      <c r="Z320" s="750"/>
      <c r="AA320" s="750"/>
      <c r="AB320" s="750"/>
      <c r="AC320" s="752"/>
      <c r="AD320" s="750"/>
      <c r="AE320" s="750"/>
      <c r="AF320" s="750"/>
      <c r="AG320" s="750"/>
      <c r="AH320" s="752"/>
      <c r="AI320" s="750"/>
      <c r="AJ320" s="753"/>
      <c r="AK320" s="753"/>
      <c r="AL320" s="753"/>
      <c r="AM320" s="752"/>
      <c r="AN320" s="750"/>
      <c r="AO320" s="750"/>
      <c r="AP320" s="750"/>
      <c r="AQ320" s="750"/>
      <c r="AR320" s="752"/>
      <c r="AS320" s="750">
        <f>AS318</f>
        <v>0.53807699641191864</v>
      </c>
      <c r="AT320" s="750">
        <f>AT318</f>
        <v>0.5557744231713303</v>
      </c>
      <c r="AU320" s="750">
        <f>AU318</f>
        <v>0.57241585110147519</v>
      </c>
      <c r="AV320" s="750">
        <f>AV318</f>
        <v>0.57781799379524301</v>
      </c>
      <c r="AW320" s="751">
        <f>AVERAGE(AS320:AV320)</f>
        <v>0.56102131611999173</v>
      </c>
      <c r="AX320" s="750">
        <f>AX318</f>
        <v>0.61146846890028606</v>
      </c>
      <c r="AY320" s="750">
        <f>AY318</f>
        <v>0.6108096689881739</v>
      </c>
      <c r="AZ320" s="750">
        <f>AZ318</f>
        <v>0.62938416108059392</v>
      </c>
      <c r="BA320" s="750">
        <f>BA318</f>
        <v>0.60401854714064918</v>
      </c>
      <c r="BB320" s="768">
        <f>AVERAGE(AX320:BA320)</f>
        <v>0.61392021152742582</v>
      </c>
      <c r="BC320" s="750">
        <f>BC318</f>
        <v>0.59131545338441893</v>
      </c>
      <c r="BD320" s="750">
        <f>BD318</f>
        <v>0.58983666061705997</v>
      </c>
      <c r="BE320" s="750">
        <f>BE318</f>
        <v>0.60185445349817357</v>
      </c>
      <c r="BF320" s="750">
        <f>BF318</f>
        <v>0.59584110903759002</v>
      </c>
      <c r="BG320" s="768">
        <f>SUMPRODUCT(BC320:BF320,BC313:BF313)/SUM(BC313:BF313)</f>
        <v>0.59492289787605468</v>
      </c>
      <c r="BH320" s="753">
        <f>BC320-0.02</f>
        <v>0.57131545338441891</v>
      </c>
      <c r="BI320" s="753">
        <f>BD320-0.01</f>
        <v>0.57983666061705996</v>
      </c>
      <c r="BJ320" s="753">
        <f>BE320-0</f>
        <v>0.60185445349817357</v>
      </c>
      <c r="BK320" s="753">
        <f>BF320+0</f>
        <v>0.59584110903759002</v>
      </c>
      <c r="BL320" s="768">
        <f>SUMPRODUCT(BH320:BK320,BH313:BK313)/SUM(BH313:BK313)</f>
        <v>0.58761088909568326</v>
      </c>
      <c r="BM320" s="753">
        <f>BH320+0.002</f>
        <v>0.57331545338441892</v>
      </c>
      <c r="BN320" s="753">
        <f>BI320+0.002</f>
        <v>0.58183666061705996</v>
      </c>
      <c r="BO320" s="753">
        <f>BJ320+0.002</f>
        <v>0.60385445349817357</v>
      </c>
      <c r="BP320" s="753">
        <f>BK320+0.002</f>
        <v>0.59784110903759002</v>
      </c>
      <c r="BQ320" s="768">
        <f>SUMPRODUCT(BM320:BP320,BM313:BP313)/SUM(BM313:BP313)</f>
        <v>0.58961985572176157</v>
      </c>
      <c r="BR320" s="753">
        <f>BM320+0.002</f>
        <v>0.57531545338441892</v>
      </c>
      <c r="BS320" s="753">
        <f>BN320+0.002</f>
        <v>0.58383666061705997</v>
      </c>
      <c r="BT320" s="753">
        <f>BO320+0.002</f>
        <v>0.60585445349817357</v>
      </c>
      <c r="BU320" s="753">
        <f>BP320+0.002</f>
        <v>0.59984110903759003</v>
      </c>
      <c r="BV320" s="768">
        <f>SUMPRODUCT(BR320:BU320,BR313:BU313)/SUM(BR313:BU313)</f>
        <v>0.59162052694883049</v>
      </c>
      <c r="BW320" s="753">
        <f>BR320+0.002</f>
        <v>0.57731545338441892</v>
      </c>
      <c r="BX320" s="753">
        <f>BS320+0.002</f>
        <v>0.58583666061705997</v>
      </c>
      <c r="BY320" s="753">
        <f>BT320+0.002</f>
        <v>0.60785445349817357</v>
      </c>
      <c r="BZ320" s="753">
        <f>BU320+0.002</f>
        <v>0.60184110903759003</v>
      </c>
      <c r="CA320" s="768">
        <f>SUMPRODUCT(BW320:BZ320,BW313:BZ313)/SUM(BW313:BZ313)</f>
        <v>0.59362118350403359</v>
      </c>
      <c r="CC320" s="29"/>
      <c r="CD320" s="748"/>
      <c r="CE320" s="752"/>
      <c r="CF320" s="752"/>
      <c r="CG320" s="752"/>
      <c r="CH320" s="752"/>
      <c r="CI320" s="752"/>
      <c r="CJ320" s="752"/>
      <c r="CK320" s="752"/>
      <c r="CL320" s="752"/>
      <c r="CM320" s="752"/>
      <c r="CN320" s="752"/>
      <c r="CO320" s="752"/>
      <c r="CP320" s="752"/>
      <c r="CQ320" s="752"/>
      <c r="CR320" s="752"/>
      <c r="CS320" s="752"/>
      <c r="CT320" s="752"/>
      <c r="CU320" s="1961"/>
      <c r="DB320" s="1961"/>
      <c r="DC320" s="1961"/>
      <c r="DD320" s="1961"/>
      <c r="DE320" s="1961"/>
      <c r="DF320" s="1961"/>
      <c r="DG320" s="1961"/>
      <c r="DH320" s="1961"/>
      <c r="DI320" s="716"/>
    </row>
    <row r="321" spans="1:113" ht="12" hidden="1" customHeight="1" outlineLevel="1" x14ac:dyDescent="0.25">
      <c r="A321" s="748" t="s">
        <v>216</v>
      </c>
      <c r="B321" s="730"/>
      <c r="C321" s="751"/>
      <c r="D321" s="751"/>
      <c r="E321" s="750"/>
      <c r="F321" s="750"/>
      <c r="G321" s="750"/>
      <c r="H321" s="750"/>
      <c r="I321" s="751"/>
      <c r="J321" s="750"/>
      <c r="K321" s="750"/>
      <c r="L321" s="750"/>
      <c r="M321" s="750"/>
      <c r="N321" s="752"/>
      <c r="O321" s="750"/>
      <c r="P321" s="753"/>
      <c r="Q321" s="753"/>
      <c r="R321" s="753"/>
      <c r="S321" s="754"/>
      <c r="T321" s="750"/>
      <c r="U321" s="750"/>
      <c r="V321" s="750"/>
      <c r="W321" s="750"/>
      <c r="X321" s="752"/>
      <c r="Y321" s="750"/>
      <c r="Z321" s="750"/>
      <c r="AA321" s="750"/>
      <c r="AB321" s="750"/>
      <c r="AC321" s="752"/>
      <c r="AD321" s="750"/>
      <c r="AE321" s="750"/>
      <c r="AF321" s="750"/>
      <c r="AG321" s="750"/>
      <c r="AH321" s="752"/>
      <c r="AI321" s="750"/>
      <c r="AJ321" s="753"/>
      <c r="AK321" s="753"/>
      <c r="AL321" s="753"/>
      <c r="AM321" s="752"/>
      <c r="AN321" s="750"/>
      <c r="AO321" s="750"/>
      <c r="AP321" s="750"/>
      <c r="AQ321" s="753"/>
      <c r="AR321" s="752"/>
      <c r="AS321" s="750">
        <v>0.61199625117150891</v>
      </c>
      <c r="AT321" s="750">
        <v>0.61736084079408327</v>
      </c>
      <c r="AU321" s="750">
        <v>0.61620897521768259</v>
      </c>
      <c r="AV321" s="750">
        <v>0.63636363636363635</v>
      </c>
      <c r="AW321" s="751">
        <v>0.62135198135198133</v>
      </c>
      <c r="AX321" s="750"/>
      <c r="AY321" s="750"/>
      <c r="AZ321" s="750"/>
      <c r="BA321" s="750">
        <f>1-((BA317-6.2)/BA313)</f>
        <v>0.62318392581143744</v>
      </c>
      <c r="BB321" s="768">
        <f>(BA321*BA313+SUMPRODUCT(AX320:AZ320,$AX$313:$AZ$313))/$BB$313</f>
        <v>0.6187590042260358</v>
      </c>
      <c r="BC321" s="750"/>
      <c r="BD321" s="750"/>
      <c r="BE321" s="1956"/>
      <c r="BF321" s="750"/>
      <c r="BG321" s="757"/>
      <c r="BH321" s="750">
        <f>+BH320+0.005</f>
        <v>0.57631545338441892</v>
      </c>
      <c r="BI321" s="750">
        <f>+BI320+0.005</f>
        <v>0.58483666061705997</v>
      </c>
      <c r="BJ321" s="750">
        <f>+BJ320+0.005</f>
        <v>0.60685445349817357</v>
      </c>
      <c r="BK321" s="750">
        <f>+BK320+0.005</f>
        <v>0.60084110903759003</v>
      </c>
      <c r="BL321" s="757"/>
      <c r="BM321" s="750">
        <f>+BM320+0.005</f>
        <v>0.57831545338441892</v>
      </c>
      <c r="BN321" s="750">
        <f>+BN320+0.005</f>
        <v>0.58683666061705997</v>
      </c>
      <c r="BO321" s="750">
        <f>+BO320+0.005</f>
        <v>0.60885445349817358</v>
      </c>
      <c r="BP321" s="750">
        <f>+BP320+0.005</f>
        <v>0.60284110903759003</v>
      </c>
      <c r="BQ321" s="757"/>
      <c r="BR321" s="750">
        <f>+BR320+0.005</f>
        <v>0.58031545338441892</v>
      </c>
      <c r="BS321" s="750">
        <f>+BS320+0.005</f>
        <v>0.58883666061705997</v>
      </c>
      <c r="BT321" s="750">
        <f>+BT320+0.005</f>
        <v>0.61085445349817358</v>
      </c>
      <c r="BU321" s="750">
        <f>+BU320+0.005</f>
        <v>0.60484110903759003</v>
      </c>
      <c r="BV321" s="757"/>
      <c r="BW321" s="750">
        <f>+BW320+0.005</f>
        <v>0.58231545338441892</v>
      </c>
      <c r="BX321" s="750">
        <f>+BX320+0.005</f>
        <v>0.59083666061705997</v>
      </c>
      <c r="BY321" s="750">
        <f>+BY320+0.005</f>
        <v>0.61285445349817358</v>
      </c>
      <c r="BZ321" s="750">
        <f>+BZ320+0.005</f>
        <v>0.60684110903759003</v>
      </c>
      <c r="CA321" s="757"/>
      <c r="CC321" s="29"/>
      <c r="CD321" s="748"/>
      <c r="CE321" s="752"/>
      <c r="CF321" s="752"/>
      <c r="CG321" s="752"/>
      <c r="CH321" s="752"/>
      <c r="CI321" s="752"/>
      <c r="CJ321" s="752"/>
      <c r="CK321" s="752"/>
      <c r="CL321" s="752"/>
      <c r="CM321" s="752"/>
      <c r="CN321" s="752"/>
      <c r="CO321" s="752"/>
      <c r="CP321" s="752"/>
      <c r="CQ321" s="752"/>
      <c r="CR321" s="752"/>
      <c r="CS321" s="752"/>
      <c r="CT321" s="752"/>
      <c r="CU321" s="1961"/>
      <c r="DB321" s="1961"/>
      <c r="DC321" s="1961"/>
      <c r="DD321" s="1961"/>
      <c r="DE321" s="1961"/>
      <c r="DF321" s="1961"/>
      <c r="DG321" s="1961"/>
      <c r="DH321" s="1961"/>
      <c r="DI321" s="716"/>
    </row>
    <row r="322" spans="1:113" collapsed="1" x14ac:dyDescent="0.25">
      <c r="A322" s="113"/>
      <c r="B322" s="703"/>
      <c r="C322" s="278"/>
      <c r="D322" s="278"/>
      <c r="E322" s="516"/>
      <c r="F322" s="516"/>
      <c r="G322" s="516"/>
      <c r="H322" s="516"/>
      <c r="I322" s="510"/>
      <c r="J322" s="516"/>
      <c r="K322" s="516"/>
      <c r="L322" s="516"/>
      <c r="M322" s="516"/>
      <c r="N322" s="510"/>
      <c r="O322" s="516"/>
      <c r="P322" s="90"/>
      <c r="Q322" s="537"/>
      <c r="R322" s="537"/>
      <c r="S322" s="744"/>
      <c r="T322" s="516"/>
      <c r="U322" s="516"/>
      <c r="V322" s="516"/>
      <c r="W322" s="658"/>
      <c r="X322" s="834"/>
      <c r="Y322" s="516"/>
      <c r="Z322" s="516"/>
      <c r="AA322" s="516"/>
      <c r="AB322" s="516"/>
      <c r="AC322" s="834"/>
      <c r="AD322" s="516"/>
      <c r="AE322" s="516"/>
      <c r="AF322" s="516"/>
      <c r="AG322" s="516"/>
      <c r="AH322" s="834"/>
      <c r="AI322" s="516"/>
      <c r="AJ322" s="516"/>
      <c r="AK322" s="516"/>
      <c r="AL322" s="147"/>
      <c r="AM322" s="834"/>
      <c r="AN322" s="516"/>
      <c r="AO322" s="516"/>
      <c r="AP322" s="839"/>
      <c r="AQ322" s="147"/>
      <c r="AR322" s="834"/>
      <c r="AS322" s="516"/>
      <c r="AT322" s="516"/>
      <c r="AU322" s="516"/>
      <c r="AV322" s="147"/>
      <c r="AW322" s="834"/>
      <c r="AX322" s="840"/>
      <c r="AY322" s="840"/>
      <c r="AZ322" s="840"/>
      <c r="BA322" s="840"/>
      <c r="BB322" s="841"/>
      <c r="BC322" s="1959">
        <f>(BC34-AX34)*10000</f>
        <v>-157.05681002019634</v>
      </c>
      <c r="BD322" s="1959">
        <f>(BD34-AY34)*10000</f>
        <v>-62.493068119268138</v>
      </c>
      <c r="BE322" s="1959">
        <f>(BE34-AZ34)*10000</f>
        <v>-126.53451581480456</v>
      </c>
      <c r="BF322" s="1959">
        <f>(BF34-BA34)*10000</f>
        <v>-252.54337898261926</v>
      </c>
      <c r="BG322" s="1958"/>
      <c r="BH322" s="1959">
        <f t="shared" ref="BH322:BK322" si="467">(BH34-BC34)*10000</f>
        <v>-159.3663974458548</v>
      </c>
      <c r="BI322" s="1959">
        <f t="shared" si="467"/>
        <v>-138.70184032667987</v>
      </c>
      <c r="BJ322" s="1959">
        <f t="shared" si="467"/>
        <v>-66.705420990880725</v>
      </c>
      <c r="BK322" s="1993">
        <f t="shared" si="467"/>
        <v>-41.032740284337457</v>
      </c>
      <c r="BL322" s="841"/>
      <c r="BM322" s="147"/>
      <c r="BN322" s="126"/>
      <c r="BO322" s="126"/>
      <c r="BP322" s="147"/>
      <c r="BQ322" s="841"/>
      <c r="BR322" s="147"/>
      <c r="BS322" s="126"/>
      <c r="BT322" s="126"/>
      <c r="BU322" s="147"/>
      <c r="BV322" s="841"/>
      <c r="BW322" s="147"/>
      <c r="BX322" s="126"/>
      <c r="BY322" s="126"/>
      <c r="BZ322" s="147"/>
      <c r="CA322" s="841"/>
      <c r="CC322" s="29"/>
      <c r="CD322" s="113"/>
      <c r="CE322" s="834"/>
      <c r="CF322" s="834"/>
      <c r="CG322" s="834"/>
      <c r="CH322" s="834"/>
      <c r="CI322" s="834"/>
      <c r="CJ322" s="834"/>
      <c r="CK322" s="834"/>
      <c r="CL322" s="834"/>
      <c r="CM322" s="834"/>
      <c r="CN322" s="834"/>
      <c r="CO322" s="834"/>
      <c r="CP322" s="834"/>
      <c r="CQ322" s="834"/>
      <c r="CR322" s="834"/>
      <c r="CS322" s="834"/>
      <c r="CT322" s="834"/>
      <c r="CU322" s="1961"/>
      <c r="DB322" s="1961"/>
      <c r="DC322" s="1961"/>
      <c r="DD322" s="1961"/>
      <c r="DE322" s="1961"/>
      <c r="DF322" s="1961"/>
      <c r="DG322" s="1961"/>
      <c r="DH322" s="1961"/>
      <c r="DI322" s="658"/>
    </row>
    <row r="323" spans="1:113" ht="12" customHeight="1" x14ac:dyDescent="0.25">
      <c r="A323" s="113" t="s">
        <v>58</v>
      </c>
      <c r="B323" s="703"/>
      <c r="C323" s="278">
        <v>27.315000000000001</v>
      </c>
      <c r="D323" s="278">
        <v>34.24</v>
      </c>
      <c r="E323" s="516">
        <v>10.699</v>
      </c>
      <c r="F323" s="516">
        <f>20.78-E323</f>
        <v>10.081000000000001</v>
      </c>
      <c r="G323" s="516">
        <f>30.324-SUM(E323:F323)</f>
        <v>9.5440000000000005</v>
      </c>
      <c r="H323" s="516">
        <f>39.378-SUM(E323:G323)</f>
        <v>9.0539999999999985</v>
      </c>
      <c r="I323" s="510">
        <f>SUM(E323:H323)</f>
        <v>39.378</v>
      </c>
      <c r="J323" s="516">
        <v>11.124000000000001</v>
      </c>
      <c r="K323" s="516">
        <f>22.312-J323</f>
        <v>11.188000000000001</v>
      </c>
      <c r="L323" s="516">
        <f>34.788-SUM(J323:K323)</f>
        <v>12.475999999999996</v>
      </c>
      <c r="M323" s="516">
        <f>49.426-SUM(J323:L323)</f>
        <v>14.638000000000005</v>
      </c>
      <c r="N323" s="510">
        <f>SUM(J323:M323)</f>
        <v>49.426000000000002</v>
      </c>
      <c r="O323" s="516">
        <v>15.852</v>
      </c>
      <c r="P323" s="516">
        <f>35.016-O323</f>
        <v>19.163999999999998</v>
      </c>
      <c r="Q323" s="516">
        <v>19.106999999999999</v>
      </c>
      <c r="R323" s="516">
        <f>80.05-SUM(O323:Q323)</f>
        <v>25.927</v>
      </c>
      <c r="S323" s="772">
        <f>SUM(O323:R323)</f>
        <v>80.05</v>
      </c>
      <c r="T323" s="516">
        <v>18.329999999999998</v>
      </c>
      <c r="U323" s="516">
        <v>23.199000000000002</v>
      </c>
      <c r="V323" s="516">
        <v>20.640999999999998</v>
      </c>
      <c r="W323" s="234">
        <f>87.384-SUM(T323:V323)</f>
        <v>25.214000000000006</v>
      </c>
      <c r="X323" s="510">
        <f>SUM(T323:W323)</f>
        <v>87.384</v>
      </c>
      <c r="Y323" s="516">
        <v>30.129000000000001</v>
      </c>
      <c r="Z323" s="516">
        <f>32.564</f>
        <v>32.564</v>
      </c>
      <c r="AA323" s="516">
        <v>31.41</v>
      </c>
      <c r="AB323" s="516">
        <f>125.938-SUM(Y323:AA323)</f>
        <v>31.835000000000008</v>
      </c>
      <c r="AC323" s="510">
        <f>SUM(Y323:AB323)</f>
        <v>125.938</v>
      </c>
      <c r="AD323" s="516">
        <f>34.377</f>
        <v>34.377000000000002</v>
      </c>
      <c r="AE323" s="516">
        <f>39.562</f>
        <v>39.561999999999998</v>
      </c>
      <c r="AF323" s="516">
        <f>38.971</f>
        <v>38.970999999999997</v>
      </c>
      <c r="AG323" s="516">
        <f>150.413-SUM(AD323:AF323)</f>
        <v>37.503000000000014</v>
      </c>
      <c r="AH323" s="510">
        <f>SUM(AD323:AG323)</f>
        <v>150.41300000000001</v>
      </c>
      <c r="AI323" s="516">
        <v>36.749000000000002</v>
      </c>
      <c r="AJ323" s="516">
        <v>38.594999999999999</v>
      </c>
      <c r="AK323" s="516">
        <v>37.151000000000003</v>
      </c>
      <c r="AL323" s="126">
        <f>57.679-AL257</f>
        <v>39.062000000000012</v>
      </c>
      <c r="AM323" s="510">
        <f>SUM(AI323:AL323)</f>
        <v>151.55700000000002</v>
      </c>
      <c r="AN323" s="516">
        <v>38.051000000000002</v>
      </c>
      <c r="AO323" s="516">
        <v>38.625</v>
      </c>
      <c r="AP323" s="516">
        <v>38.604999999999997</v>
      </c>
      <c r="AQ323" s="516">
        <f>153.453-SUM(AN323:AP323)</f>
        <v>38.171999999999997</v>
      </c>
      <c r="AR323" s="510">
        <f>SUM(AN323:AQ323)</f>
        <v>153.453</v>
      </c>
      <c r="AS323" s="516">
        <f>39.237</f>
        <v>39.237000000000002</v>
      </c>
      <c r="AT323" s="762">
        <v>71.397999999999996</v>
      </c>
      <c r="AU323" s="762">
        <v>58.054000000000002</v>
      </c>
      <c r="AV323" s="762">
        <v>62.2</v>
      </c>
      <c r="AW323" s="510">
        <f>SUM(AS323:AV323)</f>
        <v>230.88900000000001</v>
      </c>
      <c r="AX323" s="762">
        <v>52.384</v>
      </c>
      <c r="AY323" s="762">
        <v>54.005000000000003</v>
      </c>
      <c r="AZ323" s="762">
        <v>55.378</v>
      </c>
      <c r="BA323" s="762">
        <v>53.2</v>
      </c>
      <c r="BB323" s="510">
        <f>SUM(AX323:BA323)</f>
        <v>214.96699999999998</v>
      </c>
      <c r="BC323" s="1880">
        <v>56.1</v>
      </c>
      <c r="BD323" s="1880">
        <v>57.7</v>
      </c>
      <c r="BE323" s="1949">
        <v>60.4</v>
      </c>
      <c r="BF323" s="765">
        <v>64.099999999999994</v>
      </c>
      <c r="BG323" s="510">
        <f>SUM(BC323:BF323)</f>
        <v>238.3</v>
      </c>
      <c r="BH323" s="765">
        <f>BH324*BH313</f>
        <v>62.902692557471262</v>
      </c>
      <c r="BI323" s="765">
        <f>BI324*BI313</f>
        <v>64.961029914095576</v>
      </c>
      <c r="BJ323" s="765">
        <f>BJ324*BJ313</f>
        <v>67.180164465673883</v>
      </c>
      <c r="BK323" s="765">
        <f>BK324*BK313</f>
        <v>69.526199146894143</v>
      </c>
      <c r="BL323" s="510">
        <f>SUM(BH323:BK323)</f>
        <v>264.57008608413486</v>
      </c>
      <c r="BM323" s="765">
        <f>BM324*BM313</f>
        <v>66.300989282758621</v>
      </c>
      <c r="BN323" s="765">
        <f>BN324*BN313</f>
        <v>68.560304804234718</v>
      </c>
      <c r="BO323" s="765">
        <f>BO324*BO313</f>
        <v>70.918299718011724</v>
      </c>
      <c r="BP323" s="765">
        <f>BP324*BP313</f>
        <v>73.482332330157277</v>
      </c>
      <c r="BQ323" s="510">
        <f>SUM(BM323:BP323)</f>
        <v>279.2619261351623</v>
      </c>
      <c r="BR323" s="765">
        <f>BR324*BR313</f>
        <v>69.814902012853651</v>
      </c>
      <c r="BS323" s="765">
        <f>BS324*BS313</f>
        <v>72.200284110701261</v>
      </c>
      <c r="BT323" s="765">
        <f>BT324*BT313</f>
        <v>74.690519620895969</v>
      </c>
      <c r="BU323" s="765">
        <f>BU324*BU313</f>
        <v>77.382462871453356</v>
      </c>
      <c r="BV323" s="510">
        <f>SUM(BR323:BU323)</f>
        <v>294.08816861590424</v>
      </c>
      <c r="BW323" s="765">
        <f>BW324*BW313</f>
        <v>73.524452977235129</v>
      </c>
      <c r="BX323" s="765">
        <f>BX324*BX313</f>
        <v>76.043352913597403</v>
      </c>
      <c r="BY323" s="765">
        <f>BY324*BY313</f>
        <v>78.673247155002514</v>
      </c>
      <c r="BZ323" s="765">
        <f>BZ324*BZ313</f>
        <v>81.49991190934692</v>
      </c>
      <c r="CA323" s="510">
        <f>SUM(BW323:BZ323)</f>
        <v>309.74096495518194</v>
      </c>
      <c r="CC323" s="29"/>
      <c r="CD323" s="113" t="str">
        <f>A323</f>
        <v>Selling General and Administrative</v>
      </c>
      <c r="CE323" s="510">
        <f>D323</f>
        <v>34.24</v>
      </c>
      <c r="CF323" s="510">
        <f>I323</f>
        <v>39.378</v>
      </c>
      <c r="CG323" s="510">
        <f>N323</f>
        <v>49.426000000000002</v>
      </c>
      <c r="CH323" s="510">
        <f>S323</f>
        <v>80.05</v>
      </c>
      <c r="CI323" s="510">
        <f>X323</f>
        <v>87.384</v>
      </c>
      <c r="CJ323" s="510">
        <f>AC323</f>
        <v>125.938</v>
      </c>
      <c r="CK323" s="510">
        <f>AH323</f>
        <v>150.41300000000001</v>
      </c>
      <c r="CL323" s="510">
        <f>AM323</f>
        <v>151.55700000000002</v>
      </c>
      <c r="CM323" s="510">
        <f>AR323</f>
        <v>153.453</v>
      </c>
      <c r="CN323" s="510">
        <f>AW323</f>
        <v>230.88900000000001</v>
      </c>
      <c r="CO323" s="510">
        <f>BB323</f>
        <v>214.96699999999998</v>
      </c>
      <c r="CP323" s="510">
        <f>BG323</f>
        <v>238.3</v>
      </c>
      <c r="CQ323" s="510">
        <f>BL323</f>
        <v>264.57008608413486</v>
      </c>
      <c r="CR323" s="510">
        <f>BQ323</f>
        <v>279.2619261351623</v>
      </c>
      <c r="CS323" s="510">
        <f>BV323</f>
        <v>294.08816861590424</v>
      </c>
      <c r="CT323" s="510">
        <f>CA323</f>
        <v>309.74096495518194</v>
      </c>
      <c r="CU323" s="1961"/>
      <c r="DB323" s="1961"/>
      <c r="DC323" s="1961"/>
      <c r="DD323" s="1961"/>
      <c r="DE323" s="1961"/>
      <c r="DF323" s="1961"/>
      <c r="DG323" s="1961"/>
      <c r="DH323" s="1961"/>
      <c r="DI323" s="126"/>
    </row>
    <row r="324" spans="1:113" ht="12" customHeight="1" x14ac:dyDescent="0.25">
      <c r="A324" s="81" t="s">
        <v>217</v>
      </c>
      <c r="B324" s="703"/>
      <c r="C324" s="441">
        <f t="shared" ref="C324:Y324" si="468">C323/C313</f>
        <v>0.13880631145666589</v>
      </c>
      <c r="D324" s="441">
        <f t="shared" si="468"/>
        <v>0.13297139018015605</v>
      </c>
      <c r="E324" s="92">
        <f t="shared" si="468"/>
        <v>0.13888131676986382</v>
      </c>
      <c r="F324" s="92">
        <f t="shared" si="468"/>
        <v>0.12859238471841319</v>
      </c>
      <c r="G324" s="92">
        <f t="shared" si="468"/>
        <v>0.12123059726138759</v>
      </c>
      <c r="H324" s="92">
        <f t="shared" si="468"/>
        <v>0.10924623236844963</v>
      </c>
      <c r="I324" s="441">
        <f t="shared" si="468"/>
        <v>0.12420710647089438</v>
      </c>
      <c r="J324" s="92">
        <f t="shared" si="468"/>
        <v>0.1255828130821075</v>
      </c>
      <c r="K324" s="92">
        <f t="shared" si="468"/>
        <v>0.11683985170487181</v>
      </c>
      <c r="L324" s="92">
        <f t="shared" si="468"/>
        <v>0.12575979033314852</v>
      </c>
      <c r="M324" s="92">
        <f t="shared" si="468"/>
        <v>0.13859117591365275</v>
      </c>
      <c r="N324" s="441">
        <f t="shared" si="468"/>
        <v>0.12700721299006321</v>
      </c>
      <c r="O324" s="759">
        <f t="shared" si="468"/>
        <v>0.13643757800060249</v>
      </c>
      <c r="P324" s="92">
        <f t="shared" si="468"/>
        <v>0.15379306470640161</v>
      </c>
      <c r="Q324" s="92">
        <f t="shared" si="468"/>
        <v>0.14893484344186264</v>
      </c>
      <c r="R324" s="92">
        <f t="shared" si="468"/>
        <v>0.19342300605029727</v>
      </c>
      <c r="S324" s="708">
        <f t="shared" si="468"/>
        <v>0.15910464136362912</v>
      </c>
      <c r="T324" s="759">
        <f t="shared" si="468"/>
        <v>0.12947109679606714</v>
      </c>
      <c r="U324" s="92">
        <f t="shared" si="468"/>
        <v>0.15740087388389831</v>
      </c>
      <c r="V324" s="92">
        <f t="shared" si="468"/>
        <v>0.13661845980739318</v>
      </c>
      <c r="W324" s="92">
        <f t="shared" si="468"/>
        <v>0.16146673838981535</v>
      </c>
      <c r="X324" s="441">
        <f>X323/X313</f>
        <v>0.14656703650589981</v>
      </c>
      <c r="Y324" s="759">
        <f t="shared" si="468"/>
        <v>0.17483722711604752</v>
      </c>
      <c r="Z324" s="92">
        <f>(Z323+3.364)/Z313</f>
        <v>0.19238554216867468</v>
      </c>
      <c r="AA324" s="92">
        <f>(AA323)/AA313</f>
        <v>0.15695504219946932</v>
      </c>
      <c r="AB324" s="92">
        <f>(AB323)/AB313</f>
        <v>0.15211532764404015</v>
      </c>
      <c r="AC324" s="441">
        <f t="shared" ref="AC324:AZ324" si="469">AC323/AC313</f>
        <v>0.16387955949349298</v>
      </c>
      <c r="AD324" s="759">
        <f t="shared" si="469"/>
        <v>0.17057836968818851</v>
      </c>
      <c r="AE324" s="92">
        <f t="shared" si="469"/>
        <v>0.1727319166772181</v>
      </c>
      <c r="AF324" s="92">
        <f t="shared" si="469"/>
        <v>0.15282984831134605</v>
      </c>
      <c r="AG324" s="92">
        <f t="shared" si="469"/>
        <v>0.13928742539433761</v>
      </c>
      <c r="AH324" s="441">
        <f t="shared" si="469"/>
        <v>0.15753120503050858</v>
      </c>
      <c r="AI324" s="759">
        <f t="shared" si="469"/>
        <v>0.16399653701290587</v>
      </c>
      <c r="AJ324" s="92">
        <f t="shared" si="469"/>
        <v>0.16346402266768881</v>
      </c>
      <c r="AK324" s="92">
        <f t="shared" si="469"/>
        <v>0.14462845308169053</v>
      </c>
      <c r="AL324" s="92">
        <f t="shared" si="469"/>
        <v>0.15002265971256734</v>
      </c>
      <c r="AM324" s="441">
        <f t="shared" si="469"/>
        <v>0.15505551764461548</v>
      </c>
      <c r="AN324" s="759">
        <f t="shared" si="469"/>
        <v>0.15384708688796347</v>
      </c>
      <c r="AO324" s="92">
        <f t="shared" si="469"/>
        <v>0.14764795376182141</v>
      </c>
      <c r="AP324" s="92">
        <f t="shared" si="469"/>
        <v>0.13441337553227417</v>
      </c>
      <c r="AQ324" s="92">
        <f t="shared" si="469"/>
        <v>0.12726927193254448</v>
      </c>
      <c r="AR324" s="441">
        <f t="shared" si="469"/>
        <v>0.1400024085964999</v>
      </c>
      <c r="AS324" s="759">
        <f t="shared" si="469"/>
        <v>0.13602468322615313</v>
      </c>
      <c r="AT324" s="92">
        <f t="shared" si="469"/>
        <v>0.21906602847324499</v>
      </c>
      <c r="AU324" s="92">
        <f t="shared" si="469"/>
        <v>0.15330865071275029</v>
      </c>
      <c r="AV324" s="92">
        <f t="shared" si="469"/>
        <v>0.1608066184074457</v>
      </c>
      <c r="AW324" s="441">
        <f t="shared" si="469"/>
        <v>0.16732917877245987</v>
      </c>
      <c r="AX324" s="92">
        <f t="shared" si="469"/>
        <v>0.1673904360191088</v>
      </c>
      <c r="AY324" s="92">
        <f t="shared" si="469"/>
        <v>0.17026663177574811</v>
      </c>
      <c r="AZ324" s="92">
        <f t="shared" si="469"/>
        <v>0.17452498684239554</v>
      </c>
      <c r="BA324" s="92">
        <f t="shared" ref="BA324:BG324" si="470">BA323/BA313</f>
        <v>0.164451313755796</v>
      </c>
      <c r="BB324" s="451">
        <f t="shared" si="470"/>
        <v>0.16914136172616764</v>
      </c>
      <c r="BC324" s="92">
        <f t="shared" si="470"/>
        <v>0.17911877394636017</v>
      </c>
      <c r="BD324" s="92">
        <f t="shared" si="470"/>
        <v>0.17453115547489412</v>
      </c>
      <c r="BE324" s="92">
        <f t="shared" si="470"/>
        <v>0.16971059286316381</v>
      </c>
      <c r="BF324" s="92">
        <f t="shared" si="470"/>
        <v>0.17088776326312979</v>
      </c>
      <c r="BG324" s="451">
        <f t="shared" si="470"/>
        <v>0.17333430317137036</v>
      </c>
      <c r="BH324" s="92">
        <f>CHOOSE($A$3,BH325,BH326,BH327)</f>
        <v>0.17011877394636016</v>
      </c>
      <c r="BI324" s="92">
        <f>CHOOSE($A$3,BI325,BI326,BI327)</f>
        <v>0.17053115547489411</v>
      </c>
      <c r="BJ324" s="92">
        <f>CHOOSE($A$3,BJ325,BJ326,BJ327)</f>
        <v>0.16971059286316381</v>
      </c>
      <c r="BK324" s="92">
        <f>CHOOSE($A$3,BK325,BK326,BK327)</f>
        <v>0.17088776326312979</v>
      </c>
      <c r="BL324" s="451">
        <f>BL323/BL313</f>
        <v>0.17031729168157764</v>
      </c>
      <c r="BM324" s="92">
        <f>CHOOSE($A$3,BM325,BM326,BM327)</f>
        <v>0.16911877394636016</v>
      </c>
      <c r="BN324" s="92">
        <f>CHOOSE($A$3,BN325,BN326,BN327)</f>
        <v>0.16953115547489411</v>
      </c>
      <c r="BO324" s="92">
        <f>CHOOSE($A$3,BO325,BO326,BO327)</f>
        <v>0.16871059286316381</v>
      </c>
      <c r="BP324" s="92">
        <f>CHOOSE($A$3,BP325,BP326,BP327)</f>
        <v>0.16988776326312979</v>
      </c>
      <c r="BQ324" s="451">
        <f>BQ323/BQ313</f>
        <v>0.16931752351724313</v>
      </c>
      <c r="BR324" s="92">
        <f>CHOOSE($A$3,BR325,BR326,BR327)</f>
        <v>0.16811877394636016</v>
      </c>
      <c r="BS324" s="92">
        <f>CHOOSE($A$3,BS325,BS326,BS327)</f>
        <v>0.16853115547489411</v>
      </c>
      <c r="BT324" s="92">
        <f>CHOOSE($A$3,BT325,BT326,BT327)</f>
        <v>0.16771059286316381</v>
      </c>
      <c r="BU324" s="92">
        <f>CHOOSE($A$3,BU325,BU326,BU327)</f>
        <v>0.16888776326312979</v>
      </c>
      <c r="BV324" s="451">
        <f>BV323/BV313</f>
        <v>0.16831750378541058</v>
      </c>
      <c r="BW324" s="92">
        <f>CHOOSE($A$3,BW325,BW326,BW327)</f>
        <v>0.16711877394636016</v>
      </c>
      <c r="BX324" s="92">
        <f>CHOOSE($A$3,BX325,BX326,BX327)</f>
        <v>0.16753115547489411</v>
      </c>
      <c r="BY324" s="92">
        <f>CHOOSE($A$3,BY325,BY326,BY327)</f>
        <v>0.16671059286316381</v>
      </c>
      <c r="BZ324" s="92">
        <f>CHOOSE($A$3,BZ325,BZ326,BZ327)</f>
        <v>0.16788776326312979</v>
      </c>
      <c r="CA324" s="451">
        <f>CA323/CA313</f>
        <v>0.16731748424628703</v>
      </c>
      <c r="CC324" s="29"/>
      <c r="CD324" s="81" t="str">
        <f>A324</f>
        <v>% of Revenue</v>
      </c>
      <c r="CE324" s="441">
        <f>D324</f>
        <v>0.13297139018015605</v>
      </c>
      <c r="CF324" s="441">
        <f>I324</f>
        <v>0.12420710647089438</v>
      </c>
      <c r="CG324" s="441">
        <f>N324</f>
        <v>0.12700721299006321</v>
      </c>
      <c r="CH324" s="441">
        <f>S324</f>
        <v>0.15910464136362912</v>
      </c>
      <c r="CI324" s="441">
        <f>X324</f>
        <v>0.14656703650589981</v>
      </c>
      <c r="CJ324" s="441">
        <f>AC324</f>
        <v>0.16387955949349298</v>
      </c>
      <c r="CK324" s="441">
        <f>AH324</f>
        <v>0.15753120503050858</v>
      </c>
      <c r="CL324" s="441">
        <f>AM324</f>
        <v>0.15505551764461548</v>
      </c>
      <c r="CM324" s="441">
        <f>AR324</f>
        <v>0.1400024085964999</v>
      </c>
      <c r="CN324" s="441">
        <f>AW324</f>
        <v>0.16732917877245987</v>
      </c>
      <c r="CO324" s="441">
        <f>BB324</f>
        <v>0.16914136172616764</v>
      </c>
      <c r="CP324" s="441">
        <f>BG324</f>
        <v>0.17333430317137036</v>
      </c>
      <c r="CQ324" s="441">
        <f>BL324</f>
        <v>0.17031729168157764</v>
      </c>
      <c r="CR324" s="441">
        <f>BQ324</f>
        <v>0.16931752351724313</v>
      </c>
      <c r="CS324" s="441">
        <f>BV324</f>
        <v>0.16831750378541058</v>
      </c>
      <c r="CT324" s="441">
        <f>CA324</f>
        <v>0.16731748424628703</v>
      </c>
      <c r="CU324" s="1961"/>
      <c r="DB324" s="1961"/>
      <c r="DC324" s="1961"/>
      <c r="DD324" s="1961"/>
      <c r="DE324" s="1961"/>
      <c r="DF324" s="1961"/>
      <c r="DG324" s="1961"/>
      <c r="DH324" s="1961"/>
      <c r="DI324" s="90"/>
    </row>
    <row r="325" spans="1:113" ht="12" hidden="1" customHeight="1" outlineLevel="1" x14ac:dyDescent="0.25">
      <c r="A325" s="748" t="s">
        <v>214</v>
      </c>
      <c r="B325" s="730"/>
      <c r="C325" s="751"/>
      <c r="D325" s="749"/>
      <c r="E325" s="750"/>
      <c r="F325" s="750"/>
      <c r="G325" s="750"/>
      <c r="H325" s="750"/>
      <c r="I325" s="751"/>
      <c r="J325" s="750"/>
      <c r="K325" s="750"/>
      <c r="L325" s="750"/>
      <c r="M325" s="750"/>
      <c r="N325" s="752"/>
      <c r="O325" s="750"/>
      <c r="P325" s="753"/>
      <c r="Q325" s="753"/>
      <c r="R325" s="753"/>
      <c r="S325" s="754"/>
      <c r="T325" s="750"/>
      <c r="U325" s="750"/>
      <c r="V325" s="750"/>
      <c r="W325" s="750"/>
      <c r="X325" s="752"/>
      <c r="Y325" s="750"/>
      <c r="Z325" s="750"/>
      <c r="AA325" s="750"/>
      <c r="AB325" s="750"/>
      <c r="AC325" s="752"/>
      <c r="AD325" s="750"/>
      <c r="AE325" s="750"/>
      <c r="AF325" s="750"/>
      <c r="AG325" s="750"/>
      <c r="AH325" s="752"/>
      <c r="AI325" s="750"/>
      <c r="AJ325" s="753"/>
      <c r="AK325" s="753"/>
      <c r="AL325" s="753"/>
      <c r="AM325" s="752"/>
      <c r="AN325" s="750"/>
      <c r="AO325" s="753"/>
      <c r="AP325" s="753"/>
      <c r="AQ325" s="753"/>
      <c r="AR325" s="752"/>
      <c r="AS325" s="750"/>
      <c r="AT325" s="750"/>
      <c r="AU325" s="750"/>
      <c r="AV325" s="750"/>
      <c r="AW325" s="752"/>
      <c r="AX325" s="750"/>
      <c r="AY325" s="750"/>
      <c r="AZ325" s="750"/>
      <c r="BA325" s="750"/>
      <c r="BB325" s="757"/>
      <c r="BC325" s="750"/>
      <c r="BD325" s="750"/>
      <c r="BE325" s="750"/>
      <c r="BF325" s="750"/>
      <c r="BG325" s="757"/>
      <c r="BH325" s="750">
        <f>BH326+1.25%</f>
        <v>0.18261877394636017</v>
      </c>
      <c r="BI325" s="750">
        <f>BI326+1.25%</f>
        <v>0.18303115547489412</v>
      </c>
      <c r="BJ325" s="750">
        <f>BJ326+1.25%</f>
        <v>0.18221059286316382</v>
      </c>
      <c r="BK325" s="750">
        <f>BK326+1.25%</f>
        <v>0.1833877632631298</v>
      </c>
      <c r="BL325" s="757"/>
      <c r="BM325" s="750">
        <f>BM326+1.25%</f>
        <v>0.18161877394636017</v>
      </c>
      <c r="BN325" s="750">
        <f>BN326+1.25%</f>
        <v>0.18203115547489412</v>
      </c>
      <c r="BO325" s="750">
        <f>BO326+1.25%</f>
        <v>0.18121059286316382</v>
      </c>
      <c r="BP325" s="750">
        <f>BP326+1.25%</f>
        <v>0.1823877632631298</v>
      </c>
      <c r="BQ325" s="757"/>
      <c r="BR325" s="750">
        <f>BR326+1.25%</f>
        <v>0.18061877394636017</v>
      </c>
      <c r="BS325" s="750">
        <f>BS326+1.25%</f>
        <v>0.18103115547489412</v>
      </c>
      <c r="BT325" s="750">
        <f>BT326+1.25%</f>
        <v>0.18021059286316382</v>
      </c>
      <c r="BU325" s="750">
        <f>BU326+1.25%</f>
        <v>0.1813877632631298</v>
      </c>
      <c r="BV325" s="757"/>
      <c r="BW325" s="750">
        <f>BW326+1.25%</f>
        <v>0.17961877394636017</v>
      </c>
      <c r="BX325" s="750">
        <f>BX326+1.25%</f>
        <v>0.18003115547489412</v>
      </c>
      <c r="BY325" s="750">
        <f>BY326+1.25%</f>
        <v>0.17921059286316382</v>
      </c>
      <c r="BZ325" s="750">
        <f>BZ326+1.25%</f>
        <v>0.1803877632631298</v>
      </c>
      <c r="CA325" s="757"/>
      <c r="CC325" s="29"/>
      <c r="CD325" s="748"/>
      <c r="CE325" s="752"/>
      <c r="CF325" s="752"/>
      <c r="CG325" s="752"/>
      <c r="CH325" s="752"/>
      <c r="CI325" s="752"/>
      <c r="CJ325" s="752"/>
      <c r="CK325" s="752"/>
      <c r="CL325" s="752"/>
      <c r="CM325" s="752"/>
      <c r="CN325" s="752"/>
      <c r="CO325" s="752"/>
      <c r="CP325" s="752"/>
      <c r="CQ325" s="752"/>
      <c r="CR325" s="752"/>
      <c r="CS325" s="752"/>
      <c r="CT325" s="752"/>
      <c r="CU325" s="1961"/>
      <c r="DB325" s="1961"/>
      <c r="DC325" s="1961"/>
      <c r="DD325" s="1961"/>
      <c r="DE325" s="1961"/>
      <c r="DF325" s="1961"/>
      <c r="DG325" s="1961"/>
      <c r="DH325" s="1961"/>
      <c r="DI325" s="716"/>
    </row>
    <row r="326" spans="1:113" ht="12" hidden="1" customHeight="1" outlineLevel="1" x14ac:dyDescent="0.25">
      <c r="A326" s="748" t="s">
        <v>215</v>
      </c>
      <c r="B326" s="730"/>
      <c r="C326" s="751"/>
      <c r="D326" s="749"/>
      <c r="E326" s="750"/>
      <c r="F326" s="750"/>
      <c r="G326" s="750"/>
      <c r="H326" s="750"/>
      <c r="I326" s="751"/>
      <c r="J326" s="750"/>
      <c r="K326" s="750"/>
      <c r="L326" s="750"/>
      <c r="M326" s="750"/>
      <c r="N326" s="752"/>
      <c r="O326" s="750"/>
      <c r="P326" s="753"/>
      <c r="Q326" s="753"/>
      <c r="R326" s="769"/>
      <c r="S326" s="754"/>
      <c r="T326" s="750"/>
      <c r="U326" s="750"/>
      <c r="V326" s="750"/>
      <c r="W326" s="750"/>
      <c r="X326" s="752"/>
      <c r="Y326" s="750"/>
      <c r="Z326" s="750">
        <f>(Z323)/Z313</f>
        <v>0.17437215528781794</v>
      </c>
      <c r="AA326" s="750"/>
      <c r="AB326" s="750"/>
      <c r="AC326" s="752"/>
      <c r="AD326" s="750"/>
      <c r="AE326" s="750"/>
      <c r="AF326" s="750"/>
      <c r="AG326" s="750"/>
      <c r="AH326" s="752"/>
      <c r="AI326" s="750"/>
      <c r="AJ326" s="753"/>
      <c r="AK326" s="753"/>
      <c r="AL326" s="753"/>
      <c r="AM326" s="752"/>
      <c r="AN326" s="750"/>
      <c r="AO326" s="753"/>
      <c r="AP326" s="753"/>
      <c r="AQ326" s="753">
        <f>(AQ323-1.7)/AQ313</f>
        <v>0.12160130163270884</v>
      </c>
      <c r="AR326" s="752">
        <f>(AR323-6.9)/AR313</f>
        <v>0.13370721319910883</v>
      </c>
      <c r="AS326" s="750">
        <f>AS324</f>
        <v>0.13602468322615313</v>
      </c>
      <c r="AT326" s="750">
        <f>(AT323+AT24)/AT313</f>
        <v>0.13807682866961218</v>
      </c>
      <c r="AU326" s="750">
        <f>AU324</f>
        <v>0.15330865071275029</v>
      </c>
      <c r="AV326" s="750">
        <f>AV324</f>
        <v>0.1608066184074457</v>
      </c>
      <c r="AW326" s="751">
        <f>AVERAGE(AS326:AV326)</f>
        <v>0.14705419525399033</v>
      </c>
      <c r="AX326" s="750">
        <f>AX324</f>
        <v>0.1673904360191088</v>
      </c>
      <c r="AY326" s="750">
        <f>AY324</f>
        <v>0.17026663177574811</v>
      </c>
      <c r="AZ326" s="750">
        <f>AZ324</f>
        <v>0.17452498684239554</v>
      </c>
      <c r="BA326" s="750">
        <f>BA324</f>
        <v>0.164451313755796</v>
      </c>
      <c r="BB326" s="768">
        <f>AVERAGE(AX326:BA326)</f>
        <v>0.16915834209826211</v>
      </c>
      <c r="BC326" s="750">
        <f>BC324</f>
        <v>0.17911877394636017</v>
      </c>
      <c r="BD326" s="750">
        <f>BD324</f>
        <v>0.17453115547489412</v>
      </c>
      <c r="BE326" s="750">
        <f>BE324</f>
        <v>0.16971059286316381</v>
      </c>
      <c r="BF326" s="750">
        <f>BF324</f>
        <v>0.17088776326312979</v>
      </c>
      <c r="BG326" s="768">
        <f>SUMPRODUCT(BC326:BF326,BC313:BF313)/SUM(BC313:BF313)</f>
        <v>0.17333430317137039</v>
      </c>
      <c r="BH326" s="753">
        <f>BC326-0.009</f>
        <v>0.17011877394636016</v>
      </c>
      <c r="BI326" s="753">
        <f>BD326-0.004</f>
        <v>0.17053115547489411</v>
      </c>
      <c r="BJ326" s="753">
        <f>BE326-0</f>
        <v>0.16971059286316381</v>
      </c>
      <c r="BK326" s="753">
        <f>BF326-0</f>
        <v>0.17088776326312979</v>
      </c>
      <c r="BL326" s="768">
        <f>SUMPRODUCT(BH326:BK326,BH313:BK313)/SUM(BH313:BK313)</f>
        <v>0.17031729168157764</v>
      </c>
      <c r="BM326" s="753">
        <f>BH326-0.001</f>
        <v>0.16911877394636016</v>
      </c>
      <c r="BN326" s="753">
        <f>BI326-0.001</f>
        <v>0.16953115547489411</v>
      </c>
      <c r="BO326" s="753">
        <f>BJ326-0.001</f>
        <v>0.16871059286316381</v>
      </c>
      <c r="BP326" s="753">
        <f>BK326-0.001</f>
        <v>0.16988776326312979</v>
      </c>
      <c r="BQ326" s="768">
        <f>SUMPRODUCT(BM326:BP326,BM313:BP313)/SUM(BM313:BP313)</f>
        <v>0.16931752351724311</v>
      </c>
      <c r="BR326" s="753">
        <f>BM326-0.001</f>
        <v>0.16811877394636016</v>
      </c>
      <c r="BS326" s="753">
        <f>BN326-0.001</f>
        <v>0.16853115547489411</v>
      </c>
      <c r="BT326" s="753">
        <f>BO326-0.001</f>
        <v>0.16771059286316381</v>
      </c>
      <c r="BU326" s="753">
        <f>BP326-0.001</f>
        <v>0.16888776326312979</v>
      </c>
      <c r="BV326" s="768">
        <f>SUMPRODUCT(BR326:BU326,BR313:BU313)/SUM(BR313:BU313)</f>
        <v>0.16831750378541058</v>
      </c>
      <c r="BW326" s="753">
        <f>BR326-0.001</f>
        <v>0.16711877394636016</v>
      </c>
      <c r="BX326" s="753">
        <f>BS326-0.001</f>
        <v>0.16753115547489411</v>
      </c>
      <c r="BY326" s="753">
        <f>BT326-0.001</f>
        <v>0.16671059286316381</v>
      </c>
      <c r="BZ326" s="753">
        <f>BU326-0.001</f>
        <v>0.16788776326312979</v>
      </c>
      <c r="CA326" s="768">
        <f>SUMPRODUCT(BW326:BZ326,BW313:BZ313)/SUM(BW313:BZ313)</f>
        <v>0.16731748424628703</v>
      </c>
      <c r="CC326" s="29"/>
      <c r="CD326" s="748"/>
      <c r="CE326" s="752"/>
      <c r="CF326" s="752"/>
      <c r="CG326" s="752"/>
      <c r="CH326" s="752"/>
      <c r="CI326" s="752"/>
      <c r="CJ326" s="752"/>
      <c r="CK326" s="752"/>
      <c r="CL326" s="752"/>
      <c r="CM326" s="752"/>
      <c r="CN326" s="752"/>
      <c r="CO326" s="752"/>
      <c r="CP326" s="752"/>
      <c r="CQ326" s="752"/>
      <c r="CR326" s="752"/>
      <c r="CS326" s="752"/>
      <c r="CT326" s="752"/>
      <c r="CU326" s="1961"/>
      <c r="DB326" s="1961"/>
      <c r="DC326" s="1961"/>
      <c r="DD326" s="1961"/>
      <c r="DE326" s="1961"/>
      <c r="DF326" s="1961"/>
      <c r="DG326" s="1961"/>
      <c r="DH326" s="1961"/>
      <c r="DI326" s="716"/>
    </row>
    <row r="327" spans="1:113" ht="12" hidden="1" customHeight="1" outlineLevel="1" x14ac:dyDescent="0.25">
      <c r="A327" s="748" t="s">
        <v>216</v>
      </c>
      <c r="B327" s="730"/>
      <c r="C327" s="751"/>
      <c r="D327" s="749"/>
      <c r="E327" s="750"/>
      <c r="F327" s="750"/>
      <c r="G327" s="750"/>
      <c r="H327" s="750"/>
      <c r="I327" s="751"/>
      <c r="J327" s="750"/>
      <c r="K327" s="750"/>
      <c r="L327" s="750"/>
      <c r="M327" s="750"/>
      <c r="N327" s="752"/>
      <c r="O327" s="750"/>
      <c r="P327" s="753"/>
      <c r="Q327" s="753"/>
      <c r="R327" s="753"/>
      <c r="S327" s="754"/>
      <c r="T327" s="750"/>
      <c r="U327" s="750"/>
      <c r="V327" s="750"/>
      <c r="W327" s="750"/>
      <c r="X327" s="752"/>
      <c r="Y327" s="750"/>
      <c r="Z327" s="750"/>
      <c r="AA327" s="750"/>
      <c r="AB327" s="750"/>
      <c r="AC327" s="752"/>
      <c r="AD327" s="750"/>
      <c r="AE327" s="750"/>
      <c r="AF327" s="750"/>
      <c r="AG327" s="750"/>
      <c r="AH327" s="752"/>
      <c r="AI327" s="750"/>
      <c r="AJ327" s="753"/>
      <c r="AK327" s="753"/>
      <c r="AL327" s="753"/>
      <c r="AM327" s="752"/>
      <c r="AN327" s="750"/>
      <c r="AO327" s="753"/>
      <c r="AP327" s="753"/>
      <c r="AQ327" s="753"/>
      <c r="AR327" s="752"/>
      <c r="AS327" s="750">
        <v>0.14386129334582942</v>
      </c>
      <c r="AT327" s="750">
        <v>0.16270922537952512</v>
      </c>
      <c r="AU327" s="750">
        <v>0.16543871399866039</v>
      </c>
      <c r="AV327" s="750">
        <v>0.17753623188405795</v>
      </c>
      <c r="AW327" s="751">
        <v>0.16391608391608392</v>
      </c>
      <c r="AX327" s="750"/>
      <c r="AY327" s="750"/>
      <c r="AZ327" s="750"/>
      <c r="BA327" s="750">
        <f>(BA323-1.9)/BA313</f>
        <v>0.15857805255023186</v>
      </c>
      <c r="BB327" s="768">
        <f>(BA327*BA313+SUMPRODUCT(AX326:AZ326,$AX$313:$AZ$313))/$BB$313</f>
        <v>0.16764639465085043</v>
      </c>
      <c r="BC327" s="750"/>
      <c r="BD327" s="750"/>
      <c r="BE327" s="750"/>
      <c r="BF327" s="750"/>
      <c r="BG327" s="757"/>
      <c r="BH327" s="750">
        <f>BH326-0.5%</f>
        <v>0.16511877394636015</v>
      </c>
      <c r="BI327" s="750">
        <f>BI326-0.5%</f>
        <v>0.16553115547489411</v>
      </c>
      <c r="BJ327" s="750">
        <f>BJ326-0.5%</f>
        <v>0.16471059286316381</v>
      </c>
      <c r="BK327" s="750">
        <f>BK326-0.5%</f>
        <v>0.16588776326312979</v>
      </c>
      <c r="BL327" s="757"/>
      <c r="BM327" s="750">
        <f>BM326-0.5%</f>
        <v>0.16411877394636015</v>
      </c>
      <c r="BN327" s="750">
        <f>BN326-0.5%</f>
        <v>0.16453115547489411</v>
      </c>
      <c r="BO327" s="750">
        <f>BO326-0.5%</f>
        <v>0.16371059286316381</v>
      </c>
      <c r="BP327" s="750">
        <f>BP326-0.5%</f>
        <v>0.16488776326312979</v>
      </c>
      <c r="BQ327" s="757"/>
      <c r="BR327" s="750">
        <f>BR326-0.5%</f>
        <v>0.16311877394636015</v>
      </c>
      <c r="BS327" s="750">
        <f>BS326-0.5%</f>
        <v>0.16353115547489411</v>
      </c>
      <c r="BT327" s="750">
        <f>BT326-0.5%</f>
        <v>0.16271059286316381</v>
      </c>
      <c r="BU327" s="750">
        <f>BU326-0.5%</f>
        <v>0.16388776326312979</v>
      </c>
      <c r="BV327" s="757"/>
      <c r="BW327" s="750">
        <f>BW326-0.5%</f>
        <v>0.16211877394636015</v>
      </c>
      <c r="BX327" s="750">
        <f>BX326-0.5%</f>
        <v>0.16253115547489411</v>
      </c>
      <c r="BY327" s="750">
        <f>BY326-0.5%</f>
        <v>0.1617105928631638</v>
      </c>
      <c r="BZ327" s="750">
        <f>BZ326-0.5%</f>
        <v>0.16288776326312979</v>
      </c>
      <c r="CA327" s="757"/>
      <c r="CC327" s="29"/>
      <c r="CD327" s="748"/>
      <c r="CE327" s="752"/>
      <c r="CF327" s="752"/>
      <c r="CG327" s="752"/>
      <c r="CH327" s="752"/>
      <c r="CI327" s="752"/>
      <c r="CJ327" s="752"/>
      <c r="CK327" s="752"/>
      <c r="CL327" s="752"/>
      <c r="CM327" s="752"/>
      <c r="CN327" s="752"/>
      <c r="CO327" s="752"/>
      <c r="CP327" s="752"/>
      <c r="CQ327" s="752"/>
      <c r="CR327" s="752"/>
      <c r="CS327" s="752"/>
      <c r="CT327" s="752"/>
      <c r="CU327" s="1961"/>
      <c r="DB327" s="1961"/>
      <c r="DC327" s="1961"/>
      <c r="DD327" s="1961"/>
      <c r="DE327" s="1961"/>
      <c r="DF327" s="1961"/>
      <c r="DG327" s="1961"/>
      <c r="DH327" s="1961"/>
      <c r="DI327" s="716"/>
    </row>
    <row r="328" spans="1:113" ht="5.25" customHeight="1" collapsed="1" x14ac:dyDescent="0.25">
      <c r="A328" s="110"/>
      <c r="B328" s="128"/>
      <c r="C328" s="129" t="s">
        <v>60</v>
      </c>
      <c r="D328" s="129" t="s">
        <v>60</v>
      </c>
      <c r="E328" s="130" t="s">
        <v>60</v>
      </c>
      <c r="F328" s="130" t="s">
        <v>60</v>
      </c>
      <c r="G328" s="130" t="s">
        <v>60</v>
      </c>
      <c r="H328" s="130" t="s">
        <v>60</v>
      </c>
      <c r="I328" s="129" t="s">
        <v>60</v>
      </c>
      <c r="J328" s="130" t="s">
        <v>60</v>
      </c>
      <c r="K328" s="130" t="s">
        <v>60</v>
      </c>
      <c r="L328" s="130" t="s">
        <v>60</v>
      </c>
      <c r="M328" s="130" t="s">
        <v>60</v>
      </c>
      <c r="N328" s="129" t="s">
        <v>60</v>
      </c>
      <c r="O328" s="130" t="s">
        <v>60</v>
      </c>
      <c r="P328" s="130" t="s">
        <v>60</v>
      </c>
      <c r="Q328" s="130" t="s">
        <v>60</v>
      </c>
      <c r="R328" s="130" t="s">
        <v>60</v>
      </c>
      <c r="S328" s="132" t="s">
        <v>60</v>
      </c>
      <c r="T328" s="130" t="s">
        <v>60</v>
      </c>
      <c r="U328" s="130" t="s">
        <v>60</v>
      </c>
      <c r="V328" s="130" t="s">
        <v>60</v>
      </c>
      <c r="W328" s="130" t="s">
        <v>60</v>
      </c>
      <c r="X328" s="129" t="s">
        <v>60</v>
      </c>
      <c r="Y328" s="130" t="s">
        <v>60</v>
      </c>
      <c r="Z328" s="130" t="s">
        <v>60</v>
      </c>
      <c r="AA328" s="130" t="s">
        <v>60</v>
      </c>
      <c r="AB328" s="130" t="s">
        <v>60</v>
      </c>
      <c r="AC328" s="129" t="s">
        <v>60</v>
      </c>
      <c r="AD328" s="130" t="s">
        <v>60</v>
      </c>
      <c r="AE328" s="130" t="s">
        <v>60</v>
      </c>
      <c r="AF328" s="130" t="s">
        <v>60</v>
      </c>
      <c r="AG328" s="130" t="s">
        <v>60</v>
      </c>
      <c r="AH328" s="129" t="s">
        <v>60</v>
      </c>
      <c r="AI328" s="130" t="s">
        <v>60</v>
      </c>
      <c r="AJ328" s="130" t="s">
        <v>60</v>
      </c>
      <c r="AK328" s="130" t="s">
        <v>60</v>
      </c>
      <c r="AL328" s="130" t="s">
        <v>60</v>
      </c>
      <c r="AM328" s="129" t="s">
        <v>60</v>
      </c>
      <c r="AN328" s="130" t="s">
        <v>60</v>
      </c>
      <c r="AO328" s="130" t="s">
        <v>60</v>
      </c>
      <c r="AP328" s="130" t="s">
        <v>60</v>
      </c>
      <c r="AQ328" s="130" t="s">
        <v>60</v>
      </c>
      <c r="AR328" s="129" t="s">
        <v>60</v>
      </c>
      <c r="AS328" s="130" t="s">
        <v>60</v>
      </c>
      <c r="AT328" s="130" t="s">
        <v>60</v>
      </c>
      <c r="AU328" s="130" t="s">
        <v>60</v>
      </c>
      <c r="AV328" s="130" t="s">
        <v>60</v>
      </c>
      <c r="AW328" s="129" t="s">
        <v>60</v>
      </c>
      <c r="AX328" s="130" t="s">
        <v>60</v>
      </c>
      <c r="AY328" s="130" t="s">
        <v>60</v>
      </c>
      <c r="AZ328" s="130" t="s">
        <v>60</v>
      </c>
      <c r="BA328" s="130" t="s">
        <v>60</v>
      </c>
      <c r="BB328" s="129" t="s">
        <v>60</v>
      </c>
      <c r="BC328" s="130" t="s">
        <v>60</v>
      </c>
      <c r="BD328" s="130" t="s">
        <v>60</v>
      </c>
      <c r="BE328" s="130" t="s">
        <v>60</v>
      </c>
      <c r="BF328" s="130" t="s">
        <v>60</v>
      </c>
      <c r="BG328" s="129" t="s">
        <v>60</v>
      </c>
      <c r="BH328" s="130" t="s">
        <v>60</v>
      </c>
      <c r="BI328" s="130" t="s">
        <v>60</v>
      </c>
      <c r="BJ328" s="130" t="s">
        <v>60</v>
      </c>
      <c r="BK328" s="130" t="s">
        <v>60</v>
      </c>
      <c r="BL328" s="129" t="s">
        <v>60</v>
      </c>
      <c r="BM328" s="130" t="s">
        <v>60</v>
      </c>
      <c r="BN328" s="130" t="s">
        <v>60</v>
      </c>
      <c r="BO328" s="130" t="s">
        <v>60</v>
      </c>
      <c r="BP328" s="130" t="s">
        <v>60</v>
      </c>
      <c r="BQ328" s="129" t="s">
        <v>60</v>
      </c>
      <c r="BR328" s="130" t="s">
        <v>60</v>
      </c>
      <c r="BS328" s="130" t="s">
        <v>60</v>
      </c>
      <c r="BT328" s="130" t="s">
        <v>60</v>
      </c>
      <c r="BU328" s="130" t="s">
        <v>60</v>
      </c>
      <c r="BV328" s="129" t="s">
        <v>60</v>
      </c>
      <c r="BW328" s="130" t="s">
        <v>60</v>
      </c>
      <c r="BX328" s="130" t="s">
        <v>60</v>
      </c>
      <c r="BY328" s="130" t="s">
        <v>60</v>
      </c>
      <c r="BZ328" s="130" t="s">
        <v>60</v>
      </c>
      <c r="CA328" s="129" t="s">
        <v>60</v>
      </c>
      <c r="CC328" s="29"/>
      <c r="CD328" s="110"/>
      <c r="CE328" s="129"/>
      <c r="CF328" s="129"/>
      <c r="CG328" s="129"/>
      <c r="CH328" s="129"/>
      <c r="CI328" s="129"/>
      <c r="CJ328" s="129"/>
      <c r="CK328" s="129"/>
      <c r="CL328" s="129"/>
      <c r="CM328" s="129"/>
      <c r="CN328" s="129"/>
      <c r="CO328" s="129"/>
      <c r="CP328" s="129"/>
      <c r="CQ328" s="129"/>
      <c r="CR328" s="129"/>
      <c r="CS328" s="129"/>
      <c r="CT328" s="129"/>
      <c r="CU328" s="1961"/>
      <c r="DB328" s="1961"/>
      <c r="DC328" s="1961"/>
      <c r="DD328" s="1961"/>
      <c r="DE328" s="1961"/>
      <c r="DF328" s="1961"/>
      <c r="DG328" s="1961"/>
      <c r="DH328" s="1961"/>
      <c r="DI328" s="135"/>
    </row>
    <row r="329" spans="1:113" ht="12" customHeight="1" x14ac:dyDescent="0.25">
      <c r="A329" s="136" t="s">
        <v>61</v>
      </c>
      <c r="B329" s="703"/>
      <c r="C329" s="71">
        <f t="shared" ref="C329:BC329" si="471">C323+C317</f>
        <v>130.91</v>
      </c>
      <c r="D329" s="71">
        <f t="shared" si="471"/>
        <v>162.166</v>
      </c>
      <c r="E329" s="74">
        <f t="shared" si="471"/>
        <v>44.893000000000001</v>
      </c>
      <c r="F329" s="74">
        <f t="shared" si="471"/>
        <v>47.471999999999994</v>
      </c>
      <c r="G329" s="74">
        <f t="shared" si="471"/>
        <v>46.534000000000006</v>
      </c>
      <c r="H329" s="74">
        <f t="shared" si="471"/>
        <v>53.487999999999985</v>
      </c>
      <c r="I329" s="71">
        <f t="shared" si="471"/>
        <v>192.387</v>
      </c>
      <c r="J329" s="74">
        <f t="shared" si="471"/>
        <v>53.067</v>
      </c>
      <c r="K329" s="74">
        <f t="shared" si="471"/>
        <v>56.783000000000001</v>
      </c>
      <c r="L329" s="74">
        <f t="shared" si="471"/>
        <v>59.198999999999998</v>
      </c>
      <c r="M329" s="74">
        <f t="shared" si="471"/>
        <v>67.402000000000015</v>
      </c>
      <c r="N329" s="71">
        <f t="shared" si="471"/>
        <v>236.45100000000002</v>
      </c>
      <c r="O329" s="74">
        <f t="shared" si="471"/>
        <v>71.876000000000005</v>
      </c>
      <c r="P329" s="74">
        <f t="shared" si="471"/>
        <v>79.174000000000007</v>
      </c>
      <c r="Q329" s="74">
        <f t="shared" si="471"/>
        <v>81.781999999999996</v>
      </c>
      <c r="R329" s="74">
        <f t="shared" si="471"/>
        <v>108.018</v>
      </c>
      <c r="S329" s="73">
        <f t="shared" si="471"/>
        <v>340.85</v>
      </c>
      <c r="T329" s="74">
        <f t="shared" si="471"/>
        <v>83.424999999999997</v>
      </c>
      <c r="U329" s="74">
        <f t="shared" si="471"/>
        <v>89.546999999999997</v>
      </c>
      <c r="V329" s="74">
        <f t="shared" si="471"/>
        <v>88.12</v>
      </c>
      <c r="W329" s="74">
        <f t="shared" si="471"/>
        <v>95.034000000000049</v>
      </c>
      <c r="X329" s="71">
        <f t="shared" si="471"/>
        <v>356.12600000000003</v>
      </c>
      <c r="Y329" s="74">
        <f t="shared" si="471"/>
        <v>107.42800000000001</v>
      </c>
      <c r="Z329" s="74">
        <f>Z323+Z317</f>
        <v>114.696</v>
      </c>
      <c r="AA329" s="74">
        <f>AA323+AA317</f>
        <v>119.82</v>
      </c>
      <c r="AB329" s="74">
        <f>AB323+AB317</f>
        <v>124.06199999999998</v>
      </c>
      <c r="AC329" s="71">
        <f t="shared" si="471"/>
        <v>466.00599999999997</v>
      </c>
      <c r="AD329" s="74">
        <f t="shared" si="471"/>
        <v>122.27500000000001</v>
      </c>
      <c r="AE329" s="74">
        <f t="shared" si="471"/>
        <v>141.33100000000002</v>
      </c>
      <c r="AF329" s="74">
        <f>AF323+AF317</f>
        <v>150.68</v>
      </c>
      <c r="AG329" s="74">
        <f t="shared" si="471"/>
        <v>160.87300000000002</v>
      </c>
      <c r="AH329" s="71">
        <f t="shared" si="471"/>
        <v>575.15899999999999</v>
      </c>
      <c r="AI329" s="74">
        <f>AI323+AI317</f>
        <v>133.565</v>
      </c>
      <c r="AJ329" s="74">
        <f t="shared" si="471"/>
        <v>142.56399999999999</v>
      </c>
      <c r="AK329" s="74">
        <f t="shared" si="471"/>
        <v>143.22300000000001</v>
      </c>
      <c r="AL329" s="74">
        <f t="shared" si="471"/>
        <v>160.18200000000004</v>
      </c>
      <c r="AM329" s="71">
        <f t="shared" si="471"/>
        <v>579.53399999999999</v>
      </c>
      <c r="AN329" s="74">
        <f t="shared" si="471"/>
        <v>157.81</v>
      </c>
      <c r="AO329" s="74">
        <f t="shared" si="471"/>
        <v>158.648</v>
      </c>
      <c r="AP329" s="74">
        <f t="shared" si="471"/>
        <v>168.66399999999999</v>
      </c>
      <c r="AQ329" s="74">
        <f t="shared" si="471"/>
        <v>176.74199999999999</v>
      </c>
      <c r="AR329" s="71">
        <f t="shared" si="471"/>
        <v>661.86400000000003</v>
      </c>
      <c r="AS329" s="74">
        <f t="shared" si="471"/>
        <v>172.48099999999999</v>
      </c>
      <c r="AT329" s="74">
        <f t="shared" si="471"/>
        <v>216.18</v>
      </c>
      <c r="AU329" s="74">
        <f t="shared" si="471"/>
        <v>219.96899999999999</v>
      </c>
      <c r="AV329" s="74">
        <f t="shared" si="471"/>
        <v>225.5</v>
      </c>
      <c r="AW329" s="71">
        <f t="shared" si="471"/>
        <v>834.13</v>
      </c>
      <c r="AX329" s="74">
        <f t="shared" si="471"/>
        <v>173.97300000000001</v>
      </c>
      <c r="AY329" s="74">
        <f t="shared" si="471"/>
        <v>177.44800000000001</v>
      </c>
      <c r="AZ329" s="74">
        <f t="shared" si="471"/>
        <v>172.977</v>
      </c>
      <c r="BA329" s="74">
        <f t="shared" si="471"/>
        <v>181.3</v>
      </c>
      <c r="BB329" s="77">
        <f t="shared" si="471"/>
        <v>705.69799999999998</v>
      </c>
      <c r="BC329" s="74">
        <f t="shared" si="471"/>
        <v>184.1</v>
      </c>
      <c r="BD329" s="74">
        <f t="shared" ref="BD329:CA329" si="472">BD323+BD317</f>
        <v>193.3</v>
      </c>
      <c r="BE329" s="74">
        <f t="shared" si="472"/>
        <v>202.1</v>
      </c>
      <c r="BF329" s="74">
        <f t="shared" si="472"/>
        <v>215.7</v>
      </c>
      <c r="BG329" s="77">
        <f t="shared" si="472"/>
        <v>795.2</v>
      </c>
      <c r="BH329" s="74">
        <f t="shared" si="472"/>
        <v>221.41201880268198</v>
      </c>
      <c r="BI329" s="74">
        <f t="shared" si="472"/>
        <v>225.01532135692676</v>
      </c>
      <c r="BJ329" s="74">
        <f t="shared" si="472"/>
        <v>224.78660990915057</v>
      </c>
      <c r="BK329" s="74">
        <f t="shared" si="472"/>
        <v>233.95945641162353</v>
      </c>
      <c r="BL329" s="77">
        <f t="shared" si="472"/>
        <v>905.17340648038271</v>
      </c>
      <c r="BM329" s="74">
        <f t="shared" si="472"/>
        <v>233.57755410252872</v>
      </c>
      <c r="BN329" s="74">
        <f t="shared" si="472"/>
        <v>237.67025940663035</v>
      </c>
      <c r="BO329" s="74">
        <f t="shared" si="472"/>
        <v>237.43996336694613</v>
      </c>
      <c r="BP329" s="74">
        <f t="shared" si="472"/>
        <v>247.42995932584907</v>
      </c>
      <c r="BQ329" s="77">
        <f t="shared" si="472"/>
        <v>956.11773620195424</v>
      </c>
      <c r="BR329" s="74">
        <f t="shared" si="472"/>
        <v>246.17420628543809</v>
      </c>
      <c r="BS329" s="74">
        <f t="shared" si="472"/>
        <v>250.48845436170595</v>
      </c>
      <c r="BT329" s="74">
        <f t="shared" si="472"/>
        <v>250.22466550816773</v>
      </c>
      <c r="BU329" s="74">
        <f t="shared" si="472"/>
        <v>260.73074059324574</v>
      </c>
      <c r="BV329" s="77">
        <f t="shared" si="472"/>
        <v>1007.6180667485575</v>
      </c>
      <c r="BW329" s="74">
        <f t="shared" si="472"/>
        <v>259.48590624768684</v>
      </c>
      <c r="BX329" s="74">
        <f t="shared" si="472"/>
        <v>264.03446949901729</v>
      </c>
      <c r="BY329" s="74">
        <f t="shared" si="472"/>
        <v>263.73265442370888</v>
      </c>
      <c r="BZ329" s="74">
        <f t="shared" si="472"/>
        <v>274.78329307216023</v>
      </c>
      <c r="CA329" s="77">
        <f t="shared" si="472"/>
        <v>1062.0363232425732</v>
      </c>
      <c r="CC329" s="29"/>
      <c r="CD329" s="136" t="str">
        <f>A329</f>
        <v>Total Expenses</v>
      </c>
      <c r="CE329" s="71">
        <f>D329</f>
        <v>162.166</v>
      </c>
      <c r="CF329" s="71">
        <f>I329</f>
        <v>192.387</v>
      </c>
      <c r="CG329" s="71">
        <f>N329</f>
        <v>236.45100000000002</v>
      </c>
      <c r="CH329" s="71">
        <f>S329</f>
        <v>340.85</v>
      </c>
      <c r="CI329" s="71">
        <f>X329</f>
        <v>356.12600000000003</v>
      </c>
      <c r="CJ329" s="71">
        <f>AC329</f>
        <v>466.00599999999997</v>
      </c>
      <c r="CK329" s="71">
        <f>AH329</f>
        <v>575.15899999999999</v>
      </c>
      <c r="CL329" s="71">
        <f>AM329</f>
        <v>579.53399999999999</v>
      </c>
      <c r="CM329" s="71">
        <f>AR329</f>
        <v>661.86400000000003</v>
      </c>
      <c r="CN329" s="71">
        <f>AW329</f>
        <v>834.13</v>
      </c>
      <c r="CO329" s="71">
        <f>BB329</f>
        <v>705.69799999999998</v>
      </c>
      <c r="CP329" s="71">
        <f>BG329</f>
        <v>795.2</v>
      </c>
      <c r="CQ329" s="71">
        <f>BL329</f>
        <v>905.17340648038271</v>
      </c>
      <c r="CR329" s="71">
        <f>BQ329</f>
        <v>956.11773620195424</v>
      </c>
      <c r="CS329" s="71">
        <f>BV329</f>
        <v>1007.6180667485575</v>
      </c>
      <c r="CT329" s="71">
        <f>CA329</f>
        <v>1062.0363232425732</v>
      </c>
      <c r="CU329" s="1961"/>
      <c r="DB329" s="1961"/>
      <c r="DC329" s="1961"/>
      <c r="DD329" s="1961"/>
      <c r="DE329" s="1961"/>
      <c r="DF329" s="1961"/>
      <c r="DG329" s="1961"/>
      <c r="DH329" s="1961"/>
      <c r="DI329" s="74"/>
    </row>
    <row r="330" spans="1:113" ht="5.25" customHeight="1" x14ac:dyDescent="0.25">
      <c r="A330" s="136"/>
      <c r="B330" s="703"/>
      <c r="C330" s="71"/>
      <c r="D330" s="71"/>
      <c r="E330" s="74"/>
      <c r="F330" s="74"/>
      <c r="G330" s="74"/>
      <c r="H330" s="74"/>
      <c r="I330" s="71"/>
      <c r="J330" s="74"/>
      <c r="K330" s="74"/>
      <c r="L330" s="74"/>
      <c r="M330" s="74"/>
      <c r="N330" s="71"/>
      <c r="O330" s="74"/>
      <c r="P330" s="74"/>
      <c r="Q330" s="74"/>
      <c r="R330" s="74"/>
      <c r="S330" s="73"/>
      <c r="T330" s="74"/>
      <c r="U330" s="74"/>
      <c r="V330" s="74"/>
      <c r="W330" s="74"/>
      <c r="X330" s="71"/>
      <c r="Y330" s="74"/>
      <c r="Z330" s="74"/>
      <c r="AA330" s="74"/>
      <c r="AB330" s="74"/>
      <c r="AC330" s="71"/>
      <c r="AD330" s="74"/>
      <c r="AE330" s="74"/>
      <c r="AF330" s="74"/>
      <c r="AG330" s="74"/>
      <c r="AH330" s="71"/>
      <c r="AI330" s="74"/>
      <c r="AJ330" s="74"/>
      <c r="AK330" s="74"/>
      <c r="AL330" s="74"/>
      <c r="AM330" s="71"/>
      <c r="AN330" s="74"/>
      <c r="AO330" s="74"/>
      <c r="AP330" s="74"/>
      <c r="AQ330" s="74"/>
      <c r="AR330" s="71"/>
      <c r="AS330" s="74"/>
      <c r="AT330" s="74"/>
      <c r="AU330" s="74"/>
      <c r="AV330" s="74"/>
      <c r="AW330" s="71"/>
      <c r="AX330" s="74"/>
      <c r="AY330" s="74"/>
      <c r="AZ330" s="74"/>
      <c r="BA330" s="74"/>
      <c r="BB330" s="77"/>
      <c r="BC330" s="74"/>
      <c r="BD330" s="74"/>
      <c r="BE330" s="74"/>
      <c r="BF330" s="74"/>
      <c r="BG330" s="77"/>
      <c r="BH330" s="74"/>
      <c r="BI330" s="74"/>
      <c r="BJ330" s="74"/>
      <c r="BK330" s="74"/>
      <c r="BL330" s="77"/>
      <c r="BM330" s="74"/>
      <c r="BN330" s="74"/>
      <c r="BO330" s="74"/>
      <c r="BP330" s="74"/>
      <c r="BQ330" s="77"/>
      <c r="BR330" s="74"/>
      <c r="BS330" s="74"/>
      <c r="BT330" s="74"/>
      <c r="BU330" s="74"/>
      <c r="BV330" s="77"/>
      <c r="BW330" s="74"/>
      <c r="BX330" s="74"/>
      <c r="BY330" s="74"/>
      <c r="BZ330" s="74"/>
      <c r="CA330" s="77"/>
      <c r="CC330" s="29"/>
      <c r="CD330" s="136"/>
      <c r="CE330" s="71"/>
      <c r="CF330" s="71"/>
      <c r="CG330" s="71"/>
      <c r="CH330" s="71"/>
      <c r="CI330" s="71"/>
      <c r="CJ330" s="71"/>
      <c r="CK330" s="71"/>
      <c r="CL330" s="71"/>
      <c r="CM330" s="71"/>
      <c r="CN330" s="71"/>
      <c r="CO330" s="71"/>
      <c r="CP330" s="71"/>
      <c r="CQ330" s="71"/>
      <c r="CR330" s="71"/>
      <c r="CS330" s="71"/>
      <c r="CT330" s="71"/>
      <c r="CU330" s="1961"/>
      <c r="DB330" s="1961"/>
      <c r="DC330" s="1961"/>
      <c r="DD330" s="1961"/>
      <c r="DE330" s="1961"/>
      <c r="DF330" s="1961"/>
      <c r="DG330" s="1961"/>
      <c r="DH330" s="1961"/>
      <c r="DI330" s="74"/>
    </row>
    <row r="331" spans="1:113" ht="12" customHeight="1" x14ac:dyDescent="0.25">
      <c r="A331" s="842" t="s">
        <v>62</v>
      </c>
      <c r="B331" s="703"/>
      <c r="C331" s="71"/>
      <c r="D331" s="558">
        <v>3.6269999999999998</v>
      </c>
      <c r="E331" s="74"/>
      <c r="F331" s="74"/>
      <c r="G331" s="74"/>
      <c r="H331" s="74"/>
      <c r="I331" s="558">
        <v>4.9969999999999999</v>
      </c>
      <c r="J331" s="150">
        <v>1.1719999999999999</v>
      </c>
      <c r="K331" s="150">
        <v>1.3160000000000001</v>
      </c>
      <c r="L331" s="150">
        <v>1.2050000000000001</v>
      </c>
      <c r="M331" s="150">
        <v>0.94299999999999995</v>
      </c>
      <c r="N331" s="71">
        <f>SUM(J331:M331)</f>
        <v>4.6360000000000001</v>
      </c>
      <c r="O331" s="150">
        <f>45.517-44.309</f>
        <v>1.2080000000000055</v>
      </c>
      <c r="P331" s="150">
        <f>47.049-45.435</f>
        <v>1.6139999999999972</v>
      </c>
      <c r="Q331" s="150">
        <v>3</v>
      </c>
      <c r="R331" s="150">
        <f>52.055-R336</f>
        <v>26.029999999999994</v>
      </c>
      <c r="S331" s="73">
        <f>SUM(O331:R331)</f>
        <v>31.851999999999997</v>
      </c>
      <c r="T331" s="150">
        <v>0</v>
      </c>
      <c r="U331" s="150">
        <v>0</v>
      </c>
      <c r="V331" s="150">
        <v>0</v>
      </c>
      <c r="W331" s="150">
        <v>0</v>
      </c>
      <c r="X331" s="73">
        <f>SUM(T331:W331)</f>
        <v>0</v>
      </c>
      <c r="Y331" s="74">
        <v>0</v>
      </c>
      <c r="Z331" s="150">
        <f>3.364</f>
        <v>3.3639999999999999</v>
      </c>
      <c r="AA331" s="150">
        <v>0</v>
      </c>
      <c r="AB331" s="150">
        <f>3.364-SUM(Y331:AA331)</f>
        <v>0</v>
      </c>
      <c r="AC331" s="71">
        <f>SUM(Y331:AB331)</f>
        <v>3.3639999999999999</v>
      </c>
      <c r="AD331" s="150">
        <v>0</v>
      </c>
      <c r="AE331" s="150">
        <v>0</v>
      </c>
      <c r="AF331" s="150">
        <v>0</v>
      </c>
      <c r="AG331" s="150">
        <v>0</v>
      </c>
      <c r="AH331" s="71">
        <f>SUM(AD331:AG331)</f>
        <v>0</v>
      </c>
      <c r="AI331" s="150">
        <v>0</v>
      </c>
      <c r="AJ331" s="150">
        <v>0.01</v>
      </c>
      <c r="AK331" s="150">
        <v>0</v>
      </c>
      <c r="AL331" s="150">
        <v>0</v>
      </c>
      <c r="AM331" s="71">
        <f>SUM(AI331:AL331)</f>
        <v>0.01</v>
      </c>
      <c r="AN331" s="150">
        <v>0</v>
      </c>
      <c r="AO331" s="74">
        <v>0</v>
      </c>
      <c r="AP331" s="74">
        <v>0</v>
      </c>
      <c r="AQ331" s="74">
        <v>0</v>
      </c>
      <c r="AR331" s="71">
        <v>0</v>
      </c>
      <c r="AS331" s="150">
        <v>-0.6</v>
      </c>
      <c r="AT331" s="150">
        <f>-0.342+85.187-58.6</f>
        <v>26.244999999999997</v>
      </c>
      <c r="AU331" s="150">
        <v>17.928000000000001</v>
      </c>
      <c r="AV331" s="150">
        <v>0.1</v>
      </c>
      <c r="AW331" s="71">
        <f>SUM(AS331:AV331)</f>
        <v>43.672999999999995</v>
      </c>
      <c r="AX331" s="150">
        <v>0.112</v>
      </c>
      <c r="AY331" s="150">
        <v>0.88</v>
      </c>
      <c r="AZ331" s="150">
        <f>2.1+0.6</f>
        <v>2.7</v>
      </c>
      <c r="BA331" s="150">
        <f>8.1+3</f>
        <v>11.1</v>
      </c>
      <c r="BB331" s="77">
        <f>SUM(AX331:BA331)</f>
        <v>14.792</v>
      </c>
      <c r="BC331" s="150">
        <v>2.2000000000000002</v>
      </c>
      <c r="BD331" s="150">
        <v>3.4</v>
      </c>
      <c r="BE331" s="1933">
        <v>2.5</v>
      </c>
      <c r="BF331" s="150">
        <v>1.5</v>
      </c>
      <c r="BG331" s="77">
        <f>SUM(BC331:BF331)</f>
        <v>9.6</v>
      </c>
      <c r="BH331" s="150">
        <v>0</v>
      </c>
      <c r="BI331" s="150">
        <v>0</v>
      </c>
      <c r="BJ331" s="150">
        <v>0</v>
      </c>
      <c r="BK331" s="150">
        <v>0</v>
      </c>
      <c r="BL331" s="77">
        <f>SUM(BH331:BK331)</f>
        <v>0</v>
      </c>
      <c r="BM331" s="150">
        <v>0</v>
      </c>
      <c r="BN331" s="150">
        <v>0</v>
      </c>
      <c r="BO331" s="150">
        <v>0</v>
      </c>
      <c r="BP331" s="150">
        <v>0</v>
      </c>
      <c r="BQ331" s="77">
        <f>SUM(BM331:BP331)</f>
        <v>0</v>
      </c>
      <c r="BR331" s="150">
        <v>0</v>
      </c>
      <c r="BS331" s="150">
        <v>0</v>
      </c>
      <c r="BT331" s="150">
        <v>0</v>
      </c>
      <c r="BU331" s="150">
        <v>0</v>
      </c>
      <c r="BV331" s="77">
        <f>SUM(BR331:BU331)</f>
        <v>0</v>
      </c>
      <c r="BW331" s="150">
        <v>0</v>
      </c>
      <c r="BX331" s="150">
        <v>0</v>
      </c>
      <c r="BY331" s="150">
        <v>0</v>
      </c>
      <c r="BZ331" s="150">
        <v>0</v>
      </c>
      <c r="CA331" s="77">
        <f>SUM(BW331:BZ331)</f>
        <v>0</v>
      </c>
      <c r="CC331" s="9"/>
      <c r="CD331" s="842" t="str">
        <f>A331</f>
        <v>Adjustments</v>
      </c>
      <c r="CE331" s="71">
        <f>D331</f>
        <v>3.6269999999999998</v>
      </c>
      <c r="CF331" s="71">
        <f>I331</f>
        <v>4.9969999999999999</v>
      </c>
      <c r="CG331" s="71">
        <f>N331</f>
        <v>4.6360000000000001</v>
      </c>
      <c r="CH331" s="71">
        <f>S331</f>
        <v>31.851999999999997</v>
      </c>
      <c r="CI331" s="71">
        <f>X331</f>
        <v>0</v>
      </c>
      <c r="CJ331" s="71">
        <f>AC331</f>
        <v>3.3639999999999999</v>
      </c>
      <c r="CK331" s="71">
        <f>AH331</f>
        <v>0</v>
      </c>
      <c r="CL331" s="71">
        <f>AM331</f>
        <v>0.01</v>
      </c>
      <c r="CM331" s="71">
        <f>AR331</f>
        <v>0</v>
      </c>
      <c r="CN331" s="71">
        <f>AW331</f>
        <v>43.672999999999995</v>
      </c>
      <c r="CO331" s="71">
        <f>BB331</f>
        <v>14.792</v>
      </c>
      <c r="CP331" s="71">
        <f>BG331</f>
        <v>9.6</v>
      </c>
      <c r="CQ331" s="71">
        <f>BL331</f>
        <v>0</v>
      </c>
      <c r="CR331" s="71">
        <f>BQ331</f>
        <v>0</v>
      </c>
      <c r="CS331" s="71">
        <f>BV331</f>
        <v>0</v>
      </c>
      <c r="CT331" s="71">
        <f>CA331</f>
        <v>0</v>
      </c>
      <c r="CU331" s="6"/>
      <c r="DB331" s="1961"/>
      <c r="DC331" s="1961"/>
      <c r="DD331" s="1961"/>
      <c r="DE331" s="1961"/>
      <c r="DF331" s="1961"/>
      <c r="DG331" s="1961"/>
      <c r="DH331" s="1961"/>
      <c r="DI331" s="74"/>
    </row>
    <row r="332" spans="1:113" ht="12" customHeight="1" x14ac:dyDescent="0.25">
      <c r="A332" s="81" t="s">
        <v>217</v>
      </c>
      <c r="B332" s="703"/>
      <c r="C332" s="441"/>
      <c r="D332" s="441">
        <f>D331/D313</f>
        <v>1.4085491594142114E-2</v>
      </c>
      <c r="E332" s="92"/>
      <c r="F332" s="92"/>
      <c r="G332" s="92"/>
      <c r="H332" s="92"/>
      <c r="I332" s="441">
        <f t="shared" ref="I332:BB332" si="473">I331/I313</f>
        <v>1.576166669295188E-2</v>
      </c>
      <c r="J332" s="92">
        <f t="shared" si="473"/>
        <v>1.3231127016561485E-2</v>
      </c>
      <c r="K332" s="92">
        <f t="shared" si="473"/>
        <v>1.3743407654952744E-2</v>
      </c>
      <c r="L332" s="92">
        <f t="shared" si="473"/>
        <v>1.2146565193286631E-2</v>
      </c>
      <c r="M332" s="92">
        <f t="shared" si="473"/>
        <v>8.9282332891497795E-3</v>
      </c>
      <c r="N332" s="441">
        <f t="shared" si="473"/>
        <v>1.1912868519037206E-2</v>
      </c>
      <c r="O332" s="759">
        <f t="shared" si="473"/>
        <v>1.0397211343977324E-2</v>
      </c>
      <c r="P332" s="92">
        <f t="shared" si="473"/>
        <v>1.2952515468385087E-2</v>
      </c>
      <c r="Q332" s="92">
        <f t="shared" si="473"/>
        <v>2.3384337170962891E-2</v>
      </c>
      <c r="R332" s="92">
        <f t="shared" si="473"/>
        <v>0.19419141618734281</v>
      </c>
      <c r="S332" s="708">
        <f t="shared" si="473"/>
        <v>6.3307945492995801E-2</v>
      </c>
      <c r="T332" s="759">
        <f t="shared" si="473"/>
        <v>0</v>
      </c>
      <c r="U332" s="92">
        <f t="shared" si="473"/>
        <v>0</v>
      </c>
      <c r="V332" s="92">
        <f t="shared" si="473"/>
        <v>0</v>
      </c>
      <c r="W332" s="92">
        <f t="shared" si="473"/>
        <v>0</v>
      </c>
      <c r="X332" s="441">
        <f t="shared" si="473"/>
        <v>0</v>
      </c>
      <c r="Y332" s="92">
        <f t="shared" si="473"/>
        <v>0</v>
      </c>
      <c r="Z332" s="92">
        <f t="shared" si="473"/>
        <v>1.8013386880856758E-2</v>
      </c>
      <c r="AA332" s="92">
        <f t="shared" si="473"/>
        <v>0</v>
      </c>
      <c r="AB332" s="92">
        <f t="shared" si="473"/>
        <v>0</v>
      </c>
      <c r="AC332" s="441">
        <f t="shared" si="473"/>
        <v>4.3774781093562738E-3</v>
      </c>
      <c r="AD332" s="92">
        <f t="shared" si="473"/>
        <v>0</v>
      </c>
      <c r="AE332" s="92">
        <f t="shared" si="473"/>
        <v>0</v>
      </c>
      <c r="AF332" s="92">
        <f t="shared" si="473"/>
        <v>0</v>
      </c>
      <c r="AG332" s="92">
        <f t="shared" si="473"/>
        <v>0</v>
      </c>
      <c r="AH332" s="441">
        <f t="shared" si="473"/>
        <v>0</v>
      </c>
      <c r="AI332" s="92">
        <f t="shared" si="473"/>
        <v>0</v>
      </c>
      <c r="AJ332" s="92">
        <f t="shared" si="473"/>
        <v>4.2353678628757301E-5</v>
      </c>
      <c r="AK332" s="92">
        <f>AK331/AK313</f>
        <v>0</v>
      </c>
      <c r="AL332" s="92">
        <f>AL331/AL313</f>
        <v>0</v>
      </c>
      <c r="AM332" s="441">
        <f t="shared" si="473"/>
        <v>1.0230838406976613E-5</v>
      </c>
      <c r="AN332" s="92">
        <f>AN331/AN313</f>
        <v>0</v>
      </c>
      <c r="AO332" s="92">
        <f>AO331/AO313</f>
        <v>0</v>
      </c>
      <c r="AP332" s="92">
        <f>AP331/AP313</f>
        <v>0</v>
      </c>
      <c r="AQ332" s="92">
        <f>AQ331/AQ313</f>
        <v>0</v>
      </c>
      <c r="AR332" s="441">
        <f t="shared" si="473"/>
        <v>0</v>
      </c>
      <c r="AS332" s="92">
        <f>AS331/AS313</f>
        <v>-2.0800471477353485E-3</v>
      </c>
      <c r="AT332" s="92">
        <f>AT331/AT313</f>
        <v>8.0525895925380467E-2</v>
      </c>
      <c r="AU332" s="92">
        <f>AU331/AU313</f>
        <v>4.7344153546322168E-2</v>
      </c>
      <c r="AV332" s="92">
        <f>AV331/AV313</f>
        <v>2.5853154084798342E-4</v>
      </c>
      <c r="AW332" s="441">
        <f t="shared" si="473"/>
        <v>3.1650564663234883E-2</v>
      </c>
      <c r="AX332" s="92">
        <f t="shared" si="473"/>
        <v>3.5789036412149102E-4</v>
      </c>
      <c r="AY332" s="92">
        <f t="shared" si="473"/>
        <v>2.7744585864764061E-3</v>
      </c>
      <c r="AZ332" s="92">
        <f t="shared" si="473"/>
        <v>8.509109474420672E-3</v>
      </c>
      <c r="BA332" s="92">
        <f>BA331/BA313</f>
        <v>3.4312210200927354E-2</v>
      </c>
      <c r="BB332" s="451">
        <f t="shared" si="473"/>
        <v>1.1638712093732861E-2</v>
      </c>
      <c r="BC332" s="92">
        <f t="shared" ref="BC332:CA332" si="474">BC331/BC313</f>
        <v>7.024265644955301E-3</v>
      </c>
      <c r="BD332" s="92">
        <f t="shared" si="474"/>
        <v>1.02843315184513E-2</v>
      </c>
      <c r="BE332" s="92">
        <f t="shared" si="474"/>
        <v>7.0244450688395623E-3</v>
      </c>
      <c r="BF332" s="92">
        <f t="shared" si="474"/>
        <v>3.9989336177019457E-3</v>
      </c>
      <c r="BG332" s="451">
        <f t="shared" si="474"/>
        <v>6.9828338667442527E-3</v>
      </c>
      <c r="BH332" s="92">
        <f t="shared" si="474"/>
        <v>0</v>
      </c>
      <c r="BI332" s="92">
        <f t="shared" si="474"/>
        <v>0</v>
      </c>
      <c r="BJ332" s="92">
        <f t="shared" si="474"/>
        <v>0</v>
      </c>
      <c r="BK332" s="92">
        <f t="shared" si="474"/>
        <v>0</v>
      </c>
      <c r="BL332" s="451">
        <f t="shared" si="474"/>
        <v>0</v>
      </c>
      <c r="BM332" s="92">
        <f t="shared" si="474"/>
        <v>0</v>
      </c>
      <c r="BN332" s="92">
        <f t="shared" si="474"/>
        <v>0</v>
      </c>
      <c r="BO332" s="92">
        <f t="shared" si="474"/>
        <v>0</v>
      </c>
      <c r="BP332" s="92">
        <f t="shared" si="474"/>
        <v>0</v>
      </c>
      <c r="BQ332" s="451">
        <f t="shared" si="474"/>
        <v>0</v>
      </c>
      <c r="BR332" s="92">
        <f t="shared" si="474"/>
        <v>0</v>
      </c>
      <c r="BS332" s="92">
        <f t="shared" si="474"/>
        <v>0</v>
      </c>
      <c r="BT332" s="92">
        <f t="shared" si="474"/>
        <v>0</v>
      </c>
      <c r="BU332" s="92">
        <f t="shared" si="474"/>
        <v>0</v>
      </c>
      <c r="BV332" s="451">
        <f t="shared" si="474"/>
        <v>0</v>
      </c>
      <c r="BW332" s="92">
        <f t="shared" si="474"/>
        <v>0</v>
      </c>
      <c r="BX332" s="92">
        <f t="shared" si="474"/>
        <v>0</v>
      </c>
      <c r="BY332" s="92">
        <f t="shared" si="474"/>
        <v>0</v>
      </c>
      <c r="BZ332" s="92">
        <f t="shared" si="474"/>
        <v>0</v>
      </c>
      <c r="CA332" s="451">
        <f t="shared" si="474"/>
        <v>0</v>
      </c>
      <c r="CC332" s="29"/>
      <c r="CD332" s="81" t="str">
        <f>A332</f>
        <v>% of Revenue</v>
      </c>
      <c r="CE332" s="441">
        <f>D332</f>
        <v>1.4085491594142114E-2</v>
      </c>
      <c r="CF332" s="441">
        <f>I332</f>
        <v>1.576166669295188E-2</v>
      </c>
      <c r="CG332" s="441">
        <f>N332</f>
        <v>1.1912868519037206E-2</v>
      </c>
      <c r="CH332" s="441">
        <f>S332</f>
        <v>6.3307945492995801E-2</v>
      </c>
      <c r="CI332" s="441">
        <f>X332</f>
        <v>0</v>
      </c>
      <c r="CJ332" s="441">
        <f>AC332</f>
        <v>4.3774781093562738E-3</v>
      </c>
      <c r="CK332" s="441">
        <f>AH332</f>
        <v>0</v>
      </c>
      <c r="CL332" s="441">
        <f>AM332</f>
        <v>1.0230838406976613E-5</v>
      </c>
      <c r="CM332" s="441">
        <f>AR332</f>
        <v>0</v>
      </c>
      <c r="CN332" s="441">
        <f>AW332</f>
        <v>3.1650564663234883E-2</v>
      </c>
      <c r="CO332" s="441">
        <f>BB332</f>
        <v>1.1638712093732861E-2</v>
      </c>
      <c r="CP332" s="441">
        <f>BG332</f>
        <v>6.9828338667442527E-3</v>
      </c>
      <c r="CQ332" s="441">
        <f>BL332</f>
        <v>0</v>
      </c>
      <c r="CR332" s="441">
        <f>BQ332</f>
        <v>0</v>
      </c>
      <c r="CS332" s="441">
        <f>BV332</f>
        <v>0</v>
      </c>
      <c r="CT332" s="441">
        <f>CA332</f>
        <v>0</v>
      </c>
      <c r="CU332" s="1961"/>
      <c r="DB332" s="1961"/>
      <c r="DC332" s="1961"/>
      <c r="DD332" s="1961"/>
      <c r="DE332" s="1961"/>
      <c r="DF332" s="1961"/>
      <c r="DG332" s="1961"/>
      <c r="DH332" s="1961"/>
      <c r="DI332" s="90"/>
    </row>
    <row r="333" spans="1:113" ht="5.25" customHeight="1" x14ac:dyDescent="0.25">
      <c r="A333" s="136"/>
      <c r="B333" s="703"/>
      <c r="C333" s="71"/>
      <c r="D333" s="71"/>
      <c r="E333" s="74"/>
      <c r="F333" s="74"/>
      <c r="G333" s="74"/>
      <c r="H333" s="74"/>
      <c r="I333" s="71"/>
      <c r="J333" s="74"/>
      <c r="K333" s="74"/>
      <c r="L333" s="74"/>
      <c r="M333" s="74"/>
      <c r="N333" s="71"/>
      <c r="O333" s="74"/>
      <c r="P333" s="70"/>
      <c r="Q333" s="70"/>
      <c r="R333" s="70"/>
      <c r="S333" s="222"/>
      <c r="T333" s="74"/>
      <c r="U333" s="70"/>
      <c r="V333" s="70"/>
      <c r="W333" s="70"/>
      <c r="X333" s="111"/>
      <c r="Y333" s="70"/>
      <c r="Z333" s="70"/>
      <c r="AA333" s="70"/>
      <c r="AB333" s="70"/>
      <c r="AC333" s="111"/>
      <c r="AD333" s="70"/>
      <c r="AE333" s="70"/>
      <c r="AF333" s="70"/>
      <c r="AG333" s="70"/>
      <c r="AH333" s="111"/>
      <c r="AI333" s="70"/>
      <c r="AJ333" s="70"/>
      <c r="AK333" s="70"/>
      <c r="AL333" s="70"/>
      <c r="AM333" s="111"/>
      <c r="AN333" s="70"/>
      <c r="AO333" s="70"/>
      <c r="AP333" s="70"/>
      <c r="AQ333" s="70"/>
      <c r="AR333" s="111"/>
      <c r="AS333" s="70"/>
      <c r="AT333" s="70"/>
      <c r="AU333" s="70"/>
      <c r="AV333" s="70"/>
      <c r="AW333" s="71"/>
      <c r="AX333" s="70"/>
      <c r="AY333" s="70"/>
      <c r="AZ333" s="70"/>
      <c r="BA333" s="70"/>
      <c r="BB333" s="77"/>
      <c r="BC333" s="70"/>
      <c r="BD333" s="70"/>
      <c r="BE333" s="70"/>
      <c r="BF333" s="70"/>
      <c r="BG333" s="77"/>
      <c r="BH333" s="70"/>
      <c r="BI333" s="70"/>
      <c r="BJ333" s="70"/>
      <c r="BK333" s="70"/>
      <c r="BL333" s="77"/>
      <c r="BM333" s="70"/>
      <c r="BN333" s="70"/>
      <c r="BO333" s="70"/>
      <c r="BP333" s="70"/>
      <c r="BQ333" s="77"/>
      <c r="BR333" s="70"/>
      <c r="BS333" s="70"/>
      <c r="BT333" s="70"/>
      <c r="BU333" s="70"/>
      <c r="BV333" s="77"/>
      <c r="BW333" s="70"/>
      <c r="BX333" s="70"/>
      <c r="BY333" s="70"/>
      <c r="BZ333" s="70"/>
      <c r="CA333" s="77"/>
      <c r="CC333" s="29"/>
      <c r="CD333" s="136"/>
      <c r="CE333" s="111"/>
      <c r="CF333" s="111"/>
      <c r="CG333" s="111"/>
      <c r="CH333" s="111"/>
      <c r="CI333" s="111"/>
      <c r="CJ333" s="111"/>
      <c r="CK333" s="111"/>
      <c r="CL333" s="111"/>
      <c r="CM333" s="111"/>
      <c r="CN333" s="111"/>
      <c r="CO333" s="111"/>
      <c r="CP333" s="111"/>
      <c r="CQ333" s="111"/>
      <c r="CR333" s="111"/>
      <c r="CS333" s="111"/>
      <c r="CT333" s="111"/>
      <c r="CU333" s="1961"/>
      <c r="DB333" s="1961"/>
      <c r="DC333" s="1961"/>
      <c r="DD333" s="1961"/>
      <c r="DE333" s="1961"/>
      <c r="DF333" s="1961"/>
      <c r="DG333" s="1961"/>
      <c r="DH333" s="1961"/>
      <c r="DI333" s="74"/>
    </row>
    <row r="334" spans="1:113" ht="12" customHeight="1" x14ac:dyDescent="0.25">
      <c r="A334" s="136" t="s">
        <v>218</v>
      </c>
      <c r="B334" s="703"/>
      <c r="C334" s="71">
        <f>C329-C331</f>
        <v>130.91</v>
      </c>
      <c r="D334" s="71">
        <f t="shared" ref="D334:BC334" si="475">D329-D331</f>
        <v>158.53899999999999</v>
      </c>
      <c r="E334" s="74">
        <f t="shared" si="475"/>
        <v>44.893000000000001</v>
      </c>
      <c r="F334" s="74">
        <f t="shared" si="475"/>
        <v>47.471999999999994</v>
      </c>
      <c r="G334" s="74">
        <f t="shared" si="475"/>
        <v>46.534000000000006</v>
      </c>
      <c r="H334" s="74">
        <f t="shared" si="475"/>
        <v>53.487999999999985</v>
      </c>
      <c r="I334" s="71">
        <f t="shared" si="475"/>
        <v>187.39</v>
      </c>
      <c r="J334" s="74">
        <f t="shared" si="475"/>
        <v>51.895000000000003</v>
      </c>
      <c r="K334" s="74">
        <f t="shared" si="475"/>
        <v>55.466999999999999</v>
      </c>
      <c r="L334" s="74">
        <f t="shared" si="475"/>
        <v>57.994</v>
      </c>
      <c r="M334" s="74">
        <f t="shared" si="475"/>
        <v>66.459000000000017</v>
      </c>
      <c r="N334" s="71">
        <f t="shared" si="475"/>
        <v>231.81500000000003</v>
      </c>
      <c r="O334" s="74">
        <f t="shared" si="475"/>
        <v>70.668000000000006</v>
      </c>
      <c r="P334" s="70">
        <f t="shared" si="475"/>
        <v>77.56</v>
      </c>
      <c r="Q334" s="70">
        <f t="shared" si="475"/>
        <v>78.781999999999996</v>
      </c>
      <c r="R334" s="70">
        <f t="shared" si="475"/>
        <v>81.988</v>
      </c>
      <c r="S334" s="222">
        <f t="shared" si="475"/>
        <v>308.99800000000005</v>
      </c>
      <c r="T334" s="74">
        <f t="shared" si="475"/>
        <v>83.424999999999997</v>
      </c>
      <c r="U334" s="70">
        <f t="shared" si="475"/>
        <v>89.546999999999997</v>
      </c>
      <c r="V334" s="70">
        <f t="shared" si="475"/>
        <v>88.12</v>
      </c>
      <c r="W334" s="70">
        <f t="shared" si="475"/>
        <v>95.034000000000049</v>
      </c>
      <c r="X334" s="111">
        <f t="shared" si="475"/>
        <v>356.12600000000003</v>
      </c>
      <c r="Y334" s="70">
        <f t="shared" si="475"/>
        <v>107.42800000000001</v>
      </c>
      <c r="Z334" s="70">
        <f t="shared" si="475"/>
        <v>111.33199999999999</v>
      </c>
      <c r="AA334" s="70">
        <f t="shared" si="475"/>
        <v>119.82</v>
      </c>
      <c r="AB334" s="70">
        <f t="shared" si="475"/>
        <v>124.06199999999998</v>
      </c>
      <c r="AC334" s="111">
        <f t="shared" si="475"/>
        <v>462.642</v>
      </c>
      <c r="AD334" s="70">
        <f t="shared" si="475"/>
        <v>122.27500000000001</v>
      </c>
      <c r="AE334" s="70">
        <f t="shared" si="475"/>
        <v>141.33100000000002</v>
      </c>
      <c r="AF334" s="70">
        <f>AF329-AF331</f>
        <v>150.68</v>
      </c>
      <c r="AG334" s="70">
        <f t="shared" si="475"/>
        <v>160.87300000000002</v>
      </c>
      <c r="AH334" s="111">
        <f t="shared" si="475"/>
        <v>575.15899999999999</v>
      </c>
      <c r="AI334" s="70">
        <f>AI329-AI331</f>
        <v>133.565</v>
      </c>
      <c r="AJ334" s="70">
        <f>AJ329-AJ331</f>
        <v>142.554</v>
      </c>
      <c r="AK334" s="70">
        <f t="shared" si="475"/>
        <v>143.22300000000001</v>
      </c>
      <c r="AL334" s="70">
        <f t="shared" si="475"/>
        <v>160.18200000000004</v>
      </c>
      <c r="AM334" s="111">
        <f t="shared" si="475"/>
        <v>579.524</v>
      </c>
      <c r="AN334" s="70">
        <f t="shared" si="475"/>
        <v>157.81</v>
      </c>
      <c r="AO334" s="70">
        <f t="shared" si="475"/>
        <v>158.648</v>
      </c>
      <c r="AP334" s="70">
        <f t="shared" si="475"/>
        <v>168.66399999999999</v>
      </c>
      <c r="AQ334" s="70">
        <f t="shared" si="475"/>
        <v>176.74199999999999</v>
      </c>
      <c r="AR334" s="111">
        <f t="shared" si="475"/>
        <v>661.86400000000003</v>
      </c>
      <c r="AS334" s="70">
        <f t="shared" si="475"/>
        <v>173.08099999999999</v>
      </c>
      <c r="AT334" s="70">
        <f t="shared" si="475"/>
        <v>189.935</v>
      </c>
      <c r="AU334" s="70">
        <f t="shared" si="475"/>
        <v>202.041</v>
      </c>
      <c r="AV334" s="70">
        <f>AV329-AV331</f>
        <v>225.4</v>
      </c>
      <c r="AW334" s="71">
        <f t="shared" si="475"/>
        <v>790.45699999999999</v>
      </c>
      <c r="AX334" s="70">
        <f t="shared" si="475"/>
        <v>173.86100000000002</v>
      </c>
      <c r="AY334" s="70">
        <f t="shared" si="475"/>
        <v>176.56800000000001</v>
      </c>
      <c r="AZ334" s="70">
        <f t="shared" si="475"/>
        <v>170.27700000000002</v>
      </c>
      <c r="BA334" s="70">
        <f t="shared" si="475"/>
        <v>170.20000000000002</v>
      </c>
      <c r="BB334" s="77">
        <f t="shared" si="475"/>
        <v>690.90599999999995</v>
      </c>
      <c r="BC334" s="70">
        <f t="shared" si="475"/>
        <v>181.9</v>
      </c>
      <c r="BD334" s="70">
        <f t="shared" ref="BD334:CA334" si="476">BD329-BD331</f>
        <v>189.9</v>
      </c>
      <c r="BE334" s="70">
        <f t="shared" si="476"/>
        <v>199.6</v>
      </c>
      <c r="BF334" s="70">
        <f t="shared" si="476"/>
        <v>214.2</v>
      </c>
      <c r="BG334" s="77">
        <f t="shared" si="476"/>
        <v>785.6</v>
      </c>
      <c r="BH334" s="70">
        <f t="shared" si="476"/>
        <v>221.41201880268198</v>
      </c>
      <c r="BI334" s="70">
        <f t="shared" si="476"/>
        <v>225.01532135692676</v>
      </c>
      <c r="BJ334" s="70">
        <f t="shared" si="476"/>
        <v>224.78660990915057</v>
      </c>
      <c r="BK334" s="70">
        <f t="shared" si="476"/>
        <v>233.95945641162353</v>
      </c>
      <c r="BL334" s="77">
        <f t="shared" si="476"/>
        <v>905.17340648038271</v>
      </c>
      <c r="BM334" s="70">
        <f t="shared" si="476"/>
        <v>233.57755410252872</v>
      </c>
      <c r="BN334" s="70">
        <f t="shared" si="476"/>
        <v>237.67025940663035</v>
      </c>
      <c r="BO334" s="70">
        <f t="shared" si="476"/>
        <v>237.43996336694613</v>
      </c>
      <c r="BP334" s="70">
        <f t="shared" si="476"/>
        <v>247.42995932584907</v>
      </c>
      <c r="BQ334" s="77">
        <f t="shared" si="476"/>
        <v>956.11773620195424</v>
      </c>
      <c r="BR334" s="70">
        <f t="shared" si="476"/>
        <v>246.17420628543809</v>
      </c>
      <c r="BS334" s="70">
        <f t="shared" si="476"/>
        <v>250.48845436170595</v>
      </c>
      <c r="BT334" s="70">
        <f t="shared" si="476"/>
        <v>250.22466550816773</v>
      </c>
      <c r="BU334" s="70">
        <f t="shared" si="476"/>
        <v>260.73074059324574</v>
      </c>
      <c r="BV334" s="77">
        <f t="shared" si="476"/>
        <v>1007.6180667485575</v>
      </c>
      <c r="BW334" s="70">
        <f t="shared" si="476"/>
        <v>259.48590624768684</v>
      </c>
      <c r="BX334" s="70">
        <f t="shared" si="476"/>
        <v>264.03446949901729</v>
      </c>
      <c r="BY334" s="70">
        <f t="shared" si="476"/>
        <v>263.73265442370888</v>
      </c>
      <c r="BZ334" s="70">
        <f t="shared" si="476"/>
        <v>274.78329307216023</v>
      </c>
      <c r="CA334" s="77">
        <f t="shared" si="476"/>
        <v>1062.0363232425732</v>
      </c>
      <c r="CC334" s="29"/>
      <c r="CD334" s="136" t="str">
        <f>A334</f>
        <v>Total Expenses ex. ESOP</v>
      </c>
      <c r="CE334" s="111">
        <f>D334</f>
        <v>158.53899999999999</v>
      </c>
      <c r="CF334" s="111">
        <f>I334</f>
        <v>187.39</v>
      </c>
      <c r="CG334" s="111">
        <f>N334</f>
        <v>231.81500000000003</v>
      </c>
      <c r="CH334" s="111">
        <f>S334</f>
        <v>308.99800000000005</v>
      </c>
      <c r="CI334" s="111">
        <f>X334</f>
        <v>356.12600000000003</v>
      </c>
      <c r="CJ334" s="111">
        <f>AC334</f>
        <v>462.642</v>
      </c>
      <c r="CK334" s="111">
        <f>AH334</f>
        <v>575.15899999999999</v>
      </c>
      <c r="CL334" s="111">
        <f>AM334</f>
        <v>579.524</v>
      </c>
      <c r="CM334" s="111">
        <f>AR334</f>
        <v>661.86400000000003</v>
      </c>
      <c r="CN334" s="111">
        <f>AW334</f>
        <v>790.45699999999999</v>
      </c>
      <c r="CO334" s="111">
        <f>BB334</f>
        <v>690.90599999999995</v>
      </c>
      <c r="CP334" s="111">
        <f>BG334</f>
        <v>785.6</v>
      </c>
      <c r="CQ334" s="111">
        <f>BL334</f>
        <v>905.17340648038271</v>
      </c>
      <c r="CR334" s="111">
        <f>BQ334</f>
        <v>956.11773620195424</v>
      </c>
      <c r="CS334" s="111">
        <f>BV334</f>
        <v>1007.6180667485575</v>
      </c>
      <c r="CT334" s="111">
        <f>CA334</f>
        <v>1062.0363232425732</v>
      </c>
      <c r="CU334" s="1961"/>
      <c r="DB334" s="1961"/>
      <c r="DC334" s="1961"/>
      <c r="DD334" s="1961"/>
      <c r="DE334" s="1961"/>
      <c r="DF334" s="1961"/>
      <c r="DG334" s="1961"/>
      <c r="DH334" s="1961"/>
      <c r="DI334" s="74"/>
    </row>
    <row r="335" spans="1:113" ht="5.25" customHeight="1" x14ac:dyDescent="0.25">
      <c r="A335" s="136"/>
      <c r="B335" s="703"/>
      <c r="C335" s="111"/>
      <c r="D335" s="111"/>
      <c r="E335" s="70"/>
      <c r="F335" s="70"/>
      <c r="G335" s="70"/>
      <c r="H335" s="70"/>
      <c r="I335" s="91"/>
      <c r="J335" s="223">
        <f>60.117-58.123</f>
        <v>1.9939999999999998</v>
      </c>
      <c r="K335" s="70"/>
      <c r="L335" s="70"/>
      <c r="M335" s="70"/>
      <c r="N335" s="91"/>
      <c r="O335" s="70"/>
      <c r="P335" s="92"/>
      <c r="Q335" s="706"/>
      <c r="R335" s="706"/>
      <c r="S335" s="744"/>
      <c r="T335" s="70"/>
      <c r="U335" s="716"/>
      <c r="V335" s="706"/>
      <c r="W335" s="706"/>
      <c r="X335" s="91"/>
      <c r="Y335" s="90"/>
      <c r="Z335" s="90"/>
      <c r="AA335" s="90"/>
      <c r="AB335" s="90"/>
      <c r="AC335" s="441"/>
      <c r="AD335" s="90"/>
      <c r="AE335" s="90"/>
      <c r="AF335" s="90"/>
      <c r="AG335" s="90"/>
      <c r="AH335" s="441"/>
      <c r="AI335" s="90"/>
      <c r="AJ335" s="90"/>
      <c r="AK335" s="658"/>
      <c r="AL335" s="90"/>
      <c r="AM335" s="441"/>
      <c r="AN335" s="147"/>
      <c r="AO335" s="147"/>
      <c r="AP335" s="147"/>
      <c r="AQ335" s="147"/>
      <c r="AR335" s="441"/>
      <c r="AS335" s="147"/>
      <c r="AT335" s="147"/>
      <c r="AU335" s="843"/>
      <c r="AV335" s="844"/>
      <c r="AW335" s="845"/>
      <c r="AX335" s="147"/>
      <c r="AY335" s="147"/>
      <c r="AZ335" s="147"/>
      <c r="BA335" s="147"/>
      <c r="BB335" s="148"/>
      <c r="BC335" s="147"/>
      <c r="BD335" s="147"/>
      <c r="BE335" s="147"/>
      <c r="BF335" s="147"/>
      <c r="BG335" s="846"/>
      <c r="BH335" s="147"/>
      <c r="BI335" s="147"/>
      <c r="BJ335" s="147"/>
      <c r="BK335" s="147"/>
      <c r="BL335" s="846"/>
      <c r="BM335" s="147"/>
      <c r="BN335" s="147"/>
      <c r="BO335" s="147"/>
      <c r="BP335" s="147"/>
      <c r="BQ335" s="846"/>
      <c r="BR335" s="147"/>
      <c r="BS335" s="147"/>
      <c r="BT335" s="147"/>
      <c r="BU335" s="147"/>
      <c r="BV335" s="846"/>
      <c r="BW335" s="147"/>
      <c r="BX335" s="147"/>
      <c r="BY335" s="147"/>
      <c r="BZ335" s="147"/>
      <c r="CA335" s="846"/>
      <c r="CC335" s="29"/>
      <c r="CD335" s="136"/>
      <c r="CE335" s="441"/>
      <c r="CF335" s="441"/>
      <c r="CG335" s="441"/>
      <c r="CH335" s="441"/>
      <c r="CI335" s="441"/>
      <c r="CJ335" s="441"/>
      <c r="CK335" s="441"/>
      <c r="CL335" s="441"/>
      <c r="CM335" s="441"/>
      <c r="CN335" s="441"/>
      <c r="CO335" s="441"/>
      <c r="CP335" s="441"/>
      <c r="CQ335" s="441"/>
      <c r="CR335" s="441"/>
      <c r="CS335" s="441"/>
      <c r="CT335" s="441"/>
      <c r="CU335" s="1961"/>
      <c r="DB335" s="1961"/>
      <c r="DC335" s="1961"/>
      <c r="DD335" s="1961"/>
      <c r="DE335" s="1961"/>
      <c r="DF335" s="1961"/>
      <c r="DG335" s="1961"/>
      <c r="DH335" s="1961"/>
      <c r="DI335" s="90"/>
    </row>
    <row r="336" spans="1:113" ht="12" customHeight="1" x14ac:dyDescent="0.25">
      <c r="A336" s="164" t="s">
        <v>219</v>
      </c>
      <c r="B336" s="165"/>
      <c r="C336" s="166">
        <f t="shared" ref="C336:BC336" si="477">C313-C329</f>
        <v>65.875000000000028</v>
      </c>
      <c r="D336" s="166">
        <f t="shared" si="477"/>
        <v>95.33299999999997</v>
      </c>
      <c r="E336" s="167">
        <f t="shared" si="477"/>
        <v>32.144000000000005</v>
      </c>
      <c r="F336" s="167">
        <f t="shared" si="477"/>
        <v>30.923000000000002</v>
      </c>
      <c r="G336" s="167">
        <f t="shared" si="477"/>
        <v>32.192000000000007</v>
      </c>
      <c r="H336" s="169">
        <f t="shared" si="477"/>
        <v>29.388999999999996</v>
      </c>
      <c r="I336" s="166">
        <f t="shared" si="477"/>
        <v>124.64800000000002</v>
      </c>
      <c r="J336" s="167">
        <f t="shared" si="477"/>
        <v>35.512000000000008</v>
      </c>
      <c r="K336" s="167">
        <f t="shared" si="477"/>
        <v>38.972000000000008</v>
      </c>
      <c r="L336" s="167">
        <f t="shared" si="477"/>
        <v>40.005999999999986</v>
      </c>
      <c r="M336" s="169">
        <f t="shared" si="477"/>
        <v>38.218000000000004</v>
      </c>
      <c r="N336" s="168">
        <f t="shared" si="477"/>
        <v>152.70799999999997</v>
      </c>
      <c r="O336" s="168">
        <f t="shared" si="477"/>
        <v>44.308999999999997</v>
      </c>
      <c r="P336" s="167">
        <f t="shared" si="477"/>
        <v>45.434999999999988</v>
      </c>
      <c r="Q336" s="167">
        <f t="shared" si="477"/>
        <v>46.509</v>
      </c>
      <c r="R336" s="169">
        <f t="shared" si="477"/>
        <v>26.025000000000006</v>
      </c>
      <c r="S336" s="168">
        <f t="shared" si="477"/>
        <v>162.27800000000002</v>
      </c>
      <c r="T336" s="847">
        <f>T313-T329</f>
        <v>58.150999999999996</v>
      </c>
      <c r="U336" s="167">
        <f>U313-U329</f>
        <v>57.84099999999998</v>
      </c>
      <c r="V336" s="167">
        <f t="shared" si="477"/>
        <v>62.965000000000003</v>
      </c>
      <c r="W336" s="169">
        <f>W313-W329</f>
        <v>61.121999999999957</v>
      </c>
      <c r="X336" s="166">
        <f t="shared" si="477"/>
        <v>240.07900000000001</v>
      </c>
      <c r="Y336" s="167">
        <f>Y313-Y329</f>
        <v>64.897999999999982</v>
      </c>
      <c r="Z336" s="167">
        <f t="shared" si="477"/>
        <v>72.054000000000002</v>
      </c>
      <c r="AA336" s="167">
        <f>AA313-AA329</f>
        <v>80.301000000000016</v>
      </c>
      <c r="AB336" s="167">
        <f>AB313-AB329</f>
        <v>85.22</v>
      </c>
      <c r="AC336" s="166">
        <f t="shared" si="477"/>
        <v>302.47300000000007</v>
      </c>
      <c r="AD336" s="167">
        <f t="shared" si="477"/>
        <v>79.256999999999977</v>
      </c>
      <c r="AE336" s="167">
        <f t="shared" si="477"/>
        <v>87.70599999999996</v>
      </c>
      <c r="AF336" s="167">
        <f t="shared" si="477"/>
        <v>104.31599999999997</v>
      </c>
      <c r="AG336" s="167">
        <f t="shared" si="477"/>
        <v>108.376</v>
      </c>
      <c r="AH336" s="166">
        <f t="shared" si="477"/>
        <v>379.65499999999997</v>
      </c>
      <c r="AI336" s="167">
        <f>AI313-AI329</f>
        <v>90.519000000000034</v>
      </c>
      <c r="AJ336" s="167">
        <f t="shared" si="477"/>
        <v>93.543000000000006</v>
      </c>
      <c r="AK336" s="167">
        <f t="shared" si="477"/>
        <v>113.64899999999994</v>
      </c>
      <c r="AL336" s="167">
        <f>AL313-AL329</f>
        <v>100.19199999999998</v>
      </c>
      <c r="AM336" s="166">
        <f t="shared" si="477"/>
        <v>397.90300000000002</v>
      </c>
      <c r="AN336" s="167">
        <f t="shared" si="477"/>
        <v>89.519999999999982</v>
      </c>
      <c r="AO336" s="167">
        <f t="shared" si="477"/>
        <v>102.95399999999998</v>
      </c>
      <c r="AP336" s="167">
        <f t="shared" si="477"/>
        <v>118.54700000000003</v>
      </c>
      <c r="AQ336" s="167">
        <f t="shared" si="477"/>
        <v>123.18899999999999</v>
      </c>
      <c r="AR336" s="166">
        <f t="shared" si="477"/>
        <v>434.20999999999981</v>
      </c>
      <c r="AS336" s="167">
        <f t="shared" si="477"/>
        <v>115.97399999999999</v>
      </c>
      <c r="AT336" s="167">
        <f t="shared" si="477"/>
        <v>109.73999999999995</v>
      </c>
      <c r="AU336" s="167">
        <f>AU313-AU329</f>
        <v>158.70499999999998</v>
      </c>
      <c r="AV336" s="848">
        <f>AV313-AV329</f>
        <v>161.30000000000007</v>
      </c>
      <c r="AW336" s="166">
        <f>AW313-AW329</f>
        <v>545.71900000000016</v>
      </c>
      <c r="AX336" s="167">
        <f t="shared" si="477"/>
        <v>138.97199999999998</v>
      </c>
      <c r="AY336" s="167">
        <f t="shared" si="477"/>
        <v>139.73099999999997</v>
      </c>
      <c r="AZ336" s="167">
        <f t="shared" si="477"/>
        <v>144.33000000000001</v>
      </c>
      <c r="BA336" s="167">
        <f t="shared" si="477"/>
        <v>142.19999999999999</v>
      </c>
      <c r="BB336" s="803">
        <f>BB313-BB329</f>
        <v>565.23300000000006</v>
      </c>
      <c r="BC336" s="167">
        <f t="shared" si="477"/>
        <v>129.1</v>
      </c>
      <c r="BD336" s="167">
        <f t="shared" ref="BD336:CA336" si="478">BD313-BD329</f>
        <v>137.30000000000001</v>
      </c>
      <c r="BE336" s="167">
        <f t="shared" si="478"/>
        <v>153.79999999999998</v>
      </c>
      <c r="BF336" s="167">
        <f t="shared" si="478"/>
        <v>159.40000000000003</v>
      </c>
      <c r="BG336" s="803">
        <f t="shared" si="478"/>
        <v>579.60000000000014</v>
      </c>
      <c r="BH336" s="167">
        <f t="shared" si="478"/>
        <v>148.34548119731801</v>
      </c>
      <c r="BI336" s="167">
        <f t="shared" si="478"/>
        <v>155.91817864307322</v>
      </c>
      <c r="BJ336" s="167">
        <f t="shared" si="478"/>
        <v>171.06472342418277</v>
      </c>
      <c r="BK336" s="167">
        <f t="shared" si="478"/>
        <v>172.89354358837642</v>
      </c>
      <c r="BL336" s="803">
        <f t="shared" si="478"/>
        <v>648.22192685295067</v>
      </c>
      <c r="BM336" s="167">
        <f t="shared" si="478"/>
        <v>158.46046589747124</v>
      </c>
      <c r="BN336" s="167">
        <f t="shared" si="478"/>
        <v>166.74098059336967</v>
      </c>
      <c r="BO336" s="167">
        <f t="shared" si="478"/>
        <v>182.91479038305386</v>
      </c>
      <c r="BP336" s="167">
        <f t="shared" si="478"/>
        <v>185.10462067415094</v>
      </c>
      <c r="BQ336" s="803">
        <f t="shared" si="478"/>
        <v>693.2208575480455</v>
      </c>
      <c r="BR336" s="167">
        <f t="shared" si="478"/>
        <v>169.09709491456195</v>
      </c>
      <c r="BS336" s="167">
        <f t="shared" si="478"/>
        <v>177.92066623829405</v>
      </c>
      <c r="BT336" s="167">
        <f t="shared" si="478"/>
        <v>195.12895435433234</v>
      </c>
      <c r="BU336" s="167">
        <f t="shared" si="478"/>
        <v>197.45794860675426</v>
      </c>
      <c r="BV336" s="803">
        <f t="shared" si="478"/>
        <v>739.60466411394248</v>
      </c>
      <c r="BW336" s="167">
        <f t="shared" si="478"/>
        <v>180.46737512831317</v>
      </c>
      <c r="BX336" s="167">
        <f t="shared" si="478"/>
        <v>189.87126939498273</v>
      </c>
      <c r="BY336" s="167">
        <f t="shared" si="478"/>
        <v>208.18245189216623</v>
      </c>
      <c r="BZ336" s="167">
        <f t="shared" si="478"/>
        <v>210.65954281583981</v>
      </c>
      <c r="CA336" s="803">
        <f t="shared" si="478"/>
        <v>789.18063923130194</v>
      </c>
      <c r="CC336" s="790"/>
      <c r="CD336" s="164" t="str">
        <f>A336</f>
        <v>Segment EBITDA</v>
      </c>
      <c r="CE336" s="166">
        <f>D336</f>
        <v>95.33299999999997</v>
      </c>
      <c r="CF336" s="166">
        <f>I336</f>
        <v>124.64800000000002</v>
      </c>
      <c r="CG336" s="166">
        <f>N336</f>
        <v>152.70799999999997</v>
      </c>
      <c r="CH336" s="166">
        <f>S336</f>
        <v>162.27800000000002</v>
      </c>
      <c r="CI336" s="166">
        <f>X336</f>
        <v>240.07900000000001</v>
      </c>
      <c r="CJ336" s="166">
        <f>AC336</f>
        <v>302.47300000000007</v>
      </c>
      <c r="CK336" s="166">
        <f>AH336</f>
        <v>379.65499999999997</v>
      </c>
      <c r="CL336" s="166">
        <f>AM336</f>
        <v>397.90300000000002</v>
      </c>
      <c r="CM336" s="166">
        <f>AR336</f>
        <v>434.20999999999981</v>
      </c>
      <c r="CN336" s="166">
        <f>AW336</f>
        <v>545.71900000000016</v>
      </c>
      <c r="CO336" s="166">
        <f>BB336</f>
        <v>565.23300000000006</v>
      </c>
      <c r="CP336" s="166">
        <f>BG336</f>
        <v>579.60000000000014</v>
      </c>
      <c r="CQ336" s="166">
        <f>BL336</f>
        <v>648.22192685295067</v>
      </c>
      <c r="CR336" s="166">
        <f>BQ336</f>
        <v>693.2208575480455</v>
      </c>
      <c r="CS336" s="166">
        <f>BV336</f>
        <v>739.60466411394248</v>
      </c>
      <c r="CT336" s="166">
        <f>CA336</f>
        <v>789.18063923130194</v>
      </c>
      <c r="CU336" s="1961"/>
      <c r="DB336" s="1961"/>
      <c r="DC336" s="1961"/>
      <c r="DD336" s="1961"/>
      <c r="DE336" s="1961"/>
      <c r="DF336" s="1961"/>
      <c r="DG336" s="1961"/>
      <c r="DH336" s="1961"/>
      <c r="DI336" s="74"/>
    </row>
    <row r="337" spans="1:113" ht="12" customHeight="1" x14ac:dyDescent="0.25">
      <c r="A337" s="791" t="s">
        <v>65</v>
      </c>
      <c r="B337" s="792"/>
      <c r="C337" s="793">
        <f t="shared" ref="C337:AR337" si="479">C336/C313</f>
        <v>0.33475620601163719</v>
      </c>
      <c r="D337" s="793">
        <f t="shared" si="479"/>
        <v>0.370226680491963</v>
      </c>
      <c r="E337" s="794">
        <f t="shared" si="479"/>
        <v>0.41725404675675326</v>
      </c>
      <c r="F337" s="794">
        <f t="shared" si="479"/>
        <v>0.39445117673321006</v>
      </c>
      <c r="G337" s="794">
        <f t="shared" si="479"/>
        <v>0.40891192236364099</v>
      </c>
      <c r="H337" s="794">
        <f t="shared" si="479"/>
        <v>0.3546098435030226</v>
      </c>
      <c r="I337" s="793">
        <f t="shared" si="479"/>
        <v>0.39316794675666727</v>
      </c>
      <c r="J337" s="794">
        <f t="shared" si="479"/>
        <v>0.40090766434482217</v>
      </c>
      <c r="K337" s="794">
        <f t="shared" si="479"/>
        <v>0.40699702365411733</v>
      </c>
      <c r="L337" s="794">
        <f t="shared" si="479"/>
        <v>0.40326596441711599</v>
      </c>
      <c r="M337" s="794">
        <f t="shared" si="479"/>
        <v>0.36184434766142776</v>
      </c>
      <c r="N337" s="795">
        <f t="shared" si="479"/>
        <v>0.39240516087254818</v>
      </c>
      <c r="O337" s="795">
        <f t="shared" si="479"/>
        <v>0.38136592503335193</v>
      </c>
      <c r="P337" s="794">
        <f t="shared" si="479"/>
        <v>0.36462053302730935</v>
      </c>
      <c r="Q337" s="794">
        <f t="shared" si="479"/>
        <v>0.36252737916143768</v>
      </c>
      <c r="R337" s="794">
        <f t="shared" si="479"/>
        <v>0.19415411472437952</v>
      </c>
      <c r="S337" s="796">
        <f t="shared" si="479"/>
        <v>0.32253820101445357</v>
      </c>
      <c r="T337" s="849">
        <f t="shared" si="479"/>
        <v>0.41074052099225855</v>
      </c>
      <c r="U337" s="794">
        <f t="shared" si="479"/>
        <v>0.39244036149482991</v>
      </c>
      <c r="V337" s="794">
        <f t="shared" si="479"/>
        <v>0.41675215938048121</v>
      </c>
      <c r="W337" s="794">
        <f t="shared" si="479"/>
        <v>0.39141627603166035</v>
      </c>
      <c r="X337" s="793">
        <f t="shared" si="479"/>
        <v>0.40267860886775519</v>
      </c>
      <c r="Y337" s="794">
        <f t="shared" si="479"/>
        <v>0.37660016480391806</v>
      </c>
      <c r="Z337" s="794">
        <f t="shared" si="479"/>
        <v>0.38583132530120484</v>
      </c>
      <c r="AA337" s="794">
        <f t="shared" si="479"/>
        <v>0.40126223634701014</v>
      </c>
      <c r="AB337" s="794">
        <f t="shared" si="479"/>
        <v>0.4072017660381686</v>
      </c>
      <c r="AC337" s="793">
        <f t="shared" si="479"/>
        <v>0.39359956485473258</v>
      </c>
      <c r="AD337" s="794">
        <f>AD336/AD313</f>
        <v>0.3932725324018021</v>
      </c>
      <c r="AE337" s="794">
        <f>AE336/AE313</f>
        <v>0.38293376179394584</v>
      </c>
      <c r="AF337" s="794">
        <f>AF336/AF313</f>
        <v>0.40908877001992183</v>
      </c>
      <c r="AG337" s="794">
        <f>AG336/AG313</f>
        <v>0.40251217274715967</v>
      </c>
      <c r="AH337" s="793">
        <f t="shared" si="479"/>
        <v>0.39762194521655525</v>
      </c>
      <c r="AI337" s="794">
        <f>AI336/AI313</f>
        <v>0.40395119687260145</v>
      </c>
      <c r="AJ337" s="794">
        <f t="shared" si="479"/>
        <v>0.39618901599698447</v>
      </c>
      <c r="AK337" s="794">
        <f t="shared" si="479"/>
        <v>0.44243436419695398</v>
      </c>
      <c r="AL337" s="794">
        <f t="shared" si="479"/>
        <v>0.38480032568536016</v>
      </c>
      <c r="AM337" s="793">
        <f t="shared" si="479"/>
        <v>0.40708812946512157</v>
      </c>
      <c r="AN337" s="794">
        <f t="shared" si="479"/>
        <v>0.36194557878138517</v>
      </c>
      <c r="AO337" s="794">
        <f>AO336/AO313</f>
        <v>0.39355203706393677</v>
      </c>
      <c r="AP337" s="794">
        <f>AP336/AP313</f>
        <v>0.41275229709168526</v>
      </c>
      <c r="AQ337" s="794">
        <f>AQ336/AQ313</f>
        <v>0.41072446662732426</v>
      </c>
      <c r="AR337" s="793">
        <f t="shared" si="479"/>
        <v>0.39615025992770547</v>
      </c>
      <c r="AS337" s="794">
        <f t="shared" ref="AS337:CA337" si="480">AS336/AS313</f>
        <v>0.40205231318576551</v>
      </c>
      <c r="AT337" s="794">
        <f t="shared" si="480"/>
        <v>0.33670839469808533</v>
      </c>
      <c r="AU337" s="794">
        <f t="shared" si="480"/>
        <v>0.41910720038872484</v>
      </c>
      <c r="AV337" s="794">
        <f t="shared" si="480"/>
        <v>0.41701137538779742</v>
      </c>
      <c r="AW337" s="179">
        <f t="shared" si="480"/>
        <v>0.39549182555482526</v>
      </c>
      <c r="AX337" s="794">
        <f t="shared" si="480"/>
        <v>0.44407803288117714</v>
      </c>
      <c r="AY337" s="794">
        <f t="shared" si="480"/>
        <v>0.44054303721242571</v>
      </c>
      <c r="AZ337" s="794">
        <f t="shared" si="480"/>
        <v>0.45485917423819833</v>
      </c>
      <c r="BA337" s="794">
        <f t="shared" si="480"/>
        <v>0.43956723338485315</v>
      </c>
      <c r="BB337" s="179">
        <f t="shared" si="480"/>
        <v>0.44473932888567519</v>
      </c>
      <c r="BC337" s="794">
        <f t="shared" si="480"/>
        <v>0.41219667943805877</v>
      </c>
      <c r="BD337" s="794">
        <f t="shared" si="480"/>
        <v>0.41530550514216574</v>
      </c>
      <c r="BE337" s="794">
        <f t="shared" si="480"/>
        <v>0.43214386063500981</v>
      </c>
      <c r="BF337" s="794">
        <f t="shared" si="480"/>
        <v>0.4249533457744602</v>
      </c>
      <c r="BG337" s="179">
        <f t="shared" si="480"/>
        <v>0.42158859470468435</v>
      </c>
      <c r="BH337" s="794">
        <f t="shared" si="480"/>
        <v>0.40119667943805876</v>
      </c>
      <c r="BI337" s="794">
        <f t="shared" si="480"/>
        <v>0.40930550514216585</v>
      </c>
      <c r="BJ337" s="794">
        <f t="shared" si="480"/>
        <v>0.4321438606350097</v>
      </c>
      <c r="BK337" s="794">
        <f t="shared" si="480"/>
        <v>0.42495334577446015</v>
      </c>
      <c r="BL337" s="179">
        <f t="shared" si="480"/>
        <v>0.41729359741410577</v>
      </c>
      <c r="BM337" s="794">
        <f t="shared" si="480"/>
        <v>0.4041966794380587</v>
      </c>
      <c r="BN337" s="794">
        <f t="shared" si="480"/>
        <v>0.41230550514216585</v>
      </c>
      <c r="BO337" s="794">
        <f t="shared" si="480"/>
        <v>0.43514386063500982</v>
      </c>
      <c r="BP337" s="794">
        <f t="shared" si="480"/>
        <v>0.42795334577446026</v>
      </c>
      <c r="BQ337" s="179">
        <f t="shared" si="480"/>
        <v>0.42030233220451835</v>
      </c>
      <c r="BR337" s="794">
        <f t="shared" si="480"/>
        <v>0.40719667943805871</v>
      </c>
      <c r="BS337" s="794">
        <f t="shared" si="480"/>
        <v>0.41530550514216585</v>
      </c>
      <c r="BT337" s="794">
        <f t="shared" si="480"/>
        <v>0.43814386063500976</v>
      </c>
      <c r="BU337" s="794">
        <f t="shared" si="480"/>
        <v>0.43095334577446015</v>
      </c>
      <c r="BV337" s="179">
        <f t="shared" si="480"/>
        <v>0.42330302316341983</v>
      </c>
      <c r="BW337" s="794">
        <f t="shared" si="480"/>
        <v>0.41019667943805882</v>
      </c>
      <c r="BX337" s="794">
        <f t="shared" si="480"/>
        <v>0.41830550514216591</v>
      </c>
      <c r="BY337" s="794">
        <f t="shared" si="480"/>
        <v>0.44114386063500977</v>
      </c>
      <c r="BZ337" s="794">
        <f t="shared" si="480"/>
        <v>0.43395334577446021</v>
      </c>
      <c r="CA337" s="179">
        <f t="shared" si="480"/>
        <v>0.42630369925774653</v>
      </c>
      <c r="CC337" s="790"/>
      <c r="CD337" s="791" t="str">
        <f>A337</f>
        <v>EBITDA Margin</v>
      </c>
      <c r="CE337" s="793">
        <f>D337</f>
        <v>0.370226680491963</v>
      </c>
      <c r="CF337" s="793">
        <f>I337</f>
        <v>0.39316794675666727</v>
      </c>
      <c r="CG337" s="793">
        <f>N337</f>
        <v>0.39240516087254818</v>
      </c>
      <c r="CH337" s="793">
        <f>S337</f>
        <v>0.32253820101445357</v>
      </c>
      <c r="CI337" s="793">
        <f>X337</f>
        <v>0.40267860886775519</v>
      </c>
      <c r="CJ337" s="793">
        <f>AC337</f>
        <v>0.39359956485473258</v>
      </c>
      <c r="CK337" s="793">
        <f>AH337</f>
        <v>0.39762194521655525</v>
      </c>
      <c r="CL337" s="793">
        <f>AM337</f>
        <v>0.40708812946512157</v>
      </c>
      <c r="CM337" s="793">
        <f>AR337</f>
        <v>0.39615025992770547</v>
      </c>
      <c r="CN337" s="793">
        <f>AW337</f>
        <v>0.39549182555482526</v>
      </c>
      <c r="CO337" s="793">
        <f>BB337</f>
        <v>0.44473932888567519</v>
      </c>
      <c r="CP337" s="793">
        <f>BG337</f>
        <v>0.42158859470468435</v>
      </c>
      <c r="CQ337" s="793">
        <f>BL337</f>
        <v>0.41729359741410577</v>
      </c>
      <c r="CR337" s="793">
        <f>BQ337</f>
        <v>0.42030233220451835</v>
      </c>
      <c r="CS337" s="793">
        <f>BV337</f>
        <v>0.42330302316341983</v>
      </c>
      <c r="CT337" s="793">
        <f>CA337</f>
        <v>0.42630369925774653</v>
      </c>
      <c r="CU337" s="1961"/>
      <c r="DB337" s="1961"/>
      <c r="DC337" s="1961"/>
      <c r="DD337" s="1961"/>
      <c r="DE337" s="1961"/>
      <c r="DF337" s="1961"/>
      <c r="DG337" s="1961"/>
      <c r="DH337" s="1961"/>
      <c r="DI337" s="95"/>
    </row>
    <row r="338" spans="1:113" ht="5.25" customHeight="1" x14ac:dyDescent="0.25">
      <c r="A338" s="176"/>
      <c r="B338" s="850"/>
      <c r="C338" s="88"/>
      <c r="D338" s="88"/>
      <c r="E338" s="95"/>
      <c r="F338" s="95"/>
      <c r="G338" s="95"/>
      <c r="H338" s="95"/>
      <c r="I338" s="88"/>
      <c r="J338" s="95"/>
      <c r="K338" s="95"/>
      <c r="L338" s="95"/>
      <c r="M338" s="95"/>
      <c r="N338" s="88"/>
      <c r="O338" s="95"/>
      <c r="P338" s="92"/>
      <c r="Q338" s="706"/>
      <c r="R338" s="706"/>
      <c r="S338" s="744"/>
      <c r="T338" s="92"/>
      <c r="U338" s="716"/>
      <c r="V338" s="706"/>
      <c r="W338" s="706"/>
      <c r="X338" s="91"/>
      <c r="Y338" s="90"/>
      <c r="Z338" s="90"/>
      <c r="AA338" s="90"/>
      <c r="AB338" s="90"/>
      <c r="AC338" s="441"/>
      <c r="AD338" s="90"/>
      <c r="AE338" s="90"/>
      <c r="AF338" s="90"/>
      <c r="AG338" s="90"/>
      <c r="AH338" s="441"/>
      <c r="AI338" s="90"/>
      <c r="AJ338" s="90"/>
      <c r="AK338" s="90"/>
      <c r="AL338" s="90"/>
      <c r="AM338" s="441"/>
      <c r="AN338" s="90"/>
      <c r="AO338" s="90"/>
      <c r="AP338" s="90"/>
      <c r="AQ338" s="90"/>
      <c r="AR338" s="441"/>
      <c r="AS338" s="90"/>
      <c r="AT338" s="90"/>
      <c r="AU338" s="90"/>
      <c r="AV338" s="90"/>
      <c r="AW338" s="91"/>
      <c r="AX338" s="90"/>
      <c r="AY338" s="90"/>
      <c r="AZ338" s="90"/>
      <c r="BA338" s="90"/>
      <c r="BB338" s="747"/>
      <c r="BC338" s="90"/>
      <c r="BD338" s="90"/>
      <c r="BE338" s="90"/>
      <c r="BF338" s="90"/>
      <c r="BG338" s="747"/>
      <c r="BH338" s="90"/>
      <c r="BI338" s="90"/>
      <c r="BJ338" s="90"/>
      <c r="BK338" s="90"/>
      <c r="BL338" s="747"/>
      <c r="BM338" s="90"/>
      <c r="BN338" s="90"/>
      <c r="BO338" s="90"/>
      <c r="BP338" s="90"/>
      <c r="BQ338" s="747"/>
      <c r="BR338" s="90"/>
      <c r="BS338" s="90"/>
      <c r="BT338" s="90"/>
      <c r="BU338" s="90"/>
      <c r="BV338" s="747"/>
      <c r="BW338" s="90"/>
      <c r="BX338" s="90"/>
      <c r="BY338" s="90"/>
      <c r="BZ338" s="90"/>
      <c r="CA338" s="747"/>
      <c r="CC338" s="29"/>
      <c r="CD338" s="176"/>
      <c r="CE338" s="441"/>
      <c r="CF338" s="441"/>
      <c r="CG338" s="441"/>
      <c r="CH338" s="441"/>
      <c r="CI338" s="441"/>
      <c r="CJ338" s="441"/>
      <c r="CK338" s="441"/>
      <c r="CL338" s="441"/>
      <c r="CM338" s="441"/>
      <c r="CN338" s="441"/>
      <c r="CO338" s="441"/>
      <c r="CP338" s="441"/>
      <c r="CQ338" s="441"/>
      <c r="CR338" s="441"/>
      <c r="CS338" s="441"/>
      <c r="CT338" s="441"/>
      <c r="CU338" s="1961"/>
      <c r="DB338" s="1961"/>
      <c r="DC338" s="1961"/>
      <c r="DD338" s="1961"/>
      <c r="DE338" s="1961"/>
      <c r="DF338" s="1961"/>
      <c r="DG338" s="1961"/>
      <c r="DH338" s="1961"/>
      <c r="DI338" s="90"/>
    </row>
    <row r="339" spans="1:113" ht="12" customHeight="1" x14ac:dyDescent="0.25">
      <c r="A339" s="171" t="s">
        <v>220</v>
      </c>
      <c r="B339" s="851"/>
      <c r="C339" s="166">
        <f t="shared" ref="C339:AV339" si="481">C336+C331</f>
        <v>65.875000000000028</v>
      </c>
      <c r="D339" s="166">
        <f t="shared" si="481"/>
        <v>98.959999999999965</v>
      </c>
      <c r="E339" s="167">
        <f t="shared" si="481"/>
        <v>32.144000000000005</v>
      </c>
      <c r="F339" s="167">
        <f t="shared" si="481"/>
        <v>30.923000000000002</v>
      </c>
      <c r="G339" s="167">
        <f t="shared" si="481"/>
        <v>32.192000000000007</v>
      </c>
      <c r="H339" s="169">
        <f t="shared" si="481"/>
        <v>29.388999999999996</v>
      </c>
      <c r="I339" s="166">
        <f t="shared" si="481"/>
        <v>129.64500000000004</v>
      </c>
      <c r="J339" s="167">
        <f t="shared" si="481"/>
        <v>36.684000000000005</v>
      </c>
      <c r="K339" s="167">
        <f t="shared" si="481"/>
        <v>40.288000000000011</v>
      </c>
      <c r="L339" s="167">
        <f t="shared" si="481"/>
        <v>41.210999999999984</v>
      </c>
      <c r="M339" s="169">
        <f t="shared" si="481"/>
        <v>39.161000000000001</v>
      </c>
      <c r="N339" s="168">
        <f t="shared" si="481"/>
        <v>157.34399999999997</v>
      </c>
      <c r="O339" s="168">
        <f t="shared" si="481"/>
        <v>45.517000000000003</v>
      </c>
      <c r="P339" s="167">
        <f t="shared" si="481"/>
        <v>47.048999999999985</v>
      </c>
      <c r="Q339" s="167">
        <f t="shared" si="481"/>
        <v>49.509</v>
      </c>
      <c r="R339" s="169">
        <f t="shared" si="481"/>
        <v>52.055</v>
      </c>
      <c r="S339" s="170">
        <f>SUM(O339:R339)</f>
        <v>194.13</v>
      </c>
      <c r="T339" s="168">
        <f>T336+T331</f>
        <v>58.150999999999996</v>
      </c>
      <c r="U339" s="167">
        <f t="shared" si="481"/>
        <v>57.84099999999998</v>
      </c>
      <c r="V339" s="167">
        <f t="shared" si="481"/>
        <v>62.965000000000003</v>
      </c>
      <c r="W339" s="169">
        <f t="shared" si="481"/>
        <v>61.121999999999957</v>
      </c>
      <c r="X339" s="166">
        <f t="shared" si="481"/>
        <v>240.07900000000001</v>
      </c>
      <c r="Y339" s="167">
        <f t="shared" si="481"/>
        <v>64.897999999999982</v>
      </c>
      <c r="Z339" s="167">
        <f t="shared" si="481"/>
        <v>75.418000000000006</v>
      </c>
      <c r="AA339" s="167">
        <f t="shared" si="481"/>
        <v>80.301000000000016</v>
      </c>
      <c r="AB339" s="167">
        <f t="shared" si="481"/>
        <v>85.22</v>
      </c>
      <c r="AC339" s="166">
        <f t="shared" si="481"/>
        <v>305.83700000000005</v>
      </c>
      <c r="AD339" s="167">
        <f t="shared" si="481"/>
        <v>79.256999999999977</v>
      </c>
      <c r="AE339" s="167">
        <f t="shared" si="481"/>
        <v>87.70599999999996</v>
      </c>
      <c r="AF339" s="167">
        <f t="shared" si="481"/>
        <v>104.31599999999997</v>
      </c>
      <c r="AG339" s="852">
        <f t="shared" si="481"/>
        <v>108.376</v>
      </c>
      <c r="AH339" s="166">
        <f t="shared" si="481"/>
        <v>379.65499999999997</v>
      </c>
      <c r="AI339" s="167">
        <f>AI336+AI331</f>
        <v>90.519000000000034</v>
      </c>
      <c r="AJ339" s="167">
        <f t="shared" si="481"/>
        <v>93.553000000000011</v>
      </c>
      <c r="AK339" s="167">
        <f t="shared" si="481"/>
        <v>113.64899999999994</v>
      </c>
      <c r="AL339" s="167">
        <f t="shared" si="481"/>
        <v>100.19199999999998</v>
      </c>
      <c r="AM339" s="166">
        <f t="shared" si="481"/>
        <v>397.91300000000001</v>
      </c>
      <c r="AN339" s="167">
        <f t="shared" si="481"/>
        <v>89.519999999999982</v>
      </c>
      <c r="AO339" s="167">
        <f t="shared" si="481"/>
        <v>102.95399999999998</v>
      </c>
      <c r="AP339" s="167">
        <f t="shared" si="481"/>
        <v>118.54700000000003</v>
      </c>
      <c r="AQ339" s="167">
        <f t="shared" si="481"/>
        <v>123.18899999999999</v>
      </c>
      <c r="AR339" s="166">
        <f t="shared" si="481"/>
        <v>434.20999999999981</v>
      </c>
      <c r="AS339" s="167">
        <f t="shared" si="481"/>
        <v>115.374</v>
      </c>
      <c r="AT339" s="167">
        <f t="shared" si="481"/>
        <v>135.98499999999996</v>
      </c>
      <c r="AU339" s="167">
        <f t="shared" si="481"/>
        <v>176.63299999999998</v>
      </c>
      <c r="AV339" s="167">
        <f t="shared" si="481"/>
        <v>161.40000000000006</v>
      </c>
      <c r="AW339" s="166">
        <f t="shared" ref="AW339:CA339" si="482">AW336+AW331</f>
        <v>589.39200000000017</v>
      </c>
      <c r="AX339" s="167">
        <f t="shared" si="482"/>
        <v>139.08399999999997</v>
      </c>
      <c r="AY339" s="167">
        <f t="shared" si="482"/>
        <v>140.61099999999996</v>
      </c>
      <c r="AZ339" s="167">
        <f t="shared" si="482"/>
        <v>147.03</v>
      </c>
      <c r="BA339" s="167">
        <f t="shared" si="482"/>
        <v>153.29999999999998</v>
      </c>
      <c r="BB339" s="803">
        <f t="shared" si="482"/>
        <v>580.02500000000009</v>
      </c>
      <c r="BC339" s="167">
        <f t="shared" si="482"/>
        <v>131.29999999999998</v>
      </c>
      <c r="BD339" s="167">
        <f t="shared" si="482"/>
        <v>140.70000000000002</v>
      </c>
      <c r="BE339" s="167">
        <f t="shared" si="482"/>
        <v>156.29999999999998</v>
      </c>
      <c r="BF339" s="167">
        <f t="shared" si="482"/>
        <v>160.90000000000003</v>
      </c>
      <c r="BG339" s="803">
        <f t="shared" si="482"/>
        <v>589.20000000000016</v>
      </c>
      <c r="BH339" s="167">
        <f t="shared" si="482"/>
        <v>148.34548119731801</v>
      </c>
      <c r="BI339" s="167">
        <f t="shared" si="482"/>
        <v>155.91817864307322</v>
      </c>
      <c r="BJ339" s="167">
        <f t="shared" si="482"/>
        <v>171.06472342418277</v>
      </c>
      <c r="BK339" s="167">
        <f t="shared" si="482"/>
        <v>172.89354358837642</v>
      </c>
      <c r="BL339" s="803">
        <f t="shared" si="482"/>
        <v>648.22192685295067</v>
      </c>
      <c r="BM339" s="167">
        <f t="shared" si="482"/>
        <v>158.46046589747124</v>
      </c>
      <c r="BN339" s="167">
        <f t="shared" si="482"/>
        <v>166.74098059336967</v>
      </c>
      <c r="BO339" s="167">
        <f t="shared" si="482"/>
        <v>182.91479038305386</v>
      </c>
      <c r="BP339" s="167">
        <f t="shared" si="482"/>
        <v>185.10462067415094</v>
      </c>
      <c r="BQ339" s="803">
        <f t="shared" si="482"/>
        <v>693.2208575480455</v>
      </c>
      <c r="BR339" s="167">
        <f t="shared" si="482"/>
        <v>169.09709491456195</v>
      </c>
      <c r="BS339" s="167">
        <f t="shared" si="482"/>
        <v>177.92066623829405</v>
      </c>
      <c r="BT339" s="167">
        <f t="shared" si="482"/>
        <v>195.12895435433234</v>
      </c>
      <c r="BU339" s="167">
        <f t="shared" si="482"/>
        <v>197.45794860675426</v>
      </c>
      <c r="BV339" s="803">
        <f t="shared" si="482"/>
        <v>739.60466411394248</v>
      </c>
      <c r="BW339" s="167">
        <f t="shared" si="482"/>
        <v>180.46737512831317</v>
      </c>
      <c r="BX339" s="167">
        <f t="shared" si="482"/>
        <v>189.87126939498273</v>
      </c>
      <c r="BY339" s="167">
        <f t="shared" si="482"/>
        <v>208.18245189216623</v>
      </c>
      <c r="BZ339" s="167">
        <f t="shared" si="482"/>
        <v>210.65954281583981</v>
      </c>
      <c r="CA339" s="803">
        <f t="shared" si="482"/>
        <v>789.18063923130194</v>
      </c>
      <c r="CC339" s="29"/>
      <c r="CD339" s="171" t="str">
        <f>A339</f>
        <v>Segment Adj. EBITDA</v>
      </c>
      <c r="CE339" s="166">
        <f>D339</f>
        <v>98.959999999999965</v>
      </c>
      <c r="CF339" s="166">
        <f>I339</f>
        <v>129.64500000000004</v>
      </c>
      <c r="CG339" s="166">
        <f>N339</f>
        <v>157.34399999999997</v>
      </c>
      <c r="CH339" s="166">
        <f>S339</f>
        <v>194.13</v>
      </c>
      <c r="CI339" s="166">
        <f>X339</f>
        <v>240.07900000000001</v>
      </c>
      <c r="CJ339" s="166">
        <f>AC339</f>
        <v>305.83700000000005</v>
      </c>
      <c r="CK339" s="166">
        <f>AH339</f>
        <v>379.65499999999997</v>
      </c>
      <c r="CL339" s="166">
        <f>AM339</f>
        <v>397.91300000000001</v>
      </c>
      <c r="CM339" s="166">
        <f>AR339</f>
        <v>434.20999999999981</v>
      </c>
      <c r="CN339" s="166">
        <f>AW339</f>
        <v>589.39200000000017</v>
      </c>
      <c r="CO339" s="166">
        <f>BB339</f>
        <v>580.02500000000009</v>
      </c>
      <c r="CP339" s="166">
        <f>BG339</f>
        <v>589.20000000000016</v>
      </c>
      <c r="CQ339" s="166">
        <f>BL339</f>
        <v>648.22192685295067</v>
      </c>
      <c r="CR339" s="166">
        <f>BQ339</f>
        <v>693.2208575480455</v>
      </c>
      <c r="CS339" s="166">
        <f>BV339</f>
        <v>739.60466411394248</v>
      </c>
      <c r="CT339" s="166">
        <f>CA339</f>
        <v>789.18063923130194</v>
      </c>
      <c r="CU339" s="1961"/>
      <c r="DB339" s="1961"/>
      <c r="DC339" s="1961"/>
      <c r="DD339" s="1961"/>
      <c r="DE339" s="1961"/>
      <c r="DF339" s="1961"/>
      <c r="DG339" s="1961"/>
      <c r="DH339" s="1961"/>
      <c r="DI339" s="74"/>
    </row>
    <row r="340" spans="1:113" ht="12" customHeight="1" x14ac:dyDescent="0.25">
      <c r="A340" s="853" t="s">
        <v>68</v>
      </c>
      <c r="B340" s="854"/>
      <c r="C340" s="793">
        <f>C339/C313</f>
        <v>0.33475620601163719</v>
      </c>
      <c r="D340" s="793">
        <f t="shared" ref="D340:BA340" si="483">D339/D313</f>
        <v>0.38431217208610513</v>
      </c>
      <c r="E340" s="794">
        <f t="shared" si="483"/>
        <v>0.41725404675675326</v>
      </c>
      <c r="F340" s="794">
        <f t="shared" si="483"/>
        <v>0.39445117673321006</v>
      </c>
      <c r="G340" s="794">
        <f t="shared" si="483"/>
        <v>0.40891192236364099</v>
      </c>
      <c r="H340" s="794">
        <f t="shared" si="483"/>
        <v>0.3546098435030226</v>
      </c>
      <c r="I340" s="793">
        <f t="shared" si="483"/>
        <v>0.4089296134496192</v>
      </c>
      <c r="J340" s="794">
        <f t="shared" si="483"/>
        <v>0.41413879136138365</v>
      </c>
      <c r="K340" s="794">
        <f t="shared" si="483"/>
        <v>0.42074043130907007</v>
      </c>
      <c r="L340" s="794">
        <f t="shared" si="483"/>
        <v>0.41541252961040259</v>
      </c>
      <c r="M340" s="794">
        <f t="shared" si="483"/>
        <v>0.37077258095057747</v>
      </c>
      <c r="N340" s="795">
        <f t="shared" si="483"/>
        <v>0.40431802939158534</v>
      </c>
      <c r="O340" s="795">
        <f t="shared" si="483"/>
        <v>0.39176313637732929</v>
      </c>
      <c r="P340" s="794">
        <f t="shared" si="483"/>
        <v>0.37757304849569445</v>
      </c>
      <c r="Q340" s="794">
        <f t="shared" si="483"/>
        <v>0.38591171633240057</v>
      </c>
      <c r="R340" s="794">
        <f t="shared" si="483"/>
        <v>0.38834553091172236</v>
      </c>
      <c r="S340" s="796">
        <f t="shared" si="483"/>
        <v>0.38584614650744936</v>
      </c>
      <c r="T340" s="795">
        <f t="shared" si="483"/>
        <v>0.41074052099225855</v>
      </c>
      <c r="U340" s="794">
        <f t="shared" si="483"/>
        <v>0.39244036149482991</v>
      </c>
      <c r="V340" s="794">
        <f t="shared" si="483"/>
        <v>0.41675215938048121</v>
      </c>
      <c r="W340" s="794">
        <f t="shared" si="483"/>
        <v>0.39141627603166035</v>
      </c>
      <c r="X340" s="793">
        <f t="shared" si="483"/>
        <v>0.40267860886775519</v>
      </c>
      <c r="Y340" s="794">
        <f t="shared" si="483"/>
        <v>0.37660016480391806</v>
      </c>
      <c r="Z340" s="794">
        <f t="shared" si="483"/>
        <v>0.40384471218206164</v>
      </c>
      <c r="AA340" s="794">
        <f t="shared" si="483"/>
        <v>0.40126223634701014</v>
      </c>
      <c r="AB340" s="794">
        <f t="shared" si="483"/>
        <v>0.4072017660381686</v>
      </c>
      <c r="AC340" s="793">
        <f t="shared" si="483"/>
        <v>0.39797704296408887</v>
      </c>
      <c r="AD340" s="794">
        <f>AD339/AD313</f>
        <v>0.3932725324018021</v>
      </c>
      <c r="AE340" s="794">
        <f>AE339/AE313</f>
        <v>0.38293376179394584</v>
      </c>
      <c r="AF340" s="794">
        <f>AF339/AF313</f>
        <v>0.40908877001992183</v>
      </c>
      <c r="AG340" s="794">
        <f>AG339/AG313</f>
        <v>0.40251217274715967</v>
      </c>
      <c r="AH340" s="793">
        <f t="shared" si="483"/>
        <v>0.39762194521655525</v>
      </c>
      <c r="AI340" s="794">
        <f>AI339/AI313</f>
        <v>0.40395119687260145</v>
      </c>
      <c r="AJ340" s="794">
        <f t="shared" si="483"/>
        <v>0.39623136967561323</v>
      </c>
      <c r="AK340" s="794">
        <f t="shared" si="483"/>
        <v>0.44243436419695398</v>
      </c>
      <c r="AL340" s="794">
        <f t="shared" si="483"/>
        <v>0.38480032568536016</v>
      </c>
      <c r="AM340" s="793">
        <f t="shared" si="483"/>
        <v>0.40709836030352853</v>
      </c>
      <c r="AN340" s="794">
        <f t="shared" si="483"/>
        <v>0.36194557878138517</v>
      </c>
      <c r="AO340" s="794">
        <f>AO339/AO313</f>
        <v>0.39355203706393677</v>
      </c>
      <c r="AP340" s="794">
        <f>AP339/AP313</f>
        <v>0.41275229709168526</v>
      </c>
      <c r="AQ340" s="794">
        <f>AQ339/AQ313</f>
        <v>0.41072446662732426</v>
      </c>
      <c r="AR340" s="793">
        <f t="shared" si="483"/>
        <v>0.39615025992770547</v>
      </c>
      <c r="AS340" s="794">
        <f>AS339/AS313</f>
        <v>0.39997226603803021</v>
      </c>
      <c r="AT340" s="794">
        <f>AT339/AT313</f>
        <v>0.41723429062346579</v>
      </c>
      <c r="AU340" s="794">
        <f>AU339/AU313</f>
        <v>0.466451353935047</v>
      </c>
      <c r="AV340" s="794">
        <f>AV339/AV313</f>
        <v>0.41726990692864541</v>
      </c>
      <c r="AW340" s="179">
        <f t="shared" si="483"/>
        <v>0.42714239021806016</v>
      </c>
      <c r="AX340" s="794">
        <f t="shared" si="483"/>
        <v>0.44443592324529863</v>
      </c>
      <c r="AY340" s="794">
        <f t="shared" si="483"/>
        <v>0.44331749579890212</v>
      </c>
      <c r="AZ340" s="794">
        <f t="shared" si="483"/>
        <v>0.46336828371261901</v>
      </c>
      <c r="BA340" s="794">
        <f t="shared" si="483"/>
        <v>0.47387944358578049</v>
      </c>
      <c r="BB340" s="179">
        <f t="shared" ref="BB340:BG340" si="484">BB339/BB313</f>
        <v>0.45637804097940804</v>
      </c>
      <c r="BC340" s="794">
        <f t="shared" si="484"/>
        <v>0.419220945083014</v>
      </c>
      <c r="BD340" s="794">
        <f t="shared" si="484"/>
        <v>0.42558983666061706</v>
      </c>
      <c r="BE340" s="794">
        <f t="shared" si="484"/>
        <v>0.43916830570384935</v>
      </c>
      <c r="BF340" s="794">
        <f t="shared" si="484"/>
        <v>0.42895227939216213</v>
      </c>
      <c r="BG340" s="179">
        <f t="shared" si="484"/>
        <v>0.4285714285714286</v>
      </c>
      <c r="BH340" s="794">
        <f t="shared" ref="BH340:CA340" si="485">BH339/BH313</f>
        <v>0.40119667943805876</v>
      </c>
      <c r="BI340" s="794">
        <f t="shared" si="485"/>
        <v>0.40930550514216585</v>
      </c>
      <c r="BJ340" s="794">
        <f t="shared" si="485"/>
        <v>0.4321438606350097</v>
      </c>
      <c r="BK340" s="794">
        <f t="shared" si="485"/>
        <v>0.42495334577446015</v>
      </c>
      <c r="BL340" s="179">
        <f t="shared" si="485"/>
        <v>0.41729359741410577</v>
      </c>
      <c r="BM340" s="794">
        <f t="shared" si="485"/>
        <v>0.4041966794380587</v>
      </c>
      <c r="BN340" s="794">
        <f t="shared" si="485"/>
        <v>0.41230550514216585</v>
      </c>
      <c r="BO340" s="794">
        <f t="shared" si="485"/>
        <v>0.43514386063500982</v>
      </c>
      <c r="BP340" s="794">
        <f t="shared" si="485"/>
        <v>0.42795334577446026</v>
      </c>
      <c r="BQ340" s="179">
        <f t="shared" si="485"/>
        <v>0.42030233220451835</v>
      </c>
      <c r="BR340" s="794">
        <f t="shared" si="485"/>
        <v>0.40719667943805871</v>
      </c>
      <c r="BS340" s="794">
        <f t="shared" si="485"/>
        <v>0.41530550514216585</v>
      </c>
      <c r="BT340" s="794">
        <f t="shared" si="485"/>
        <v>0.43814386063500976</v>
      </c>
      <c r="BU340" s="794">
        <f t="shared" si="485"/>
        <v>0.43095334577446015</v>
      </c>
      <c r="BV340" s="179">
        <f t="shared" si="485"/>
        <v>0.42330302316341983</v>
      </c>
      <c r="BW340" s="794">
        <f t="shared" si="485"/>
        <v>0.41019667943805882</v>
      </c>
      <c r="BX340" s="794">
        <f t="shared" si="485"/>
        <v>0.41830550514216591</v>
      </c>
      <c r="BY340" s="794">
        <f t="shared" si="485"/>
        <v>0.44114386063500977</v>
      </c>
      <c r="BZ340" s="794">
        <f t="shared" si="485"/>
        <v>0.43395334577446021</v>
      </c>
      <c r="CA340" s="179">
        <f t="shared" si="485"/>
        <v>0.42630369925774653</v>
      </c>
      <c r="CC340" s="29"/>
      <c r="CD340" s="202" t="str">
        <f>A340</f>
        <v>Adj. EBITDA Margin</v>
      </c>
      <c r="CE340" s="179">
        <f>D340</f>
        <v>0.38431217208610513</v>
      </c>
      <c r="CF340" s="179">
        <f>I340</f>
        <v>0.4089296134496192</v>
      </c>
      <c r="CG340" s="179">
        <f>N340</f>
        <v>0.40431802939158534</v>
      </c>
      <c r="CH340" s="179">
        <f>S340</f>
        <v>0.38584614650744936</v>
      </c>
      <c r="CI340" s="179">
        <f>X340</f>
        <v>0.40267860886775519</v>
      </c>
      <c r="CJ340" s="179">
        <f>AC340</f>
        <v>0.39797704296408887</v>
      </c>
      <c r="CK340" s="179">
        <f>AH340</f>
        <v>0.39762194521655525</v>
      </c>
      <c r="CL340" s="179">
        <f>AM340</f>
        <v>0.40709836030352853</v>
      </c>
      <c r="CM340" s="179">
        <f>AR340</f>
        <v>0.39615025992770547</v>
      </c>
      <c r="CN340" s="179">
        <f>AW340</f>
        <v>0.42714239021806016</v>
      </c>
      <c r="CO340" s="179">
        <f>BB340</f>
        <v>0.45637804097940804</v>
      </c>
      <c r="CP340" s="179">
        <f>BG340</f>
        <v>0.4285714285714286</v>
      </c>
      <c r="CQ340" s="179">
        <f>BL340</f>
        <v>0.41729359741410577</v>
      </c>
      <c r="CR340" s="179">
        <f>BQ340</f>
        <v>0.42030233220451835</v>
      </c>
      <c r="CS340" s="179">
        <f>BV340</f>
        <v>0.42330302316341983</v>
      </c>
      <c r="CT340" s="179">
        <f>CA340</f>
        <v>0.42630369925774653</v>
      </c>
      <c r="CU340" s="1961"/>
      <c r="DB340" s="1961"/>
      <c r="DC340" s="1961"/>
      <c r="DD340" s="1961"/>
      <c r="DE340" s="1961"/>
      <c r="DF340" s="1961"/>
      <c r="DG340" s="1961"/>
      <c r="DH340" s="1961"/>
      <c r="DI340" s="95"/>
    </row>
    <row r="341" spans="1:113" ht="6" hidden="1" customHeight="1" x14ac:dyDescent="0.25">
      <c r="A341" s="176"/>
      <c r="B341" s="850"/>
      <c r="C341" s="88"/>
      <c r="D341" s="88"/>
      <c r="E341" s="95"/>
      <c r="F341" s="95"/>
      <c r="G341" s="95"/>
      <c r="H341" s="95"/>
      <c r="I341" s="88"/>
      <c r="J341" s="95"/>
      <c r="K341" s="95"/>
      <c r="L341" s="95"/>
      <c r="M341" s="95"/>
      <c r="N341" s="174"/>
      <c r="O341" s="95"/>
      <c r="P341" s="95"/>
      <c r="Q341" s="95"/>
      <c r="R341" s="95"/>
      <c r="S341" s="175"/>
      <c r="T341" s="95"/>
      <c r="U341" s="95"/>
      <c r="V341" s="95"/>
      <c r="W341" s="95"/>
      <c r="X341" s="88"/>
      <c r="Y341" s="95"/>
      <c r="Z341" s="95"/>
      <c r="AA341" s="95"/>
      <c r="AB341" s="95"/>
      <c r="AC341" s="88"/>
      <c r="AD341" s="95"/>
      <c r="AE341" s="95"/>
      <c r="AF341" s="95"/>
      <c r="AG341" s="95"/>
      <c r="AH341" s="88"/>
      <c r="AI341" s="95"/>
      <c r="AJ341" s="95"/>
      <c r="AK341" s="95"/>
      <c r="AL341" s="95"/>
      <c r="AM341" s="88"/>
      <c r="AN341" s="95"/>
      <c r="AO341" s="95"/>
      <c r="AP341" s="95"/>
      <c r="AQ341" s="95"/>
      <c r="AR341" s="88"/>
      <c r="AS341" s="95"/>
      <c r="AT341" s="95"/>
      <c r="AU341" s="95"/>
      <c r="AV341" s="95"/>
      <c r="AW341" s="88"/>
      <c r="AX341" s="95"/>
      <c r="AY341" s="95"/>
      <c r="AZ341" s="95"/>
      <c r="BA341" s="95"/>
      <c r="BB341" s="88"/>
      <c r="BC341" s="95"/>
      <c r="BD341" s="95"/>
      <c r="BE341" s="95"/>
      <c r="BF341" s="95"/>
      <c r="BG341" s="88"/>
      <c r="BH341" s="95"/>
      <c r="BI341" s="95"/>
      <c r="BJ341" s="95"/>
      <c r="BK341" s="95"/>
      <c r="BL341" s="88"/>
      <c r="BM341" s="95"/>
      <c r="BN341" s="95"/>
      <c r="BO341" s="95"/>
      <c r="BP341" s="95"/>
      <c r="BQ341" s="88"/>
      <c r="BR341" s="95"/>
      <c r="BS341" s="95"/>
      <c r="BT341" s="95"/>
      <c r="BU341" s="95"/>
      <c r="BV341" s="88"/>
      <c r="BW341" s="95"/>
      <c r="BX341" s="95"/>
      <c r="BY341" s="95"/>
      <c r="BZ341" s="95"/>
      <c r="CA341" s="88"/>
      <c r="CC341" s="29"/>
      <c r="CD341" s="29"/>
      <c r="CE341" s="95"/>
      <c r="CF341" s="95"/>
      <c r="CG341" s="95"/>
      <c r="CH341" s="95"/>
      <c r="CI341" s="95"/>
      <c r="CJ341" s="95"/>
      <c r="CK341" s="95"/>
      <c r="CL341" s="95"/>
      <c r="CM341" s="95"/>
      <c r="CN341" s="95"/>
      <c r="CO341" s="95"/>
      <c r="CP341" s="14"/>
      <c r="CQ341" s="14"/>
      <c r="CR341" s="14"/>
      <c r="CS341" s="14"/>
      <c r="CT341" s="14"/>
      <c r="CU341" s="1961"/>
      <c r="DB341" s="1961"/>
      <c r="DC341" s="1961"/>
      <c r="DD341" s="1961"/>
      <c r="DE341" s="1961"/>
      <c r="DF341" s="1961"/>
      <c r="DG341" s="1961"/>
      <c r="DH341" s="1961"/>
      <c r="DI341" s="95"/>
    </row>
    <row r="342" spans="1:113" hidden="1" x14ac:dyDescent="0.25">
      <c r="A342" s="855" t="s">
        <v>226</v>
      </c>
      <c r="B342" s="850"/>
      <c r="C342" s="88"/>
      <c r="D342" s="88"/>
      <c r="E342" s="95"/>
      <c r="F342" s="95"/>
      <c r="G342" s="95"/>
      <c r="H342" s="95"/>
      <c r="I342" s="88"/>
      <c r="J342" s="95"/>
      <c r="K342" s="95"/>
      <c r="L342" s="95"/>
      <c r="M342" s="95"/>
      <c r="N342" s="174"/>
      <c r="O342" s="95"/>
      <c r="P342" s="95"/>
      <c r="Q342" s="95"/>
      <c r="R342" s="95"/>
      <c r="S342" s="175"/>
      <c r="T342" s="95"/>
      <c r="U342" s="95"/>
      <c r="V342" s="95"/>
      <c r="W342" s="95"/>
      <c r="X342" s="88"/>
      <c r="Y342" s="95"/>
      <c r="Z342" s="95"/>
      <c r="AA342" s="95"/>
      <c r="AB342" s="95"/>
      <c r="AC342" s="88"/>
      <c r="AD342" s="95"/>
      <c r="AE342" s="95">
        <f>+(AE339-Z339)/(AE313-Z313)</f>
        <v>0.29058575921677965</v>
      </c>
      <c r="AF342" s="95">
        <f>+(AF339-AA339)/(AF313-AA313)</f>
        <v>0.43763097949886048</v>
      </c>
      <c r="AG342" s="95">
        <f>+(AG339-AB339)/(AG313-AB313)</f>
        <v>0.38614571347574483</v>
      </c>
      <c r="AH342" s="441">
        <f>+(AH339-AC339)/(AH313-AC313)</f>
        <v>0.39615745834115951</v>
      </c>
      <c r="AI342" s="759">
        <f t="shared" ref="AI342:BB342" si="486">+(AI339-AD339)/(AI313-AD313)</f>
        <v>0.49937921248669886</v>
      </c>
      <c r="AJ342" s="92">
        <f t="shared" si="486"/>
        <v>0.82701555869873167</v>
      </c>
      <c r="AK342" s="92">
        <f t="shared" si="486"/>
        <v>4.974946695095996</v>
      </c>
      <c r="AL342" s="92">
        <f t="shared" si="486"/>
        <v>0.92214084507042549</v>
      </c>
      <c r="AM342" s="441">
        <f t="shared" si="486"/>
        <v>0.80705476727224501</v>
      </c>
      <c r="AN342" s="759">
        <f t="shared" si="486"/>
        <v>-4.297513550718636E-2</v>
      </c>
      <c r="AO342" s="92">
        <f t="shared" si="486"/>
        <v>0.3687389684251805</v>
      </c>
      <c r="AP342" s="92">
        <f t="shared" si="486"/>
        <v>0.16144236790929406</v>
      </c>
      <c r="AQ342" s="92">
        <f t="shared" si="486"/>
        <v>0.58136360189094316</v>
      </c>
      <c r="AR342" s="441">
        <f t="shared" si="486"/>
        <v>0.30595008302637333</v>
      </c>
      <c r="AS342" s="759">
        <f t="shared" si="486"/>
        <v>0.62866869300911887</v>
      </c>
      <c r="AT342" s="92">
        <f t="shared" si="486"/>
        <v>0.51355763549861599</v>
      </c>
      <c r="AU342" s="92">
        <f t="shared" si="486"/>
        <v>0.63507647901337128</v>
      </c>
      <c r="AV342" s="92">
        <f t="shared" si="486"/>
        <v>0.43986922837836318</v>
      </c>
      <c r="AW342" s="91">
        <f t="shared" si="486"/>
        <v>0.54684873579420379</v>
      </c>
      <c r="AX342" s="92">
        <f>+(AX339-AS339)/(AX313-AS313)</f>
        <v>0.9681502654144537</v>
      </c>
      <c r="AY342" s="92">
        <f>+(AY339-AT339)/(AY313-AT313)</f>
        <v>-0.52923006520993165</v>
      </c>
      <c r="AZ342" s="92">
        <f>+(AZ339-AU339)/(AZ313-AU313)</f>
        <v>0.48239281698632813</v>
      </c>
      <c r="BA342" s="92">
        <f>+(BA339-AV339)/(BA313-AV313)</f>
        <v>0.127962085308058</v>
      </c>
      <c r="BB342" s="747">
        <f t="shared" si="486"/>
        <v>8.600047742338332E-2</v>
      </c>
      <c r="BC342" s="92">
        <f t="shared" ref="BC342:CA342" si="487">+(BC339-AX339)/(BC313-AX313)</f>
        <v>-30.525490196078945</v>
      </c>
      <c r="BD342" s="92">
        <f t="shared" si="487"/>
        <v>6.631398554508245E-3</v>
      </c>
      <c r="BE342" s="92">
        <f t="shared" si="487"/>
        <v>0.24019899981861972</v>
      </c>
      <c r="BF342" s="92">
        <f t="shared" si="487"/>
        <v>0.14728682170542728</v>
      </c>
      <c r="BG342" s="747">
        <f t="shared" si="487"/>
        <v>8.8332418719734046E-2</v>
      </c>
      <c r="BH342" s="92">
        <f t="shared" si="487"/>
        <v>0.30138321526443046</v>
      </c>
      <c r="BI342" s="92">
        <f t="shared" si="487"/>
        <v>0.30234691891231913</v>
      </c>
      <c r="BJ342" s="92">
        <f t="shared" si="487"/>
        <v>0.36956772633828106</v>
      </c>
      <c r="BK342" s="92">
        <f t="shared" si="487"/>
        <v>0.37771371487344219</v>
      </c>
      <c r="BL342" s="747">
        <f t="shared" si="487"/>
        <v>0.33047855031458767</v>
      </c>
      <c r="BM342" s="92">
        <f t="shared" si="487"/>
        <v>0.45398333163468557</v>
      </c>
      <c r="BN342" s="92">
        <f t="shared" si="487"/>
        <v>0.46098142113748741</v>
      </c>
      <c r="BO342" s="92">
        <f t="shared" si="487"/>
        <v>0.48360868635347531</v>
      </c>
      <c r="BP342" s="92">
        <f t="shared" si="487"/>
        <v>0.47547997770287087</v>
      </c>
      <c r="BQ342" s="747">
        <f t="shared" si="487"/>
        <v>0.46901606740975454</v>
      </c>
      <c r="BR342" s="92">
        <f t="shared" si="487"/>
        <v>0.45781863205317191</v>
      </c>
      <c r="BS342" s="92">
        <f t="shared" si="487"/>
        <v>0.46586137464674227</v>
      </c>
      <c r="BT342" s="92">
        <f t="shared" si="487"/>
        <v>0.48858871903678391</v>
      </c>
      <c r="BU342" s="92">
        <f t="shared" si="487"/>
        <v>0.4815340823685012</v>
      </c>
      <c r="BV342" s="747">
        <f t="shared" si="487"/>
        <v>0.47386438634675959</v>
      </c>
      <c r="BW342" s="92">
        <f t="shared" si="487"/>
        <v>0.46067131294462921</v>
      </c>
      <c r="BX342" s="92">
        <f t="shared" si="487"/>
        <v>0.468713263025197</v>
      </c>
      <c r="BY342" s="92">
        <f t="shared" si="487"/>
        <v>0.49144454173329016</v>
      </c>
      <c r="BZ342" s="92">
        <f t="shared" si="487"/>
        <v>0.48438846243159739</v>
      </c>
      <c r="CA342" s="747">
        <f t="shared" si="487"/>
        <v>0.47671850975950375</v>
      </c>
      <c r="CC342" s="29"/>
      <c r="CD342" s="29"/>
      <c r="CE342" s="95"/>
      <c r="CF342" s="95"/>
      <c r="CG342" s="95"/>
      <c r="CH342" s="95"/>
      <c r="CI342" s="95"/>
      <c r="CJ342" s="95"/>
      <c r="CK342" s="95"/>
      <c r="CL342" s="95"/>
      <c r="CM342" s="95"/>
      <c r="CN342" s="207"/>
      <c r="CO342" s="95"/>
      <c r="CP342" s="14"/>
      <c r="CQ342" s="14"/>
      <c r="CR342" s="14"/>
      <c r="CS342" s="14"/>
      <c r="CT342" s="14"/>
      <c r="CU342" s="1961"/>
      <c r="DB342" s="1961"/>
      <c r="DC342" s="1961"/>
      <c r="DD342" s="1961"/>
      <c r="DE342" s="1961"/>
      <c r="DF342" s="1961"/>
      <c r="DG342" s="1961"/>
      <c r="DH342" s="1961"/>
      <c r="DI342" s="90"/>
    </row>
    <row r="343" spans="1:113" ht="12" customHeight="1" x14ac:dyDescent="0.25">
      <c r="A343" s="176"/>
      <c r="B343" s="850"/>
      <c r="C343" s="88"/>
      <c r="D343" s="88"/>
      <c r="E343" s="95"/>
      <c r="F343" s="95"/>
      <c r="G343" s="95"/>
      <c r="H343" s="95"/>
      <c r="I343" s="88"/>
      <c r="J343" s="95"/>
      <c r="K343" s="95"/>
      <c r="L343" s="95"/>
      <c r="M343" s="95"/>
      <c r="N343" s="88"/>
      <c r="O343" s="95"/>
      <c r="P343" s="856"/>
      <c r="Q343" s="856"/>
      <c r="R343" s="856"/>
      <c r="S343" s="744"/>
      <c r="T343" s="856"/>
      <c r="U343" s="856"/>
      <c r="V343" s="856"/>
      <c r="W343" s="856"/>
      <c r="X343" s="91"/>
      <c r="Y343" s="90"/>
      <c r="Z343" s="90"/>
      <c r="AA343" s="90"/>
      <c r="AB343" s="90"/>
      <c r="AC343" s="857"/>
      <c r="AD343" s="90"/>
      <c r="AE343" s="90"/>
      <c r="AF343" s="90"/>
      <c r="AG343" s="90"/>
      <c r="AH343" s="857"/>
      <c r="AI343" s="90"/>
      <c r="AJ343" s="90"/>
      <c r="AK343" s="90"/>
      <c r="AL343" s="90"/>
      <c r="AM343" s="857"/>
      <c r="AN343" s="90"/>
      <c r="AO343" s="90"/>
      <c r="AP343" s="90"/>
      <c r="AQ343" s="90"/>
      <c r="AR343" s="857"/>
      <c r="AS343" s="90"/>
      <c r="AT343" s="90"/>
      <c r="AU343" s="90"/>
      <c r="AV343" s="90"/>
      <c r="AW343" s="91"/>
      <c r="AX343" s="1873">
        <f>(AX339-4)/AX313</f>
        <v>0.43165412452667395</v>
      </c>
      <c r="AY343" s="90"/>
      <c r="AZ343" s="90"/>
      <c r="BA343" s="90"/>
      <c r="BB343" s="747"/>
      <c r="BC343" s="1873"/>
      <c r="BD343" s="1873"/>
      <c r="BE343" s="1873"/>
      <c r="BF343" s="1873"/>
      <c r="BG343" s="747"/>
      <c r="BH343" s="1873"/>
      <c r="BI343" s="1873"/>
      <c r="BJ343" s="1873"/>
      <c r="BK343" s="1873"/>
      <c r="BL343" s="1994">
        <f>BL38</f>
        <v>153.44072</v>
      </c>
      <c r="BM343" s="1873"/>
      <c r="BN343" s="1873"/>
      <c r="BO343" s="1873"/>
      <c r="BP343" s="1873"/>
      <c r="BQ343" s="747"/>
      <c r="BR343" s="1873"/>
      <c r="BS343" s="1873"/>
      <c r="BT343" s="1873"/>
      <c r="BU343" s="1873"/>
      <c r="BV343" s="747"/>
      <c r="BW343" s="1873"/>
      <c r="BX343" s="1873"/>
      <c r="BY343" s="1873"/>
      <c r="BZ343" s="1873"/>
      <c r="CA343" s="747"/>
      <c r="CC343" s="31"/>
      <c r="CD343" s="31"/>
      <c r="CE343" s="90"/>
      <c r="CF343" s="90"/>
      <c r="CG343" s="90"/>
      <c r="CH343" s="90"/>
      <c r="CI343" s="90"/>
      <c r="CJ343" s="90"/>
      <c r="CK343" s="90"/>
      <c r="CL343" s="90"/>
      <c r="CM343" s="90"/>
      <c r="CN343" s="90"/>
      <c r="CO343" s="90"/>
      <c r="CP343" s="14"/>
      <c r="CQ343" s="14"/>
      <c r="CR343" s="14"/>
      <c r="CS343" s="14"/>
      <c r="CT343" s="14"/>
      <c r="CU343" s="1961"/>
      <c r="DB343" s="1961"/>
      <c r="DC343" s="1961"/>
      <c r="DD343" s="1961"/>
      <c r="DE343" s="1961"/>
      <c r="DF343" s="1961"/>
      <c r="DG343" s="1961"/>
      <c r="DH343" s="1961"/>
      <c r="DI343" s="90"/>
    </row>
    <row r="344" spans="1:113" ht="12" customHeight="1" x14ac:dyDescent="0.25">
      <c r="A344" s="212" t="s">
        <v>69</v>
      </c>
      <c r="B344" s="858"/>
      <c r="C344" s="71">
        <f t="shared" ref="C344:AU344" si="488">C345+C346</f>
        <v>24.212</v>
      </c>
      <c r="D344" s="71">
        <f t="shared" si="488"/>
        <v>33.929000000000002</v>
      </c>
      <c r="E344" s="74">
        <f t="shared" si="488"/>
        <v>11.56</v>
      </c>
      <c r="F344" s="74">
        <f t="shared" si="488"/>
        <v>11.064999999999998</v>
      </c>
      <c r="G344" s="74">
        <f t="shared" si="488"/>
        <v>10.431999999999999</v>
      </c>
      <c r="H344" s="74">
        <f t="shared" si="488"/>
        <v>12.160000000000002</v>
      </c>
      <c r="I344" s="71">
        <f t="shared" si="488"/>
        <v>45.216999999999999</v>
      </c>
      <c r="J344" s="74">
        <f t="shared" si="488"/>
        <v>11.212</v>
      </c>
      <c r="K344" s="74">
        <f t="shared" si="488"/>
        <v>10.443999999999999</v>
      </c>
      <c r="L344" s="74">
        <f t="shared" si="488"/>
        <v>11.048000000000002</v>
      </c>
      <c r="M344" s="74">
        <f t="shared" si="488"/>
        <v>11.914999999999997</v>
      </c>
      <c r="N344" s="71">
        <f t="shared" si="488"/>
        <v>44.619</v>
      </c>
      <c r="O344" s="74">
        <f t="shared" si="488"/>
        <v>12.724</v>
      </c>
      <c r="P344" s="74">
        <f t="shared" si="488"/>
        <v>13.308</v>
      </c>
      <c r="Q344" s="74">
        <f t="shared" si="488"/>
        <v>12.815280000000001</v>
      </c>
      <c r="R344" s="74">
        <f t="shared" si="488"/>
        <v>13.158720000000002</v>
      </c>
      <c r="S344" s="73">
        <f t="shared" si="488"/>
        <v>52.006</v>
      </c>
      <c r="T344" s="74">
        <f t="shared" si="488"/>
        <v>12.873999999999999</v>
      </c>
      <c r="U344" s="74">
        <f t="shared" si="488"/>
        <v>12.763999999999999</v>
      </c>
      <c r="V344" s="74">
        <f t="shared" si="488"/>
        <v>11.382</v>
      </c>
      <c r="W344" s="74">
        <f t="shared" si="488"/>
        <v>13.644999999999996</v>
      </c>
      <c r="X344" s="71">
        <f t="shared" si="488"/>
        <v>50.664999999999999</v>
      </c>
      <c r="Y344" s="74">
        <f>Y345+Y346</f>
        <v>15.406000000000001</v>
      </c>
      <c r="Z344" s="74">
        <f>Z345+Z346</f>
        <v>16.166</v>
      </c>
      <c r="AA344" s="74">
        <f>AA345+AA346</f>
        <v>16.204000000000001</v>
      </c>
      <c r="AB344" s="74">
        <f>AB345+AB346</f>
        <v>16.503000000000004</v>
      </c>
      <c r="AC344" s="71">
        <f t="shared" si="488"/>
        <v>64.278999999999996</v>
      </c>
      <c r="AD344" s="75">
        <f t="shared" si="488"/>
        <v>17.071999999999999</v>
      </c>
      <c r="AE344" s="75">
        <f t="shared" si="488"/>
        <v>21.207999999999998</v>
      </c>
      <c r="AF344" s="75">
        <f t="shared" si="488"/>
        <v>24.878</v>
      </c>
      <c r="AG344" s="75">
        <f t="shared" si="488"/>
        <v>27.510000000000005</v>
      </c>
      <c r="AH344" s="71">
        <f t="shared" si="488"/>
        <v>90.668000000000006</v>
      </c>
      <c r="AI344" s="75">
        <f>AI345+AI346</f>
        <v>27.79</v>
      </c>
      <c r="AJ344" s="75">
        <f t="shared" si="488"/>
        <v>29.113</v>
      </c>
      <c r="AK344" s="75">
        <f t="shared" si="488"/>
        <v>28.594999999999999</v>
      </c>
      <c r="AL344" s="74">
        <f t="shared" si="488"/>
        <v>29.628</v>
      </c>
      <c r="AM344" s="71">
        <f t="shared" si="488"/>
        <v>115.12599999999999</v>
      </c>
      <c r="AN344" s="75">
        <f t="shared" si="488"/>
        <v>30.155000000000001</v>
      </c>
      <c r="AO344" s="74">
        <f t="shared" si="488"/>
        <v>29.23</v>
      </c>
      <c r="AP344" s="74">
        <f t="shared" si="488"/>
        <v>30.484000000000002</v>
      </c>
      <c r="AQ344" s="74">
        <f t="shared" si="488"/>
        <v>31.473999999999997</v>
      </c>
      <c r="AR344" s="71">
        <f t="shared" si="488"/>
        <v>121.34299999999999</v>
      </c>
      <c r="AS344" s="75">
        <f t="shared" si="488"/>
        <v>32.533000000000001</v>
      </c>
      <c r="AT344" s="74">
        <f t="shared" si="488"/>
        <v>51</v>
      </c>
      <c r="AU344" s="74">
        <f t="shared" si="488"/>
        <v>45.218999999999994</v>
      </c>
      <c r="AV344" s="74">
        <f t="shared" ref="AV344:CA344" si="489">AV345+AV346</f>
        <v>60.593000000000004</v>
      </c>
      <c r="AW344" s="71">
        <f t="shared" si="489"/>
        <v>189.345</v>
      </c>
      <c r="AX344" s="74">
        <f t="shared" si="489"/>
        <v>48.683999999999997</v>
      </c>
      <c r="AY344" s="74">
        <f t="shared" si="489"/>
        <v>46.138999999999996</v>
      </c>
      <c r="AZ344" s="74">
        <f t="shared" si="489"/>
        <v>45.093000000000004</v>
      </c>
      <c r="BA344" s="74">
        <f t="shared" si="489"/>
        <v>43.283999999999992</v>
      </c>
      <c r="BB344" s="77">
        <f t="shared" si="489"/>
        <v>183.2</v>
      </c>
      <c r="BC344" s="74">
        <f t="shared" si="489"/>
        <v>47.4</v>
      </c>
      <c r="BD344" s="74">
        <f t="shared" si="489"/>
        <v>47.5</v>
      </c>
      <c r="BE344" s="74">
        <f t="shared" si="489"/>
        <v>52.8</v>
      </c>
      <c r="BF344" s="74">
        <f t="shared" si="489"/>
        <v>55.300000000000011</v>
      </c>
      <c r="BG344" s="77">
        <f t="shared" si="489"/>
        <v>203</v>
      </c>
      <c r="BH344" s="74">
        <f t="shared" si="489"/>
        <v>62.375</v>
      </c>
      <c r="BI344" s="74">
        <f t="shared" si="489"/>
        <v>60.875</v>
      </c>
      <c r="BJ344" s="74">
        <f t="shared" si="489"/>
        <v>61.575000000000003</v>
      </c>
      <c r="BK344" s="74">
        <f t="shared" si="489"/>
        <v>61.475000000000009</v>
      </c>
      <c r="BL344" s="77">
        <f t="shared" si="489"/>
        <v>246.3</v>
      </c>
      <c r="BM344" s="74">
        <f t="shared" si="489"/>
        <v>62.149999999999991</v>
      </c>
      <c r="BN344" s="74">
        <f t="shared" si="489"/>
        <v>60.649999999999991</v>
      </c>
      <c r="BO344" s="74">
        <f t="shared" si="489"/>
        <v>61.349999999999994</v>
      </c>
      <c r="BP344" s="74">
        <f t="shared" si="489"/>
        <v>61.250000000000007</v>
      </c>
      <c r="BQ344" s="77">
        <f t="shared" si="489"/>
        <v>245.39999999999998</v>
      </c>
      <c r="BR344" s="74">
        <f t="shared" si="489"/>
        <v>61.599999999999994</v>
      </c>
      <c r="BS344" s="74">
        <f t="shared" si="489"/>
        <v>60.099999999999994</v>
      </c>
      <c r="BT344" s="74">
        <f t="shared" si="489"/>
        <v>60.8</v>
      </c>
      <c r="BU344" s="74">
        <f t="shared" si="489"/>
        <v>60.70000000000001</v>
      </c>
      <c r="BV344" s="77">
        <f t="shared" si="489"/>
        <v>243.2</v>
      </c>
      <c r="BW344" s="74">
        <f t="shared" si="489"/>
        <v>58.974999999999994</v>
      </c>
      <c r="BX344" s="74">
        <f t="shared" si="489"/>
        <v>57.474999999999994</v>
      </c>
      <c r="BY344" s="74">
        <f t="shared" si="489"/>
        <v>58.174999999999997</v>
      </c>
      <c r="BZ344" s="74">
        <f t="shared" si="489"/>
        <v>58.07500000000001</v>
      </c>
      <c r="CA344" s="77">
        <f t="shared" si="489"/>
        <v>232.7</v>
      </c>
      <c r="CC344" s="29"/>
      <c r="CD344" s="29"/>
      <c r="CE344" s="74"/>
      <c r="CF344" s="74"/>
      <c r="CG344" s="74"/>
      <c r="CH344" s="74"/>
      <c r="CI344" s="74"/>
      <c r="CJ344" s="74"/>
      <c r="CK344" s="74"/>
      <c r="CL344" s="74"/>
      <c r="CM344" s="74"/>
      <c r="CN344" s="74"/>
      <c r="CO344" s="74"/>
      <c r="CP344" s="14"/>
      <c r="CQ344" s="14"/>
      <c r="CR344" s="14"/>
      <c r="CS344" s="14"/>
      <c r="CT344" s="14"/>
      <c r="CU344" s="1961"/>
      <c r="DB344" s="1961"/>
      <c r="DC344" s="1961"/>
      <c r="DD344" s="1961"/>
      <c r="DE344" s="1961"/>
      <c r="DF344" s="1961"/>
      <c r="DG344" s="1961"/>
      <c r="DH344" s="1961"/>
      <c r="DI344" s="74"/>
    </row>
    <row r="345" spans="1:113" ht="12" hidden="1" customHeight="1" outlineLevel="1" x14ac:dyDescent="0.25">
      <c r="A345" s="218" t="s">
        <v>70</v>
      </c>
      <c r="B345" s="859"/>
      <c r="C345" s="278">
        <v>7.6509999999999998</v>
      </c>
      <c r="D345" s="278">
        <v>10.076000000000001</v>
      </c>
      <c r="E345" s="516">
        <v>2.984</v>
      </c>
      <c r="F345" s="516">
        <f>5.957-E345</f>
        <v>2.9729999999999999</v>
      </c>
      <c r="G345" s="516">
        <f>8.889-SUM(E345:F345)</f>
        <v>2.9319999999999995</v>
      </c>
      <c r="H345" s="516">
        <f>12.348-SUM(E345:G345)</f>
        <v>3.4590000000000014</v>
      </c>
      <c r="I345" s="116">
        <f>SUM(E345:H345)</f>
        <v>12.348000000000001</v>
      </c>
      <c r="J345" s="516">
        <v>3.403</v>
      </c>
      <c r="K345" s="516">
        <f>7.146-J345</f>
        <v>3.7429999999999999</v>
      </c>
      <c r="L345" s="516">
        <f>11.331-SUM(J345:K345)</f>
        <v>4.1849999999999996</v>
      </c>
      <c r="M345" s="516">
        <f>15.87-SUM(J345:L345)</f>
        <v>4.5389999999999997</v>
      </c>
      <c r="N345" s="116">
        <f>SUM(J345:M345)</f>
        <v>15.87</v>
      </c>
      <c r="O345" s="516">
        <v>4.383</v>
      </c>
      <c r="P345" s="516">
        <f>9.364-O345</f>
        <v>4.9810000000000008</v>
      </c>
      <c r="Q345" s="126">
        <f>Q38-Q277</f>
        <v>4.9402800000000004</v>
      </c>
      <c r="R345" s="516">
        <f>19.888-SUM(O345:Q345)</f>
        <v>5.5837199999999996</v>
      </c>
      <c r="S345" s="118">
        <f>SUM(O345:R345)</f>
        <v>19.888000000000002</v>
      </c>
      <c r="T345" s="516">
        <v>5.6059999999999999</v>
      </c>
      <c r="U345" s="516">
        <v>5.7809999999999997</v>
      </c>
      <c r="V345" s="516">
        <v>5.8040000000000003</v>
      </c>
      <c r="W345" s="516">
        <f>23.956-SUM(T345:V345)</f>
        <v>6.764999999999997</v>
      </c>
      <c r="X345" s="116">
        <f>SUM(T345:W345)</f>
        <v>23.956</v>
      </c>
      <c r="Y345" s="516">
        <v>6.9870000000000001</v>
      </c>
      <c r="Z345" s="516">
        <v>7.3250000000000002</v>
      </c>
      <c r="AA345" s="516">
        <v>7.444</v>
      </c>
      <c r="AB345" s="516">
        <f>29.608-SUM(Y345:AA345)</f>
        <v>7.8520000000000003</v>
      </c>
      <c r="AC345" s="122">
        <f>SUM(Y345:AB345)</f>
        <v>29.608000000000001</v>
      </c>
      <c r="AD345" s="215">
        <f>8.485</f>
        <v>8.4849999999999994</v>
      </c>
      <c r="AE345" s="215">
        <f>9.021</f>
        <v>9.0210000000000008</v>
      </c>
      <c r="AF345" s="215">
        <f>9.436</f>
        <v>9.4359999999999999</v>
      </c>
      <c r="AG345" s="215">
        <f>37.093-SUM(AD345:AF345)</f>
        <v>10.151000000000003</v>
      </c>
      <c r="AH345" s="122">
        <f>SUM(AD345:AG345)</f>
        <v>37.093000000000004</v>
      </c>
      <c r="AI345" s="215">
        <v>10.826000000000001</v>
      </c>
      <c r="AJ345" s="215">
        <v>12.14</v>
      </c>
      <c r="AK345" s="215">
        <v>13.426</v>
      </c>
      <c r="AL345" s="516">
        <f>19.471-AL277</f>
        <v>15.346</v>
      </c>
      <c r="AM345" s="122">
        <f>SUM(AI345:AL345)</f>
        <v>51.738</v>
      </c>
      <c r="AN345" s="215">
        <v>16.030999999999999</v>
      </c>
      <c r="AO345" s="215">
        <v>15.098000000000001</v>
      </c>
      <c r="AP345" s="860">
        <v>16.385999999999999</v>
      </c>
      <c r="AQ345" s="860">
        <f>64.826-SUM(AN345:AP345)</f>
        <v>17.310999999999993</v>
      </c>
      <c r="AR345" s="122">
        <f>SUM(AN345:AQ345)</f>
        <v>64.825999999999993</v>
      </c>
      <c r="AS345" s="268">
        <v>18.48</v>
      </c>
      <c r="AT345" s="215">
        <v>22.277000000000001</v>
      </c>
      <c r="AU345" s="215">
        <v>26.763999999999999</v>
      </c>
      <c r="AV345" s="516">
        <f>94.834-SUM(AS345:AU345)</f>
        <v>27.313000000000002</v>
      </c>
      <c r="AW345" s="122">
        <f>SUM(AS345:AV345)</f>
        <v>94.834000000000003</v>
      </c>
      <c r="AX345" s="516">
        <v>24.901</v>
      </c>
      <c r="AY345" s="516">
        <v>22.492000000000001</v>
      </c>
      <c r="AZ345" s="516">
        <v>22.585000000000001</v>
      </c>
      <c r="BA345" s="516">
        <f>91.4-SUM(AX345:AZ345)</f>
        <v>21.421999999999997</v>
      </c>
      <c r="BB345" s="216">
        <f>SUM(AX345:BA345)</f>
        <v>91.4</v>
      </c>
      <c r="BC345" s="516">
        <v>25.7</v>
      </c>
      <c r="BD345" s="516">
        <v>24.7</v>
      </c>
      <c r="BE345" s="1944">
        <v>26.2</v>
      </c>
      <c r="BF345" s="1944">
        <f>105.2-SUM(BC345:BE345)</f>
        <v>28.600000000000009</v>
      </c>
      <c r="BG345" s="216">
        <f>SUM(BC345:BF345)</f>
        <v>105.2</v>
      </c>
      <c r="BH345" s="516">
        <f>BC345+5</f>
        <v>30.7</v>
      </c>
      <c r="BI345" s="516">
        <f t="shared" ref="BI345" si="490">BD345+5</f>
        <v>29.7</v>
      </c>
      <c r="BJ345" s="516">
        <f>BE345+4</f>
        <v>30.2</v>
      </c>
      <c r="BK345" s="516">
        <f>BF345+2</f>
        <v>30.600000000000009</v>
      </c>
      <c r="BL345" s="216">
        <f>SUM(BH345:BK345)</f>
        <v>121.2</v>
      </c>
      <c r="BM345" s="516">
        <f>BH345</f>
        <v>30.7</v>
      </c>
      <c r="BN345" s="516">
        <f>BI345</f>
        <v>29.7</v>
      </c>
      <c r="BO345" s="516">
        <f>BJ345</f>
        <v>30.2</v>
      </c>
      <c r="BP345" s="516">
        <f>BK345</f>
        <v>30.600000000000009</v>
      </c>
      <c r="BQ345" s="216">
        <f>SUM(BM345:BP345)</f>
        <v>121.2</v>
      </c>
      <c r="BR345" s="516">
        <f>BM345</f>
        <v>30.7</v>
      </c>
      <c r="BS345" s="516">
        <f>BN345</f>
        <v>29.7</v>
      </c>
      <c r="BT345" s="516">
        <f>BO345</f>
        <v>30.2</v>
      </c>
      <c r="BU345" s="516">
        <f>BP345</f>
        <v>30.600000000000009</v>
      </c>
      <c r="BV345" s="216">
        <f>SUM(BR345:BU345)</f>
        <v>121.2</v>
      </c>
      <c r="BW345" s="516">
        <f>BR345</f>
        <v>30.7</v>
      </c>
      <c r="BX345" s="516">
        <f>BS345</f>
        <v>29.7</v>
      </c>
      <c r="BY345" s="516">
        <f>BT345</f>
        <v>30.2</v>
      </c>
      <c r="BZ345" s="516">
        <f>BU345</f>
        <v>30.600000000000009</v>
      </c>
      <c r="CA345" s="216">
        <f>SUM(BW345:BZ345)</f>
        <v>121.2</v>
      </c>
      <c r="CC345" s="29"/>
      <c r="CD345" s="29"/>
      <c r="CE345" s="126"/>
      <c r="CF345" s="126"/>
      <c r="CG345" s="126"/>
      <c r="CH345" s="126"/>
      <c r="CI345" s="126"/>
      <c r="CJ345" s="126"/>
      <c r="CK345" s="126"/>
      <c r="CL345" s="126"/>
      <c r="CM345" s="126"/>
      <c r="CN345" s="126"/>
      <c r="CO345" s="126"/>
      <c r="CP345" s="14"/>
      <c r="CQ345" s="14"/>
      <c r="CR345" s="14"/>
      <c r="CS345" s="14"/>
      <c r="CT345" s="14"/>
      <c r="CU345" s="1961"/>
      <c r="DB345" s="1961"/>
      <c r="DC345" s="1961"/>
      <c r="DD345" s="1961"/>
      <c r="DE345" s="1961"/>
      <c r="DF345" s="1961"/>
      <c r="DG345" s="1961"/>
      <c r="DH345" s="1961"/>
      <c r="DI345" s="126"/>
    </row>
    <row r="346" spans="1:113" ht="12" hidden="1" customHeight="1" outlineLevel="1" x14ac:dyDescent="0.25">
      <c r="A346" s="218" t="s">
        <v>221</v>
      </c>
      <c r="B346" s="859"/>
      <c r="C346" s="278">
        <v>16.561</v>
      </c>
      <c r="D346" s="278">
        <v>23.853000000000002</v>
      </c>
      <c r="E346" s="516">
        <v>8.5760000000000005</v>
      </c>
      <c r="F346" s="516">
        <f>16.668-E346</f>
        <v>8.0919999999999987</v>
      </c>
      <c r="G346" s="516">
        <f>24.168-SUM(E346:F346)</f>
        <v>7.5</v>
      </c>
      <c r="H346" s="516">
        <f>32.869-SUM(E346:G346)</f>
        <v>8.7010000000000005</v>
      </c>
      <c r="I346" s="116">
        <f>SUM(E346:H346)</f>
        <v>32.869</v>
      </c>
      <c r="J346" s="516">
        <v>7.8090000000000002</v>
      </c>
      <c r="K346" s="516">
        <f>14.51-J346</f>
        <v>6.7009999999999996</v>
      </c>
      <c r="L346" s="516">
        <f>21.373-SUM(J346:K346)</f>
        <v>6.8630000000000013</v>
      </c>
      <c r="M346" s="516">
        <f>28.749-SUM(J346:L346)</f>
        <v>7.3759999999999977</v>
      </c>
      <c r="N346" s="116">
        <f>SUM(J346:M346)</f>
        <v>28.748999999999999</v>
      </c>
      <c r="O346" s="516">
        <v>8.3409999999999993</v>
      </c>
      <c r="P346" s="516">
        <f>16.668-O346</f>
        <v>8.327</v>
      </c>
      <c r="Q346" s="126">
        <f>Q39-Q279</f>
        <v>7.8750000000000009</v>
      </c>
      <c r="R346" s="516">
        <f>32.118-SUM(O346:Q346)</f>
        <v>7.5750000000000028</v>
      </c>
      <c r="S346" s="118">
        <f>SUM(O346:R346)</f>
        <v>32.118000000000002</v>
      </c>
      <c r="T346" s="516">
        <v>7.2679999999999998</v>
      </c>
      <c r="U346" s="516">
        <v>6.9829999999999997</v>
      </c>
      <c r="V346" s="516">
        <f>6.122-0.544</f>
        <v>5.5779999999999994</v>
      </c>
      <c r="W346" s="516">
        <f>27.253-SUM(T346:V346)-0.544</f>
        <v>6.879999999999999</v>
      </c>
      <c r="X346" s="116">
        <f>SUM(T346:W346)</f>
        <v>26.709</v>
      </c>
      <c r="Y346" s="516">
        <v>8.4190000000000005</v>
      </c>
      <c r="Z346" s="516">
        <v>8.8409999999999993</v>
      </c>
      <c r="AA346" s="516">
        <v>8.76</v>
      </c>
      <c r="AB346" s="516">
        <f>34.671-SUM(Y346:AA346)</f>
        <v>8.6510000000000034</v>
      </c>
      <c r="AC346" s="122">
        <f>SUM(Y346:AB346)</f>
        <v>34.670999999999999</v>
      </c>
      <c r="AD346" s="215">
        <f>8.587</f>
        <v>8.5869999999999997</v>
      </c>
      <c r="AE346" s="215">
        <f>12.187</f>
        <v>12.186999999999999</v>
      </c>
      <c r="AF346" s="215">
        <f>15.442</f>
        <v>15.442</v>
      </c>
      <c r="AG346" s="215">
        <f>53.575-SUM(AD346:AF346)</f>
        <v>17.359000000000002</v>
      </c>
      <c r="AH346" s="122">
        <f>SUM(AD346:AG346)</f>
        <v>53.575000000000003</v>
      </c>
      <c r="AI346" s="215">
        <v>16.963999999999999</v>
      </c>
      <c r="AJ346" s="215">
        <v>16.972999999999999</v>
      </c>
      <c r="AK346" s="215">
        <v>15.169</v>
      </c>
      <c r="AL346" s="516">
        <f>14.37-AL279</f>
        <v>14.282</v>
      </c>
      <c r="AM346" s="122">
        <f>SUM(AI346:AL346)</f>
        <v>63.387999999999991</v>
      </c>
      <c r="AN346" s="215">
        <v>14.124000000000001</v>
      </c>
      <c r="AO346" s="215">
        <v>14.132</v>
      </c>
      <c r="AP346" s="860">
        <v>14.098000000000001</v>
      </c>
      <c r="AQ346" s="860">
        <f>56.517-SUM(AN346:AP346)</f>
        <v>14.163000000000004</v>
      </c>
      <c r="AR346" s="122">
        <f>SUM(AN346:AQ346)</f>
        <v>56.517000000000003</v>
      </c>
      <c r="AS346" s="268">
        <v>14.053000000000001</v>
      </c>
      <c r="AT346" s="215">
        <v>28.722999999999999</v>
      </c>
      <c r="AU346" s="215">
        <v>18.454999999999998</v>
      </c>
      <c r="AV346" s="215">
        <f>94.511-SUM(AS346:AU346)</f>
        <v>33.28</v>
      </c>
      <c r="AW346" s="122">
        <f>SUM(AS346:AV346)</f>
        <v>94.510999999999996</v>
      </c>
      <c r="AX346" s="516">
        <v>23.783000000000001</v>
      </c>
      <c r="AY346" s="516">
        <v>23.646999999999998</v>
      </c>
      <c r="AZ346" s="516">
        <v>22.507999999999999</v>
      </c>
      <c r="BA346" s="516">
        <f>91.8-SUM(AX346:AZ346)</f>
        <v>21.861999999999995</v>
      </c>
      <c r="BB346" s="216">
        <f>SUM(AX346:BA346)</f>
        <v>91.8</v>
      </c>
      <c r="BC346" s="1882">
        <v>21.7</v>
      </c>
      <c r="BD346" s="1882">
        <v>22.8</v>
      </c>
      <c r="BE346" s="1944">
        <v>26.6</v>
      </c>
      <c r="BF346" s="1944">
        <f>97.8-SUM(BC346:BE346)</f>
        <v>26.700000000000003</v>
      </c>
      <c r="BG346" s="216">
        <f>SUM(BC346:BF346)</f>
        <v>97.8</v>
      </c>
      <c r="BH346" s="126">
        <f>BH39-BH279</f>
        <v>31.674999999999997</v>
      </c>
      <c r="BI346" s="126">
        <f>BI39-BI279</f>
        <v>31.174999999999997</v>
      </c>
      <c r="BJ346" s="126">
        <f>BJ39-BJ279</f>
        <v>31.375</v>
      </c>
      <c r="BK346" s="126">
        <f>BK39-BK279</f>
        <v>30.875</v>
      </c>
      <c r="BL346" s="216">
        <f>SUM(BH346:BK346)</f>
        <v>125.1</v>
      </c>
      <c r="BM346" s="126">
        <f>BM39-BM279</f>
        <v>31.449999999999996</v>
      </c>
      <c r="BN346" s="126">
        <f>BN39-BN279</f>
        <v>30.949999999999996</v>
      </c>
      <c r="BO346" s="126">
        <f>BO39-BO279</f>
        <v>31.15</v>
      </c>
      <c r="BP346" s="126">
        <f>BP39-BP279</f>
        <v>30.65</v>
      </c>
      <c r="BQ346" s="216">
        <f>SUM(BM346:BP346)</f>
        <v>124.19999999999999</v>
      </c>
      <c r="BR346" s="126">
        <f>BR39-BR279</f>
        <v>30.9</v>
      </c>
      <c r="BS346" s="126">
        <f>BS39-BS279</f>
        <v>30.4</v>
      </c>
      <c r="BT346" s="126">
        <f>BT39-BT279</f>
        <v>30.6</v>
      </c>
      <c r="BU346" s="126">
        <f>BU39-BU279</f>
        <v>30.1</v>
      </c>
      <c r="BV346" s="216">
        <f>SUM(BR346:BU346)</f>
        <v>122</v>
      </c>
      <c r="BW346" s="126">
        <f>BW39-BW279</f>
        <v>28.274999999999999</v>
      </c>
      <c r="BX346" s="126">
        <f>BX39-BX279</f>
        <v>27.774999999999999</v>
      </c>
      <c r="BY346" s="126">
        <f>BY39-BY279</f>
        <v>27.975000000000001</v>
      </c>
      <c r="BZ346" s="126">
        <f>BZ39-BZ279</f>
        <v>27.475000000000001</v>
      </c>
      <c r="CA346" s="216">
        <f>SUM(BW346:BZ346)</f>
        <v>111.5</v>
      </c>
      <c r="CC346" s="29"/>
      <c r="CD346" s="29"/>
      <c r="CE346" s="126"/>
      <c r="CF346" s="126"/>
      <c r="CG346" s="126"/>
      <c r="CH346" s="126"/>
      <c r="CI346" s="126"/>
      <c r="CJ346" s="126"/>
      <c r="CK346" s="126"/>
      <c r="CL346" s="126"/>
      <c r="CM346" s="126"/>
      <c r="CN346" s="126"/>
      <c r="CO346" s="126"/>
      <c r="CP346" s="14"/>
      <c r="CQ346" s="14"/>
      <c r="CR346" s="14"/>
      <c r="CS346" s="14"/>
      <c r="CT346" s="14"/>
      <c r="CU346" s="1961"/>
      <c r="DB346" s="1961"/>
      <c r="DC346" s="1961"/>
      <c r="DD346" s="1961"/>
      <c r="DE346" s="1961"/>
      <c r="DF346" s="1961"/>
      <c r="DG346" s="1961"/>
      <c r="DH346" s="1961"/>
      <c r="DI346" s="126"/>
    </row>
    <row r="347" spans="1:113" ht="12" customHeight="1" collapsed="1" x14ac:dyDescent="0.25">
      <c r="A347" s="140" t="s">
        <v>227</v>
      </c>
      <c r="B347" s="861"/>
      <c r="C347" s="111"/>
      <c r="D347" s="111"/>
      <c r="E347" s="70"/>
      <c r="F347" s="70"/>
      <c r="G347" s="70"/>
      <c r="H347" s="70"/>
      <c r="I347" s="91"/>
      <c r="J347" s="70"/>
      <c r="K347" s="70"/>
      <c r="L347" s="70"/>
      <c r="M347" s="70"/>
      <c r="N347" s="91"/>
      <c r="O347" s="70"/>
      <c r="P347" s="716"/>
      <c r="Q347" s="706"/>
      <c r="R347" s="706"/>
      <c r="S347" s="708"/>
      <c r="T347" s="92"/>
      <c r="U347" s="716"/>
      <c r="V347" s="706"/>
      <c r="W347" s="706"/>
      <c r="X347" s="441"/>
      <c r="Y347" s="92"/>
      <c r="Z347" s="92"/>
      <c r="AA347" s="92"/>
      <c r="AB347" s="92"/>
      <c r="AC347" s="709"/>
      <c r="AD347" s="92">
        <f>AD346/AD313</f>
        <v>4.2608617986225512E-2</v>
      </c>
      <c r="AE347" s="92">
        <f>AE346/AE313</f>
        <v>5.3209743403904178E-2</v>
      </c>
      <c r="AF347" s="92">
        <f>AF346/AF313</f>
        <v>6.0557812671571322E-2</v>
      </c>
      <c r="AG347" s="92">
        <v>6.1800000000000001E-2</v>
      </c>
      <c r="AH347" s="709"/>
      <c r="AI347" s="92">
        <f>AI346/AI313</f>
        <v>7.5703753949411812E-2</v>
      </c>
      <c r="AJ347" s="92">
        <f>AJ346/AJ313</f>
        <v>7.1886898736589766E-2</v>
      </c>
      <c r="AK347" s="92">
        <f>AK346/AK313</f>
        <v>5.9052757793765003E-2</v>
      </c>
      <c r="AL347" s="92">
        <f>AL346/AL313</f>
        <v>5.4851866929877785E-2</v>
      </c>
      <c r="AM347" s="709"/>
      <c r="AN347" s="92">
        <f>AN346/AN313</f>
        <v>5.7105890914971903E-2</v>
      </c>
      <c r="AO347" s="92">
        <f>AO346/AO313</f>
        <v>5.4020993723289584E-2</v>
      </c>
      <c r="AP347" s="92">
        <f>AP346/AP313</f>
        <v>4.908586370299188E-2</v>
      </c>
      <c r="AQ347" s="92">
        <f>AQ346/AQ313</f>
        <v>4.7220860797983551E-2</v>
      </c>
      <c r="AR347" s="709"/>
      <c r="AS347" s="92">
        <f t="shared" ref="AS347:BB347" si="491">AS346/AS313</f>
        <v>4.8718170945208097E-2</v>
      </c>
      <c r="AT347" s="92">
        <f t="shared" si="491"/>
        <v>8.8128988708885622E-2</v>
      </c>
      <c r="AU347" s="92">
        <f t="shared" si="491"/>
        <v>4.8735851946529206E-2</v>
      </c>
      <c r="AV347" s="92">
        <f t="shared" si="491"/>
        <v>8.603929679420888E-2</v>
      </c>
      <c r="AW347" s="862">
        <f t="shared" si="491"/>
        <v>6.8493726487463477E-2</v>
      </c>
      <c r="AX347" s="90">
        <f>AX346/AX313</f>
        <v>7.5997379731262693E-2</v>
      </c>
      <c r="AY347" s="90">
        <f t="shared" si="491"/>
        <v>7.4554116130008605E-2</v>
      </c>
      <c r="AZ347" s="90">
        <f t="shared" si="491"/>
        <v>7.0934457796392764E-2</v>
      </c>
      <c r="BA347" s="90">
        <f t="shared" si="491"/>
        <v>6.7579598145285913E-2</v>
      </c>
      <c r="BB347" s="863">
        <f t="shared" si="491"/>
        <v>7.2230514481116601E-2</v>
      </c>
      <c r="BC347" s="90">
        <f t="shared" ref="BC347:CA347" si="492">BC346/BC313</f>
        <v>6.928480204342273E-2</v>
      </c>
      <c r="BD347" s="90">
        <f t="shared" si="492"/>
        <v>6.8965517241379309E-2</v>
      </c>
      <c r="BE347" s="90">
        <f t="shared" si="492"/>
        <v>7.4740095532452949E-2</v>
      </c>
      <c r="BF347" s="90">
        <f t="shared" si="492"/>
        <v>7.118101839509465E-2</v>
      </c>
      <c r="BG347" s="863">
        <f t="shared" si="492"/>
        <v>7.1137620017457076E-2</v>
      </c>
      <c r="BH347" s="90">
        <f t="shared" si="492"/>
        <v>8.566425292252354E-2</v>
      </c>
      <c r="BI347" s="90">
        <f t="shared" si="492"/>
        <v>8.1838431117242247E-2</v>
      </c>
      <c r="BJ347" s="90">
        <f t="shared" si="492"/>
        <v>7.9259553670822547E-2</v>
      </c>
      <c r="BK347" s="90">
        <f t="shared" si="492"/>
        <v>7.5887359808087945E-2</v>
      </c>
      <c r="BL347" s="863">
        <f t="shared" si="492"/>
        <v>8.0533266268771234E-2</v>
      </c>
      <c r="BM347" s="90">
        <f t="shared" si="492"/>
        <v>8.022181113964405E-2</v>
      </c>
      <c r="BN347" s="90">
        <f t="shared" si="492"/>
        <v>7.6531008386413774E-2</v>
      </c>
      <c r="BO347" s="90">
        <f t="shared" si="492"/>
        <v>7.4104074527788069E-2</v>
      </c>
      <c r="BP347" s="90">
        <f t="shared" si="492"/>
        <v>7.086138638903737E-2</v>
      </c>
      <c r="BQ347" s="863">
        <f t="shared" si="492"/>
        <v>7.5302912616392548E-2</v>
      </c>
      <c r="BR347" s="90">
        <f t="shared" si="492"/>
        <v>7.4409187224614301E-2</v>
      </c>
      <c r="BS347" s="90">
        <f t="shared" si="492"/>
        <v>7.0960207283691526E-2</v>
      </c>
      <c r="BT347" s="90">
        <f t="shared" si="492"/>
        <v>6.8709444888867294E-2</v>
      </c>
      <c r="BU347" s="90">
        <f t="shared" si="492"/>
        <v>6.569345928760216E-2</v>
      </c>
      <c r="BV347" s="863">
        <f t="shared" si="492"/>
        <v>6.9825098909842967E-2</v>
      </c>
      <c r="BW347" s="90">
        <f t="shared" si="492"/>
        <v>6.426818754838462E-2</v>
      </c>
      <c r="BX347" s="90">
        <f t="shared" si="492"/>
        <v>6.119111881616076E-2</v>
      </c>
      <c r="BY347" s="90">
        <f t="shared" si="492"/>
        <v>5.9279729819191274E-2</v>
      </c>
      <c r="BZ347" s="90">
        <f t="shared" si="492"/>
        <v>5.6597807133647662E-2</v>
      </c>
      <c r="CA347" s="863">
        <f t="shared" si="492"/>
        <v>6.0230649491779122E-2</v>
      </c>
      <c r="CC347" s="29"/>
      <c r="CD347" s="29"/>
      <c r="CE347" s="92"/>
      <c r="CF347" s="92"/>
      <c r="CG347" s="92"/>
      <c r="CH347" s="92"/>
      <c r="CI347" s="92"/>
      <c r="CJ347" s="92"/>
      <c r="CK347" s="92"/>
      <c r="CL347" s="92"/>
      <c r="CM347" s="92"/>
      <c r="CN347" s="92"/>
      <c r="CO347" s="92"/>
      <c r="CP347" s="14"/>
      <c r="CQ347" s="14"/>
      <c r="CR347" s="14"/>
      <c r="CS347" s="14"/>
      <c r="CT347" s="14"/>
      <c r="CU347" s="1961"/>
      <c r="DB347" s="1961"/>
      <c r="DC347" s="1961"/>
      <c r="DD347" s="1961"/>
      <c r="DE347" s="1961"/>
      <c r="DF347" s="1961"/>
      <c r="DG347" s="1961"/>
      <c r="DH347" s="1961"/>
      <c r="DI347" s="716"/>
    </row>
    <row r="348" spans="1:113" ht="12" customHeight="1" x14ac:dyDescent="0.25">
      <c r="A348" s="140" t="s">
        <v>72</v>
      </c>
      <c r="B348" s="858"/>
      <c r="C348" s="71">
        <f t="shared" ref="C348:BB348" si="493">C336-C344</f>
        <v>41.663000000000025</v>
      </c>
      <c r="D348" s="71">
        <f t="shared" si="493"/>
        <v>61.403999999999968</v>
      </c>
      <c r="E348" s="74">
        <f t="shared" si="493"/>
        <v>20.584000000000003</v>
      </c>
      <c r="F348" s="74">
        <f t="shared" si="493"/>
        <v>19.858000000000004</v>
      </c>
      <c r="G348" s="74">
        <f t="shared" si="493"/>
        <v>21.760000000000009</v>
      </c>
      <c r="H348" s="141">
        <f t="shared" si="493"/>
        <v>17.228999999999992</v>
      </c>
      <c r="I348" s="71">
        <f t="shared" si="493"/>
        <v>79.431000000000026</v>
      </c>
      <c r="J348" s="74">
        <f t="shared" si="493"/>
        <v>24.300000000000008</v>
      </c>
      <c r="K348" s="74">
        <f t="shared" si="493"/>
        <v>28.528000000000009</v>
      </c>
      <c r="L348" s="74">
        <f t="shared" si="493"/>
        <v>28.957999999999984</v>
      </c>
      <c r="M348" s="141">
        <f t="shared" si="493"/>
        <v>26.303000000000004</v>
      </c>
      <c r="N348" s="71">
        <f t="shared" si="493"/>
        <v>108.08899999999997</v>
      </c>
      <c r="O348" s="74">
        <f t="shared" si="493"/>
        <v>31.584999999999997</v>
      </c>
      <c r="P348" s="74">
        <f t="shared" si="493"/>
        <v>32.126999999999988</v>
      </c>
      <c r="Q348" s="74">
        <f t="shared" si="493"/>
        <v>33.693719999999999</v>
      </c>
      <c r="R348" s="141">
        <f t="shared" si="493"/>
        <v>12.866280000000003</v>
      </c>
      <c r="S348" s="73">
        <f t="shared" si="493"/>
        <v>110.27200000000002</v>
      </c>
      <c r="T348" s="74">
        <f>T336-T344</f>
        <v>45.277000000000001</v>
      </c>
      <c r="U348" s="74">
        <f t="shared" si="493"/>
        <v>45.076999999999984</v>
      </c>
      <c r="V348" s="74">
        <f t="shared" si="493"/>
        <v>51.583000000000006</v>
      </c>
      <c r="W348" s="141">
        <f t="shared" si="493"/>
        <v>47.476999999999961</v>
      </c>
      <c r="X348" s="71">
        <f t="shared" si="493"/>
        <v>189.41400000000002</v>
      </c>
      <c r="Y348" s="74">
        <f>Y336-Y344</f>
        <v>49.491999999999983</v>
      </c>
      <c r="Z348" s="74">
        <f>Z336-Z344</f>
        <v>55.888000000000005</v>
      </c>
      <c r="AA348" s="74">
        <f>AA336-AA344</f>
        <v>64.097000000000008</v>
      </c>
      <c r="AB348" s="74">
        <f>AB336-AB344</f>
        <v>68.716999999999999</v>
      </c>
      <c r="AC348" s="71">
        <f t="shared" si="493"/>
        <v>238.19400000000007</v>
      </c>
      <c r="AD348" s="74">
        <f t="shared" si="493"/>
        <v>62.184999999999974</v>
      </c>
      <c r="AE348" s="74">
        <f t="shared" si="493"/>
        <v>66.497999999999962</v>
      </c>
      <c r="AF348" s="74">
        <f t="shared" si="493"/>
        <v>79.437999999999974</v>
      </c>
      <c r="AG348" s="74">
        <f t="shared" si="493"/>
        <v>80.866</v>
      </c>
      <c r="AH348" s="71">
        <f t="shared" si="493"/>
        <v>288.98699999999997</v>
      </c>
      <c r="AI348" s="74">
        <f>AI336-AI344</f>
        <v>62.729000000000035</v>
      </c>
      <c r="AJ348" s="574">
        <f t="shared" si="493"/>
        <v>64.430000000000007</v>
      </c>
      <c r="AK348" s="74">
        <f t="shared" si="493"/>
        <v>85.053999999999945</v>
      </c>
      <c r="AL348" s="74">
        <f t="shared" si="493"/>
        <v>70.563999999999979</v>
      </c>
      <c r="AM348" s="71">
        <f t="shared" si="493"/>
        <v>282.77700000000004</v>
      </c>
      <c r="AN348" s="74">
        <f t="shared" si="493"/>
        <v>59.364999999999981</v>
      </c>
      <c r="AO348" s="74">
        <f t="shared" si="493"/>
        <v>73.723999999999975</v>
      </c>
      <c r="AP348" s="74">
        <f t="shared" si="493"/>
        <v>88.063000000000017</v>
      </c>
      <c r="AQ348" s="74">
        <f t="shared" si="493"/>
        <v>91.715000000000003</v>
      </c>
      <c r="AR348" s="71">
        <f t="shared" si="493"/>
        <v>312.86699999999985</v>
      </c>
      <c r="AS348" s="74">
        <f>AS336-AS344+AS350</f>
        <v>83.505065452150234</v>
      </c>
      <c r="AT348" s="74">
        <f t="shared" si="493"/>
        <v>58.739999999999952</v>
      </c>
      <c r="AU348" s="74">
        <f t="shared" si="493"/>
        <v>113.48599999999999</v>
      </c>
      <c r="AV348" s="74">
        <f t="shared" si="493"/>
        <v>100.70700000000006</v>
      </c>
      <c r="AW348" s="71">
        <f t="shared" si="493"/>
        <v>356.37400000000014</v>
      </c>
      <c r="AX348" s="74">
        <f t="shared" si="493"/>
        <v>90.287999999999982</v>
      </c>
      <c r="AY348" s="74">
        <f t="shared" si="493"/>
        <v>93.59199999999997</v>
      </c>
      <c r="AZ348" s="74">
        <f t="shared" si="493"/>
        <v>99.237000000000009</v>
      </c>
      <c r="BA348" s="74">
        <f t="shared" si="493"/>
        <v>98.915999999999997</v>
      </c>
      <c r="BB348" s="77">
        <f t="shared" si="493"/>
        <v>382.03300000000007</v>
      </c>
      <c r="BC348" s="74">
        <f t="shared" ref="BC348:CA348" si="494">BC336-BC344</f>
        <v>81.699999999999989</v>
      </c>
      <c r="BD348" s="74">
        <f t="shared" si="494"/>
        <v>89.800000000000011</v>
      </c>
      <c r="BE348" s="74">
        <f t="shared" si="494"/>
        <v>100.99999999999999</v>
      </c>
      <c r="BF348" s="74">
        <f t="shared" si="494"/>
        <v>104.10000000000002</v>
      </c>
      <c r="BG348" s="77">
        <f t="shared" si="494"/>
        <v>376.60000000000014</v>
      </c>
      <c r="BH348" s="74">
        <f t="shared" si="494"/>
        <v>85.970481197318009</v>
      </c>
      <c r="BI348" s="74">
        <f t="shared" si="494"/>
        <v>95.043178643073219</v>
      </c>
      <c r="BJ348" s="74">
        <f t="shared" si="494"/>
        <v>109.48972342418277</v>
      </c>
      <c r="BK348" s="74">
        <f t="shared" si="494"/>
        <v>111.41854358837641</v>
      </c>
      <c r="BL348" s="77">
        <f t="shared" si="494"/>
        <v>401.92192685295066</v>
      </c>
      <c r="BM348" s="74">
        <f t="shared" si="494"/>
        <v>96.310465897471246</v>
      </c>
      <c r="BN348" s="74">
        <f t="shared" si="494"/>
        <v>106.09098059336968</v>
      </c>
      <c r="BO348" s="74">
        <f t="shared" si="494"/>
        <v>121.56479038305386</v>
      </c>
      <c r="BP348" s="74">
        <f t="shared" si="494"/>
        <v>123.85462067415094</v>
      </c>
      <c r="BQ348" s="77">
        <f t="shared" si="494"/>
        <v>447.82085754804552</v>
      </c>
      <c r="BR348" s="74">
        <f t="shared" si="494"/>
        <v>107.49709491456196</v>
      </c>
      <c r="BS348" s="74">
        <f t="shared" si="494"/>
        <v>117.82066623829405</v>
      </c>
      <c r="BT348" s="74">
        <f t="shared" si="494"/>
        <v>134.32895435433232</v>
      </c>
      <c r="BU348" s="74">
        <f t="shared" si="494"/>
        <v>136.75794860675424</v>
      </c>
      <c r="BV348" s="77">
        <f t="shared" si="494"/>
        <v>496.40466411394249</v>
      </c>
      <c r="BW348" s="74">
        <f t="shared" si="494"/>
        <v>121.49237512831317</v>
      </c>
      <c r="BX348" s="74">
        <f t="shared" si="494"/>
        <v>132.39626939498274</v>
      </c>
      <c r="BY348" s="74">
        <f t="shared" si="494"/>
        <v>150.00745189216622</v>
      </c>
      <c r="BZ348" s="74">
        <f t="shared" si="494"/>
        <v>152.5845428158398</v>
      </c>
      <c r="CA348" s="77">
        <f t="shared" si="494"/>
        <v>556.48063923130189</v>
      </c>
      <c r="CC348" s="29"/>
      <c r="CD348" s="29"/>
      <c r="CE348" s="74"/>
      <c r="CF348" s="74"/>
      <c r="CG348" s="74"/>
      <c r="CH348" s="74"/>
      <c r="CI348" s="74"/>
      <c r="CJ348" s="74"/>
      <c r="CK348" s="74"/>
      <c r="CL348" s="74"/>
      <c r="CM348" s="74"/>
      <c r="CN348" s="74"/>
      <c r="CO348" s="74"/>
      <c r="CP348" s="14"/>
      <c r="CQ348" s="14"/>
      <c r="CR348" s="14"/>
      <c r="CS348" s="14"/>
      <c r="CT348" s="14"/>
      <c r="CU348" s="1961"/>
      <c r="DB348" s="1961"/>
      <c r="DC348" s="1961"/>
      <c r="DD348" s="1961"/>
      <c r="DE348" s="1961"/>
      <c r="DF348" s="1961"/>
      <c r="DG348" s="1961"/>
      <c r="DH348" s="1961"/>
      <c r="DI348" s="74"/>
    </row>
    <row r="349" spans="1:113" ht="12" customHeight="1" x14ac:dyDescent="0.25">
      <c r="A349" s="202" t="s">
        <v>73</v>
      </c>
      <c r="B349" s="864"/>
      <c r="C349" s="865">
        <f t="shared" ref="C349:BB349" si="495">C348/C313</f>
        <v>0.21171837284345871</v>
      </c>
      <c r="D349" s="865">
        <f t="shared" si="495"/>
        <v>0.23846306199247366</v>
      </c>
      <c r="E349" s="197">
        <f t="shared" si="495"/>
        <v>0.26719628230590498</v>
      </c>
      <c r="F349" s="197">
        <f t="shared" si="495"/>
        <v>0.25330697110785133</v>
      </c>
      <c r="G349" s="197">
        <f t="shared" si="495"/>
        <v>0.27640169702512518</v>
      </c>
      <c r="H349" s="197">
        <f t="shared" si="495"/>
        <v>0.20788638584890859</v>
      </c>
      <c r="I349" s="865">
        <f t="shared" si="495"/>
        <v>0.25054331540681635</v>
      </c>
      <c r="J349" s="197">
        <f t="shared" si="495"/>
        <v>0.27433138780072031</v>
      </c>
      <c r="K349" s="197">
        <f t="shared" si="495"/>
        <v>0.29792700120098176</v>
      </c>
      <c r="L349" s="197">
        <f t="shared" si="495"/>
        <v>0.2919006098482938</v>
      </c>
      <c r="M349" s="197">
        <f t="shared" si="495"/>
        <v>0.24903427381177806</v>
      </c>
      <c r="N349" s="866">
        <f t="shared" si="495"/>
        <v>0.27775022548624079</v>
      </c>
      <c r="O349" s="866">
        <f t="shared" si="495"/>
        <v>0.27185092740026678</v>
      </c>
      <c r="P349" s="197">
        <f t="shared" si="495"/>
        <v>0.25782246868203734</v>
      </c>
      <c r="Q349" s="197">
        <f t="shared" si="495"/>
        <v>0.26263510300800524</v>
      </c>
      <c r="R349" s="197">
        <f t="shared" si="495"/>
        <v>9.5986213379288754E-2</v>
      </c>
      <c r="S349" s="867">
        <f t="shared" si="495"/>
        <v>0.219172854621488</v>
      </c>
      <c r="T349" s="866">
        <f t="shared" si="495"/>
        <v>0.3198070294400181</v>
      </c>
      <c r="U349" s="197">
        <f t="shared" si="495"/>
        <v>0.30583900996010521</v>
      </c>
      <c r="V349" s="197">
        <f t="shared" si="495"/>
        <v>0.34141708309891783</v>
      </c>
      <c r="W349" s="197">
        <f t="shared" si="495"/>
        <v>0.30403570788186146</v>
      </c>
      <c r="X349" s="865">
        <f t="shared" si="495"/>
        <v>0.31769944901502001</v>
      </c>
      <c r="Y349" s="866">
        <f t="shared" si="495"/>
        <v>0.28719984215962757</v>
      </c>
      <c r="Z349" s="197">
        <f t="shared" si="495"/>
        <v>0.29926639892904955</v>
      </c>
      <c r="AA349" s="197">
        <f t="shared" si="495"/>
        <v>0.32029122380959524</v>
      </c>
      <c r="AB349" s="197">
        <f t="shared" si="495"/>
        <v>0.32834644164333293</v>
      </c>
      <c r="AC349" s="865">
        <f t="shared" si="495"/>
        <v>0.30995511913793355</v>
      </c>
      <c r="AD349" s="866">
        <f>AD348/AD313</f>
        <v>0.30856141952642746</v>
      </c>
      <c r="AE349" s="197">
        <f>AE348/AE313</f>
        <v>0.29033736907137259</v>
      </c>
      <c r="AF349" s="197">
        <f>AF348/AF313</f>
        <v>0.31152645531694606</v>
      </c>
      <c r="AG349" s="197">
        <f>AG348/AG313</f>
        <v>0.30033909132438741</v>
      </c>
      <c r="AH349" s="865">
        <f t="shared" si="495"/>
        <v>0.3026631364852212</v>
      </c>
      <c r="AI349" s="866">
        <f>AI348/AI313</f>
        <v>0.27993520287035228</v>
      </c>
      <c r="AJ349" s="197">
        <f t="shared" si="495"/>
        <v>0.27288475140508334</v>
      </c>
      <c r="AK349" s="197">
        <f t="shared" si="495"/>
        <v>0.33111432931576801</v>
      </c>
      <c r="AL349" s="197">
        <f t="shared" si="495"/>
        <v>0.27101016230499192</v>
      </c>
      <c r="AM349" s="865">
        <f t="shared" si="495"/>
        <v>0.28930457922096264</v>
      </c>
      <c r="AN349" s="197">
        <f t="shared" si="495"/>
        <v>0.24002345045081463</v>
      </c>
      <c r="AO349" s="197">
        <f>AO348/AO313</f>
        <v>0.28181741729803284</v>
      </c>
      <c r="AP349" s="197">
        <f>AP348/AP313</f>
        <v>0.30661430098429382</v>
      </c>
      <c r="AQ349" s="197">
        <f>AQ348/AQ313</f>
        <v>0.30578699767613221</v>
      </c>
      <c r="AR349" s="865">
        <f t="shared" si="495"/>
        <v>0.28544331860805011</v>
      </c>
      <c r="AS349" s="197">
        <f>AS348/AS313</f>
        <v>0.28949078869199785</v>
      </c>
      <c r="AT349" s="197">
        <f>AT348/AT313</f>
        <v>0.1802282768777613</v>
      </c>
      <c r="AU349" s="197">
        <f>AU348/AU313</f>
        <v>0.29969313974553308</v>
      </c>
      <c r="AV349" s="197">
        <f>AV348/AV313</f>
        <v>0.2603593588417788</v>
      </c>
      <c r="AW349" s="179">
        <f t="shared" si="495"/>
        <v>0.25827028899539012</v>
      </c>
      <c r="AX349" s="197">
        <f t="shared" si="495"/>
        <v>0.28851076067679621</v>
      </c>
      <c r="AY349" s="197">
        <f t="shared" si="495"/>
        <v>0.29507628184715878</v>
      </c>
      <c r="AZ349" s="197">
        <f t="shared" si="495"/>
        <v>0.31274759144929043</v>
      </c>
      <c r="BA349" s="197">
        <f t="shared" si="495"/>
        <v>0.30576816074188562</v>
      </c>
      <c r="BB349" s="179">
        <f t="shared" si="495"/>
        <v>0.30059302983403507</v>
      </c>
      <c r="BC349" s="197">
        <f t="shared" ref="BC349:CA349" si="496">BC348/BC313</f>
        <v>0.26085568326947633</v>
      </c>
      <c r="BD349" s="197">
        <f t="shared" si="496"/>
        <v>0.27162734422262552</v>
      </c>
      <c r="BE349" s="197">
        <f t="shared" si="496"/>
        <v>0.28378758078111826</v>
      </c>
      <c r="BF349" s="197">
        <f t="shared" si="496"/>
        <v>0.27752599306851511</v>
      </c>
      <c r="BG349" s="179">
        <f t="shared" si="496"/>
        <v>0.27393075356415486</v>
      </c>
      <c r="BH349" s="197">
        <f t="shared" si="496"/>
        <v>0.23250503694263946</v>
      </c>
      <c r="BI349" s="197">
        <f t="shared" si="496"/>
        <v>0.24950070981699751</v>
      </c>
      <c r="BJ349" s="197">
        <f t="shared" si="496"/>
        <v>0.27659303936709262</v>
      </c>
      <c r="BK349" s="197">
        <f t="shared" si="496"/>
        <v>0.2738545459622429</v>
      </c>
      <c r="BL349" s="179">
        <f t="shared" si="496"/>
        <v>0.25873769428062571</v>
      </c>
      <c r="BM349" s="197">
        <f t="shared" si="496"/>
        <v>0.24566613691567787</v>
      </c>
      <c r="BN349" s="197">
        <f t="shared" si="496"/>
        <v>0.26233440147056664</v>
      </c>
      <c r="BO349" s="197">
        <f t="shared" si="496"/>
        <v>0.289195707431806</v>
      </c>
      <c r="BP349" s="197">
        <f t="shared" si="496"/>
        <v>0.28634617069033169</v>
      </c>
      <c r="BQ349" s="179">
        <f t="shared" si="496"/>
        <v>0.27151541790449635</v>
      </c>
      <c r="BR349" s="197">
        <f t="shared" si="496"/>
        <v>0.25885991785112539</v>
      </c>
      <c r="BS349" s="197">
        <f t="shared" si="496"/>
        <v>0.2750190427161836</v>
      </c>
      <c r="BT349" s="197">
        <f t="shared" si="496"/>
        <v>0.30162313353556097</v>
      </c>
      <c r="BU349" s="197">
        <f t="shared" si="496"/>
        <v>0.29847517372271753</v>
      </c>
      <c r="BV349" s="179">
        <f t="shared" si="496"/>
        <v>0.28411069484478207</v>
      </c>
      <c r="BW349" s="197">
        <f t="shared" si="496"/>
        <v>0.27614835545340866</v>
      </c>
      <c r="BX349" s="197">
        <f t="shared" si="496"/>
        <v>0.29168229887902136</v>
      </c>
      <c r="BY349" s="197">
        <f t="shared" si="496"/>
        <v>0.31786956993862181</v>
      </c>
      <c r="BZ349" s="197">
        <f t="shared" si="496"/>
        <v>0.31432031031361984</v>
      </c>
      <c r="CA349" s="179">
        <f t="shared" si="496"/>
        <v>0.30060260386100213</v>
      </c>
      <c r="CC349" s="29"/>
      <c r="CD349" s="29"/>
      <c r="CE349" s="84"/>
      <c r="CF349" s="84"/>
      <c r="CG349" s="84"/>
      <c r="CH349" s="84"/>
      <c r="CI349" s="84"/>
      <c r="CJ349" s="84"/>
      <c r="CK349" s="84"/>
      <c r="CL349" s="84"/>
      <c r="CM349" s="84"/>
      <c r="CN349" s="84"/>
      <c r="CO349" s="84"/>
      <c r="CP349" s="14"/>
      <c r="CQ349" s="14"/>
      <c r="CR349" s="14"/>
      <c r="CS349" s="14"/>
      <c r="CT349" s="14"/>
      <c r="CU349" s="1961"/>
      <c r="DB349" s="1961"/>
      <c r="DC349" s="1961"/>
      <c r="DD349" s="1961"/>
      <c r="DE349" s="1961"/>
      <c r="DF349" s="1961"/>
      <c r="DG349" s="1961"/>
      <c r="DH349" s="1961"/>
      <c r="DI349" s="95"/>
    </row>
    <row r="350" spans="1:113" ht="12" customHeight="1" x14ac:dyDescent="0.25">
      <c r="A350" s="868" t="s">
        <v>228</v>
      </c>
      <c r="B350" s="850"/>
      <c r="C350" s="83"/>
      <c r="D350" s="83"/>
      <c r="E350" s="84"/>
      <c r="F350" s="84"/>
      <c r="G350" s="84"/>
      <c r="H350" s="84"/>
      <c r="I350" s="83"/>
      <c r="J350" s="84"/>
      <c r="K350" s="84"/>
      <c r="L350" s="84"/>
      <c r="M350" s="84"/>
      <c r="N350" s="83"/>
      <c r="O350" s="84"/>
      <c r="P350" s="84"/>
      <c r="Q350" s="84"/>
      <c r="R350" s="84"/>
      <c r="S350" s="86"/>
      <c r="T350" s="84"/>
      <c r="U350" s="84"/>
      <c r="V350" s="84"/>
      <c r="W350" s="84"/>
      <c r="X350" s="83"/>
      <c r="Y350" s="84"/>
      <c r="Z350" s="84"/>
      <c r="AA350" s="84"/>
      <c r="AB350" s="84"/>
      <c r="AC350" s="83"/>
      <c r="AD350" s="84"/>
      <c r="AE350" s="84"/>
      <c r="AF350" s="84"/>
      <c r="AG350" s="84"/>
      <c r="AH350" s="83"/>
      <c r="AI350" s="95"/>
      <c r="AJ350" s="95"/>
      <c r="AK350" s="95"/>
      <c r="AL350" s="95"/>
      <c r="AM350" s="88"/>
      <c r="AN350" s="95"/>
      <c r="AO350" s="95"/>
      <c r="AP350" s="95"/>
      <c r="AQ350" s="95"/>
      <c r="AR350" s="869"/>
      <c r="AS350" s="95">
        <f>AS345/AS313</f>
        <v>6.4065452150248739E-2</v>
      </c>
      <c r="AT350" s="95">
        <f>AT345/AT313</f>
        <v>6.8351129111438397E-2</v>
      </c>
      <c r="AU350" s="95">
        <f>AU345/AU313</f>
        <v>7.0678208696662567E-2</v>
      </c>
      <c r="AV350" s="95">
        <f>AV345/AV313</f>
        <v>7.0612719751809716E-2</v>
      </c>
      <c r="AW350" s="870"/>
      <c r="AX350" s="95">
        <f>AX345/AX313</f>
        <v>7.9569892473118284E-2</v>
      </c>
      <c r="AY350" s="95">
        <f>AY345/AY313</f>
        <v>7.0912639235258326E-2</v>
      </c>
      <c r="AZ350" s="95">
        <f>AZ345/AZ313</f>
        <v>7.1177124992515134E-2</v>
      </c>
      <c r="BA350" s="95">
        <f>BA345/BA313</f>
        <v>6.6219474497681605E-2</v>
      </c>
      <c r="BB350" s="870"/>
      <c r="BC350" s="95">
        <f>BC345/BC313</f>
        <v>8.2056194125159646E-2</v>
      </c>
      <c r="BD350" s="95">
        <f>BD345/BD313</f>
        <v>7.4712643678160912E-2</v>
      </c>
      <c r="BE350" s="95">
        <f>BE345/BE313</f>
        <v>7.3616184321438613E-2</v>
      </c>
      <c r="BF350" s="95">
        <f>BF345/BF313</f>
        <v>7.6246334310850455E-2</v>
      </c>
      <c r="BG350" s="870"/>
      <c r="BH350" s="95">
        <f>BH345/BH313</f>
        <v>8.3027389572895752E-2</v>
      </c>
      <c r="BI350" s="95">
        <f>BI345/BI313</f>
        <v>7.7966364207926062E-2</v>
      </c>
      <c r="BJ350" s="95">
        <f>BJ345/BJ313</f>
        <v>7.6291267597094523E-2</v>
      </c>
      <c r="BK350" s="95">
        <f>BK345/BK313</f>
        <v>7.5211440004129285E-2</v>
      </c>
      <c r="BL350" s="870"/>
      <c r="BM350" s="95">
        <f>BM345/BM313</f>
        <v>7.8308731382736807E-2</v>
      </c>
      <c r="BN350" s="95">
        <f>BN345/BN313</f>
        <v>7.3440095285185442E-2</v>
      </c>
      <c r="BO350" s="95">
        <f>BO345/BO313</f>
        <v>7.1844078675415715E-2</v>
      </c>
      <c r="BP350" s="95">
        <f>BP345/BP313</f>
        <v>7.0745788695091169E-2</v>
      </c>
      <c r="BQ350" s="870"/>
      <c r="BR350" s="95">
        <f>BR345/BR313</f>
        <v>7.392757436231906E-2</v>
      </c>
      <c r="BS350" s="95">
        <f>BS345/BS313</f>
        <v>6.9326255142290724E-2</v>
      </c>
      <c r="BT350" s="95">
        <f>BT345/BT313</f>
        <v>6.7811282210581442E-2</v>
      </c>
      <c r="BU350" s="95">
        <f>BU345/BU313</f>
        <v>6.6784712764140428E-2</v>
      </c>
      <c r="BV350" s="870"/>
      <c r="BW350" s="95">
        <f>BW345/BW313</f>
        <v>6.978013643626553E-2</v>
      </c>
      <c r="BX350" s="95">
        <f>BX345/BX313</f>
        <v>6.5432087446983783E-2</v>
      </c>
      <c r="BY350" s="95">
        <f>BY345/BY313</f>
        <v>6.3994560877196655E-2</v>
      </c>
      <c r="BZ350" s="95">
        <f>BZ345/BZ313</f>
        <v>6.3035228327192674E-2</v>
      </c>
      <c r="CA350" s="870"/>
      <c r="CC350" s="29"/>
      <c r="CD350" s="29"/>
      <c r="CE350" s="84"/>
      <c r="CF350" s="84"/>
      <c r="CG350" s="84"/>
      <c r="CH350" s="84"/>
      <c r="CI350" s="84"/>
      <c r="CJ350" s="84"/>
      <c r="CK350" s="84"/>
      <c r="CL350" s="84"/>
      <c r="CM350" s="84"/>
      <c r="CN350" s="84"/>
      <c r="CO350" s="84"/>
      <c r="CP350" s="14"/>
      <c r="CQ350" s="14"/>
      <c r="CR350" s="14"/>
      <c r="CS350" s="14"/>
      <c r="CT350" s="14"/>
      <c r="CU350" s="1961"/>
      <c r="DB350" s="1961"/>
      <c r="DC350" s="1961"/>
      <c r="DD350" s="1961"/>
      <c r="DE350" s="1961"/>
      <c r="DF350" s="1961"/>
      <c r="DG350" s="1961"/>
      <c r="DH350" s="1961"/>
      <c r="DI350" s="95"/>
    </row>
    <row r="351" spans="1:113" hidden="1" outlineLevel="1" x14ac:dyDescent="0.25">
      <c r="A351" s="871" t="s">
        <v>229</v>
      </c>
      <c r="B351" s="872"/>
      <c r="C351" s="873">
        <f t="shared" ref="C351:AW351" si="497">C42-(C281+C348)</f>
        <v>0</v>
      </c>
      <c r="D351" s="873">
        <f t="shared" si="497"/>
        <v>0</v>
      </c>
      <c r="E351" s="874">
        <f t="shared" si="497"/>
        <v>0</v>
      </c>
      <c r="F351" s="875">
        <f t="shared" si="497"/>
        <v>0</v>
      </c>
      <c r="G351" s="875">
        <f t="shared" si="497"/>
        <v>0</v>
      </c>
      <c r="H351" s="876">
        <f t="shared" si="497"/>
        <v>0</v>
      </c>
      <c r="I351" s="873">
        <f t="shared" si="497"/>
        <v>0</v>
      </c>
      <c r="J351" s="875">
        <f t="shared" si="497"/>
        <v>0</v>
      </c>
      <c r="K351" s="875">
        <f t="shared" si="497"/>
        <v>0</v>
      </c>
      <c r="L351" s="875">
        <f t="shared" si="497"/>
        <v>0</v>
      </c>
      <c r="M351" s="876">
        <f t="shared" si="497"/>
        <v>0</v>
      </c>
      <c r="N351" s="873">
        <f t="shared" si="497"/>
        <v>0</v>
      </c>
      <c r="O351" s="874">
        <f t="shared" si="497"/>
        <v>0</v>
      </c>
      <c r="P351" s="875">
        <f t="shared" si="497"/>
        <v>0</v>
      </c>
      <c r="Q351" s="875">
        <f t="shared" si="497"/>
        <v>0</v>
      </c>
      <c r="R351" s="875">
        <f t="shared" si="497"/>
        <v>0</v>
      </c>
      <c r="S351" s="873">
        <f t="shared" si="497"/>
        <v>0</v>
      </c>
      <c r="T351" s="874">
        <f t="shared" si="497"/>
        <v>0</v>
      </c>
      <c r="U351" s="875">
        <f t="shared" si="497"/>
        <v>0</v>
      </c>
      <c r="V351" s="875">
        <f t="shared" si="497"/>
        <v>0</v>
      </c>
      <c r="W351" s="876">
        <f t="shared" si="497"/>
        <v>0</v>
      </c>
      <c r="X351" s="873">
        <f t="shared" si="497"/>
        <v>0</v>
      </c>
      <c r="Y351" s="874">
        <f t="shared" si="497"/>
        <v>0</v>
      </c>
      <c r="Z351" s="875">
        <f t="shared" si="497"/>
        <v>0</v>
      </c>
      <c r="AA351" s="875">
        <f t="shared" si="497"/>
        <v>0</v>
      </c>
      <c r="AB351" s="875">
        <f t="shared" si="497"/>
        <v>0</v>
      </c>
      <c r="AC351" s="873">
        <f t="shared" si="497"/>
        <v>0</v>
      </c>
      <c r="AD351" s="874">
        <f t="shared" si="497"/>
        <v>0</v>
      </c>
      <c r="AE351" s="875">
        <f t="shared" si="497"/>
        <v>0</v>
      </c>
      <c r="AF351" s="875">
        <f t="shared" si="497"/>
        <v>0</v>
      </c>
      <c r="AG351" s="876">
        <f t="shared" si="497"/>
        <v>0</v>
      </c>
      <c r="AH351" s="873">
        <f t="shared" si="497"/>
        <v>0</v>
      </c>
      <c r="AI351" s="874">
        <f>AI42-(AI281+AI348)</f>
        <v>0</v>
      </c>
      <c r="AJ351" s="877">
        <f t="shared" si="497"/>
        <v>0</v>
      </c>
      <c r="AK351" s="877">
        <f t="shared" si="497"/>
        <v>0</v>
      </c>
      <c r="AL351" s="877">
        <f t="shared" si="497"/>
        <v>0</v>
      </c>
      <c r="AM351" s="873">
        <f t="shared" si="497"/>
        <v>0</v>
      </c>
      <c r="AN351" s="878">
        <f t="shared" si="497"/>
        <v>0</v>
      </c>
      <c r="AO351" s="877">
        <f t="shared" si="497"/>
        <v>0</v>
      </c>
      <c r="AP351" s="877">
        <f t="shared" si="497"/>
        <v>0</v>
      </c>
      <c r="AQ351" s="877">
        <f t="shared" si="497"/>
        <v>0</v>
      </c>
      <c r="AR351" s="873">
        <f t="shared" si="497"/>
        <v>0</v>
      </c>
      <c r="AS351" s="875">
        <f t="shared" si="497"/>
        <v>2.9345478497475597E-3</v>
      </c>
      <c r="AT351" s="875">
        <f t="shared" si="497"/>
        <v>0</v>
      </c>
      <c r="AU351" s="875">
        <f t="shared" si="497"/>
        <v>0</v>
      </c>
      <c r="AV351" s="875">
        <f t="shared" si="497"/>
        <v>0</v>
      </c>
      <c r="AW351" s="873">
        <f t="shared" si="497"/>
        <v>0</v>
      </c>
      <c r="AX351" s="875">
        <f t="shared" ref="AX351:CA351" si="498">AX42-(AX281+AX348)</f>
        <v>0</v>
      </c>
      <c r="AY351" s="875">
        <f t="shared" si="498"/>
        <v>0</v>
      </c>
      <c r="AZ351" s="875">
        <f t="shared" si="498"/>
        <v>0</v>
      </c>
      <c r="BA351" s="875">
        <f t="shared" si="498"/>
        <v>6.8000000000012051E-2</v>
      </c>
      <c r="BB351" s="879">
        <f t="shared" si="498"/>
        <v>6.7999999999642569E-2</v>
      </c>
      <c r="BC351" s="875">
        <f t="shared" si="498"/>
        <v>0</v>
      </c>
      <c r="BD351" s="875">
        <f t="shared" si="498"/>
        <v>0</v>
      </c>
      <c r="BE351" s="875">
        <f t="shared" si="498"/>
        <v>0</v>
      </c>
      <c r="BF351" s="875">
        <f>BF42-(BF281+BF348)</f>
        <v>0</v>
      </c>
      <c r="BG351" s="879">
        <f t="shared" si="498"/>
        <v>0</v>
      </c>
      <c r="BH351" s="875">
        <f t="shared" si="498"/>
        <v>0</v>
      </c>
      <c r="BI351" s="875">
        <f t="shared" si="498"/>
        <v>0</v>
      </c>
      <c r="BJ351" s="875">
        <f t="shared" si="498"/>
        <v>0</v>
      </c>
      <c r="BK351" s="875">
        <f t="shared" si="498"/>
        <v>0</v>
      </c>
      <c r="BL351" s="879">
        <f t="shared" si="498"/>
        <v>0</v>
      </c>
      <c r="BM351" s="875">
        <f t="shared" si="498"/>
        <v>0</v>
      </c>
      <c r="BN351" s="875">
        <f t="shared" si="498"/>
        <v>0</v>
      </c>
      <c r="BO351" s="875">
        <f t="shared" si="498"/>
        <v>0</v>
      </c>
      <c r="BP351" s="875">
        <f t="shared" si="498"/>
        <v>0</v>
      </c>
      <c r="BQ351" s="879">
        <f t="shared" si="498"/>
        <v>0</v>
      </c>
      <c r="BR351" s="875">
        <f t="shared" si="498"/>
        <v>0</v>
      </c>
      <c r="BS351" s="875">
        <f t="shared" si="498"/>
        <v>0</v>
      </c>
      <c r="BT351" s="875">
        <f t="shared" si="498"/>
        <v>0</v>
      </c>
      <c r="BU351" s="875">
        <f t="shared" si="498"/>
        <v>0</v>
      </c>
      <c r="BV351" s="879">
        <f t="shared" si="498"/>
        <v>0</v>
      </c>
      <c r="BW351" s="875">
        <f t="shared" si="498"/>
        <v>0</v>
      </c>
      <c r="BX351" s="875">
        <f t="shared" si="498"/>
        <v>0</v>
      </c>
      <c r="BY351" s="875">
        <f t="shared" si="498"/>
        <v>0</v>
      </c>
      <c r="BZ351" s="875">
        <f t="shared" si="498"/>
        <v>0</v>
      </c>
      <c r="CA351" s="879">
        <f t="shared" si="498"/>
        <v>0</v>
      </c>
      <c r="CC351" s="687"/>
      <c r="CD351" s="687"/>
      <c r="CE351" s="875"/>
      <c r="CF351" s="875"/>
      <c r="CG351" s="875"/>
      <c r="CH351" s="875"/>
      <c r="CI351" s="875"/>
      <c r="CJ351" s="875"/>
      <c r="CK351" s="875"/>
      <c r="CL351" s="875"/>
      <c r="CM351" s="875"/>
      <c r="CN351" s="875"/>
      <c r="CO351" s="875"/>
      <c r="CP351" s="880"/>
      <c r="CQ351" s="880"/>
      <c r="CR351" s="880"/>
      <c r="CS351" s="880"/>
      <c r="CT351" s="880"/>
      <c r="CU351" s="880"/>
      <c r="DB351" s="1961"/>
      <c r="DC351" s="1961"/>
      <c r="DD351" s="1961"/>
      <c r="DE351" s="1961"/>
      <c r="DF351" s="1961"/>
      <c r="DG351" s="1961"/>
      <c r="DH351" s="1961"/>
      <c r="DI351" s="875"/>
    </row>
    <row r="352" spans="1:113" ht="5.0999999999999996" customHeight="1" collapsed="1" x14ac:dyDescent="0.25">
      <c r="A352" s="871"/>
      <c r="B352" s="872"/>
      <c r="C352" s="873"/>
      <c r="D352" s="873"/>
      <c r="E352" s="875"/>
      <c r="F352" s="875"/>
      <c r="G352" s="875"/>
      <c r="H352" s="875"/>
      <c r="I352" s="873"/>
      <c r="J352" s="875"/>
      <c r="K352" s="875"/>
      <c r="L352" s="875"/>
      <c r="M352" s="875"/>
      <c r="N352" s="873"/>
      <c r="O352" s="875"/>
      <c r="P352" s="875"/>
      <c r="Q352" s="875"/>
      <c r="R352" s="875"/>
      <c r="S352" s="873"/>
      <c r="T352" s="875"/>
      <c r="U352" s="875"/>
      <c r="V352" s="875"/>
      <c r="W352" s="875"/>
      <c r="X352" s="873"/>
      <c r="Y352" s="875"/>
      <c r="Z352" s="875"/>
      <c r="AA352" s="875"/>
      <c r="AB352" s="875"/>
      <c r="AC352" s="873"/>
      <c r="AD352" s="875"/>
      <c r="AE352" s="875"/>
      <c r="AF352" s="875"/>
      <c r="AG352" s="875"/>
      <c r="AH352" s="873"/>
      <c r="AI352" s="875"/>
      <c r="AJ352" s="875"/>
      <c r="AK352" s="875"/>
      <c r="AL352" s="875"/>
      <c r="AM352" s="873"/>
      <c r="AN352" s="875"/>
      <c r="AO352" s="875"/>
      <c r="AP352" s="875"/>
      <c r="AQ352" s="875"/>
      <c r="AR352" s="873"/>
      <c r="AS352" s="875"/>
      <c r="AT352" s="875"/>
      <c r="AU352" s="875"/>
      <c r="AV352" s="875"/>
      <c r="AW352" s="873"/>
      <c r="AX352" s="875"/>
      <c r="AY352" s="875"/>
      <c r="AZ352" s="875"/>
      <c r="BA352" s="875"/>
      <c r="BB352" s="879"/>
      <c r="BC352" s="875"/>
      <c r="BD352" s="875"/>
      <c r="BE352" s="875"/>
      <c r="BF352" s="875"/>
      <c r="BG352" s="879"/>
      <c r="BH352" s="875"/>
      <c r="BI352" s="875"/>
      <c r="BJ352" s="875"/>
      <c r="BK352" s="875"/>
      <c r="BL352" s="879"/>
      <c r="BM352" s="875"/>
      <c r="BN352" s="875"/>
      <c r="BO352" s="875"/>
      <c r="BP352" s="875"/>
      <c r="BQ352" s="879"/>
      <c r="BR352" s="875"/>
      <c r="BS352" s="875"/>
      <c r="BT352" s="875"/>
      <c r="BU352" s="875"/>
      <c r="BV352" s="879"/>
      <c r="BW352" s="875"/>
      <c r="BX352" s="875"/>
      <c r="BY352" s="875"/>
      <c r="BZ352" s="875"/>
      <c r="CA352" s="879"/>
      <c r="CC352" s="687"/>
      <c r="CD352" s="687"/>
      <c r="CE352" s="875"/>
      <c r="CF352" s="875"/>
      <c r="CG352" s="875"/>
      <c r="CH352" s="875"/>
      <c r="CI352" s="875"/>
      <c r="CJ352" s="875"/>
      <c r="CK352" s="875"/>
      <c r="CL352" s="875"/>
      <c r="CM352" s="875"/>
      <c r="CN352" s="875"/>
      <c r="CO352" s="875"/>
      <c r="CP352" s="880"/>
      <c r="CQ352" s="880"/>
      <c r="CR352" s="880"/>
      <c r="CS352" s="880"/>
      <c r="CT352" s="880"/>
      <c r="CU352" s="880"/>
      <c r="DB352" s="1961"/>
      <c r="DC352" s="1961"/>
      <c r="DD352" s="1961"/>
      <c r="DE352" s="1961"/>
      <c r="DF352" s="1961"/>
      <c r="DG352" s="1961"/>
      <c r="DH352" s="1961"/>
      <c r="DI352" s="875"/>
    </row>
    <row r="353" spans="1:113" hidden="1" outlineLevel="1" x14ac:dyDescent="0.25">
      <c r="A353" s="881" t="s">
        <v>230</v>
      </c>
      <c r="B353" s="850"/>
      <c r="C353" s="873"/>
      <c r="D353" s="873"/>
      <c r="E353" s="875"/>
      <c r="F353" s="875"/>
      <c r="G353" s="875"/>
      <c r="H353" s="875"/>
      <c r="I353" s="873"/>
      <c r="J353" s="875"/>
      <c r="K353" s="875"/>
      <c r="L353" s="875"/>
      <c r="M353" s="875"/>
      <c r="N353" s="873"/>
      <c r="O353" s="875"/>
      <c r="P353" s="875"/>
      <c r="Q353" s="875"/>
      <c r="R353" s="875"/>
      <c r="S353" s="873"/>
      <c r="T353" s="875"/>
      <c r="U353" s="875"/>
      <c r="V353" s="875"/>
      <c r="W353" s="875"/>
      <c r="X353" s="873"/>
      <c r="Y353" s="875"/>
      <c r="Z353" s="875"/>
      <c r="AA353" s="875"/>
      <c r="AB353" s="875"/>
      <c r="AC353" s="873"/>
      <c r="AD353" s="875"/>
      <c r="AE353" s="875"/>
      <c r="AF353" s="875"/>
      <c r="AG353" s="875"/>
      <c r="AH353" s="873"/>
      <c r="AI353" s="875"/>
      <c r="AJ353" s="875"/>
      <c r="AK353" s="875"/>
      <c r="AL353" s="875"/>
      <c r="AM353" s="873"/>
      <c r="AN353" s="875"/>
      <c r="AO353" s="875"/>
      <c r="AP353" s="875"/>
      <c r="AQ353" s="875"/>
      <c r="AR353" s="873"/>
      <c r="AS353" s="875"/>
      <c r="AT353" s="875"/>
      <c r="AU353" s="875"/>
      <c r="AV353" s="875"/>
      <c r="AW353" s="873"/>
      <c r="AX353" s="875"/>
      <c r="AY353" s="875"/>
      <c r="AZ353" s="875"/>
      <c r="BA353" s="875"/>
      <c r="BB353" s="879"/>
      <c r="BC353" s="875"/>
      <c r="BD353" s="875"/>
      <c r="BE353" s="875"/>
      <c r="BF353" s="875"/>
      <c r="BG353" s="879"/>
      <c r="BH353" s="875"/>
      <c r="BI353" s="875"/>
      <c r="BJ353" s="875"/>
      <c r="BK353" s="875"/>
      <c r="BL353" s="879"/>
      <c r="BM353" s="875"/>
      <c r="BN353" s="875"/>
      <c r="BO353" s="875"/>
      <c r="BP353" s="875"/>
      <c r="BQ353" s="879"/>
      <c r="BR353" s="875"/>
      <c r="BS353" s="875"/>
      <c r="BT353" s="875"/>
      <c r="BU353" s="875"/>
      <c r="BV353" s="879"/>
      <c r="BW353" s="875"/>
      <c r="BX353" s="875"/>
      <c r="BY353" s="875"/>
      <c r="BZ353" s="875"/>
      <c r="CA353" s="879"/>
      <c r="CC353" s="29"/>
      <c r="CD353" s="29"/>
      <c r="CE353" s="875"/>
      <c r="CF353" s="875"/>
      <c r="CG353" s="875"/>
      <c r="CH353" s="875"/>
      <c r="CI353" s="875"/>
      <c r="CJ353" s="875"/>
      <c r="CK353" s="875"/>
      <c r="CL353" s="875"/>
      <c r="CM353" s="875"/>
      <c r="CN353" s="875"/>
      <c r="CO353" s="875"/>
      <c r="CP353" s="14"/>
      <c r="CQ353" s="14"/>
      <c r="CR353" s="14"/>
      <c r="CS353" s="14"/>
      <c r="CT353" s="14"/>
      <c r="CU353" s="1961"/>
      <c r="DB353" s="1961"/>
      <c r="DC353" s="1961"/>
      <c r="DD353" s="1961"/>
      <c r="DE353" s="1961"/>
      <c r="DF353" s="1961"/>
      <c r="DG353" s="1961"/>
      <c r="DH353" s="1961"/>
      <c r="DI353" s="875"/>
    </row>
    <row r="354" spans="1:113" hidden="1" outlineLevel="1" x14ac:dyDescent="0.25">
      <c r="A354" s="882" t="s">
        <v>231</v>
      </c>
      <c r="B354" s="850"/>
      <c r="C354" s="873"/>
      <c r="D354" s="278">
        <v>2.661</v>
      </c>
      <c r="E354" s="516">
        <v>0.62</v>
      </c>
      <c r="F354" s="516">
        <f>1.239-E354</f>
        <v>0.61900000000000011</v>
      </c>
      <c r="G354" s="516">
        <f>1.832-SUM(E354:F354)</f>
        <v>0.59299999999999997</v>
      </c>
      <c r="H354" s="126">
        <f>I354-SUM(E354:G354)</f>
        <v>0.59199999999999986</v>
      </c>
      <c r="I354" s="278">
        <v>2.4239999999999999</v>
      </c>
      <c r="J354" s="516">
        <v>0.57899999999999996</v>
      </c>
      <c r="K354" s="516">
        <f>1.158-J354</f>
        <v>0.57899999999999996</v>
      </c>
      <c r="L354" s="516">
        <f>1.737-SUM(J354:K354)</f>
        <v>0.57900000000000018</v>
      </c>
      <c r="M354" s="126">
        <f>N354-SUM(J354:L354)</f>
        <v>0.47199999999999998</v>
      </c>
      <c r="N354" s="278">
        <v>2.2090000000000001</v>
      </c>
      <c r="O354" s="516">
        <v>0.18099999999999999</v>
      </c>
      <c r="P354" s="516">
        <f>0.724-O354</f>
        <v>0.54299999999999993</v>
      </c>
      <c r="Q354" s="875"/>
      <c r="R354" s="875"/>
      <c r="S354" s="278">
        <v>0.75700000000000001</v>
      </c>
      <c r="T354" s="875"/>
      <c r="U354" s="875"/>
      <c r="V354" s="875"/>
      <c r="W354" s="875"/>
      <c r="X354" s="278">
        <v>0</v>
      </c>
      <c r="Y354" s="875"/>
      <c r="Z354" s="875"/>
      <c r="AA354" s="875"/>
      <c r="AB354" s="875"/>
      <c r="AC354" s="873"/>
      <c r="AD354" s="875"/>
      <c r="AE354" s="875"/>
      <c r="AF354" s="875"/>
      <c r="AG354" s="875"/>
      <c r="AH354" s="873"/>
      <c r="AI354" s="875"/>
      <c r="AJ354" s="875"/>
      <c r="AK354" s="875"/>
      <c r="AL354" s="875"/>
      <c r="AM354" s="873"/>
      <c r="AN354" s="875"/>
      <c r="AO354" s="875"/>
      <c r="AP354" s="875"/>
      <c r="AQ354" s="875"/>
      <c r="AR354" s="873"/>
      <c r="AS354" s="875"/>
      <c r="AT354" s="875"/>
      <c r="AU354" s="875"/>
      <c r="AV354" s="875"/>
      <c r="AW354" s="873"/>
      <c r="AX354" s="875"/>
      <c r="AY354" s="875"/>
      <c r="AZ354" s="875"/>
      <c r="BA354" s="875"/>
      <c r="BB354" s="879"/>
      <c r="BC354" s="875"/>
      <c r="BD354" s="875"/>
      <c r="BE354" s="875"/>
      <c r="BF354" s="875"/>
      <c r="BG354" s="879"/>
      <c r="BH354" s="875"/>
      <c r="BI354" s="875"/>
      <c r="BJ354" s="875"/>
      <c r="BK354" s="875"/>
      <c r="BL354" s="879"/>
      <c r="BM354" s="875"/>
      <c r="BN354" s="875"/>
      <c r="BO354" s="875"/>
      <c r="BP354" s="875"/>
      <c r="BQ354" s="879"/>
      <c r="BR354" s="875"/>
      <c r="BS354" s="875"/>
      <c r="BT354" s="875"/>
      <c r="BU354" s="875"/>
      <c r="BV354" s="879"/>
      <c r="BW354" s="875"/>
      <c r="BX354" s="875"/>
      <c r="BY354" s="875"/>
      <c r="BZ354" s="875"/>
      <c r="CA354" s="879"/>
      <c r="CC354" s="9"/>
      <c r="CD354" s="9"/>
      <c r="CE354" s="875"/>
      <c r="CF354" s="875"/>
      <c r="CG354" s="875"/>
      <c r="CH354" s="875"/>
      <c r="CI354" s="875"/>
      <c r="CJ354" s="875"/>
      <c r="CK354" s="875"/>
      <c r="CL354" s="875"/>
      <c r="CM354" s="875"/>
      <c r="CN354" s="875"/>
      <c r="CO354" s="875"/>
      <c r="CP354" s="6"/>
      <c r="CQ354" s="6"/>
      <c r="CR354" s="6"/>
      <c r="CS354" s="6"/>
      <c r="CT354" s="6"/>
      <c r="CU354" s="6"/>
      <c r="DB354" s="1961"/>
      <c r="DC354" s="1961"/>
      <c r="DD354" s="1961"/>
      <c r="DE354" s="1961"/>
      <c r="DF354" s="1961"/>
      <c r="DG354" s="1961"/>
      <c r="DH354" s="1961"/>
      <c r="DI354" s="875"/>
    </row>
    <row r="355" spans="1:113" hidden="1" outlineLevel="1" x14ac:dyDescent="0.25">
      <c r="A355" s="882" t="s">
        <v>232</v>
      </c>
      <c r="B355" s="850"/>
      <c r="C355" s="873"/>
      <c r="D355" s="278">
        <v>3.4870000000000001</v>
      </c>
      <c r="E355" s="516">
        <v>0.627</v>
      </c>
      <c r="F355" s="516">
        <f>1.256-E355</f>
        <v>0.629</v>
      </c>
      <c r="G355" s="516">
        <f>1.884-SUM(E355:F355)</f>
        <v>0.62799999999999989</v>
      </c>
      <c r="H355" s="126">
        <f>I355-SUM(E355:G355)</f>
        <v>0.62800000000000011</v>
      </c>
      <c r="I355" s="278">
        <v>2.512</v>
      </c>
      <c r="J355" s="516">
        <v>0.58599999999999997</v>
      </c>
      <c r="K355" s="516">
        <f>1.171-J355</f>
        <v>0.58500000000000008</v>
      </c>
      <c r="L355" s="516">
        <f>1.635-SUM(J355:K355)</f>
        <v>0.46399999999999997</v>
      </c>
      <c r="M355" s="126">
        <f>N355-SUM(J355:L355)</f>
        <v>0.2350000000000001</v>
      </c>
      <c r="N355" s="278">
        <v>1.87</v>
      </c>
      <c r="O355" s="516">
        <v>0.39</v>
      </c>
      <c r="P355" s="516">
        <f>0.78-O355</f>
        <v>0.39</v>
      </c>
      <c r="Q355" s="875"/>
      <c r="R355" s="875"/>
      <c r="S355" s="278">
        <v>1.73</v>
      </c>
      <c r="T355" s="875"/>
      <c r="U355" s="875"/>
      <c r="V355" s="875"/>
      <c r="W355" s="875"/>
      <c r="X355" s="278">
        <v>0.39500000000000002</v>
      </c>
      <c r="Y355" s="875"/>
      <c r="Z355" s="875"/>
      <c r="AA355" s="875"/>
      <c r="AB355" s="875"/>
      <c r="AC355" s="873"/>
      <c r="AD355" s="875"/>
      <c r="AE355" s="875"/>
      <c r="AF355" s="875"/>
      <c r="AG355" s="875"/>
      <c r="AH355" s="873"/>
      <c r="AI355" s="875"/>
      <c r="AJ355" s="875"/>
      <c r="AK355" s="875"/>
      <c r="AL355" s="875"/>
      <c r="AM355" s="873"/>
      <c r="AN355" s="875"/>
      <c r="AO355" s="875"/>
      <c r="AP355" s="875"/>
      <c r="AQ355" s="875"/>
      <c r="AR355" s="873"/>
      <c r="AS355" s="875"/>
      <c r="AT355" s="875"/>
      <c r="AU355" s="875"/>
      <c r="AV355" s="875"/>
      <c r="AW355" s="873"/>
      <c r="AX355" s="875"/>
      <c r="AY355" s="875"/>
      <c r="AZ355" s="875"/>
      <c r="BA355" s="875"/>
      <c r="BB355" s="879"/>
      <c r="BC355" s="875"/>
      <c r="BD355" s="875"/>
      <c r="BE355" s="875"/>
      <c r="BF355" s="875"/>
      <c r="BG355" s="879"/>
      <c r="BH355" s="875"/>
      <c r="BI355" s="875"/>
      <c r="BJ355" s="875"/>
      <c r="BK355" s="875"/>
      <c r="BL355" s="879"/>
      <c r="BM355" s="875"/>
      <c r="BN355" s="875"/>
      <c r="BO355" s="875"/>
      <c r="BP355" s="875"/>
      <c r="BQ355" s="879"/>
      <c r="BR355" s="875"/>
      <c r="BS355" s="875"/>
      <c r="BT355" s="875"/>
      <c r="BU355" s="875"/>
      <c r="BV355" s="879"/>
      <c r="BW355" s="875"/>
      <c r="BX355" s="875"/>
      <c r="BY355" s="875"/>
      <c r="BZ355" s="875"/>
      <c r="CA355" s="879"/>
      <c r="CC355" s="9"/>
      <c r="CD355" s="9"/>
      <c r="CE355" s="875"/>
      <c r="CF355" s="875"/>
      <c r="CG355" s="875"/>
      <c r="CH355" s="875"/>
      <c r="CI355" s="875"/>
      <c r="CJ355" s="875"/>
      <c r="CK355" s="875"/>
      <c r="CL355" s="875"/>
      <c r="CM355" s="875"/>
      <c r="CN355" s="875"/>
      <c r="CO355" s="875"/>
      <c r="CP355" s="6"/>
      <c r="CQ355" s="6"/>
      <c r="CR355" s="6"/>
      <c r="CS355" s="6"/>
      <c r="CT355" s="6"/>
      <c r="CU355" s="6"/>
      <c r="DB355" s="1961"/>
      <c r="DC355" s="1961"/>
      <c r="DD355" s="1961"/>
      <c r="DE355" s="1961"/>
      <c r="DF355" s="1961"/>
      <c r="DG355" s="1961"/>
      <c r="DH355" s="1961"/>
      <c r="DI355" s="875"/>
    </row>
    <row r="356" spans="1:113" hidden="1" outlineLevel="1" x14ac:dyDescent="0.25">
      <c r="A356" s="882" t="s">
        <v>233</v>
      </c>
      <c r="B356" s="850"/>
      <c r="C356" s="873"/>
      <c r="D356" s="873"/>
      <c r="E356" s="516">
        <v>0.27400000000000002</v>
      </c>
      <c r="F356" s="516">
        <f>1.261-E356</f>
        <v>0.98699999999999988</v>
      </c>
      <c r="G356" s="516">
        <f>2.362-SUM(E356:F356)</f>
        <v>1.1010000000000002</v>
      </c>
      <c r="H356" s="126">
        <f>I356-SUM(E356:G356)</f>
        <v>0.94599999999999973</v>
      </c>
      <c r="I356" s="278">
        <v>3.3079999999999998</v>
      </c>
      <c r="J356" s="516">
        <v>0.65600000000000003</v>
      </c>
      <c r="K356" s="516">
        <f>1.313-J356</f>
        <v>0.65699999999999992</v>
      </c>
      <c r="L356" s="516">
        <f>1.969-SUM(J356:K356)</f>
        <v>0.65600000000000014</v>
      </c>
      <c r="M356" s="126">
        <f>N356-SUM(J356:L356)</f>
        <v>0.59199999999999986</v>
      </c>
      <c r="N356" s="278">
        <v>2.5609999999999999</v>
      </c>
      <c r="O356" s="516">
        <v>0.628</v>
      </c>
      <c r="P356" s="516">
        <f>0.757-O356</f>
        <v>0.129</v>
      </c>
      <c r="Q356" s="875"/>
      <c r="R356" s="875"/>
      <c r="S356" s="278">
        <v>2.056</v>
      </c>
      <c r="T356" s="875"/>
      <c r="U356" s="875"/>
      <c r="V356" s="875"/>
      <c r="W356" s="875"/>
      <c r="X356" s="278">
        <v>2.2999999999999998</v>
      </c>
      <c r="Y356" s="875"/>
      <c r="Z356" s="875"/>
      <c r="AA356" s="875"/>
      <c r="AB356" s="875"/>
      <c r="AC356" s="873"/>
      <c r="AD356" s="875"/>
      <c r="AE356" s="875"/>
      <c r="AF356" s="875"/>
      <c r="AG356" s="875"/>
      <c r="AH356" s="873"/>
      <c r="AI356" s="875"/>
      <c r="AJ356" s="875"/>
      <c r="AK356" s="875"/>
      <c r="AL356" s="875"/>
      <c r="AM356" s="873"/>
      <c r="AN356" s="875"/>
      <c r="AO356" s="875"/>
      <c r="AP356" s="875"/>
      <c r="AQ356" s="875"/>
      <c r="AR356" s="873"/>
      <c r="AS356" s="875"/>
      <c r="AT356" s="875"/>
      <c r="AU356" s="875"/>
      <c r="AV356" s="875"/>
      <c r="AW356" s="873"/>
      <c r="AX356" s="875"/>
      <c r="AY356" s="875"/>
      <c r="AZ356" s="875"/>
      <c r="BA356" s="875"/>
      <c r="BB356" s="879"/>
      <c r="BC356" s="875"/>
      <c r="BD356" s="875"/>
      <c r="BE356" s="875"/>
      <c r="BF356" s="875"/>
      <c r="BG356" s="879"/>
      <c r="BH356" s="875"/>
      <c r="BI356" s="875"/>
      <c r="BJ356" s="875"/>
      <c r="BK356" s="875"/>
      <c r="BL356" s="879"/>
      <c r="BM356" s="875"/>
      <c r="BN356" s="875"/>
      <c r="BO356" s="875"/>
      <c r="BP356" s="875"/>
      <c r="BQ356" s="879"/>
      <c r="BR356" s="875"/>
      <c r="BS356" s="875"/>
      <c r="BT356" s="875"/>
      <c r="BU356" s="875"/>
      <c r="BV356" s="879"/>
      <c r="BW356" s="875"/>
      <c r="BX356" s="875"/>
      <c r="BY356" s="875"/>
      <c r="BZ356" s="875"/>
      <c r="CA356" s="879"/>
      <c r="CC356" s="9"/>
      <c r="CD356" s="9"/>
      <c r="CE356" s="875"/>
      <c r="CF356" s="875"/>
      <c r="CG356" s="875"/>
      <c r="CH356" s="875"/>
      <c r="CI356" s="875"/>
      <c r="CJ356" s="875"/>
      <c r="CK356" s="875"/>
      <c r="CL356" s="875"/>
      <c r="CM356" s="875"/>
      <c r="CN356" s="875"/>
      <c r="CO356" s="875"/>
      <c r="CP356" s="6"/>
      <c r="CQ356" s="6"/>
      <c r="CR356" s="6"/>
      <c r="CS356" s="6"/>
      <c r="CT356" s="6"/>
      <c r="CU356" s="6"/>
      <c r="DB356" s="1961"/>
      <c r="DC356" s="1961"/>
      <c r="DD356" s="1961"/>
      <c r="DE356" s="1961"/>
      <c r="DF356" s="1961"/>
      <c r="DG356" s="1961"/>
      <c r="DH356" s="1961"/>
      <c r="DI356" s="875"/>
    </row>
    <row r="357" spans="1:113" hidden="1" outlineLevel="1" x14ac:dyDescent="0.25">
      <c r="A357" s="882" t="s">
        <v>234</v>
      </c>
      <c r="B357" s="850"/>
      <c r="C357" s="873"/>
      <c r="D357" s="873"/>
      <c r="E357" s="516"/>
      <c r="F357" s="516"/>
      <c r="G357" s="516"/>
      <c r="H357" s="516"/>
      <c r="I357" s="278"/>
      <c r="J357" s="516">
        <v>0.23100000000000001</v>
      </c>
      <c r="K357" s="516">
        <f>0.979-J357</f>
        <v>0.748</v>
      </c>
      <c r="L357" s="516">
        <f>2.181-SUM(J357:K357)</f>
        <v>1.202</v>
      </c>
      <c r="M357" s="126">
        <f>N357-SUM(J357:L357)</f>
        <v>1.06</v>
      </c>
      <c r="N357" s="278">
        <v>3.2410000000000001</v>
      </c>
      <c r="O357" s="516">
        <v>0.80600000000000005</v>
      </c>
      <c r="P357" s="516">
        <f>1.647-O357</f>
        <v>0.84099999999999997</v>
      </c>
      <c r="Q357" s="875"/>
      <c r="R357" s="875"/>
      <c r="S357" s="278">
        <v>2.669</v>
      </c>
      <c r="T357" s="875"/>
      <c r="U357" s="875"/>
      <c r="V357" s="875"/>
      <c r="W357" s="875"/>
      <c r="X357" s="278">
        <v>2.5419999999999998</v>
      </c>
      <c r="Y357" s="875"/>
      <c r="Z357" s="875"/>
      <c r="AA357" s="875"/>
      <c r="AB357" s="875"/>
      <c r="AC357" s="873"/>
      <c r="AD357" s="875"/>
      <c r="AE357" s="875"/>
      <c r="AF357" s="875"/>
      <c r="AG357" s="875"/>
      <c r="AH357" s="873"/>
      <c r="AI357" s="875"/>
      <c r="AJ357" s="875"/>
      <c r="AK357" s="875"/>
      <c r="AL357" s="875"/>
      <c r="AM357" s="873"/>
      <c r="AN357" s="875"/>
      <c r="AO357" s="875"/>
      <c r="AP357" s="875"/>
      <c r="AQ357" s="875"/>
      <c r="AR357" s="873"/>
      <c r="AS357" s="875"/>
      <c r="AT357" s="875"/>
      <c r="AU357" s="875"/>
      <c r="AV357" s="875"/>
      <c r="AW357" s="873"/>
      <c r="AX357" s="875"/>
      <c r="AY357" s="875"/>
      <c r="AZ357" s="875"/>
      <c r="BA357" s="875"/>
      <c r="BB357" s="879"/>
      <c r="BC357" s="875"/>
      <c r="BD357" s="875"/>
      <c r="BE357" s="875"/>
      <c r="BF357" s="875"/>
      <c r="BG357" s="879"/>
      <c r="BH357" s="875"/>
      <c r="BI357" s="875"/>
      <c r="BJ357" s="875"/>
      <c r="BK357" s="875"/>
      <c r="BL357" s="879"/>
      <c r="BM357" s="875"/>
      <c r="BN357" s="875"/>
      <c r="BO357" s="875"/>
      <c r="BP357" s="875"/>
      <c r="BQ357" s="879"/>
      <c r="BR357" s="875"/>
      <c r="BS357" s="875"/>
      <c r="BT357" s="875"/>
      <c r="BU357" s="875"/>
      <c r="BV357" s="879"/>
      <c r="BW357" s="875"/>
      <c r="BX357" s="875"/>
      <c r="BY357" s="875"/>
      <c r="BZ357" s="875"/>
      <c r="CA357" s="879"/>
      <c r="CC357" s="9"/>
      <c r="CD357" s="9"/>
      <c r="CE357" s="875"/>
      <c r="CF357" s="875"/>
      <c r="CG357" s="875"/>
      <c r="CH357" s="875"/>
      <c r="CI357" s="875"/>
      <c r="CJ357" s="875"/>
      <c r="CK357" s="875"/>
      <c r="CL357" s="875"/>
      <c r="CM357" s="875"/>
      <c r="CN357" s="875"/>
      <c r="CO357" s="875"/>
      <c r="CP357" s="6"/>
      <c r="CQ357" s="6"/>
      <c r="CR357" s="6"/>
      <c r="CS357" s="6"/>
      <c r="CT357" s="6"/>
      <c r="CU357" s="6"/>
      <c r="DB357" s="1961"/>
      <c r="DC357" s="1961"/>
      <c r="DD357" s="1961"/>
      <c r="DE357" s="1961"/>
      <c r="DF357" s="1961"/>
      <c r="DG357" s="1961"/>
      <c r="DH357" s="1961"/>
      <c r="DI357" s="875"/>
    </row>
    <row r="358" spans="1:113" hidden="1" outlineLevel="1" x14ac:dyDescent="0.25">
      <c r="A358" s="882" t="s">
        <v>235</v>
      </c>
      <c r="B358" s="850"/>
      <c r="C358" s="873"/>
      <c r="D358" s="873"/>
      <c r="E358" s="516"/>
      <c r="F358" s="516"/>
      <c r="G358" s="516"/>
      <c r="H358" s="516"/>
      <c r="I358" s="278"/>
      <c r="J358" s="516"/>
      <c r="K358" s="516"/>
      <c r="L358" s="126"/>
      <c r="M358" s="875"/>
      <c r="N358" s="873"/>
      <c r="O358" s="875"/>
      <c r="P358" s="516">
        <v>1.607</v>
      </c>
      <c r="Q358" s="875"/>
      <c r="R358" s="875"/>
      <c r="S358" s="278">
        <v>5.532</v>
      </c>
      <c r="T358" s="875"/>
      <c r="U358" s="875"/>
      <c r="V358" s="875"/>
      <c r="W358" s="875"/>
      <c r="X358" s="278">
        <v>9.1310000000000002</v>
      </c>
      <c r="Y358" s="875"/>
      <c r="Z358" s="875"/>
      <c r="AA358" s="875"/>
      <c r="AB358" s="875"/>
      <c r="AC358" s="873"/>
      <c r="AD358" s="875"/>
      <c r="AE358" s="875"/>
      <c r="AF358" s="875"/>
      <c r="AG358" s="875"/>
      <c r="AH358" s="873"/>
      <c r="AI358" s="875"/>
      <c r="AJ358" s="875"/>
      <c r="AK358" s="875"/>
      <c r="AL358" s="875"/>
      <c r="AM358" s="873"/>
      <c r="AN358" s="875"/>
      <c r="AO358" s="875"/>
      <c r="AP358" s="875"/>
      <c r="AQ358" s="875"/>
      <c r="AR358" s="873"/>
      <c r="AS358" s="875"/>
      <c r="AT358" s="875"/>
      <c r="AU358" s="875"/>
      <c r="AV358" s="875"/>
      <c r="AW358" s="873"/>
      <c r="AX358" s="875"/>
      <c r="AY358" s="875"/>
      <c r="AZ358" s="875"/>
      <c r="BA358" s="875"/>
      <c r="BB358" s="879"/>
      <c r="BC358" s="875"/>
      <c r="BD358" s="875"/>
      <c r="BE358" s="875"/>
      <c r="BF358" s="875"/>
      <c r="BG358" s="879"/>
      <c r="BH358" s="875"/>
      <c r="BI358" s="875"/>
      <c r="BJ358" s="875"/>
      <c r="BK358" s="875"/>
      <c r="BL358" s="879"/>
      <c r="BM358" s="875"/>
      <c r="BN358" s="875"/>
      <c r="BO358" s="875"/>
      <c r="BP358" s="875"/>
      <c r="BQ358" s="879"/>
      <c r="BR358" s="875"/>
      <c r="BS358" s="875"/>
      <c r="BT358" s="875"/>
      <c r="BU358" s="875"/>
      <c r="BV358" s="879"/>
      <c r="BW358" s="875"/>
      <c r="BX358" s="875"/>
      <c r="BY358" s="875"/>
      <c r="BZ358" s="875"/>
      <c r="CA358" s="879"/>
      <c r="CC358" s="9"/>
      <c r="CD358" s="9"/>
      <c r="CE358" s="875"/>
      <c r="CF358" s="875"/>
      <c r="CG358" s="875"/>
      <c r="CH358" s="875"/>
      <c r="CI358" s="875"/>
      <c r="CJ358" s="875"/>
      <c r="CK358" s="875"/>
      <c r="CL358" s="875"/>
      <c r="CM358" s="875"/>
      <c r="CN358" s="875"/>
      <c r="CO358" s="875"/>
      <c r="CP358" s="6"/>
      <c r="CQ358" s="6"/>
      <c r="CR358" s="6"/>
      <c r="CS358" s="6"/>
      <c r="CT358" s="6"/>
      <c r="CU358" s="6"/>
      <c r="DB358" s="1961"/>
      <c r="DC358" s="1961"/>
      <c r="DD358" s="1961"/>
      <c r="DE358" s="1961"/>
      <c r="DF358" s="1961"/>
      <c r="DG358" s="1961"/>
      <c r="DH358" s="1961"/>
      <c r="DI358" s="875"/>
    </row>
    <row r="359" spans="1:113" hidden="1" outlineLevel="1" x14ac:dyDescent="0.25">
      <c r="A359" s="139" t="s">
        <v>236</v>
      </c>
      <c r="B359" s="850"/>
      <c r="C359" s="873"/>
      <c r="D359" s="873"/>
      <c r="E359" s="516"/>
      <c r="F359" s="516"/>
      <c r="G359" s="516"/>
      <c r="H359" s="516"/>
      <c r="I359" s="278"/>
      <c r="J359" s="516"/>
      <c r="K359" s="516"/>
      <c r="L359" s="126"/>
      <c r="M359" s="875"/>
      <c r="N359" s="873"/>
      <c r="O359" s="875"/>
      <c r="P359" s="516"/>
      <c r="Q359" s="875"/>
      <c r="R359" s="875"/>
      <c r="S359" s="873"/>
      <c r="T359" s="875"/>
      <c r="U359" s="875"/>
      <c r="V359" s="875"/>
      <c r="W359" s="875"/>
      <c r="X359" s="278">
        <v>6.93</v>
      </c>
      <c r="Y359" s="875"/>
      <c r="Z359" s="875"/>
      <c r="AA359" s="875"/>
      <c r="AB359" s="875"/>
      <c r="AC359" s="873"/>
      <c r="AD359" s="875"/>
      <c r="AE359" s="875"/>
      <c r="AF359" s="875"/>
      <c r="AG359" s="875"/>
      <c r="AH359" s="873"/>
      <c r="AI359" s="875"/>
      <c r="AJ359" s="875"/>
      <c r="AK359" s="875"/>
      <c r="AL359" s="875"/>
      <c r="AM359" s="873"/>
      <c r="AN359" s="875"/>
      <c r="AO359" s="875"/>
      <c r="AP359" s="875"/>
      <c r="AQ359" s="875"/>
      <c r="AR359" s="873"/>
      <c r="AS359" s="875"/>
      <c r="AT359" s="875"/>
      <c r="AU359" s="875"/>
      <c r="AV359" s="875"/>
      <c r="AW359" s="873"/>
      <c r="AX359" s="875"/>
      <c r="AY359" s="875"/>
      <c r="AZ359" s="875"/>
      <c r="BA359" s="875"/>
      <c r="BB359" s="879"/>
      <c r="BC359" s="875"/>
      <c r="BD359" s="875"/>
      <c r="BE359" s="875"/>
      <c r="BF359" s="875"/>
      <c r="BG359" s="879"/>
      <c r="BH359" s="875"/>
      <c r="BI359" s="875"/>
      <c r="BJ359" s="875"/>
      <c r="BK359" s="875"/>
      <c r="BL359" s="879"/>
      <c r="BM359" s="875"/>
      <c r="BN359" s="875"/>
      <c r="BO359" s="875"/>
      <c r="BP359" s="875"/>
      <c r="BQ359" s="879"/>
      <c r="BR359" s="875"/>
      <c r="BS359" s="875"/>
      <c r="BT359" s="875"/>
      <c r="BU359" s="875"/>
      <c r="BV359" s="879"/>
      <c r="BW359" s="875"/>
      <c r="BX359" s="875"/>
      <c r="BY359" s="875"/>
      <c r="BZ359" s="875"/>
      <c r="CA359" s="879"/>
      <c r="CC359" s="29"/>
      <c r="CD359" s="29"/>
      <c r="CE359" s="875"/>
      <c r="CF359" s="875"/>
      <c r="CG359" s="875"/>
      <c r="CH359" s="875"/>
      <c r="CI359" s="875"/>
      <c r="CJ359" s="875"/>
      <c r="CK359" s="875"/>
      <c r="CL359" s="875"/>
      <c r="CM359" s="875"/>
      <c r="CN359" s="875"/>
      <c r="CO359" s="875"/>
      <c r="CP359" s="14"/>
      <c r="CQ359" s="14"/>
      <c r="CR359" s="14"/>
      <c r="CS359" s="14"/>
      <c r="CT359" s="14"/>
      <c r="CU359" s="1961"/>
      <c r="DB359" s="1961"/>
      <c r="DC359" s="1961"/>
      <c r="DD359" s="1961"/>
      <c r="DE359" s="1961"/>
      <c r="DF359" s="1961"/>
      <c r="DG359" s="1961"/>
      <c r="DH359" s="1961"/>
      <c r="DI359" s="875"/>
    </row>
    <row r="360" spans="1:113" ht="12" customHeight="1" collapsed="1" x14ac:dyDescent="0.25">
      <c r="A360" s="139" t="s">
        <v>230</v>
      </c>
      <c r="B360" s="850"/>
      <c r="C360" s="71">
        <f t="shared" ref="C360:AA360" si="499">C117</f>
        <v>4.0940000000000003</v>
      </c>
      <c r="D360" s="71">
        <f t="shared" si="499"/>
        <v>6.1479999999999997</v>
      </c>
      <c r="E360" s="535">
        <f t="shared" si="499"/>
        <v>1.5209999999999999</v>
      </c>
      <c r="F360" s="574">
        <f t="shared" si="499"/>
        <v>2.2349999999999999</v>
      </c>
      <c r="G360" s="74">
        <f t="shared" si="499"/>
        <v>2.3220000000000005</v>
      </c>
      <c r="H360" s="141">
        <f t="shared" si="499"/>
        <v>2.1659999999999995</v>
      </c>
      <c r="I360" s="71">
        <f t="shared" si="499"/>
        <v>8.2439999999999998</v>
      </c>
      <c r="J360" s="74">
        <f t="shared" si="499"/>
        <v>2.052</v>
      </c>
      <c r="K360" s="74">
        <f t="shared" si="499"/>
        <v>2.5690000000000004</v>
      </c>
      <c r="L360" s="74">
        <f t="shared" si="499"/>
        <v>2.9009999999999998</v>
      </c>
      <c r="M360" s="141">
        <f t="shared" si="499"/>
        <v>2.359</v>
      </c>
      <c r="N360" s="71">
        <f t="shared" si="499"/>
        <v>9.8810000000000002</v>
      </c>
      <c r="O360" s="74">
        <f t="shared" si="499"/>
        <v>2.0049999999999999</v>
      </c>
      <c r="P360" s="74">
        <f t="shared" si="499"/>
        <v>3.51</v>
      </c>
      <c r="Q360" s="74">
        <f t="shared" si="499"/>
        <v>3.0110000000000001</v>
      </c>
      <c r="R360" s="74">
        <f t="shared" si="499"/>
        <v>4.218</v>
      </c>
      <c r="S360" s="71">
        <f t="shared" si="499"/>
        <v>12.744</v>
      </c>
      <c r="T360" s="74">
        <f t="shared" si="499"/>
        <v>3.8860000000000001</v>
      </c>
      <c r="U360" s="74">
        <f t="shared" si="499"/>
        <v>6.3980000000000006</v>
      </c>
      <c r="V360" s="74">
        <f t="shared" si="499"/>
        <v>5.7059999999999995</v>
      </c>
      <c r="W360" s="74">
        <f t="shared" si="499"/>
        <v>5.3079999999999981</v>
      </c>
      <c r="X360" s="71">
        <f t="shared" si="499"/>
        <v>21.297999999999998</v>
      </c>
      <c r="Y360" s="654">
        <f t="shared" si="499"/>
        <v>3.8180000000000001</v>
      </c>
      <c r="Z360" s="654">
        <f t="shared" si="499"/>
        <v>8.5129999999999999</v>
      </c>
      <c r="AA360" s="654">
        <f t="shared" si="499"/>
        <v>4.9570000000000007</v>
      </c>
      <c r="AB360" s="654">
        <f>AB117</f>
        <v>5.3679999999999986</v>
      </c>
      <c r="AC360" s="738">
        <f>SUM(Y360:AB360)</f>
        <v>22.655999999999999</v>
      </c>
      <c r="AD360" s="654">
        <f>AD117</f>
        <v>4.4459999999999997</v>
      </c>
      <c r="AE360" s="654">
        <f>AE117</f>
        <v>9.2070000000000007</v>
      </c>
      <c r="AF360" s="654">
        <f>AF117</f>
        <v>5.65</v>
      </c>
      <c r="AG360" s="654">
        <f>AG117</f>
        <v>5.3930000000000007</v>
      </c>
      <c r="AH360" s="738">
        <f>SUM(AD360:AG360)</f>
        <v>24.696000000000002</v>
      </c>
      <c r="AI360" s="654">
        <f>AI117</f>
        <v>4.5709999999999997</v>
      </c>
      <c r="AJ360" s="654">
        <f>AJ117</f>
        <v>6.3840000000000003</v>
      </c>
      <c r="AK360" s="654">
        <f>AK117</f>
        <v>5.7900000000000009</v>
      </c>
      <c r="AL360" s="767">
        <f>21.087-SUM(AI360:AK360)</f>
        <v>4.3419999999999987</v>
      </c>
      <c r="AM360" s="712">
        <f>SUM(AI360:AL360)</f>
        <v>21.087</v>
      </c>
      <c r="AN360" s="654">
        <f>AN117</f>
        <v>4.9829999999999997</v>
      </c>
      <c r="AO360" s="654">
        <f>AO117</f>
        <v>6.0740000000000007</v>
      </c>
      <c r="AP360" s="654">
        <f>AP117</f>
        <v>5.2659999999999991</v>
      </c>
      <c r="AQ360" s="654">
        <f>AQ117</f>
        <v>3.9299999999999997</v>
      </c>
      <c r="AR360" s="712">
        <f>SUM(AN360:AQ360)</f>
        <v>20.253</v>
      </c>
      <c r="AS360" s="654">
        <f>AS117</f>
        <v>4.2240000000000002</v>
      </c>
      <c r="AT360" s="654">
        <f>AT117</f>
        <v>14.823</v>
      </c>
      <c r="AU360" s="654">
        <f>AU117</f>
        <v>6.4239999999999995</v>
      </c>
      <c r="AV360" s="655">
        <f>AV117</f>
        <v>5.0710000000000015</v>
      </c>
      <c r="AW360" s="883">
        <f>SUM(AS360:AV360)</f>
        <v>30.542000000000002</v>
      </c>
      <c r="AX360" s="654">
        <f>AX117</f>
        <v>5.5469999999999997</v>
      </c>
      <c r="AY360" s="654">
        <f>AY117</f>
        <v>10.920999999999999</v>
      </c>
      <c r="AZ360" s="654">
        <f>AZ117</f>
        <v>7.3539999999999992</v>
      </c>
      <c r="BA360" s="654">
        <f>BA117</f>
        <v>6.1780000000000008</v>
      </c>
      <c r="BB360" s="712">
        <f>SUM(AX360:BA360)</f>
        <v>30</v>
      </c>
      <c r="BC360" s="654">
        <f>BC117</f>
        <v>6.5</v>
      </c>
      <c r="BD360" s="654">
        <f>BD117</f>
        <v>8.9</v>
      </c>
      <c r="BE360" s="654">
        <f>BE117</f>
        <v>8.7999999999999989</v>
      </c>
      <c r="BF360" s="654">
        <f>BF117</f>
        <v>7.6000000000000014</v>
      </c>
      <c r="BG360" s="712">
        <f>SUM(BC360:BF360)</f>
        <v>31.8</v>
      </c>
      <c r="BH360" s="767">
        <f>BH361*BH12</f>
        <v>8.5223099999999992</v>
      </c>
      <c r="BI360" s="767">
        <f>BI361*BI12</f>
        <v>8.7402300000000004</v>
      </c>
      <c r="BJ360" s="767">
        <f>BJ361*BJ12</f>
        <v>8.9734250000000007</v>
      </c>
      <c r="BK360" s="767">
        <f>BK361*BK12</f>
        <v>9.1552349999999993</v>
      </c>
      <c r="BL360" s="712">
        <f>SUM(BH360:BK360)</f>
        <v>35.391199999999998</v>
      </c>
      <c r="BM360" s="767">
        <f>BM361*BM12</f>
        <v>9.0053151749999998</v>
      </c>
      <c r="BN360" s="767">
        <f>BN361*BN12</f>
        <v>9.243707474999999</v>
      </c>
      <c r="BO360" s="767">
        <f>BO361*BO12</f>
        <v>9.4927590562499997</v>
      </c>
      <c r="BP360" s="767">
        <f>BP361*BP12</f>
        <v>9.6930806999999994</v>
      </c>
      <c r="BQ360" s="712">
        <f>SUM(BM360:BP360)</f>
        <v>37.434862406250005</v>
      </c>
      <c r="BR360" s="767">
        <f>BR361*BR12</f>
        <v>9.510051636750001</v>
      </c>
      <c r="BS360" s="767">
        <f>BS361*BS12</f>
        <v>9.7625526277500008</v>
      </c>
      <c r="BT360" s="767">
        <f>BT361*BT12</f>
        <v>10.027113935437502</v>
      </c>
      <c r="BU360" s="767">
        <f>BU361*BU12</f>
        <v>10.238145438</v>
      </c>
      <c r="BV360" s="712">
        <f>SUM(BR360:BU360)</f>
        <v>39.537863637937505</v>
      </c>
      <c r="BW360" s="767">
        <f>BW361*BW12</f>
        <v>10.0443304453275</v>
      </c>
      <c r="BX360" s="767">
        <f>BX361*BX12</f>
        <v>10.311822693097501</v>
      </c>
      <c r="BY360" s="767">
        <f>BY361*BY12</f>
        <v>10.592876714113126</v>
      </c>
      <c r="BZ360" s="767">
        <f>BZ361*BZ12</f>
        <v>10.81522339332</v>
      </c>
      <c r="CA360" s="712">
        <f>SUM(BW360:BZ360)</f>
        <v>41.764253245858129</v>
      </c>
      <c r="CC360" s="29"/>
      <c r="CD360" s="29"/>
      <c r="CE360" s="765"/>
      <c r="CF360" s="765"/>
      <c r="CG360" s="765"/>
      <c r="CH360" s="765"/>
      <c r="CI360" s="765"/>
      <c r="CJ360" s="765"/>
      <c r="CK360" s="765"/>
      <c r="CL360" s="765"/>
      <c r="CM360" s="765"/>
      <c r="CN360" s="765"/>
      <c r="CO360" s="765"/>
      <c r="CP360" s="14"/>
      <c r="CQ360" s="14"/>
      <c r="CR360" s="14"/>
      <c r="CS360" s="14"/>
      <c r="CT360" s="14"/>
      <c r="CU360" s="1961"/>
      <c r="DB360" s="1961"/>
      <c r="DC360" s="1961"/>
      <c r="DD360" s="1961"/>
      <c r="DE360" s="1961"/>
      <c r="DF360" s="1961"/>
      <c r="DG360" s="1961"/>
      <c r="DH360" s="1961"/>
      <c r="DI360" s="767"/>
    </row>
    <row r="361" spans="1:113" ht="12" customHeight="1" x14ac:dyDescent="0.25">
      <c r="A361" s="93" t="s">
        <v>59</v>
      </c>
      <c r="B361" s="850"/>
      <c r="C361" s="441">
        <f t="shared" ref="C361:AX361" si="500">C360/C12</f>
        <v>6.3407985627110244E-3</v>
      </c>
      <c r="D361" s="441">
        <f t="shared" si="500"/>
        <v>8.4203836835206724E-3</v>
      </c>
      <c r="E361" s="759">
        <f t="shared" si="500"/>
        <v>7.6495971513926182E-3</v>
      </c>
      <c r="F361" s="92">
        <f t="shared" si="500"/>
        <v>1.1110890163755133E-2</v>
      </c>
      <c r="G361" s="92">
        <f t="shared" si="500"/>
        <v>1.1626102151479802E-2</v>
      </c>
      <c r="H361" s="442">
        <f t="shared" si="500"/>
        <v>1.0697141502538471E-2</v>
      </c>
      <c r="I361" s="441">
        <f t="shared" si="500"/>
        <v>1.0276803021709186E-2</v>
      </c>
      <c r="J361" s="92">
        <f t="shared" si="500"/>
        <v>9.5168306913151965E-3</v>
      </c>
      <c r="K361" s="92">
        <f t="shared" si="500"/>
        <v>1.1568320184444687E-2</v>
      </c>
      <c r="L361" s="92">
        <f t="shared" si="500"/>
        <v>1.2928326002379774E-2</v>
      </c>
      <c r="M361" s="442">
        <f t="shared" si="500"/>
        <v>1.0191429521879821E-2</v>
      </c>
      <c r="N361" s="441">
        <f t="shared" si="500"/>
        <v>1.1058138884225842E-2</v>
      </c>
      <c r="O361" s="92">
        <f t="shared" si="500"/>
        <v>8.1586646646402243E-3</v>
      </c>
      <c r="P361" s="92">
        <f t="shared" si="500"/>
        <v>1.360908202670637E-2</v>
      </c>
      <c r="Q361" s="92">
        <f t="shared" si="500"/>
        <v>1.1656491593466789E-2</v>
      </c>
      <c r="R361" s="92">
        <f t="shared" si="500"/>
        <v>1.5909416654722661E-2</v>
      </c>
      <c r="S361" s="441">
        <f>S360/S12</f>
        <v>1.2407701654360221E-2</v>
      </c>
      <c r="T361" s="92">
        <f t="shared" si="500"/>
        <v>1.4071858455789161E-2</v>
      </c>
      <c r="U361" s="92">
        <f t="shared" si="500"/>
        <v>2.2713959606215629E-2</v>
      </c>
      <c r="V361" s="92">
        <f t="shared" si="500"/>
        <v>1.985704044488679E-2</v>
      </c>
      <c r="W361" s="92">
        <f t="shared" si="500"/>
        <v>1.8106277161121297E-2</v>
      </c>
      <c r="X361" s="441">
        <f>X360/X12</f>
        <v>1.8709650781882085E-2</v>
      </c>
      <c r="Y361" s="92">
        <f t="shared" si="500"/>
        <v>1.2203190472689847E-2</v>
      </c>
      <c r="Z361" s="92">
        <f t="shared" si="500"/>
        <v>2.6011366414079685E-2</v>
      </c>
      <c r="AA361" s="92">
        <f t="shared" si="500"/>
        <v>1.4575210674570273E-2</v>
      </c>
      <c r="AB361" s="92">
        <f t="shared" si="500"/>
        <v>1.5267653224040294E-2</v>
      </c>
      <c r="AC361" s="441">
        <f>AC360/AC12</f>
        <v>1.7011052378664102E-2</v>
      </c>
      <c r="AD361" s="92">
        <f t="shared" si="500"/>
        <v>1.2831131800485424E-2</v>
      </c>
      <c r="AE361" s="92">
        <f t="shared" si="500"/>
        <v>2.4668699393932899E-2</v>
      </c>
      <c r="AF361" s="92">
        <f t="shared" si="500"/>
        <v>1.4165264765094783E-2</v>
      </c>
      <c r="AG361" s="92">
        <f t="shared" si="500"/>
        <v>1.2972361869482599E-2</v>
      </c>
      <c r="AH361" s="441">
        <f>AH360/AH12</f>
        <v>1.609572970436415E-2</v>
      </c>
      <c r="AI361" s="92">
        <f t="shared" si="500"/>
        <v>1.213442103335041E-2</v>
      </c>
      <c r="AJ361" s="90">
        <f t="shared" si="500"/>
        <v>1.6353883278769157E-2</v>
      </c>
      <c r="AK361" s="90">
        <f t="shared" si="500"/>
        <v>1.4055888543358415E-2</v>
      </c>
      <c r="AL361" s="90">
        <f t="shared" si="500"/>
        <v>1.0419391298296467E-2</v>
      </c>
      <c r="AM361" s="91">
        <f t="shared" si="500"/>
        <v>1.321478235747907E-2</v>
      </c>
      <c r="AN361" s="92">
        <f t="shared" si="500"/>
        <v>1.2164250335047835E-2</v>
      </c>
      <c r="AO361" s="92">
        <f t="shared" si="500"/>
        <v>1.4340556339923602E-2</v>
      </c>
      <c r="AP361" s="92">
        <f t="shared" si="500"/>
        <v>1.1737042113826571E-2</v>
      </c>
      <c r="AQ361" s="92">
        <f t="shared" si="500"/>
        <v>8.4540854959730162E-3</v>
      </c>
      <c r="AR361" s="91">
        <f t="shared" si="500"/>
        <v>1.1594835137279689E-2</v>
      </c>
      <c r="AS361" s="92">
        <f t="shared" si="500"/>
        <v>9.1946616978343353E-3</v>
      </c>
      <c r="AT361" s="92">
        <f t="shared" si="500"/>
        <v>2.9785994172611276E-2</v>
      </c>
      <c r="AU361" s="92">
        <f t="shared" si="500"/>
        <v>1.167149042243746E-2</v>
      </c>
      <c r="AV361" s="442">
        <f t="shared" si="500"/>
        <v>9.0456653585444177E-3</v>
      </c>
      <c r="AW361" s="91">
        <f t="shared" si="500"/>
        <v>1.4768516011233784E-2</v>
      </c>
      <c r="AX361" s="92">
        <f t="shared" si="500"/>
        <v>1.1258349384312189E-2</v>
      </c>
      <c r="AY361" s="92">
        <f t="shared" ref="AY361:BD361" si="501">AY360/AY12</f>
        <v>2.1916692086631242E-2</v>
      </c>
      <c r="AZ361" s="92">
        <f t="shared" si="501"/>
        <v>1.476466679114441E-2</v>
      </c>
      <c r="BA361" s="92">
        <f t="shared" si="501"/>
        <v>1.2207073700849636E-2</v>
      </c>
      <c r="BB361" s="91">
        <f t="shared" si="501"/>
        <v>1.5036252404547364E-2</v>
      </c>
      <c r="BC361" s="92">
        <f t="shared" si="501"/>
        <v>1.2932749701551931E-2</v>
      </c>
      <c r="BD361" s="1948">
        <f t="shared" si="501"/>
        <v>1.7010703363914373E-2</v>
      </c>
      <c r="BE361" s="1948">
        <f t="shared" ref="BE361:BF361" si="502">BE360/BE12</f>
        <v>1.6026224731378619E-2</v>
      </c>
      <c r="BF361" s="1948">
        <f t="shared" si="502"/>
        <v>1.332631948097493E-2</v>
      </c>
      <c r="BG361" s="91">
        <f>BG360/BG12</f>
        <v>1.4823792653365652E-2</v>
      </c>
      <c r="BH361" s="716">
        <v>1.4999999999999999E-2</v>
      </c>
      <c r="BI361" s="716">
        <v>1.4999999999999999E-2</v>
      </c>
      <c r="BJ361" s="716">
        <v>1.4999999999999999E-2</v>
      </c>
      <c r="BK361" s="716">
        <v>1.4999999999999999E-2</v>
      </c>
      <c r="BL361" s="91">
        <f>BL360/BL12</f>
        <v>1.4999999999999998E-2</v>
      </c>
      <c r="BM361" s="716">
        <v>1.4999999999999999E-2</v>
      </c>
      <c r="BN361" s="716">
        <v>1.4999999999999999E-2</v>
      </c>
      <c r="BO361" s="716">
        <v>1.4999999999999999E-2</v>
      </c>
      <c r="BP361" s="716">
        <v>1.4999999999999999E-2</v>
      </c>
      <c r="BQ361" s="91">
        <f>BQ360/BQ12</f>
        <v>1.5000000000000003E-2</v>
      </c>
      <c r="BR361" s="716">
        <v>1.4999999999999999E-2</v>
      </c>
      <c r="BS361" s="716">
        <v>1.4999999999999999E-2</v>
      </c>
      <c r="BT361" s="716">
        <v>1.4999999999999999E-2</v>
      </c>
      <c r="BU361" s="716">
        <v>1.4999999999999999E-2</v>
      </c>
      <c r="BV361" s="91">
        <f>BV360/BV12</f>
        <v>1.5000000000000001E-2</v>
      </c>
      <c r="BW361" s="716">
        <v>1.4999999999999999E-2</v>
      </c>
      <c r="BX361" s="716">
        <v>1.4999999999999999E-2</v>
      </c>
      <c r="BY361" s="716">
        <v>1.4999999999999999E-2</v>
      </c>
      <c r="BZ361" s="716">
        <v>1.4999999999999999E-2</v>
      </c>
      <c r="CA361" s="91">
        <f>CA360/CA12</f>
        <v>1.4999999999999999E-2</v>
      </c>
      <c r="CC361" s="29"/>
      <c r="CD361" s="29"/>
      <c r="CE361" s="706"/>
      <c r="CF361" s="706"/>
      <c r="CG361" s="706"/>
      <c r="CH361" s="706"/>
      <c r="CI361" s="706"/>
      <c r="CJ361" s="706"/>
      <c r="CK361" s="706"/>
      <c r="CL361" s="706"/>
      <c r="CM361" s="706"/>
      <c r="CN361" s="706"/>
      <c r="CO361" s="706"/>
      <c r="CP361" s="14"/>
      <c r="CQ361" s="14"/>
      <c r="CR361" s="14"/>
      <c r="CS361" s="14"/>
      <c r="CT361" s="14"/>
      <c r="CU361" s="1961"/>
      <c r="DB361" s="1961"/>
      <c r="DC361" s="1961"/>
      <c r="DD361" s="1961"/>
      <c r="DE361" s="1961"/>
      <c r="DF361" s="1961"/>
      <c r="DG361" s="1961"/>
      <c r="DH361" s="1961"/>
      <c r="DI361" s="716"/>
    </row>
    <row r="362" spans="1:113" ht="5.25" customHeight="1" thickBot="1" x14ac:dyDescent="0.3">
      <c r="A362" s="884"/>
      <c r="B362" s="885"/>
      <c r="C362" s="886"/>
      <c r="D362" s="886"/>
      <c r="E362" s="884"/>
      <c r="F362" s="884"/>
      <c r="G362" s="884"/>
      <c r="H362" s="884"/>
      <c r="I362" s="886"/>
      <c r="J362" s="884"/>
      <c r="K362" s="884"/>
      <c r="L362" s="884"/>
      <c r="M362" s="884"/>
      <c r="N362" s="886"/>
      <c r="O362" s="884"/>
      <c r="P362" s="887"/>
      <c r="Q362" s="887"/>
      <c r="R362" s="887"/>
      <c r="S362" s="888"/>
      <c r="T362" s="884"/>
      <c r="U362" s="887"/>
      <c r="V362" s="887"/>
      <c r="W362" s="887"/>
      <c r="X362" s="888"/>
      <c r="Y362" s="884"/>
      <c r="Z362" s="887"/>
      <c r="AA362" s="887"/>
      <c r="AB362" s="887"/>
      <c r="AC362" s="888"/>
      <c r="AD362" s="887"/>
      <c r="AE362" s="887"/>
      <c r="AF362" s="887"/>
      <c r="AG362" s="887"/>
      <c r="AH362" s="888"/>
      <c r="AI362" s="887"/>
      <c r="AJ362" s="887"/>
      <c r="AK362" s="887"/>
      <c r="AL362" s="887"/>
      <c r="AM362" s="888"/>
      <c r="AN362" s="887"/>
      <c r="AO362" s="887"/>
      <c r="AP362" s="887"/>
      <c r="AQ362" s="887"/>
      <c r="AR362" s="888"/>
      <c r="AS362" s="887"/>
      <c r="AT362" s="887"/>
      <c r="AU362" s="887"/>
      <c r="AV362" s="887"/>
      <c r="AW362" s="889"/>
      <c r="AX362" s="887"/>
      <c r="AY362" s="887"/>
      <c r="AZ362" s="887"/>
      <c r="BA362" s="887"/>
      <c r="BB362" s="890"/>
      <c r="BC362" s="887"/>
      <c r="BD362" s="887"/>
      <c r="BE362" s="887"/>
      <c r="BF362" s="887"/>
      <c r="BG362" s="890"/>
      <c r="BH362" s="887"/>
      <c r="BI362" s="887"/>
      <c r="BJ362" s="887"/>
      <c r="BK362" s="887"/>
      <c r="BL362" s="890"/>
      <c r="BM362" s="887"/>
      <c r="BN362" s="887"/>
      <c r="BO362" s="887"/>
      <c r="BP362" s="887"/>
      <c r="BQ362" s="890"/>
      <c r="BR362" s="887"/>
      <c r="BS362" s="887"/>
      <c r="BT362" s="887"/>
      <c r="BU362" s="887"/>
      <c r="BV362" s="890"/>
      <c r="BW362" s="887"/>
      <c r="BX362" s="887"/>
      <c r="BY362" s="887"/>
      <c r="BZ362" s="887"/>
      <c r="CA362" s="890"/>
      <c r="CC362" s="29"/>
      <c r="CD362" s="29"/>
      <c r="CE362" s="464"/>
      <c r="CF362" s="464"/>
      <c r="CG362" s="464"/>
      <c r="CH362" s="464"/>
      <c r="CI362" s="464"/>
      <c r="CJ362" s="464"/>
      <c r="CK362" s="464"/>
      <c r="CL362" s="464"/>
      <c r="CM362" s="464"/>
      <c r="CN362" s="464"/>
      <c r="CO362" s="464"/>
      <c r="CP362" s="188"/>
      <c r="CQ362" s="188"/>
      <c r="CR362" s="188"/>
      <c r="CS362" s="188"/>
      <c r="CT362" s="188"/>
      <c r="CU362" s="188"/>
      <c r="DB362" s="1961"/>
      <c r="DC362" s="1961"/>
      <c r="DD362" s="1961"/>
      <c r="DE362" s="1961"/>
      <c r="DF362" s="1961"/>
      <c r="DG362" s="1961"/>
      <c r="DH362" s="1961"/>
      <c r="DI362" s="891"/>
    </row>
    <row r="363" spans="1:113" ht="5.25" customHeight="1" x14ac:dyDescent="0.25">
      <c r="A363" s="29"/>
      <c r="B363" s="892"/>
      <c r="C363" s="110"/>
      <c r="D363" s="110"/>
      <c r="E363" s="29"/>
      <c r="F363" s="29"/>
      <c r="G363" s="29"/>
      <c r="H363" s="29"/>
      <c r="I363" s="110"/>
      <c r="J363" s="29"/>
      <c r="K363" s="29"/>
      <c r="L363" s="29"/>
      <c r="M363" s="29"/>
      <c r="N363" s="110"/>
      <c r="O363" s="29"/>
      <c r="P363" s="29"/>
      <c r="Q363" s="29"/>
      <c r="R363" s="29"/>
      <c r="S363" s="110"/>
      <c r="T363" s="29"/>
      <c r="U363" s="29"/>
      <c r="V363" s="29"/>
      <c r="W363" s="29"/>
      <c r="X363" s="110"/>
      <c r="Y363" s="29"/>
      <c r="Z363" s="29"/>
      <c r="AA363" s="29"/>
      <c r="AB363" s="483"/>
      <c r="AC363" s="110"/>
      <c r="AD363" s="29"/>
      <c r="AE363" s="29"/>
      <c r="AF363" s="29"/>
      <c r="AG363" s="483"/>
      <c r="AH363" s="110"/>
      <c r="AI363" s="29"/>
      <c r="AJ363" s="29"/>
      <c r="AK363" s="29"/>
      <c r="AL363" s="29"/>
      <c r="AM363" s="110"/>
      <c r="AN363" s="29"/>
      <c r="AO363" s="29"/>
      <c r="AP363" s="29"/>
      <c r="AQ363" s="29"/>
      <c r="AR363" s="110"/>
      <c r="AS363" s="29"/>
      <c r="AT363" s="29"/>
      <c r="AU363" s="29"/>
      <c r="AV363" s="29"/>
      <c r="AW363" s="893"/>
      <c r="AX363" s="29"/>
      <c r="AY363" s="29"/>
      <c r="AZ363" s="29"/>
      <c r="BA363" s="29"/>
      <c r="BB363" s="894"/>
      <c r="BC363" s="29"/>
      <c r="BD363" s="29"/>
      <c r="BE363" s="29"/>
      <c r="BF363" s="29"/>
      <c r="BG363" s="894"/>
      <c r="BH363" s="29"/>
      <c r="BI363" s="29"/>
      <c r="BJ363" s="29"/>
      <c r="BK363" s="29"/>
      <c r="BL363" s="894"/>
      <c r="BM363" s="29"/>
      <c r="BN363" s="29"/>
      <c r="BO363" s="29"/>
      <c r="BP363" s="29"/>
      <c r="BQ363" s="894"/>
      <c r="BR363" s="29"/>
      <c r="BS363" s="29"/>
      <c r="BT363" s="29"/>
      <c r="BU363" s="29"/>
      <c r="BV363" s="894"/>
      <c r="BW363" s="29"/>
      <c r="BX363" s="29"/>
      <c r="BY363" s="29"/>
      <c r="BZ363" s="29"/>
      <c r="CA363" s="894"/>
      <c r="CC363" s="29"/>
      <c r="CD363" s="29"/>
      <c r="CE363" s="29"/>
      <c r="CF363" s="29"/>
      <c r="CG363" s="29"/>
      <c r="CH363" s="29"/>
      <c r="CI363" s="29"/>
      <c r="CJ363" s="29"/>
      <c r="CK363" s="29"/>
      <c r="CL363" s="29"/>
      <c r="CM363" s="29"/>
      <c r="CN363" s="29"/>
      <c r="CO363" s="29"/>
      <c r="CP363" s="188"/>
      <c r="CQ363" s="188"/>
      <c r="CR363" s="188"/>
      <c r="CS363" s="188"/>
      <c r="CT363" s="188"/>
      <c r="CU363" s="188"/>
      <c r="DB363" s="1961"/>
      <c r="DC363" s="1961"/>
      <c r="DD363" s="1961"/>
      <c r="DE363" s="1961"/>
      <c r="DF363" s="1961"/>
      <c r="DG363" s="1961"/>
      <c r="DH363" s="1961"/>
      <c r="DI363" s="9"/>
    </row>
    <row r="364" spans="1:113" x14ac:dyDescent="0.25">
      <c r="A364" s="405" t="s">
        <v>237</v>
      </c>
      <c r="B364" s="892"/>
      <c r="C364" s="110"/>
      <c r="D364" s="110"/>
      <c r="E364" s="29"/>
      <c r="F364" s="29"/>
      <c r="G364" s="29"/>
      <c r="H364" s="29"/>
      <c r="I364" s="110"/>
      <c r="J364" s="29"/>
      <c r="K364" s="29"/>
      <c r="L364" s="29"/>
      <c r="M364" s="29"/>
      <c r="N364" s="110"/>
      <c r="O364" s="29"/>
      <c r="P364" s="29"/>
      <c r="Q364" s="29"/>
      <c r="R364" s="455"/>
      <c r="S364" s="110"/>
      <c r="T364" s="29"/>
      <c r="U364" s="483"/>
      <c r="V364" s="483"/>
      <c r="W364" s="483"/>
      <c r="X364" s="110"/>
      <c r="Y364" s="29"/>
      <c r="Z364" s="895"/>
      <c r="AA364" s="483"/>
      <c r="AB364" s="483"/>
      <c r="AC364" s="110"/>
      <c r="AD364" s="483"/>
      <c r="AE364" s="483"/>
      <c r="AF364" s="483"/>
      <c r="AG364" s="483"/>
      <c r="AH364" s="110"/>
      <c r="AI364" s="483"/>
      <c r="AJ364" s="483"/>
      <c r="AK364" s="483"/>
      <c r="AL364" s="483"/>
      <c r="AM364" s="110"/>
      <c r="AN364" s="483"/>
      <c r="AO364" s="483"/>
      <c r="AP364" s="483"/>
      <c r="AQ364" s="483"/>
      <c r="AR364" s="110"/>
      <c r="AS364" s="483"/>
      <c r="AT364" s="483"/>
      <c r="AU364" s="483"/>
      <c r="AV364" s="896"/>
      <c r="AW364" s="897"/>
      <c r="AX364" s="483"/>
      <c r="AY364" s="483"/>
      <c r="AZ364" s="483"/>
      <c r="BA364" s="14"/>
      <c r="BB364" s="469"/>
      <c r="BC364" s="483"/>
      <c r="BD364" s="483"/>
      <c r="BE364" s="1"/>
      <c r="BF364" s="1"/>
      <c r="BG364" s="469"/>
      <c r="BH364" s="1"/>
      <c r="BI364" s="483"/>
      <c r="BJ364" s="1"/>
      <c r="BK364" s="1"/>
      <c r="BL364" s="469"/>
      <c r="BM364" s="1"/>
      <c r="BN364" s="483"/>
      <c r="BO364" s="1"/>
      <c r="BP364" s="1"/>
      <c r="BQ364" s="469"/>
      <c r="BR364" s="1"/>
      <c r="BS364" s="483"/>
      <c r="BT364" s="1"/>
      <c r="BU364" s="1"/>
      <c r="BV364" s="469"/>
      <c r="BW364" s="1"/>
      <c r="BX364" s="483"/>
      <c r="BY364" s="1"/>
      <c r="BZ364" s="1"/>
      <c r="CA364" s="469"/>
      <c r="CC364" s="29"/>
      <c r="CD364" s="29"/>
      <c r="CE364" s="29"/>
      <c r="CF364" s="29"/>
      <c r="CG364" s="29"/>
      <c r="CH364" s="29"/>
      <c r="CI364" s="29"/>
      <c r="CJ364" s="29"/>
      <c r="CK364" s="29"/>
      <c r="CL364" s="29"/>
      <c r="CM364" s="29"/>
      <c r="CN364" s="29"/>
      <c r="CO364" s="29"/>
      <c r="CP364" s="188"/>
      <c r="CQ364" s="188"/>
      <c r="CR364" s="188"/>
      <c r="CS364" s="188"/>
      <c r="CT364" s="188"/>
      <c r="CU364" s="188"/>
      <c r="DB364" s="1961"/>
      <c r="DC364" s="1961"/>
      <c r="DD364" s="1961"/>
      <c r="DE364" s="1961"/>
      <c r="DF364" s="1961"/>
      <c r="DG364" s="1961"/>
      <c r="DH364" s="1961"/>
      <c r="DI364" s="18"/>
    </row>
    <row r="365" spans="1:113" ht="12" customHeight="1" x14ac:dyDescent="0.25">
      <c r="A365" s="487" t="s">
        <v>238</v>
      </c>
      <c r="B365" s="899"/>
      <c r="C365" s="644">
        <f>C175/(C12/360)</f>
        <v>0</v>
      </c>
      <c r="D365" s="644">
        <f>D175/(D12/360)</f>
        <v>45.226006768629816</v>
      </c>
      <c r="E365" s="900">
        <f>IF(ISERROR(E175/(E12/90)),"NM",(E175/(E12/90)))</f>
        <v>0</v>
      </c>
      <c r="F365" s="657">
        <f>F175/(F12/90)</f>
        <v>0</v>
      </c>
      <c r="G365" s="657">
        <f>G175/(G12/90)</f>
        <v>0</v>
      </c>
      <c r="H365" s="657">
        <f>H175/(H12/90)</f>
        <v>38.442148515438262</v>
      </c>
      <c r="I365" s="644">
        <f>I175/(I12/360)</f>
        <v>38.813106538933802</v>
      </c>
      <c r="J365" s="900">
        <f>IF(ISERROR(J175/(J12/90)),"NM",(J175/(J12/90)))</f>
        <v>44.53000213340259</v>
      </c>
      <c r="K365" s="657">
        <f>K175/(K12/90)</f>
        <v>36.622176591375769</v>
      </c>
      <c r="L365" s="657">
        <f>L175/(L12/90)</f>
        <v>32.932737944035182</v>
      </c>
      <c r="M365" s="657">
        <f>M175/(M12/90)</f>
        <v>32.638020642073016</v>
      </c>
      <c r="N365" s="644">
        <f>N175/(N12/360)</f>
        <v>33.818767836159147</v>
      </c>
      <c r="O365" s="900">
        <f>IF(ISERROR(O175/(O12/90)),"NM",(O175/(O12/90)))</f>
        <v>42.221272751687678</v>
      </c>
      <c r="P365" s="900">
        <f>IF(ISERROR(P175/(P12/90)),"NM",(P175/(P12/90)))</f>
        <v>37.390429442143947</v>
      </c>
      <c r="Q365" s="900">
        <f>IF(ISERROR(Q175/(Q12/90)),"NM",(Q175/(Q12/90)))</f>
        <v>36.264309301578322</v>
      </c>
      <c r="R365" s="900">
        <f>IF(ISERROR(R175/(R12/90)),"NM",(R175/(R12/90)))</f>
        <v>30.360055219027942</v>
      </c>
      <c r="S365" s="644">
        <f>S175/(S12/360)</f>
        <v>31.347322179642958</v>
      </c>
      <c r="T365" s="900">
        <f>IF(ISERROR(T175/(T12/90)),"NM",(T175/(T12/90)))</f>
        <v>43.311485620342268</v>
      </c>
      <c r="U365" s="900">
        <f>IF(ISERROR(U175/(U12/90)),"NM",(U175/(U12/90)))</f>
        <v>37.852930839223646</v>
      </c>
      <c r="V365" s="900">
        <f>IF(ISERROR(V175/(V12/90)),"NM",(V175/(V12/90)))</f>
        <v>40.829081898981741</v>
      </c>
      <c r="W365" s="900">
        <f>IF(ISERROR(W175/(W12/90)),"NM",(W175/(W12/90)))</f>
        <v>38.85536127276076</v>
      </c>
      <c r="X365" s="644">
        <f>X175/(X12/360)</f>
        <v>40.025756735887157</v>
      </c>
      <c r="Y365" s="900">
        <f>IF(ISERROR(Y175/(Y12/90)),"NM",(Y175/(Y12/90)))</f>
        <v>47.144076274734793</v>
      </c>
      <c r="Z365" s="900">
        <f>IF(ISERROR(Z175/(Z12/90)),"NM",(Z175/(Z12/90)))</f>
        <v>40.047910046443413</v>
      </c>
      <c r="AA365" s="900">
        <f>IF(ISERROR(AA175/(AA12/90)),"NM",(AA175/(AA12/90)))</f>
        <v>40.436197801810067</v>
      </c>
      <c r="AB365" s="900">
        <f>IF(ISERROR(AB175/(AB12/90)),"NM",(AB175/(AB12/90)))</f>
        <v>39.251378724832406</v>
      </c>
      <c r="AC365" s="644">
        <f>AC175/(AC12/360)</f>
        <v>41.447951705910619</v>
      </c>
      <c r="AD365" s="900">
        <f>IF(ISERROR(AD175/(AD12/90)),"NM",(AD175/(AD12/90)))</f>
        <v>50.529724300939968</v>
      </c>
      <c r="AE365" s="900">
        <f>IF(ISERROR(AE175/(AE12/90)),"NM",(AE175/(AE12/90)))</f>
        <v>41.863723320454632</v>
      </c>
      <c r="AF365" s="900">
        <f>IF(ISERROR(AF175/(AF12/90)),"NM",(AF175/(AF12/90)))</f>
        <v>39.604576007300757</v>
      </c>
      <c r="AG365" s="900">
        <f>IF(ISERROR(AG175/(AG12/90)),"NM",(AG175/(AG12/90)))</f>
        <v>38.627715103552788</v>
      </c>
      <c r="AH365" s="644">
        <f>AH175/(AH12/360)</f>
        <v>41.865321445330835</v>
      </c>
      <c r="AI365" s="900">
        <f>IF(ISERROR(AI175/(AI12/90)),"NM",(AI175/(AI12/90)))</f>
        <v>45.613662970504144</v>
      </c>
      <c r="AJ365" s="900">
        <f>IF(ISERROR(AJ175/(AJ12/90)),"NM",(AJ175/(AJ12/90)))</f>
        <v>43.009406556923508</v>
      </c>
      <c r="AK365" s="900">
        <f>IF(ISERROR(AK175/(AK12/90)),"NM",(AK175/(AK12/90)))</f>
        <v>36.654625698242654</v>
      </c>
      <c r="AL365" s="900">
        <f>IF(ISERROR(AL175/(AL12/90)),"NM",(AL175/(AL12/90)))</f>
        <v>34.241522546151764</v>
      </c>
      <c r="AM365" s="644">
        <f>AM175/(AM12/360)</f>
        <v>35.76891333215935</v>
      </c>
      <c r="AN365" s="900">
        <f>IF(ISERROR(AN175/(AN12/90)),"NM",(AN175/(AN12/90)))</f>
        <v>38.107791418381375</v>
      </c>
      <c r="AO365" s="900">
        <f>IF(ISERROR(AO175/(AO12/90)),"NM",(AO175/(AO12/90)))</f>
        <v>37.817067009165307</v>
      </c>
      <c r="AP365" s="900">
        <f>IF(ISERROR(AP175/(AP12/90)),"NM",(AP175/(AP12/90)))</f>
        <v>37.854501688342083</v>
      </c>
      <c r="AQ365" s="900">
        <f>IF(ISERROR(AQ175/(AQ12/90)),"NM",(AQ175/(AQ12/90)))</f>
        <v>42.722430646382598</v>
      </c>
      <c r="AR365" s="644">
        <f>AR175/(AR12/360)</f>
        <v>45.479645920424844</v>
      </c>
      <c r="AS365" s="900">
        <f>IF(ISERROR(AS175/(AS12/90)),"NM",(AS175/(AS12/90)))</f>
        <v>44.400224642302845</v>
      </c>
      <c r="AT365" s="900">
        <f>IF(ISERROR(AT175/(AT12/90)),"NM",(AT175/(AT12/90)))</f>
        <v>48.355490806791927</v>
      </c>
      <c r="AU365" s="900">
        <f>IF(ISERROR(AU175/(AU12/90)),"NM",(AU175/(AU12/90)))</f>
        <v>43.495560509519429</v>
      </c>
      <c r="AV365" s="901">
        <f>IF(ISERROR(AV175/(AV12/90)),"NM",(AV175/(AV12/90)))</f>
        <v>51.389422047805908</v>
      </c>
      <c r="AW365" s="644">
        <f>AW175/(AW12/360)</f>
        <v>55.721936821582482</v>
      </c>
      <c r="AX365" s="900">
        <f>IF(ISERROR(AX175/(AX12/90)),"NM",(AX175/(AX12/90)))</f>
        <v>54.308962230642919</v>
      </c>
      <c r="AY365" s="900">
        <f>IF(ISERROR(AY175/(AY12/90)),"NM",(AY175/(AY12/90)))</f>
        <v>43.587225263698691</v>
      </c>
      <c r="AZ365" s="900">
        <f>IF(ISERROR(AZ175/(AZ12/90)),"NM",(AZ175/(AZ12/90)))</f>
        <v>41.548483078053565</v>
      </c>
      <c r="BA365" s="900">
        <f>IF(ISERROR(BA175/(BA12/90)),"NM",(BA175/(BA12/90)))</f>
        <v>46.929460580912853</v>
      </c>
      <c r="BB365" s="645">
        <f>BB175/(BB12/360)</f>
        <v>47.616804114720594</v>
      </c>
      <c r="BC365" s="900">
        <f>IF(ISERROR(BC175/(BC12/90)),"NM",(BC175/(BC12/90)))</f>
        <v>53.487863111818541</v>
      </c>
      <c r="BD365" s="900">
        <f>IF(ISERROR(BD175/(BD12/90)),"NM",(BD175/(BD12/90)))</f>
        <v>45.825688073394488</v>
      </c>
      <c r="BE365" s="900">
        <f>IF(ISERROR(BE175/(BE12/90)),"NM",(BE175/(BE12/90)))</f>
        <v>46.843926425059195</v>
      </c>
      <c r="BF365" s="900">
        <f>IF(ISERROR(BF175/(BF12/90)),"NM",(BF175/(BF12/90)))</f>
        <v>54.523934771173074</v>
      </c>
      <c r="BG365" s="645">
        <f>BG175/(BG12/360)</f>
        <v>57.980607868730182</v>
      </c>
      <c r="BH365" s="647">
        <f t="shared" ref="BH365:BK366" si="503">BC365</f>
        <v>53.487863111818541</v>
      </c>
      <c r="BI365" s="647">
        <f t="shared" si="503"/>
        <v>45.825688073394488</v>
      </c>
      <c r="BJ365" s="647">
        <f t="shared" si="503"/>
        <v>46.843926425059195</v>
      </c>
      <c r="BK365" s="647">
        <f t="shared" si="503"/>
        <v>54.523934771173074</v>
      </c>
      <c r="BL365" s="645">
        <f>BL175/(BL12/360)</f>
        <v>56.418480973209235</v>
      </c>
      <c r="BM365" s="647">
        <f t="shared" ref="BM365:BP366" si="504">BH365</f>
        <v>53.487863111818541</v>
      </c>
      <c r="BN365" s="647">
        <f t="shared" si="504"/>
        <v>45.825688073394488</v>
      </c>
      <c r="BO365" s="647">
        <f t="shared" si="504"/>
        <v>46.843926425059195</v>
      </c>
      <c r="BP365" s="647">
        <f t="shared" si="504"/>
        <v>54.523934771173074</v>
      </c>
      <c r="BQ365" s="645">
        <f>BQ175/(BQ12/360)</f>
        <v>56.471947895315814</v>
      </c>
      <c r="BR365" s="647">
        <f t="shared" ref="BR365:BU366" si="505">BM365</f>
        <v>53.487863111818541</v>
      </c>
      <c r="BS365" s="647">
        <f t="shared" si="505"/>
        <v>45.825688073394488</v>
      </c>
      <c r="BT365" s="647">
        <f t="shared" si="505"/>
        <v>46.843926425059195</v>
      </c>
      <c r="BU365" s="647">
        <f t="shared" si="505"/>
        <v>54.523934771173074</v>
      </c>
      <c r="BV365" s="645">
        <f>BV175/(BV12/360)</f>
        <v>56.47487473285392</v>
      </c>
      <c r="BW365" s="647">
        <f t="shared" ref="BW365:BZ366" si="506">BR365</f>
        <v>53.487863111818541</v>
      </c>
      <c r="BX365" s="647">
        <f t="shared" si="506"/>
        <v>45.825688073394488</v>
      </c>
      <c r="BY365" s="647">
        <f t="shared" si="506"/>
        <v>46.843926425059195</v>
      </c>
      <c r="BZ365" s="647">
        <f t="shared" si="506"/>
        <v>54.523934771173074</v>
      </c>
      <c r="CA365" s="645">
        <f>CA175/(CA12/360)</f>
        <v>56.477823880787412</v>
      </c>
      <c r="CC365" s="9"/>
      <c r="CD365" s="9"/>
      <c r="CE365" s="647"/>
      <c r="CF365" s="647"/>
      <c r="CG365" s="647"/>
      <c r="CH365" s="647"/>
      <c r="CI365" s="647"/>
      <c r="CJ365" s="647"/>
      <c r="CK365" s="647"/>
      <c r="CL365" s="647"/>
      <c r="CM365" s="647"/>
      <c r="CN365" s="647"/>
      <c r="CO365" s="647"/>
      <c r="CP365" s="188"/>
      <c r="CQ365" s="188"/>
      <c r="CR365" s="188"/>
      <c r="CS365" s="188"/>
      <c r="CT365" s="188"/>
      <c r="CU365" s="188"/>
      <c r="DB365" s="1961"/>
      <c r="DC365" s="1961"/>
      <c r="DD365" s="1961"/>
      <c r="DE365" s="1961"/>
      <c r="DF365" s="1961"/>
      <c r="DG365" s="1961"/>
      <c r="DH365" s="1961"/>
      <c r="DI365" s="647"/>
    </row>
    <row r="366" spans="1:113" ht="12" customHeight="1" x14ac:dyDescent="0.25">
      <c r="A366" s="487" t="s">
        <v>239</v>
      </c>
      <c r="B366" s="899"/>
      <c r="C366" s="644">
        <f>C196/(C17/360)</f>
        <v>0</v>
      </c>
      <c r="D366" s="644">
        <f>D196/(D17/360)</f>
        <v>72.378874275174496</v>
      </c>
      <c r="E366" s="900">
        <f>IF(ISERROR(E196/(E17/90)),"NM",(E196/(E17/90)))</f>
        <v>0</v>
      </c>
      <c r="F366" s="657">
        <f>F196/(F17/90)</f>
        <v>0</v>
      </c>
      <c r="G366" s="657">
        <f>G196/(G17/90)</f>
        <v>0</v>
      </c>
      <c r="H366" s="657">
        <f>H196/(H17/90)</f>
        <v>73.847460826883164</v>
      </c>
      <c r="I366" s="644">
        <f>I196/(I17/360)</f>
        <v>78.849243122027147</v>
      </c>
      <c r="J366" s="900">
        <f>IF(ISERROR(J196/(J17/90)),"NM",(J196/(J17/90)))</f>
        <v>46.086057228592857</v>
      </c>
      <c r="K366" s="657">
        <f>K196/(K17/90)</f>
        <v>60.320741927532666</v>
      </c>
      <c r="L366" s="657">
        <f>L196/(L17/90)</f>
        <v>66.4222283255516</v>
      </c>
      <c r="M366" s="657">
        <f>M196/(M17/90)</f>
        <v>76.64321022959389</v>
      </c>
      <c r="N366" s="644">
        <f>N196/(N17/360)</f>
        <v>77.584370000284309</v>
      </c>
      <c r="O366" s="900">
        <f>IF(ISERROR(O196/(O17/90)),"NM",(O196/(O17/90)))</f>
        <v>55.56876203230938</v>
      </c>
      <c r="P366" s="900">
        <f>IF(ISERROR(P196/(P17/90)),"NM",(P196/(P17/90)))</f>
        <v>67.44782169979996</v>
      </c>
      <c r="Q366" s="900">
        <f>IF(ISERROR(Q196/(Q17/90)),"NM",(Q196/(Q17/90)))</f>
        <v>77.422710273208224</v>
      </c>
      <c r="R366" s="900">
        <f>IF(ISERROR(R196/(R17/90)),"NM",(R196/(R17/90)))</f>
        <v>59.488234143797662</v>
      </c>
      <c r="S366" s="644">
        <f>S196/(S17/360)</f>
        <v>74.302474689289909</v>
      </c>
      <c r="T366" s="900">
        <f>IF(ISERROR(T196/(T17/90)),"NM",(T196/(T17/90)))</f>
        <v>61.047976833372481</v>
      </c>
      <c r="U366" s="900">
        <f>IF(ISERROR(U196/(U17/90)),"NM",(U196/(U17/90)))</f>
        <v>63.838173913043484</v>
      </c>
      <c r="V366" s="900">
        <f>IF(ISERROR(V196/(V17/90)),"NM",(V196/(V17/90)))</f>
        <v>76.369813255843766</v>
      </c>
      <c r="W366" s="900">
        <f>IF(ISERROR(W196/(W17/90)),"NM",(W196/(W17/90)))</f>
        <v>86.538312942691547</v>
      </c>
      <c r="X366" s="644">
        <f>X196/(X17/360)</f>
        <v>86.991475231566895</v>
      </c>
      <c r="Y366" s="900">
        <f>IF(ISERROR(Y196/(Y17/90)),"NM",(Y196/(Y17/90)))</f>
        <v>63.916792446770927</v>
      </c>
      <c r="Z366" s="900">
        <f>IF(ISERROR(Z196/(Z17/90)),"NM",(Z196/(Z17/90)))</f>
        <v>83.208064946449667</v>
      </c>
      <c r="AA366" s="900">
        <f>IF(ISERROR(AA196/(AA17/90)),"NM",(AA196/(AA17/90)))</f>
        <v>95.715126545026493</v>
      </c>
      <c r="AB366" s="900">
        <f>IF(ISERROR(AB196/(AB17/90)),"NM",(AB196/(AB17/90)))</f>
        <v>104.5006589492431</v>
      </c>
      <c r="AC366" s="644">
        <f>AC196/(AC17/360)</f>
        <v>109.93680384460451</v>
      </c>
      <c r="AD366" s="900">
        <f>IF(ISERROR(AD196/(AD17/90)),"NM",(AD196/(AD17/90)))</f>
        <v>97.859896497412436</v>
      </c>
      <c r="AE366" s="900">
        <f>IF(ISERROR(AE196/(AE17/90)),"NM",(AE196/(AE17/90)))</f>
        <v>94.044902566055185</v>
      </c>
      <c r="AF366" s="900">
        <f>IF(ISERROR(AF196/(AF17/90)),"NM",(AF196/(AF17/90)))</f>
        <v>101.31968943980505</v>
      </c>
      <c r="AG366" s="900">
        <f>IF(ISERROR(AG196/(AG17/90)),"NM",(AG196/(AG17/90)))</f>
        <v>99.330788549649739</v>
      </c>
      <c r="AH366" s="644">
        <f>AH196/(AH17/360)</f>
        <v>111.25851897479141</v>
      </c>
      <c r="AI366" s="900">
        <f>IF(ISERROR(AI196/(AI17/90)),"NM",(AI196/(AI17/90)))</f>
        <v>94.153740113623712</v>
      </c>
      <c r="AJ366" s="900">
        <f>IF(ISERROR(AJ196/(AJ17/90)),"NM",(AJ196/(AJ17/90)))</f>
        <v>93.266919463615608</v>
      </c>
      <c r="AK366" s="900">
        <f>IF(ISERROR(AK196/(AK17/90)),"NM",(AK196/(AK17/90)))</f>
        <v>98.624812867068428</v>
      </c>
      <c r="AL366" s="900">
        <f>IF(ISERROR(AL196/(AL17/90)),"NM",(AL196/(AL17/90)))</f>
        <v>99.577799196031876</v>
      </c>
      <c r="AM366" s="644">
        <f>AM196/(AM17/360)</f>
        <v>108.87171858986511</v>
      </c>
      <c r="AN366" s="900">
        <f>IF(ISERROR(AN196/(AN17/90)),"NM",(AN196/(AN17/90)))</f>
        <v>83.221078191580276</v>
      </c>
      <c r="AO366" s="900">
        <f>IF(ISERROR(AO196/(AO17/90)),"NM",(AO196/(AO17/90)))</f>
        <v>82.109932162115157</v>
      </c>
      <c r="AP366" s="900">
        <f>IF(ISERROR(AP196/(AP17/90)),"NM",(AP196/(AP17/90)))</f>
        <v>81.747524506145197</v>
      </c>
      <c r="AQ366" s="900">
        <f>IF(ISERROR(AQ196/(AQ17/90)),"NM",(AQ196/(AQ17/90)))</f>
        <v>84.022998006012955</v>
      </c>
      <c r="AR366" s="644">
        <f>AR196/(AR17/360)</f>
        <v>90.791992162970018</v>
      </c>
      <c r="AS366" s="900">
        <f>IF(ISERROR(AS196/(AS17/90)),"NM",(AS196/(AS17/90)))</f>
        <v>69.6051917314457</v>
      </c>
      <c r="AT366" s="900">
        <f>IF(ISERROR(AT196/(AT17/90)),"NM",(AT196/(AT17/90)))</f>
        <v>113.59090350212092</v>
      </c>
      <c r="AU366" s="900">
        <f>IF(ISERROR(AU196/(AU17/90)),"NM",(AU196/(AU17/90)))</f>
        <v>114.10939871625898</v>
      </c>
      <c r="AV366" s="657">
        <f>IF(ISERROR(AV196/(AV17/90)),"NM",(AV196/(AV17/90)))</f>
        <v>103.46167524567149</v>
      </c>
      <c r="AW366" s="644">
        <f>AW196/(AW17/360)</f>
        <v>110.09753771728127</v>
      </c>
      <c r="AX366" s="900">
        <f>IF(ISERROR(AX196/(AX17/90)),"NM",(AX196/(AX17/90)))</f>
        <v>93.321040876746494</v>
      </c>
      <c r="AY366" s="900">
        <f>IF(ISERROR(AY196/(AY17/90)),"NM",(AY196/(AY17/90)))</f>
        <v>82.40880615915637</v>
      </c>
      <c r="AZ366" s="900">
        <f>IF(ISERROR(AZ196/(AZ17/90)),"NM",(AZ196/(AZ17/90)))</f>
        <v>102.00742639908053</v>
      </c>
      <c r="BA366" s="900">
        <f>IF(ISERROR(BA196/(BA17/90)),"NM",(BA196/(BA17/90)))</f>
        <v>85.383419689119165</v>
      </c>
      <c r="BB366" s="645">
        <f>BB196/(BB17/360)</f>
        <v>92.266603957402495</v>
      </c>
      <c r="BC366" s="900">
        <f>IF(ISERROR(BC196/(BC17/90)),"NM",(BC196/(BC17/90)))</f>
        <v>79.764898851831589</v>
      </c>
      <c r="BD366" s="900">
        <f>IF(ISERROR(BD196/(BD17/90)),"NM",(BD196/(BD17/90)))</f>
        <v>74.99225606608158</v>
      </c>
      <c r="BE366" s="900">
        <f>IF(ISERROR(BE196/(BE17/90)),"NM",(BE196/(BE17/90)))</f>
        <v>95.304785894206532</v>
      </c>
      <c r="BF366" s="900">
        <f>IF(ISERROR(BF196/(BF17/90)),"NM",(BF196/(BF17/90)))</f>
        <v>97.20172496406326</v>
      </c>
      <c r="BG366" s="645">
        <f>BG196/(BG17/360)</f>
        <v>103.52640979841797</v>
      </c>
      <c r="BH366" s="647">
        <f>BC366</f>
        <v>79.764898851831589</v>
      </c>
      <c r="BI366" s="647">
        <f t="shared" si="503"/>
        <v>74.99225606608158</v>
      </c>
      <c r="BJ366" s="647">
        <f t="shared" si="503"/>
        <v>95.304785894206532</v>
      </c>
      <c r="BK366" s="647">
        <f t="shared" si="503"/>
        <v>97.20172496406326</v>
      </c>
      <c r="BL366" s="645">
        <f>BL196/(BL17/360)</f>
        <v>99.178193846283989</v>
      </c>
      <c r="BM366" s="647">
        <f t="shared" si="504"/>
        <v>79.764898851831589</v>
      </c>
      <c r="BN366" s="647">
        <f t="shared" si="504"/>
        <v>74.99225606608158</v>
      </c>
      <c r="BO366" s="647">
        <f t="shared" si="504"/>
        <v>95.304785894206532</v>
      </c>
      <c r="BP366" s="647">
        <f t="shared" si="504"/>
        <v>97.20172496406326</v>
      </c>
      <c r="BQ366" s="645">
        <f>BQ196/(BQ17/360)</f>
        <v>99.269829848713286</v>
      </c>
      <c r="BR366" s="647">
        <f t="shared" si="505"/>
        <v>79.764898851831589</v>
      </c>
      <c r="BS366" s="647">
        <f t="shared" si="505"/>
        <v>74.99225606608158</v>
      </c>
      <c r="BT366" s="647">
        <f t="shared" si="505"/>
        <v>95.304785894206532</v>
      </c>
      <c r="BU366" s="647">
        <f t="shared" si="505"/>
        <v>97.20172496406326</v>
      </c>
      <c r="BV366" s="645">
        <f>BV196/(BV17/360)</f>
        <v>99.263000317221525</v>
      </c>
      <c r="BW366" s="647">
        <f t="shared" si="506"/>
        <v>79.764898851831589</v>
      </c>
      <c r="BX366" s="647">
        <f t="shared" si="506"/>
        <v>74.99225606608158</v>
      </c>
      <c r="BY366" s="647">
        <f t="shared" si="506"/>
        <v>95.304785894206532</v>
      </c>
      <c r="BZ366" s="647">
        <f t="shared" si="506"/>
        <v>97.20172496406326</v>
      </c>
      <c r="CA366" s="645">
        <f>CA196/(CA17/360)</f>
        <v>99.256052698194182</v>
      </c>
      <c r="CC366" s="9"/>
      <c r="CD366" s="9"/>
      <c r="CE366" s="647"/>
      <c r="CF366" s="647"/>
      <c r="CG366" s="647"/>
      <c r="CH366" s="647"/>
      <c r="CI366" s="647"/>
      <c r="CJ366" s="647"/>
      <c r="CK366" s="647"/>
      <c r="CL366" s="647"/>
      <c r="CM366" s="647"/>
      <c r="CN366" s="647"/>
      <c r="CO366" s="647"/>
      <c r="CP366" s="188"/>
      <c r="CQ366" s="188"/>
      <c r="CR366" s="188"/>
      <c r="CS366" s="188"/>
      <c r="CT366" s="188"/>
      <c r="CU366" s="188"/>
      <c r="DB366" s="1961"/>
      <c r="DC366" s="1961"/>
      <c r="DD366" s="1961"/>
      <c r="DE366" s="1961"/>
      <c r="DF366" s="1961"/>
      <c r="DG366" s="1961"/>
      <c r="DH366" s="1961"/>
      <c r="DI366" s="647"/>
    </row>
    <row r="367" spans="1:113" ht="12" customHeight="1" x14ac:dyDescent="0.25">
      <c r="A367" s="487" t="s">
        <v>240</v>
      </c>
      <c r="B367" s="899"/>
      <c r="C367" s="644">
        <f>C200/(C12/360)</f>
        <v>0</v>
      </c>
      <c r="D367" s="644">
        <f>D200/(D12/360)</f>
        <v>61.206602084825633</v>
      </c>
      <c r="E367" s="657">
        <f>E200/(E12/90)</f>
        <v>0</v>
      </c>
      <c r="F367" s="657">
        <f>F200/(F12/90)</f>
        <v>0</v>
      </c>
      <c r="G367" s="657">
        <f>G200/(G12/90)</f>
        <v>0</v>
      </c>
      <c r="H367" s="657">
        <f>H200/(H12/90)</f>
        <v>56.85204756919066</v>
      </c>
      <c r="I367" s="644">
        <f>I200/(I12/360)</f>
        <v>57.400656947500295</v>
      </c>
      <c r="J367" s="657">
        <f>J200/(J12/90)</f>
        <v>82.448311365470417</v>
      </c>
      <c r="K367" s="657">
        <f>K200/(K12/90)</f>
        <v>71.756997730465784</v>
      </c>
      <c r="L367" s="657">
        <f>L200/(L12/90)</f>
        <v>60.458440846558013</v>
      </c>
      <c r="M367" s="657">
        <f>M200/(M12/90)</f>
        <v>44.334532918014936</v>
      </c>
      <c r="N367" s="644">
        <f>N200/(N12/360)</f>
        <v>45.938425381903642</v>
      </c>
      <c r="O367" s="657">
        <f>O200/(O12/90)</f>
        <v>74.597336328234675</v>
      </c>
      <c r="P367" s="657">
        <f>P200/(P12/90)</f>
        <v>61.224468431582373</v>
      </c>
      <c r="Q367" s="657">
        <f>Q200/(Q12/90)</f>
        <v>53.452427500183873</v>
      </c>
      <c r="R367" s="657">
        <f>R200/(R12/90)</f>
        <v>42.609174505706726</v>
      </c>
      <c r="S367" s="644">
        <f>S200/(S12/360)</f>
        <v>43.99476586596878</v>
      </c>
      <c r="T367" s="657">
        <f>T200/(T12/90)</f>
        <v>69.839835743824096</v>
      </c>
      <c r="U367" s="657">
        <f>U200/(U12/90)</f>
        <v>58.239579376377904</v>
      </c>
      <c r="V367" s="657">
        <f>V200/(V12/90)</f>
        <v>48.817938848945886</v>
      </c>
      <c r="W367" s="657">
        <f>W200/(W12/90)</f>
        <v>50.043423682792209</v>
      </c>
      <c r="X367" s="644">
        <f>X200/(X12/360)</f>
        <v>51.550824312180069</v>
      </c>
      <c r="Y367" s="657">
        <f>Y200/(Y12/90)</f>
        <v>71.070511939501827</v>
      </c>
      <c r="Z367" s="657">
        <f>Z200/(Z12/90)</f>
        <v>59.12066120752872</v>
      </c>
      <c r="AA367" s="657">
        <f>AA200/(AA12/90)</f>
        <v>50.09703085581215</v>
      </c>
      <c r="AB367" s="657">
        <f>AB200/(AB12/90)</f>
        <v>45.267624782063358</v>
      </c>
      <c r="AC367" s="644">
        <f>AC200/(AC12/360)</f>
        <v>47.800876982220082</v>
      </c>
      <c r="AD367" s="657">
        <f>AD200/(AD12/90)</f>
        <v>75.049653536353432</v>
      </c>
      <c r="AE367" s="657">
        <f>AE200/(AE12/90)</f>
        <v>61.220815270104438</v>
      </c>
      <c r="AF367" s="657">
        <f>AF200/(AF12/90)</f>
        <v>49.595976563381413</v>
      </c>
      <c r="AG367" s="657">
        <f>AG200/(AG12/90)</f>
        <v>43.44995549996392</v>
      </c>
      <c r="AH367" s="644">
        <f>AH200/(AH12/360)</f>
        <v>47.091740966682316</v>
      </c>
      <c r="AI367" s="657">
        <f>AI200/(AI12/90)</f>
        <v>75.127542826197171</v>
      </c>
      <c r="AJ367" s="657">
        <f>AJ200/(AJ12/90)</f>
        <v>66.300318162954781</v>
      </c>
      <c r="AK367" s="657">
        <f>AK200/(AK12/90)</f>
        <v>53.345374301757353</v>
      </c>
      <c r="AL367" s="657">
        <f>AL200/(AL12/90)</f>
        <v>48.93488000422343</v>
      </c>
      <c r="AM367" s="644">
        <f>AM200/(AM12/360)</f>
        <v>51.117688456508155</v>
      </c>
      <c r="AN367" s="657">
        <f>AN200/(AN12/90)</f>
        <v>75.539994580647061</v>
      </c>
      <c r="AO367" s="657">
        <f>AO200/(AO12/90)</f>
        <v>65.695873489566864</v>
      </c>
      <c r="AP367" s="657">
        <f>AP200/(AP12/90)</f>
        <v>50.983250309250771</v>
      </c>
      <c r="AQ367" s="657">
        <f>AQ200/(AQ12/90)</f>
        <v>48.903077028980519</v>
      </c>
      <c r="AR367" s="644">
        <f>AR200/(AR12/360)</f>
        <v>52.059178142421885</v>
      </c>
      <c r="AS367" s="657">
        <f>AS200/(AS12/90)</f>
        <v>70.434569664146693</v>
      </c>
      <c r="AT367" s="657">
        <f>AT200/(AT12/90)</f>
        <v>78.85077865970058</v>
      </c>
      <c r="AU367" s="657">
        <f>AU200/(AU12/90)</f>
        <v>59.998364828552276</v>
      </c>
      <c r="AV367" s="657">
        <f>AV200/(AV12/90)</f>
        <v>57.305726007848726</v>
      </c>
      <c r="AW367" s="644">
        <f>AW200/(AW12/360)</f>
        <v>62.13702970143828</v>
      </c>
      <c r="AX367" s="657">
        <f>AX200/(AX12/90)</f>
        <v>88.876600615789286</v>
      </c>
      <c r="AY367" s="657">
        <f>AY200/(AY12/90)</f>
        <v>77.87618202835263</v>
      </c>
      <c r="AZ367" s="657">
        <f>AZ200/(AZ12/90)</f>
        <v>64.229131406337515</v>
      </c>
      <c r="BA367" s="657">
        <f>BA200/(BA12/90)</f>
        <v>58.826318909306458</v>
      </c>
      <c r="BB367" s="645">
        <f>BB200/(BB12/360)</f>
        <v>59.687907545091221</v>
      </c>
      <c r="BC367" s="657">
        <f>BC200/(BC12/90)</f>
        <v>89.820931157978521</v>
      </c>
      <c r="BD367" s="657">
        <f>BD200/(BD12/90)</f>
        <v>77.236238532110093</v>
      </c>
      <c r="BE367" s="657">
        <f>BE200/(BE12/90)</f>
        <v>63.922782735385184</v>
      </c>
      <c r="BF367" s="657">
        <f>BF200/(BF12/90)</f>
        <v>60.7101525512888</v>
      </c>
      <c r="BG367" s="645">
        <f>BG200/(BG12/360)</f>
        <v>64.559015476412441</v>
      </c>
      <c r="BH367" s="647">
        <f>+BC367</f>
        <v>89.820931157978521</v>
      </c>
      <c r="BI367" s="647">
        <f>+BD367</f>
        <v>77.236238532110093</v>
      </c>
      <c r="BJ367" s="647">
        <f>+BE367</f>
        <v>63.922782735385184</v>
      </c>
      <c r="BK367" s="647">
        <f>+BF367</f>
        <v>60.7101525512888</v>
      </c>
      <c r="BL367" s="645">
        <f>BL200/(BL12/360)</f>
        <v>62.819651607506778</v>
      </c>
      <c r="BM367" s="647">
        <f>+BH367</f>
        <v>89.820931157978521</v>
      </c>
      <c r="BN367" s="647">
        <f>+BI367</f>
        <v>77.236238532110093</v>
      </c>
      <c r="BO367" s="647">
        <f>+BJ367</f>
        <v>63.922782735385184</v>
      </c>
      <c r="BP367" s="647">
        <f>+BK367</f>
        <v>60.7101525512888</v>
      </c>
      <c r="BQ367" s="645">
        <f>BQ200/(BQ12/360)</f>
        <v>62.879184820052075</v>
      </c>
      <c r="BR367" s="647">
        <f>+BM367</f>
        <v>89.820931157978521</v>
      </c>
      <c r="BS367" s="647">
        <f>+BN367</f>
        <v>77.236238532110093</v>
      </c>
      <c r="BT367" s="647">
        <f>+BO367</f>
        <v>63.922782735385184</v>
      </c>
      <c r="BU367" s="647">
        <f>+BP367</f>
        <v>60.7101525512888</v>
      </c>
      <c r="BV367" s="645">
        <f>BV200/(BV12/360)</f>
        <v>62.882443732934597</v>
      </c>
      <c r="BW367" s="647">
        <f>+BR367</f>
        <v>89.820931157978521</v>
      </c>
      <c r="BX367" s="647">
        <f>+BS367</f>
        <v>77.236238532110093</v>
      </c>
      <c r="BY367" s="647">
        <f>+BT367</f>
        <v>63.922782735385184</v>
      </c>
      <c r="BZ367" s="647">
        <f>+BU367</f>
        <v>60.7101525512888</v>
      </c>
      <c r="CA367" s="645">
        <f>CA200/(CA12/360)</f>
        <v>62.885727487522189</v>
      </c>
      <c r="CC367" s="9"/>
      <c r="CD367" s="9"/>
      <c r="CE367" s="647"/>
      <c r="CF367" s="647"/>
      <c r="CG367" s="647"/>
      <c r="CH367" s="647"/>
      <c r="CI367" s="647"/>
      <c r="CJ367" s="647"/>
      <c r="CK367" s="647"/>
      <c r="CL367" s="647"/>
      <c r="CM367" s="647"/>
      <c r="CN367" s="647"/>
      <c r="CO367" s="647"/>
      <c r="CP367" s="188"/>
      <c r="CQ367" s="188"/>
      <c r="CR367" s="188"/>
      <c r="CS367" s="188"/>
      <c r="CT367" s="188"/>
      <c r="CU367" s="188"/>
      <c r="DB367" s="1961"/>
      <c r="DC367" s="1961"/>
      <c r="DD367" s="1961"/>
      <c r="DE367" s="1961"/>
      <c r="DF367" s="1961"/>
      <c r="DG367" s="1961"/>
      <c r="DH367" s="1961"/>
      <c r="DI367" s="647"/>
    </row>
    <row r="368" spans="1:113" ht="12" customHeight="1" x14ac:dyDescent="0.25">
      <c r="A368" s="487" t="s">
        <v>241</v>
      </c>
      <c r="B368" s="902"/>
      <c r="C368" s="91">
        <f>C197/(C12)</f>
        <v>0</v>
      </c>
      <c r="D368" s="91">
        <f>D197/(D12)</f>
        <v>1.8371995239223539E-2</v>
      </c>
      <c r="E368" s="745">
        <f>E197/(E12*4)</f>
        <v>0</v>
      </c>
      <c r="F368" s="90">
        <f>F197/(F12*4)</f>
        <v>0</v>
      </c>
      <c r="G368" s="90">
        <f>G197/(G12*4)</f>
        <v>0</v>
      </c>
      <c r="H368" s="90">
        <f>H197/(H12*4)</f>
        <v>0.12383694514134451</v>
      </c>
      <c r="I368" s="91">
        <f>I197/(I12)</f>
        <v>0.12503194360473452</v>
      </c>
      <c r="J368" s="90">
        <f>J197/(J12*4)</f>
        <v>0.12064159764027121</v>
      </c>
      <c r="K368" s="90">
        <f>K197/(K12*4)</f>
        <v>1.3340268021182319E-2</v>
      </c>
      <c r="L368" s="90">
        <f>L197/(L12*4)</f>
        <v>1.7547495220396541E-2</v>
      </c>
      <c r="M368" s="90">
        <f>M197/(M12*4)</f>
        <v>8.9320816178408341E-2</v>
      </c>
      <c r="N368" s="91">
        <f>N197/(N12)</f>
        <v>9.255217950870126E-2</v>
      </c>
      <c r="O368" s="745">
        <f>O197/(O12*4)</f>
        <v>7.9450337943690968E-2</v>
      </c>
      <c r="P368" s="90">
        <f>P197/(P12*4)</f>
        <v>0</v>
      </c>
      <c r="Q368" s="90">
        <f>Q197/(Q12*4)</f>
        <v>0</v>
      </c>
      <c r="R368" s="90">
        <f>R197/(R12*4)</f>
        <v>0</v>
      </c>
      <c r="S368" s="91">
        <f>S197/(S12)</f>
        <v>0</v>
      </c>
      <c r="T368" s="745">
        <f>T197/(T12*4)</f>
        <v>4.9247883427362997E-4</v>
      </c>
      <c r="U368" s="90">
        <f>U197/(U12*4)</f>
        <v>4.8282252367072922E-4</v>
      </c>
      <c r="V368" s="90">
        <f>V197/(V12*4)</f>
        <v>1.740014059313599E-3</v>
      </c>
      <c r="W368" s="90">
        <f>W197/(W12*4)</f>
        <v>2.9847386051207879E-3</v>
      </c>
      <c r="X368" s="91">
        <f>X197/(X12)</f>
        <v>3.0746444612915437E-3</v>
      </c>
      <c r="Y368" s="745">
        <f>Y197/(Y12*4)</f>
        <v>2.7966976594037758E-3</v>
      </c>
      <c r="Z368" s="90">
        <f>Z197/(Z12*4)</f>
        <v>0</v>
      </c>
      <c r="AA368" s="90">
        <f>AA197/(AA12*4)</f>
        <v>0</v>
      </c>
      <c r="AB368" s="90">
        <f>AB197/(AB12*4)</f>
        <v>1.7776235590583433E-4</v>
      </c>
      <c r="AC368" s="91">
        <f>AC197/(AC12)</f>
        <v>1.8771023546371935E-4</v>
      </c>
      <c r="AD368" s="745">
        <f>AD197/(AD12*4)</f>
        <v>1.803746598133916E-4</v>
      </c>
      <c r="AE368" s="90">
        <f>AE197/(AE12*4)</f>
        <v>0</v>
      </c>
      <c r="AF368" s="90">
        <f>AF197/(AF12*4)</f>
        <v>0</v>
      </c>
      <c r="AG368" s="90">
        <f>AG197/(AG12*4)</f>
        <v>0</v>
      </c>
      <c r="AH368" s="91">
        <f>AH197/(AH12)</f>
        <v>0</v>
      </c>
      <c r="AI368" s="90">
        <f>AI197/(AI12*4)</f>
        <v>0</v>
      </c>
      <c r="AJ368" s="90">
        <f>AJ197/(AJ12*4)</f>
        <v>0</v>
      </c>
      <c r="AK368" s="90">
        <f>AK197/(AK12*4)</f>
        <v>0</v>
      </c>
      <c r="AL368" s="90">
        <f>AL197/(AL12*4)</f>
        <v>0</v>
      </c>
      <c r="AM368" s="91">
        <f>AM197/(AM12)</f>
        <v>0</v>
      </c>
      <c r="AN368" s="90">
        <f>AN197/(AN12*4)</f>
        <v>0</v>
      </c>
      <c r="AO368" s="90">
        <f>AO197/(AO12*4)</f>
        <v>0</v>
      </c>
      <c r="AP368" s="90">
        <f>AP197/(AP12*4)</f>
        <v>0</v>
      </c>
      <c r="AQ368" s="90">
        <f>AQ197/(AQ12*4)</f>
        <v>0</v>
      </c>
      <c r="AR368" s="91">
        <f>AR197/(AR12)</f>
        <v>0</v>
      </c>
      <c r="AS368" s="90">
        <f>AS197/(AS12*4)</f>
        <v>0</v>
      </c>
      <c r="AT368" s="90">
        <f>AT197/(AT12*4)</f>
        <v>0</v>
      </c>
      <c r="AU368" s="90">
        <f>AU197/(AU12*4)</f>
        <v>0</v>
      </c>
      <c r="AV368" s="746">
        <f>AV197/(AV12*4)</f>
        <v>0</v>
      </c>
      <c r="AW368" s="91">
        <f>AW197/(AW12)</f>
        <v>0</v>
      </c>
      <c r="AX368" s="90">
        <f>AX197/(AX12*4)</f>
        <v>0</v>
      </c>
      <c r="AY368" s="90">
        <f>AY197/(AY12*4)</f>
        <v>0</v>
      </c>
      <c r="AZ368" s="90">
        <f>AZ197/(AZ12*4)</f>
        <v>0</v>
      </c>
      <c r="BA368" s="90">
        <f>BA197/(BA12*4)</f>
        <v>0</v>
      </c>
      <c r="BB368" s="747">
        <f>BB197/(BB12)</f>
        <v>0</v>
      </c>
      <c r="BC368" s="90">
        <f>BC197/(BC12*4)</f>
        <v>0</v>
      </c>
      <c r="BD368" s="90">
        <f>BD197/(BD12*4)</f>
        <v>0</v>
      </c>
      <c r="BE368" s="90">
        <f>BE197/(BE12*4)</f>
        <v>0</v>
      </c>
      <c r="BF368" s="90">
        <f>BF197/(BF12*4)</f>
        <v>0</v>
      </c>
      <c r="BG368" s="747">
        <f>BG197/(BG12)</f>
        <v>0</v>
      </c>
      <c r="BH368" s="716">
        <f>BG368</f>
        <v>0</v>
      </c>
      <c r="BI368" s="716">
        <f>BH368</f>
        <v>0</v>
      </c>
      <c r="BJ368" s="716">
        <f>BI368</f>
        <v>0</v>
      </c>
      <c r="BK368" s="716">
        <f>BJ368</f>
        <v>0</v>
      </c>
      <c r="BL368" s="747">
        <f>BL197/(BL12)</f>
        <v>0</v>
      </c>
      <c r="BM368" s="716">
        <f>BL368</f>
        <v>0</v>
      </c>
      <c r="BN368" s="716">
        <f>BM368</f>
        <v>0</v>
      </c>
      <c r="BO368" s="716">
        <f>BN368</f>
        <v>0</v>
      </c>
      <c r="BP368" s="716">
        <f>BO368</f>
        <v>0</v>
      </c>
      <c r="BQ368" s="747">
        <f>BQ197/(BQ12)</f>
        <v>0</v>
      </c>
      <c r="BR368" s="716">
        <f>BQ368</f>
        <v>0</v>
      </c>
      <c r="BS368" s="716">
        <f>BR368</f>
        <v>0</v>
      </c>
      <c r="BT368" s="716">
        <f>BS368</f>
        <v>0</v>
      </c>
      <c r="BU368" s="716">
        <f>BT368</f>
        <v>0</v>
      </c>
      <c r="BV368" s="747">
        <f>BV197/(BV12)</f>
        <v>0</v>
      </c>
      <c r="BW368" s="716">
        <f>BV368</f>
        <v>0</v>
      </c>
      <c r="BX368" s="716">
        <f>BW368</f>
        <v>0</v>
      </c>
      <c r="BY368" s="716">
        <f>BX368</f>
        <v>0</v>
      </c>
      <c r="BZ368" s="716">
        <f>BY368</f>
        <v>0</v>
      </c>
      <c r="CA368" s="747">
        <f>CA197/(CA12)</f>
        <v>0</v>
      </c>
      <c r="CC368" s="9"/>
      <c r="CD368" s="9"/>
      <c r="CE368" s="716"/>
      <c r="CF368" s="716"/>
      <c r="CG368" s="716"/>
      <c r="CH368" s="716"/>
      <c r="CI368" s="716"/>
      <c r="CJ368" s="716"/>
      <c r="CK368" s="716"/>
      <c r="CL368" s="716"/>
      <c r="CM368" s="716"/>
      <c r="CN368" s="716"/>
      <c r="CO368" s="716"/>
      <c r="CP368" s="188"/>
      <c r="CQ368" s="188"/>
      <c r="CR368" s="188"/>
      <c r="CS368" s="188"/>
      <c r="CT368" s="188"/>
      <c r="CU368" s="188"/>
      <c r="DB368" s="1961"/>
      <c r="DC368" s="1961"/>
      <c r="DD368" s="1961"/>
      <c r="DE368" s="1961"/>
      <c r="DF368" s="1961"/>
      <c r="DG368" s="1961"/>
      <c r="DH368" s="1961"/>
      <c r="DI368" s="716"/>
    </row>
    <row r="369" spans="1:113" ht="12" customHeight="1" x14ac:dyDescent="0.25">
      <c r="A369" s="487" t="s">
        <v>242</v>
      </c>
      <c r="B369" s="902"/>
      <c r="C369" s="91">
        <f>C180/(C12)</f>
        <v>0</v>
      </c>
      <c r="D369" s="91">
        <f>D180/(D12)</f>
        <v>1.806657143287593E-2</v>
      </c>
      <c r="E369" s="745">
        <f>IF(ISERROR(E180/(E12*4)),"NM",(E180/(E12*4)))</f>
        <v>0</v>
      </c>
      <c r="F369" s="90">
        <f>IF(ISERROR(F180/(F12*4)),"NM",(F180/(F12*4)))</f>
        <v>0</v>
      </c>
      <c r="G369" s="90">
        <f>IF(ISERROR(G180/(G12*4)),"NM",(G180/(G12*4)))</f>
        <v>0</v>
      </c>
      <c r="H369" s="90">
        <f>IF(ISERROR(H180/(H12*4)),"NM",(H180/(H12*4)))</f>
        <v>1.052552300428676E-2</v>
      </c>
      <c r="I369" s="91">
        <f>I180/(I12)</f>
        <v>1.0627091916553956E-2</v>
      </c>
      <c r="J369" s="90">
        <f>IF(ISERROR(J180/(J12*4)),"NM",(J180/(J12*4)))</f>
        <v>9.0124664916658159E-3</v>
      </c>
      <c r="K369" s="90">
        <f>IF(ISERROR(K180/(K12*4)),"NM",(K180/(K12*4)))</f>
        <v>1.7512338340718324E-2</v>
      </c>
      <c r="L369" s="90">
        <f>IF(ISERROR(L180/(L12*4)),"NM",(L180/(L12*4)))</f>
        <v>1.944373883088003E-2</v>
      </c>
      <c r="M369" s="90">
        <f>IF(ISERROR(M180/(M12*4)),"NM",(M180/(M12*4)))</f>
        <v>1.7482902678112405E-2</v>
      </c>
      <c r="N369" s="91">
        <f>N180/(N12)</f>
        <v>1.8115382463208551E-2</v>
      </c>
      <c r="O369" s="745">
        <f>IF(ISERROR(O180/(O12*4)),"NM",(O180/(O12*4)))</f>
        <v>1.537023247107845E-2</v>
      </c>
      <c r="P369" s="90">
        <f>IF(ISERROR(P180/(P12*4)),"NM",(P180/(P12*4)))</f>
        <v>2.3286651467919788E-2</v>
      </c>
      <c r="Q369" s="90">
        <f>IF(ISERROR(Q180/(Q12*4)),"NM",(Q180/(Q12*4)))</f>
        <v>2.1901893454014731E-2</v>
      </c>
      <c r="R369" s="90">
        <f>IF(ISERROR(R180/(R12*4)),"NM",(R180/(R12*4)))</f>
        <v>2.0420479319267066E-2</v>
      </c>
      <c r="S369" s="91">
        <f>S180/(S12)</f>
        <v>2.1084525033492226E-2</v>
      </c>
      <c r="T369" s="745">
        <f>IF(ISERROR(T180/(T12*4)),"NM",(T180/(T12*4)))</f>
        <v>1.8902496433149618E-2</v>
      </c>
      <c r="U369" s="90">
        <f>IF(ISERROR(U180/(U12*4)),"NM",(U180/(U12*4)))</f>
        <v>7.0666046571072529E-3</v>
      </c>
      <c r="V369" s="90">
        <f>IF(ISERROR(V180/(V12*4)),"NM",(V180/(V12*4)))</f>
        <v>6.5824731863833447E-3</v>
      </c>
      <c r="W369" s="90">
        <f>IF(ISERROR(W180/(W12*4)),"NM",(W180/(W12*4)))</f>
        <v>6.0257608525095679E-3</v>
      </c>
      <c r="X369" s="91">
        <f>X180/(X12)</f>
        <v>6.2072679324245853E-3</v>
      </c>
      <c r="Y369" s="745">
        <f>IF(ISERROR(Y180/(Y12*4)),"NM",(Y180/(Y12*4)))</f>
        <v>6.1567301330588834E-3</v>
      </c>
      <c r="Z369" s="90">
        <f>IF(ISERROR(Z180/(Z12*4)),"NM",(Z180/(Z12*4)))</f>
        <v>2.2270685651429967E-2</v>
      </c>
      <c r="AA369" s="90">
        <f>IF(ISERROR(AA180/(AA12*4)),"NM",(AA180/(AA12*4)))</f>
        <v>2.0779304788619751E-2</v>
      </c>
      <c r="AB369" s="90">
        <f>IF(ISERROR(AB180/(AB12*4)),"NM",(AB180/(AB12*4)))</f>
        <v>2.9329366625615416E-2</v>
      </c>
      <c r="AC369" s="91">
        <f>AC180/(AC12)</f>
        <v>3.097068716962998E-2</v>
      </c>
      <c r="AD369" s="745">
        <f>IF(ISERROR(AD180/(AD12*4)),"NM",(AD180/(AD12*4)))</f>
        <v>2.8525170201529004E-2</v>
      </c>
      <c r="AE369" s="90">
        <f>IF(ISERROR(AE180/(AE12*4)),"NM",(AE180/(AE12*4)))</f>
        <v>3.1120554302219033E-2</v>
      </c>
      <c r="AF369" s="90">
        <f>IF(ISERROR(AF180/(AF12*4)),"NM",(AF180/(AF12*4)))</f>
        <v>2.1068010820758005E-2</v>
      </c>
      <c r="AG369" s="90">
        <f>IF(ISERROR(AG180/(AG12*4)),"NM",(AG180/(AG12*4)))</f>
        <v>2.3518269068866813E-2</v>
      </c>
      <c r="AH369" s="91">
        <f>AH180/(AH12)</f>
        <v>2.5489467646905472E-2</v>
      </c>
      <c r="AI369" s="90">
        <f>IF(ISERROR(AI180/(AI12*4)),"NM",(AI180/(AI12*4)))</f>
        <v>2.0991008688680823E-2</v>
      </c>
      <c r="AJ369" s="90">
        <f>IF(ISERROR(AJ180/(AJ12*4)),"NM",(AJ180/(AJ12*4)))</f>
        <v>2.2219532438788214E-2</v>
      </c>
      <c r="AK369" s="90">
        <f>IF(ISERROR(AK180/(AK12*4)),"NM",(AK180/(AK12*4)))</f>
        <v>1.7423596899450632E-2</v>
      </c>
      <c r="AL369" s="90">
        <f>IF(ISERROR(AL180/(AL12*4)),"NM",(AL180/(AL12*4)))</f>
        <v>2.9099665725193954E-2</v>
      </c>
      <c r="AM369" s="91">
        <f>AM180/(AM12)</f>
        <v>3.0397696828941046E-2</v>
      </c>
      <c r="AN369" s="90">
        <f>IF(ISERROR(AN180/(AN12*4)),"NM",(AN180/(AN12*4)))</f>
        <v>2.1651779720390684E-2</v>
      </c>
      <c r="AO369" s="90">
        <f>IF(ISERROR(AO180/(AO12*4)),"NM",(AO180/(AO12*4)))</f>
        <v>1.9210065304542043E-2</v>
      </c>
      <c r="AP369" s="90">
        <f>IF(ISERROR(AP180/(AP12*4)),"NM",(AP180/(AP12*4)))</f>
        <v>8.0143314053915497E-3</v>
      </c>
      <c r="AQ369" s="90">
        <f>IF(ISERROR(AQ180/(AQ12*4)),"NM",(AQ180/(AQ12*4)))</f>
        <v>1.0150818303848008E-2</v>
      </c>
      <c r="AR369" s="91">
        <f>AR180/(AR12)</f>
        <v>1.0805930638234046E-2</v>
      </c>
      <c r="AS369" s="90">
        <f>IF(ISERROR(AS180/(AS12*4)),"NM",(AS180/(AS12*4)))</f>
        <v>1.2706874446285023E-2</v>
      </c>
      <c r="AT369" s="90">
        <f>IF(ISERROR(AT180/(AT12*4)),"NM",(AT180/(AT12*4)))</f>
        <v>4.3183964633778764E-2</v>
      </c>
      <c r="AU369" s="90">
        <f>IF(ISERROR(AU180/(AU12*4)),"NM",(AU180/(AU12*4)))</f>
        <v>3.7790629014118803E-2</v>
      </c>
      <c r="AV369" s="746">
        <f>IF(ISERROR(AV180/(AV12*4)),"NM",(AV180/(AV12*4)))</f>
        <v>2.3613985016054221E-2</v>
      </c>
      <c r="AW369" s="91">
        <f>AW180/(AW12)</f>
        <v>2.560482155153072E-2</v>
      </c>
      <c r="AX369" s="90">
        <f>IF(ISERROR(AX180/(AX12*4)),"NM",(AX180/(AX12*4)))</f>
        <v>5.8246279183521037E-2</v>
      </c>
      <c r="AY369" s="90">
        <f>IF(ISERROR(AY180/(AY12*4)),"NM",(AY180/(AY12*4)))</f>
        <v>9.6323269703148355E-3</v>
      </c>
      <c r="AZ369" s="90">
        <f>IF(ISERROR(AZ180/(AZ12*4)),"NM",(AZ180/(AZ12*4)))</f>
        <v>1.3183598651624936E-2</v>
      </c>
      <c r="BA369" s="90">
        <f>IF(ISERROR(BA180/(BA12*4)),"NM",(BA180/(BA12*4)))</f>
        <v>1.0027662517289072E-2</v>
      </c>
      <c r="BB369" s="747">
        <f>BB180/(BB12)</f>
        <v>1.0174530793743718E-2</v>
      </c>
      <c r="BC369" s="90">
        <f>IF(ISERROR(BC180/(BC12*4)),"NM",(BC180/(BC12*4)))</f>
        <v>1.4027059291683248E-2</v>
      </c>
      <c r="BD369" s="90">
        <f>IF(ISERROR(BD180/(BD12*4)),"NM",(BD180/(BD12*4)))</f>
        <v>9.9388379204892966E-3</v>
      </c>
      <c r="BE369" s="90">
        <f>IF(ISERROR(BE180/(BE12*4)),"NM",(BE180/(BE12*4)))</f>
        <v>1.6618102349298856E-2</v>
      </c>
      <c r="BF369" s="90">
        <f>IF(ISERROR(BF180/(BF12*4)),"NM",(BF180/(BF12*4)))</f>
        <v>1.7140101700859198E-2</v>
      </c>
      <c r="BG369" s="747">
        <f>BG180/(BG12)</f>
        <v>1.8226738765616257E-2</v>
      </c>
      <c r="BH369" s="716">
        <f t="shared" ref="BH369:BK370" si="507">BC369</f>
        <v>1.4027059291683248E-2</v>
      </c>
      <c r="BI369" s="716">
        <f t="shared" si="507"/>
        <v>9.9388379204892966E-3</v>
      </c>
      <c r="BJ369" s="716">
        <f t="shared" si="507"/>
        <v>1.6618102349298856E-2</v>
      </c>
      <c r="BK369" s="716">
        <f t="shared" si="507"/>
        <v>1.7140101700859198E-2</v>
      </c>
      <c r="BL369" s="747">
        <f>BL180/(BL12)</f>
        <v>1.7735669770481435E-2</v>
      </c>
      <c r="BM369" s="716">
        <f t="shared" ref="BM369:BP370" si="508">BH369</f>
        <v>1.4027059291683248E-2</v>
      </c>
      <c r="BN369" s="716">
        <f t="shared" si="508"/>
        <v>9.9388379204892966E-3</v>
      </c>
      <c r="BO369" s="716">
        <f t="shared" si="508"/>
        <v>1.6618102349298856E-2</v>
      </c>
      <c r="BP369" s="716">
        <f t="shared" si="508"/>
        <v>1.7140101700859198E-2</v>
      </c>
      <c r="BQ369" s="747">
        <f>BQ180/(BQ12)</f>
        <v>1.7752477590503683E-2</v>
      </c>
      <c r="BR369" s="716">
        <f t="shared" ref="BR369:BU370" si="509">BM369</f>
        <v>1.4027059291683248E-2</v>
      </c>
      <c r="BS369" s="716">
        <f t="shared" si="509"/>
        <v>9.9388379204892966E-3</v>
      </c>
      <c r="BT369" s="716">
        <f t="shared" si="509"/>
        <v>1.6618102349298856E-2</v>
      </c>
      <c r="BU369" s="716">
        <f t="shared" si="509"/>
        <v>1.7140101700859198E-2</v>
      </c>
      <c r="BV369" s="747">
        <f>BV180/(BV12)</f>
        <v>1.7753397668874321E-2</v>
      </c>
      <c r="BW369" s="716">
        <f t="shared" ref="BW369:BZ370" si="510">BR369</f>
        <v>1.4027059291683248E-2</v>
      </c>
      <c r="BX369" s="716">
        <f t="shared" si="510"/>
        <v>9.9388379204892966E-3</v>
      </c>
      <c r="BY369" s="716">
        <f t="shared" si="510"/>
        <v>1.6618102349298856E-2</v>
      </c>
      <c r="BZ369" s="716">
        <f t="shared" si="510"/>
        <v>1.7140101700859198E-2</v>
      </c>
      <c r="CA369" s="747">
        <f>CA180/(CA12)</f>
        <v>1.775432476072349E-2</v>
      </c>
      <c r="CC369" s="9"/>
      <c r="CD369" s="9"/>
      <c r="CE369" s="716"/>
      <c r="CF369" s="716"/>
      <c r="CG369" s="716"/>
      <c r="CH369" s="716"/>
      <c r="CI369" s="716"/>
      <c r="CJ369" s="716"/>
      <c r="CK369" s="716"/>
      <c r="CL369" s="716"/>
      <c r="CM369" s="716"/>
      <c r="CN369" s="716"/>
      <c r="CO369" s="716"/>
      <c r="CP369" s="188"/>
      <c r="CQ369" s="188"/>
      <c r="CR369" s="188"/>
      <c r="CS369" s="188"/>
      <c r="CT369" s="188"/>
      <c r="CU369" s="188"/>
      <c r="DB369" s="1961"/>
      <c r="DC369" s="1961"/>
      <c r="DD369" s="1961"/>
      <c r="DE369" s="1961"/>
      <c r="DF369" s="1961"/>
      <c r="DG369" s="1961"/>
      <c r="DH369" s="1961"/>
      <c r="DI369" s="716"/>
    </row>
    <row r="370" spans="1:113" ht="12" customHeight="1" x14ac:dyDescent="0.25">
      <c r="A370" s="487" t="s">
        <v>243</v>
      </c>
      <c r="B370" s="902"/>
      <c r="C370" s="91">
        <f>C190/(C12)</f>
        <v>0</v>
      </c>
      <c r="D370" s="91">
        <f>D190/(D12)</f>
        <v>1.6014890437769557E-2</v>
      </c>
      <c r="E370" s="745">
        <f>IF(ISERROR(E190/(E12*4)),"NM",(E190/(E12*4)))</f>
        <v>0</v>
      </c>
      <c r="F370" s="90">
        <f>IF(ISERROR(F190/(F12*4)),"NM",(F190/(F12*4)))</f>
        <v>0</v>
      </c>
      <c r="G370" s="90">
        <f>IF(ISERROR(G190/(G12*4)),"NM",(G190/(G12*4)))</f>
        <v>0</v>
      </c>
      <c r="H370" s="90">
        <f>IF(ISERROR(H190/(H12*4)),"NM",(H190/(H12*4)))</f>
        <v>1.5971632326504812E-2</v>
      </c>
      <c r="I370" s="91">
        <f>I190/(I12)</f>
        <v>1.6125754959828969E-2</v>
      </c>
      <c r="J370" s="90">
        <f>IF(ISERROR(J190/(J12*4)),"NM",(J190/(J12*4)))</f>
        <v>1.5203971839085791E-2</v>
      </c>
      <c r="K370" s="90">
        <f>IF(ISERROR(K190/(K12*4)),"NM",(K190/(K12*4)))</f>
        <v>2.9720090781368206E-3</v>
      </c>
      <c r="L370" s="90">
        <f>IF(ISERROR(L190/(L12*4)),"NM",(L190/(L12*4)))</f>
        <v>6.3137558993007744E-3</v>
      </c>
      <c r="M370" s="90">
        <f>IF(ISERROR(M190/(M12*4)),"NM",(M190/(M12*4)))</f>
        <v>9.6233188893545141E-3</v>
      </c>
      <c r="N370" s="91">
        <f>N190/(N12)</f>
        <v>9.9714621453751897E-3</v>
      </c>
      <c r="O370" s="745">
        <f>IF(ISERROR(O190/(O12*4)),"NM",(O190/(O12*4)))</f>
        <v>1.6169822299807526E-2</v>
      </c>
      <c r="P370" s="90">
        <f>IF(ISERROR(P190/(P12*4)),"NM",(P190/(P12*4)))</f>
        <v>7.6303912901875028E-3</v>
      </c>
      <c r="Q370" s="90">
        <f>IF(ISERROR(Q190/(Q12*4)),"NM",(Q190/(Q12*4)))</f>
        <v>1.1980713171332228E-2</v>
      </c>
      <c r="R370" s="90">
        <f>IF(ISERROR(R190/(R12*4)),"NM",(R190/(R12*4)))</f>
        <v>9.7076484388554877E-3</v>
      </c>
      <c r="S370" s="91">
        <f>S190/(S12)</f>
        <v>1.0023327725332586E-2</v>
      </c>
      <c r="T370" s="745">
        <f>IF(ISERROR(T190/(T12*4)),"NM",(T190/(T12*4)))</f>
        <v>1.0090384350760808E-2</v>
      </c>
      <c r="U370" s="90">
        <f>IF(ISERROR(U190/(U12*4)),"NM",(U190/(U12*4)))</f>
        <v>9.2730325869701813E-3</v>
      </c>
      <c r="V370" s="90">
        <f>IF(ISERROR(V190/(V12*4)),"NM",(V190/(V12*4)))</f>
        <v>1.0203442443814945E-2</v>
      </c>
      <c r="W370" s="90">
        <f>IF(ISERROR(W190/(W12*4)),"NM",(W190/(W12*4)))</f>
        <v>2.2766733297402763E-2</v>
      </c>
      <c r="X370" s="91">
        <f>X190/(X12)</f>
        <v>2.345250948088581E-2</v>
      </c>
      <c r="Y370" s="745">
        <f>IF(ISERROR(Y190/(Y12*4)),"NM",(Y190/(Y12*4)))</f>
        <v>2.0932083395926091E-2</v>
      </c>
      <c r="Z370" s="90">
        <f>IF(ISERROR(Z190/(Z12*4)),"NM",(Z190/(Z12*4)))</f>
        <v>2.1637435834759227E-2</v>
      </c>
      <c r="AA370" s="90">
        <f>IF(ISERROR(AA190/(AA12*4)),"NM",(AA190/(AA12*4)))</f>
        <v>2.0361042993490112E-2</v>
      </c>
      <c r="AB370" s="90">
        <f>IF(ISERROR(AB190/(AB12*4)),"NM",(AB190/(AB12*4)))</f>
        <v>1.5069270434849388E-2</v>
      </c>
      <c r="AC370" s="91">
        <f>AC190/(AC12)</f>
        <v>1.5912572080730419E-2</v>
      </c>
      <c r="AD370" s="745">
        <f>IF(ISERROR(AD190/(AD12*4)),"NM",(AD190/(AD12*4)))</f>
        <v>2.7692560771830386E-2</v>
      </c>
      <c r="AE370" s="90">
        <f>IF(ISERROR(AE190/(AE12*4)),"NM",(AE190/(AE12*4)))</f>
        <v>1.5942083348962827E-2</v>
      </c>
      <c r="AF370" s="90">
        <f>IF(ISERROR(AF190/(AF12*4)),"NM",(AF190/(AF12*4)))</f>
        <v>2.9389790479437801E-2</v>
      </c>
      <c r="AG370" s="90">
        <f>IF(ISERROR(AG190/(AG12*4)),"NM",(AG190/(AG12*4)))</f>
        <v>2.8443340629735643E-2</v>
      </c>
      <c r="AH370" s="91">
        <f>AH190/(AH12)</f>
        <v>3.0827337191720112E-2</v>
      </c>
      <c r="AI370" s="90">
        <f>IF(ISERROR(AI190/(AI12*4)),"NM",(AI190/(AI12*4)))</f>
        <v>2.9656461293825011E-2</v>
      </c>
      <c r="AJ370" s="90">
        <f>IF(ISERROR(AJ190/(AJ12*4)),"NM",(AJ190/(AJ12*4)))</f>
        <v>1.5377235722373362E-2</v>
      </c>
      <c r="AK370" s="90">
        <f>IF(ISERROR(AK190/(AK12*4)),"NM",(AK190/(AK12*4)))</f>
        <v>1.6628553117421292E-2</v>
      </c>
      <c r="AL370" s="90">
        <f>IF(ISERROR(AL190/(AL12*4)),"NM",(AL190/(AL12*4)))</f>
        <v>0.10014686014450845</v>
      </c>
      <c r="AM370" s="91">
        <f>AM190/(AM12)</f>
        <v>0.10461405027094471</v>
      </c>
      <c r="AN370" s="90">
        <f>IF(ISERROR(AN190/(AN12*4)),"NM",(AN190/(AN12*4)))</f>
        <v>5.4759265995024946E-2</v>
      </c>
      <c r="AO370" s="90">
        <f>IF(ISERROR(AO190/(AO12*4)),"NM",(AO190/(AO12*4)))</f>
        <v>5.472619784018095E-2</v>
      </c>
      <c r="AP370" s="90">
        <f>IF(ISERROR(AP190/(AP12*4)),"NM",(AP190/(AP12*4)))</f>
        <v>5.5591031170249515E-2</v>
      </c>
      <c r="AQ370" s="90">
        <f>IF(ISERROR(AQ190/(AQ12*4)),"NM",(AQ190/(AQ12*4)))</f>
        <v>2.4174812418255663E-2</v>
      </c>
      <c r="AR370" s="91">
        <f>AR190/(AR12)</f>
        <v>2.5735003658272679E-2</v>
      </c>
      <c r="AS370" s="90">
        <f>IF(ISERROR(AS190/(AS12*4)),"NM",(AS190/(AS12*4)))</f>
        <v>2.568475632187411E-2</v>
      </c>
      <c r="AT370" s="90">
        <f>IF(ISERROR(AT190/(AT12*4)),"NM",(AT190/(AT12*4)))</f>
        <v>3.3344720184868885E-2</v>
      </c>
      <c r="AU370" s="90">
        <f>IF(ISERROR(AU190/(AU12*4)),"NM",(AU190/(AU12*4)))</f>
        <v>3.3911184754388167E-2</v>
      </c>
      <c r="AV370" s="746">
        <f>IF(ISERROR(AV190/(AV12*4)),"NM",(AV190/(AV12*4)))</f>
        <v>3.6398055654655717E-2</v>
      </c>
      <c r="AW370" s="91">
        <f>AW190/(AW12)</f>
        <v>3.946668549279321E-2</v>
      </c>
      <c r="AX370" s="90">
        <f>IF(ISERROR(AX190/(AX12*4)),"NM",(AX190/(AX12*4)))</f>
        <v>0.32219896042427354</v>
      </c>
      <c r="AY370" s="90">
        <f>IF(ISERROR(AY190/(AY12*4)),"NM",(AY190/(AY12*4)))</f>
        <v>7.9928395973477631E-2</v>
      </c>
      <c r="AZ370" s="90">
        <f>IF(ISERROR(AZ190/(AZ12*4)),"NM",(AZ190/(AZ12*4)))</f>
        <v>8.2123188798609054E-2</v>
      </c>
      <c r="BA370" s="90">
        <f>IF(ISERROR(BA190/(BA12*4)),"NM",(BA190/(BA12*4)))</f>
        <v>7.1873147599288673E-2</v>
      </c>
      <c r="BB370" s="747">
        <f>BB190/(BB12)</f>
        <v>7.2925824162054717E-2</v>
      </c>
      <c r="BC370" s="90">
        <f>IF(ISERROR(BC190/(BC12*4)),"NM",(BC190/(BC12*4)))</f>
        <v>7.9984082769598105E-2</v>
      </c>
      <c r="BD370" s="90">
        <f>IF(ISERROR(BD190/(BD12*4)),"NM",(BD190/(BD12*4)))</f>
        <v>8.1326452599388366E-2</v>
      </c>
      <c r="BE370" s="90">
        <f>IF(ISERROR(BE190/(BE12*4)),"NM",(BE190/(BE12*4)))</f>
        <v>8.3682389364414522E-2</v>
      </c>
      <c r="BF370" s="90">
        <f>IF(ISERROR(BF190/(BF12*4)),"NM",(BF190/(BF12*4)))</f>
        <v>9.4029458179905323E-2</v>
      </c>
      <c r="BG370" s="747">
        <f>BG190/(BG12)</f>
        <v>9.9990676859966418E-2</v>
      </c>
      <c r="BH370" s="716">
        <f>BC370</f>
        <v>7.9984082769598105E-2</v>
      </c>
      <c r="BI370" s="716">
        <f t="shared" si="507"/>
        <v>8.1326452599388366E-2</v>
      </c>
      <c r="BJ370" s="716">
        <f t="shared" si="507"/>
        <v>8.3682389364414522E-2</v>
      </c>
      <c r="BK370" s="716">
        <f t="shared" si="507"/>
        <v>9.4029458179905323E-2</v>
      </c>
      <c r="BL370" s="747">
        <f>BL190/(BL12)</f>
        <v>9.7296705006861078E-2</v>
      </c>
      <c r="BM370" s="716">
        <f t="shared" si="508"/>
        <v>7.9984082769598105E-2</v>
      </c>
      <c r="BN370" s="716">
        <f t="shared" si="508"/>
        <v>8.1326452599388366E-2</v>
      </c>
      <c r="BO370" s="716">
        <f t="shared" si="508"/>
        <v>8.3682389364414522E-2</v>
      </c>
      <c r="BP370" s="716">
        <f t="shared" si="508"/>
        <v>9.4029458179905323E-2</v>
      </c>
      <c r="BQ370" s="747">
        <f>BQ190/(BQ12)</f>
        <v>9.7388911589847568E-2</v>
      </c>
      <c r="BR370" s="716">
        <f t="shared" si="509"/>
        <v>7.9984082769598105E-2</v>
      </c>
      <c r="BS370" s="716">
        <f t="shared" si="509"/>
        <v>8.1326452599388366E-2</v>
      </c>
      <c r="BT370" s="716">
        <f t="shared" si="509"/>
        <v>8.3682389364414522E-2</v>
      </c>
      <c r="BU370" s="716">
        <f t="shared" si="509"/>
        <v>9.4029458179905323E-2</v>
      </c>
      <c r="BV370" s="747">
        <f>BV190/(BV12)</f>
        <v>9.739395907860722E-2</v>
      </c>
      <c r="BW370" s="716">
        <f t="shared" si="510"/>
        <v>7.9984082769598105E-2</v>
      </c>
      <c r="BX370" s="716">
        <f t="shared" si="510"/>
        <v>8.1326452599388366E-2</v>
      </c>
      <c r="BY370" s="716">
        <f t="shared" si="510"/>
        <v>8.3682389364414522E-2</v>
      </c>
      <c r="BZ370" s="716">
        <f t="shared" si="510"/>
        <v>9.4029458179905323E-2</v>
      </c>
      <c r="CA370" s="747">
        <f>CA190/(CA12)</f>
        <v>9.739904504284369E-2</v>
      </c>
      <c r="CC370" s="9"/>
      <c r="CD370" s="9"/>
      <c r="CE370" s="716"/>
      <c r="CF370" s="716"/>
      <c r="CG370" s="716"/>
      <c r="CH370" s="716"/>
      <c r="CI370" s="716"/>
      <c r="CJ370" s="716"/>
      <c r="CK370" s="716"/>
      <c r="CL370" s="716"/>
      <c r="CM370" s="716"/>
      <c r="CN370" s="716"/>
      <c r="CO370" s="716"/>
      <c r="CP370" s="188"/>
      <c r="CQ370" s="188"/>
      <c r="CR370" s="188"/>
      <c r="CS370" s="188"/>
      <c r="CT370" s="188"/>
      <c r="CU370" s="188"/>
      <c r="DB370" s="1961"/>
      <c r="DC370" s="1961"/>
      <c r="DD370" s="1961"/>
      <c r="DE370" s="1961"/>
      <c r="DF370" s="1961"/>
      <c r="DG370" s="1961"/>
      <c r="DH370" s="1961"/>
      <c r="DI370" s="716"/>
    </row>
    <row r="371" spans="1:113" ht="12" customHeight="1" x14ac:dyDescent="0.25">
      <c r="A371" s="487" t="s">
        <v>244</v>
      </c>
      <c r="B371" s="902"/>
      <c r="C371" s="91">
        <f>C207/(C12)</f>
        <v>0</v>
      </c>
      <c r="D371" s="91">
        <f>D207/(D12)</f>
        <v>3.9972169454058369E-2</v>
      </c>
      <c r="E371" s="745">
        <f>IF(ISERROR(E207/(E12*4)),"NM",(E207/(E12*4)))</f>
        <v>0</v>
      </c>
      <c r="F371" s="90">
        <f>IF(ISERROR(F207/(F12*4)),"NM",(F207/(F12*4)))</f>
        <v>0</v>
      </c>
      <c r="G371" s="90">
        <f>IF(ISERROR(G207/(G12*4)),"NM",(G207/(G12*4)))</f>
        <v>0</v>
      </c>
      <c r="H371" s="90">
        <f>IF(ISERROR(H207/(H12*4)),"NM",(H207/(H12*4)))</f>
        <v>2.1775794630686872E-2</v>
      </c>
      <c r="I371" s="91">
        <f>I207/(I12)</f>
        <v>2.1985926115221363E-2</v>
      </c>
      <c r="J371" s="90">
        <f>IF(ISERROR(J207/(J12*4)),"NM",(J207/(J12*4)))</f>
        <v>5.3914793755623372E-2</v>
      </c>
      <c r="K371" s="90">
        <f>IF(ISERROR(K207/(K12*4)),"NM",(K207/(K12*4)))</f>
        <v>5.8039734860765871E-2</v>
      </c>
      <c r="L371" s="90">
        <f>IF(ISERROR(L207/(L12*4)),"NM",(L207/(L12*4)))</f>
        <v>0.1062687451814021</v>
      </c>
      <c r="M371" s="90">
        <f>IF(ISERROR(M207/(M12*4)),"NM",(M207/(M12*4)))</f>
        <v>0.1446349187148171</v>
      </c>
      <c r="N371" s="91">
        <f>N207/(N12)</f>
        <v>0.14986738291086116</v>
      </c>
      <c r="O371" s="745">
        <f>IF(ISERROR(O207/(O12*4)),"NM",(O207/(O12*4)))</f>
        <v>0.13749689726593178</v>
      </c>
      <c r="P371" s="90">
        <f>IF(ISERROR(P207/(P12*4)),"NM",(P207/(P12*4)))</f>
        <v>0.13216997006777401</v>
      </c>
      <c r="Q371" s="90">
        <f>IF(ISERROR(Q207/(Q12*4)),"NM",(Q207/(Q12*4)))</f>
        <v>0.132995691240404</v>
      </c>
      <c r="R371" s="90">
        <f>IF(ISERROR(R207/(R12*4)),"NM",(R207/(R12*4)))</f>
        <v>9.6224059503783127E-2</v>
      </c>
      <c r="S371" s="91">
        <f>S207/(S12)</f>
        <v>9.9353132691528803E-2</v>
      </c>
      <c r="T371" s="745">
        <f>IF(ISERROR(T207/(T12*4)),"NM",(T207/(T12*4)))</f>
        <v>8.9919935977751539E-2</v>
      </c>
      <c r="U371" s="90">
        <f>IF(ISERROR(U207/(U12*4)),"NM",(U207/(U12*4)))</f>
        <v>8.4227679221235668E-2</v>
      </c>
      <c r="V371" s="90">
        <f>IF(ISERROR(V207/(V12*4)),"NM",(V207/(V12*4)))</f>
        <v>7.8883537378982016E-2</v>
      </c>
      <c r="W371" s="90">
        <f>IF(ISERROR(W207/(W12*4)),"NM",(W207/(W12*4)))</f>
        <v>8.1464602705708183E-2</v>
      </c>
      <c r="X371" s="91">
        <f>X207/(X12)</f>
        <v>8.3918467456645315E-2</v>
      </c>
      <c r="Y371" s="745">
        <f>IF(ISERROR(Y207/(Y12*4)),"NM",(Y207/(Y12*4)))</f>
        <v>7.1841569474764194E-2</v>
      </c>
      <c r="Z371" s="90">
        <f>IF(ISERROR(Z207/(Z12*4)),"NM",(Z207/(Z12*4)))</f>
        <v>6.4161421412857494E-2</v>
      </c>
      <c r="AA371" s="90">
        <f>IF(ISERROR(AA207/(AA12*4)),"NM",(AA207/(AA12*4)))</f>
        <v>5.7402572199777714E-2</v>
      </c>
      <c r="AB371" s="90">
        <f>IF(ISERROR(AB207/(AB12*4)),"NM",(AB207/(AB12*4)))</f>
        <v>7.7618866132147121E-2</v>
      </c>
      <c r="AC371" s="91">
        <f>AC207/(AC12)</f>
        <v>8.1962548053820264E-2</v>
      </c>
      <c r="AD371" s="745">
        <f>IF(ISERROR(AD207/(AD12*4)),"NM",(AD207/(AD12*4)))</f>
        <v>7.197453975601803E-2</v>
      </c>
      <c r="AE371" s="90">
        <f>IF(ISERROR(AE207/(AE12*4)),"NM",(AE207/(AE12*4)))</f>
        <v>1.674387636445478E-2</v>
      </c>
      <c r="AF371" s="90">
        <f>IF(ISERROR(AF207/(AF12*4)),"NM",(AF207/(AF12*4)))</f>
        <v>1.4116375798206401E-2</v>
      </c>
      <c r="AG371" s="90">
        <f>IF(ISERROR(AG207/(AG12*4)),"NM",(AG207/(AG12*4)))</f>
        <v>2.324525533399081E-2</v>
      </c>
      <c r="AH371" s="91">
        <f>AH207/(AH12)</f>
        <v>2.5193571093383389E-2</v>
      </c>
      <c r="AI371" s="90">
        <f>IF(ISERROR(AI207/(AI12*4)),"NM",(AI207/(AI12*4)))</f>
        <v>2.3484391964894866E-2</v>
      </c>
      <c r="AJ371" s="90">
        <f>IF(ISERROR(AJ207/(AJ12*4)),"NM",(AJ207/(AJ12*4)))</f>
        <v>2.0581966667179007E-2</v>
      </c>
      <c r="AK371" s="90">
        <f>IF(ISERROR(AK207/(AK12*4)),"NM",(AK207/(AK12*4)))</f>
        <v>1.731738876062992E-2</v>
      </c>
      <c r="AL371" s="90">
        <f>IF(ISERROR(AL207/(AL12*4)),"NM",(AL207/(AL12*4)))</f>
        <v>7.8031450147939994E-3</v>
      </c>
      <c r="AM371" s="91">
        <f>AM207/(AM12)</f>
        <v>8.1512151621250181E-3</v>
      </c>
      <c r="AN371" s="90">
        <f>IF(ISERROR(AN207/(AN12*4)),"NM",(AN207/(AN12*4)))</f>
        <v>7.9074950627741735E-3</v>
      </c>
      <c r="AO371" s="90">
        <f>IF(ISERROR(AO207/(AO12*4)),"NM",(AO207/(AO12*4)))</f>
        <v>7.6873314854776489E-3</v>
      </c>
      <c r="AP371" s="90">
        <f>IF(ISERROR(AP207/(AP12*4)),"NM",(AP207/(AP12*4)))</f>
        <v>6.9099439448140594E-3</v>
      </c>
      <c r="AQ371" s="90">
        <f>IF(ISERROR(AQ207/(AQ12*4)),"NM",(AQ207/(AQ12*4)))</f>
        <v>7.424214393887245E-3</v>
      </c>
      <c r="AR371" s="91">
        <f>AR207/(AR12)</f>
        <v>7.903357481367999E-3</v>
      </c>
      <c r="AS371" s="90">
        <f>IF(ISERROR(AS207/(AS12*4)),"NM",(AS207/(AS12*4)))</f>
        <v>7.466853288114637E-3</v>
      </c>
      <c r="AT371" s="90">
        <f>IF(ISERROR(AT207/(AT12*4)),"NM",(AT207/(AT12*4)))</f>
        <v>6.8200542549984935E-3</v>
      </c>
      <c r="AU371" s="90">
        <f>IF(ISERROR(AU207/(AU12*4)),"NM",(AU207/(AU12*4)))</f>
        <v>6.0923762856535512E-3</v>
      </c>
      <c r="AV371" s="746">
        <f>IF(ISERROR(AV207/(AV12*4)),"NM",(AV207/(AV12*4)))</f>
        <v>5.7844273992151253E-3</v>
      </c>
      <c r="AW371" s="91">
        <f>AW207/(AW12)</f>
        <v>6.272098133118768E-3</v>
      </c>
      <c r="AX371" s="90">
        <f>IF(ISERROR(AX207/(AX12*4)),"NM",(AX207/(AX12*4)))</f>
        <v>6.4851705192398639E-3</v>
      </c>
      <c r="AY371" s="90">
        <f>IF(ISERROR(AY207/(AY12*4)),"NM",(AY207/(AY12*4)))</f>
        <v>6.3707113843980293E-3</v>
      </c>
      <c r="AZ371" s="90">
        <f>IF(ISERROR(AZ207/(AZ12*4)),"NM",(AZ207/(AZ12*4)))</f>
        <v>6.2871300049590325E-3</v>
      </c>
      <c r="BA371" s="90">
        <f>IF(ISERROR(BA207/(BA12*4)),"NM",(BA207/(BA12*4)))</f>
        <v>6.2240663900414933E-3</v>
      </c>
      <c r="BB371" s="747">
        <f>BB207/(BB12)</f>
        <v>6.3152260099098925E-3</v>
      </c>
      <c r="BC371" s="90">
        <f>IF(ISERROR(BC207/(BC12*4)),"NM",(BC207/(BC12*4)))</f>
        <v>0</v>
      </c>
      <c r="BD371" s="90">
        <f>IF(ISERROR(BD207/(BD12*4)),"NM",(BD207/(BD12*4)))</f>
        <v>0</v>
      </c>
      <c r="BE371" s="90">
        <f>IF(ISERROR(BE207/(BE12*4)),"NM",(BE207/(BE12*4)))</f>
        <v>0</v>
      </c>
      <c r="BF371" s="90">
        <f>IF(ISERROR(BF207/(BF12*4)),"NM",(BF207/(BF12*4)))</f>
        <v>0</v>
      </c>
      <c r="BG371" s="747">
        <f>BG207/(BG12)</f>
        <v>0</v>
      </c>
      <c r="BH371" s="716">
        <v>0</v>
      </c>
      <c r="BI371" s="716">
        <v>0</v>
      </c>
      <c r="BJ371" s="716">
        <v>0</v>
      </c>
      <c r="BK371" s="716">
        <v>0</v>
      </c>
      <c r="BL371" s="747">
        <f>BL207/(BL12)</f>
        <v>0</v>
      </c>
      <c r="BM371" s="716">
        <v>0</v>
      </c>
      <c r="BN371" s="716">
        <v>0</v>
      </c>
      <c r="BO371" s="716">
        <v>0</v>
      </c>
      <c r="BP371" s="716">
        <v>0</v>
      </c>
      <c r="BQ371" s="747">
        <f>BQ207/(BQ12)</f>
        <v>0</v>
      </c>
      <c r="BR371" s="716">
        <v>0</v>
      </c>
      <c r="BS371" s="716">
        <v>0</v>
      </c>
      <c r="BT371" s="716">
        <v>0</v>
      </c>
      <c r="BU371" s="716">
        <v>0</v>
      </c>
      <c r="BV371" s="747">
        <f>BV207/(BV12)</f>
        <v>0</v>
      </c>
      <c r="BW371" s="716">
        <v>0</v>
      </c>
      <c r="BX371" s="716">
        <v>0</v>
      </c>
      <c r="BY371" s="716">
        <v>0</v>
      </c>
      <c r="BZ371" s="716">
        <v>0</v>
      </c>
      <c r="CA371" s="747">
        <f>CA207/(CA12)</f>
        <v>0</v>
      </c>
      <c r="CC371" s="9"/>
      <c r="CD371" s="9"/>
      <c r="CE371" s="716"/>
      <c r="CF371" s="716"/>
      <c r="CG371" s="716"/>
      <c r="CH371" s="716"/>
      <c r="CI371" s="716"/>
      <c r="CJ371" s="716"/>
      <c r="CK371" s="716"/>
      <c r="CL371" s="716"/>
      <c r="CM371" s="716"/>
      <c r="CN371" s="716"/>
      <c r="CO371" s="716"/>
      <c r="CP371" s="188"/>
      <c r="CQ371" s="188"/>
      <c r="CR371" s="188"/>
      <c r="CS371" s="188"/>
      <c r="CT371" s="188"/>
      <c r="CU371" s="188"/>
      <c r="DB371" s="1961"/>
      <c r="DC371" s="1961"/>
      <c r="DD371" s="1961"/>
      <c r="DE371" s="1961"/>
      <c r="DF371" s="1961"/>
      <c r="DG371" s="1961"/>
      <c r="DH371" s="1961"/>
      <c r="DI371" s="716"/>
    </row>
    <row r="372" spans="1:113" ht="12" customHeight="1" x14ac:dyDescent="0.25">
      <c r="A372" s="487" t="s">
        <v>245</v>
      </c>
      <c r="B372" s="902"/>
      <c r="C372" s="91">
        <f>C208/(C12)</f>
        <v>0</v>
      </c>
      <c r="D372" s="91">
        <f>D208/(D12)</f>
        <v>3.632899759358911E-2</v>
      </c>
      <c r="E372" s="745">
        <f>IF(ISERROR(E208/(E12*4)),"NM",(E208/(E12*4)))</f>
        <v>0</v>
      </c>
      <c r="F372" s="90">
        <f>IF(ISERROR(F208/(F12*4)),"NM",(F208/(F12*4)))</f>
        <v>0</v>
      </c>
      <c r="G372" s="90">
        <f>IF(ISERROR(G208/(G12*4)),"NM",(G208/(G12*4)))</f>
        <v>0</v>
      </c>
      <c r="H372" s="90">
        <f>IF(ISERROR(H208/(H12*4)),"NM",(H208/(H12*4)))</f>
        <v>2.9501096382924082E-2</v>
      </c>
      <c r="I372" s="91">
        <f>I208/(I12)</f>
        <v>2.9785775279078028E-2</v>
      </c>
      <c r="J372" s="90">
        <f>IF(ISERROR(J208/(J12*4)),"NM",(J208/(J12*4)))</f>
        <v>2.7813076830320287E-2</v>
      </c>
      <c r="K372" s="90">
        <f>IF(ISERROR(K208/(K12*4)),"NM",(K208/(K12*4)))</f>
        <v>2.5942036816888215E-2</v>
      </c>
      <c r="L372" s="90">
        <f>IF(ISERROR(L208/(L12*4)),"NM",(L208/(L12*4)))</f>
        <v>2.5097931735230023E-2</v>
      </c>
      <c r="M372" s="90">
        <f>IF(ISERROR(M208/(M12*4)),"NM",(M208/(M12*4)))</f>
        <v>2.5703225917941493E-2</v>
      </c>
      <c r="N372" s="91">
        <f>N208/(N12)</f>
        <v>2.663309272004924E-2</v>
      </c>
      <c r="O372" s="745">
        <f>IF(ISERROR(O208/(O12*4)),"NM",(O208/(O12*4)))</f>
        <v>2.3572640599631333E-2</v>
      </c>
      <c r="P372" s="90">
        <f>IF(ISERROR(P208/(P12*4)),"NM",(P208/(P12*4)))</f>
        <v>2.2103126599357932E-2</v>
      </c>
      <c r="Q372" s="90">
        <f>IF(ISERROR(Q208/(Q12*4)),"NM",(Q208/(Q12*4)))</f>
        <v>2.1230222483750207E-2</v>
      </c>
      <c r="R372" s="90">
        <f>IF(ISERROR(R208/(R12*4)),"NM",(R208/(R12*4)))</f>
        <v>2.3675535405807052E-2</v>
      </c>
      <c r="S372" s="91">
        <f>S208/(S12)</f>
        <v>2.4445431037168581E-2</v>
      </c>
      <c r="T372" s="745">
        <f>IF(ISERROR(T208/(T12*4)),"NM",(T208/(T12*4)))</f>
        <v>2.2336268893443513E-2</v>
      </c>
      <c r="U372" s="90">
        <f>IF(ISERROR(U208/(U12*4)),"NM",(U208/(U12*4)))</f>
        <v>2.0933551550179813E-2</v>
      </c>
      <c r="V372" s="90">
        <f>IF(ISERROR(V208/(V12*4)),"NM",(V208/(V12*4)))</f>
        <v>2.0072802188241676E-2</v>
      </c>
      <c r="W372" s="90">
        <f>IF(ISERROR(W208/(W12*4)),"NM",(W208/(W12*4)))</f>
        <v>1.9684777492000899E-2</v>
      </c>
      <c r="X372" s="91">
        <f>X208/(X12)</f>
        <v>2.0277719457140773E-2</v>
      </c>
      <c r="Y372" s="745">
        <f>IF(ISERROR(Y208/(Y12*4)),"NM",(Y208/(Y12*4)))</f>
        <v>1.8393480977661573E-2</v>
      </c>
      <c r="Z372" s="90">
        <f>IF(ISERROR(Z208/(Z12*4)),"NM",(Z208/(Z12*4)))</f>
        <v>1.6960248105597653E-2</v>
      </c>
      <c r="AA372" s="90">
        <f>IF(ISERROR(AA208/(AA12*4)),"NM",(AA208/(AA12*4)))</f>
        <v>1.5678569118312956E-2</v>
      </c>
      <c r="AB372" s="90">
        <f>IF(ISERROR(AB208/(AB12*4)),"NM",(AB208/(AB12*4)))</f>
        <v>1.321627563688697E-2</v>
      </c>
      <c r="AC372" s="91">
        <f>AC208/(AC12)</f>
        <v>1.3955880586256606E-2</v>
      </c>
      <c r="AD372" s="745">
        <f>IF(ISERROR(AD208/(AD12*4)),"NM",(AD208/(AD12*4)))</f>
        <v>1.139390651109232E-2</v>
      </c>
      <c r="AE372" s="90">
        <f>IF(ISERROR(AE208/(AE12*4)),"NM",(AE208/(AE12*4)))</f>
        <v>7.1163316596378609E-3</v>
      </c>
      <c r="AF372" s="90">
        <f>IF(ISERROR(AF208/(AF12*4)),"NM",(AF208/(AF12*4)))</f>
        <v>3.3651905541501716E-3</v>
      </c>
      <c r="AG372" s="90">
        <f>IF(ISERROR(AG208/(AG12*4)),"NM",(AG208/(AG12*4)))</f>
        <v>1.5797512808794166E-3</v>
      </c>
      <c r="AH372" s="91">
        <f>AH208/(AH12)</f>
        <v>1.7121591323843786E-3</v>
      </c>
      <c r="AI372" s="90">
        <f>IF(ISERROR(AI208/(AI12*4)),"NM",(AI208/(AI12*4)))</f>
        <v>1.702296540721057E-3</v>
      </c>
      <c r="AJ372" s="90">
        <f>IF(ISERROR(AJ208/(AJ12*4)),"NM",(AJ208/(AJ12*4)))</f>
        <v>1.451842629737221E-3</v>
      </c>
      <c r="AK372" s="90">
        <f>IF(ISERROR(AK208/(AK12*4)),"NM",(AK208/(AK12*4)))</f>
        <v>1.166468816076635E-3</v>
      </c>
      <c r="AL372" s="90">
        <f>IF(ISERROR(AL208/(AL12*4)),"NM",(AL208/(AL12*4)))</f>
        <v>1.2364328342808052E-3</v>
      </c>
      <c r="AM372" s="91">
        <f>AM208/(AM12)</f>
        <v>1.2915856422802848E-3</v>
      </c>
      <c r="AN372" s="90">
        <f>IF(ISERROR(AN208/(AN12*4)),"NM",(AN208/(AN12*4)))</f>
        <v>1.3176107000485789E-3</v>
      </c>
      <c r="AO372" s="90">
        <f>IF(ISERROR(AO208/(AO12*4)),"NM",(AO208/(AO12*4)))</f>
        <v>1.8533646241093227E-3</v>
      </c>
      <c r="AP372" s="90">
        <f>IF(ISERROR(AP208/(AP12*4)),"NM",(AP208/(AP12*4)))</f>
        <v>2.0288522617097388E-3</v>
      </c>
      <c r="AQ372" s="90">
        <f>IF(ISERROR(AQ208/(AQ12*4)),"NM",(AQ208/(AQ12*4)))</f>
        <v>1.2960779927032424E-3</v>
      </c>
      <c r="AR372" s="91">
        <f>AR208/(AR12)</f>
        <v>1.3797241238751815E-3</v>
      </c>
      <c r="AS372" s="90">
        <f>IF(ISERROR(AS208/(AS12*4)),"NM",(AS208/(AS12*4)))</f>
        <v>1.3332694815159874E-3</v>
      </c>
      <c r="AT372" s="90">
        <f>IF(ISERROR(AT208/(AT12*4)),"NM",(AT208/(AT12*4)))</f>
        <v>1.1564352456545767E-3</v>
      </c>
      <c r="AU372" s="90">
        <f>IF(ISERROR(AU208/(AU12*4)),"NM",(AU208/(AU12*4)))</f>
        <v>1.1241803703118272E-3</v>
      </c>
      <c r="AV372" s="746">
        <f>IF(ISERROR(AV208/(AV12*4)),"NM",(AV208/(AV12*4)))</f>
        <v>8.8342846949696736E-4</v>
      </c>
      <c r="AW372" s="91">
        <f>AW208/(AW12)</f>
        <v>9.5790813366034076E-4</v>
      </c>
      <c r="AX372" s="90">
        <f>IF(ISERROR(AX208/(AX12*4)),"NM",(AX208/(AX12*4)))</f>
        <v>1.0224253654853553E-3</v>
      </c>
      <c r="AY372" s="90">
        <f>IF(ISERROR(AY208/(AY12*4)),"NM",(AY208/(AY12*4)))</f>
        <v>9.3719395700547488E-4</v>
      </c>
      <c r="AZ372" s="90">
        <f>IF(ISERROR(AZ208/(AZ12*4)),"NM",(AZ208/(AZ12*4)))</f>
        <v>7.0621043565203244E-4</v>
      </c>
      <c r="BA372" s="90">
        <f>IF(ISERROR(BA208/(BA12*4)),"NM",(BA208/(BA12*4)))</f>
        <v>8.3975498913258244E-4</v>
      </c>
      <c r="BB372" s="747">
        <f>BB208/(BB12)</f>
        <v>8.5205430292435063E-4</v>
      </c>
      <c r="BC372" s="90">
        <f>IF(ISERROR(BC208/(BC12*4)),"NM",(BC208/(BC12*4)))</f>
        <v>0</v>
      </c>
      <c r="BD372" s="90">
        <f>IF(ISERROR(BD208/(BD12*4)),"NM",(BD208/(BD12*4)))</f>
        <v>0</v>
      </c>
      <c r="BE372" s="90">
        <f>IF(ISERROR(BE208/(BE12*4)),"NM",(BE208/(BE12*4)))</f>
        <v>0</v>
      </c>
      <c r="BF372" s="90">
        <f>IF(ISERROR(BF208/(BF12*4)),"NM",(BF208/(BF12*4)))</f>
        <v>0</v>
      </c>
      <c r="BG372" s="747">
        <f>BG208/(BG12)</f>
        <v>0</v>
      </c>
      <c r="BH372" s="716">
        <v>0</v>
      </c>
      <c r="BI372" s="716">
        <v>0</v>
      </c>
      <c r="BJ372" s="716">
        <v>0</v>
      </c>
      <c r="BK372" s="716">
        <v>0</v>
      </c>
      <c r="BL372" s="747">
        <f>BL208/(BL12)</f>
        <v>0</v>
      </c>
      <c r="BM372" s="716">
        <v>0</v>
      </c>
      <c r="BN372" s="716">
        <v>0</v>
      </c>
      <c r="BO372" s="716">
        <v>0</v>
      </c>
      <c r="BP372" s="716">
        <v>0</v>
      </c>
      <c r="BQ372" s="747">
        <f>BQ208/(BQ12)</f>
        <v>0</v>
      </c>
      <c r="BR372" s="716">
        <v>0</v>
      </c>
      <c r="BS372" s="716">
        <v>0</v>
      </c>
      <c r="BT372" s="716">
        <v>0</v>
      </c>
      <c r="BU372" s="716">
        <v>0</v>
      </c>
      <c r="BV372" s="747">
        <f>BV208/(BV12)</f>
        <v>0</v>
      </c>
      <c r="BW372" s="716">
        <v>0</v>
      </c>
      <c r="BX372" s="716">
        <v>0</v>
      </c>
      <c r="BY372" s="716">
        <v>0</v>
      </c>
      <c r="BZ372" s="716">
        <v>0</v>
      </c>
      <c r="CA372" s="747">
        <f>CA208/(CA12)</f>
        <v>0</v>
      </c>
      <c r="CC372" s="9"/>
      <c r="CD372" s="9"/>
      <c r="CE372" s="716"/>
      <c r="CF372" s="716"/>
      <c r="CG372" s="716"/>
      <c r="CH372" s="716"/>
      <c r="CI372" s="716"/>
      <c r="CJ372" s="716"/>
      <c r="CK372" s="716"/>
      <c r="CL372" s="716"/>
      <c r="CM372" s="716"/>
      <c r="CN372" s="716"/>
      <c r="CO372" s="716"/>
      <c r="CP372" s="188"/>
      <c r="CQ372" s="188"/>
      <c r="CR372" s="188"/>
      <c r="CS372" s="188"/>
      <c r="CT372" s="188"/>
      <c r="CU372" s="188"/>
      <c r="DB372" s="1961"/>
      <c r="DC372" s="1961"/>
      <c r="DD372" s="1961"/>
      <c r="DE372" s="1961"/>
      <c r="DF372" s="1961"/>
      <c r="DG372" s="1961"/>
      <c r="DH372" s="1961"/>
      <c r="DI372" s="716"/>
    </row>
    <row r="373" spans="1:113" ht="12" customHeight="1" thickBot="1" x14ac:dyDescent="0.3">
      <c r="A373" s="903" t="s">
        <v>246</v>
      </c>
      <c r="B373" s="904"/>
      <c r="C373" s="905">
        <f>C177/(C12)</f>
        <v>0</v>
      </c>
      <c r="D373" s="905">
        <f>D177/(D12)</f>
        <v>1.222927877523684E-2</v>
      </c>
      <c r="E373" s="906">
        <f>IF(ISERROR(E177/(E12*4)),"NM",(E177/(E12*4)))</f>
        <v>0</v>
      </c>
      <c r="F373" s="907">
        <f>F177/(F12*4)</f>
        <v>0</v>
      </c>
      <c r="G373" s="907">
        <f>G177/(G12*4)</f>
        <v>0</v>
      </c>
      <c r="H373" s="907">
        <f>H177/(H12*4)</f>
        <v>9.3945694474625169E-3</v>
      </c>
      <c r="I373" s="905">
        <f>I177/(I12)</f>
        <v>9.4852249141418234E-3</v>
      </c>
      <c r="J373" s="907">
        <f>IF(ISERROR(J177/(J12*4)),"NM",(J177/(J12*4)))</f>
        <v>1.6809821072452207E-2</v>
      </c>
      <c r="K373" s="907">
        <f>K177/(K12*4)</f>
        <v>1.6606100724089485E-2</v>
      </c>
      <c r="L373" s="907">
        <f>L177/(L12*4)</f>
        <v>1.4152751224425221E-2</v>
      </c>
      <c r="M373" s="907">
        <f>M177/(M12*4)</f>
        <v>1.4051557659989026E-2</v>
      </c>
      <c r="N373" s="905">
        <f>N177/(N12)</f>
        <v>1.4559901516423257E-2</v>
      </c>
      <c r="O373" s="906">
        <f>IF(ISERROR(O177/(O12*4)),"NM",(O177/(O12*4)))</f>
        <v>1.8254249219738679E-2</v>
      </c>
      <c r="P373" s="908">
        <f>IF(ISERROR(P177/(P12*4)),"NM",(P177/(P12*4)))</f>
        <v>1.6845600893314105E-2</v>
      </c>
      <c r="Q373" s="908">
        <f>IF(ISERROR(Q177/(Q12*4)),"NM",(Q177/(Q12*4)))</f>
        <v>1.6190754555555121E-2</v>
      </c>
      <c r="R373" s="908">
        <f>IF(ISERROR(R177/(R12*4)),"NM",(R177/(R12*4)))</f>
        <v>1.5233323023769833E-2</v>
      </c>
      <c r="S373" s="905">
        <f>S177/(S12)</f>
        <v>1.5728689597158615E-2</v>
      </c>
      <c r="T373" s="906">
        <f>IF(ISERROR(T177/(T12*4)),"NM",(T177/(T12*4)))</f>
        <v>1.9128819426841543E-2</v>
      </c>
      <c r="U373" s="908">
        <f>IF(ISERROR(U177/(U12*4)),"NM",(U177/(U12*4)))</f>
        <v>1.9245447800139877E-2</v>
      </c>
      <c r="V373" s="908">
        <f>IF(ISERROR(V177/(V12*4)),"NM",(V177/(V12*4)))</f>
        <v>1.5694926815008663E-2</v>
      </c>
      <c r="W373" s="908">
        <f>IF(ISERROR(W177/(W12*4)),"NM",(W177/(W12*4)))</f>
        <v>1.5171852721058268E-2</v>
      </c>
      <c r="X373" s="905">
        <f>X177/(X12)</f>
        <v>1.5628857031667959E-2</v>
      </c>
      <c r="Y373" s="906">
        <f>IF(ISERROR(Y177/(Y12*4)),"NM",(Y177/(Y12*4)))</f>
        <v>2.036794952520064E-2</v>
      </c>
      <c r="Z373" s="908">
        <f>IF(ISERROR(Z177/(Z12*4)),"NM",(Z177/(Z12*4)))</f>
        <v>1.9872127841603519E-2</v>
      </c>
      <c r="AA373" s="908">
        <f>IF(ISERROR(AA177/(AA12*4)),"NM",(AA177/(AA12*4)))</f>
        <v>1.7341325147457499E-2</v>
      </c>
      <c r="AB373" s="908">
        <f>IF(ISERROR(AB177/(AB12*4)),"NM",(AB177/(AB12*4)))</f>
        <v>1.5575537624469204E-2</v>
      </c>
      <c r="AC373" s="905">
        <f>AC177/(AC12)</f>
        <v>1.6447170831331091E-2</v>
      </c>
      <c r="AD373" s="906">
        <f>IF(ISERROR(AD177/(AD12*4)),"NM",(AD177/(AD12*4)))</f>
        <v>2.0648569556797818E-2</v>
      </c>
      <c r="AE373" s="908">
        <f>IF(ISERROR(AE177/(AE12*4)),"NM",(AE177/(AE12*4)))</f>
        <v>1.9084951209186928E-2</v>
      </c>
      <c r="AF373" s="908">
        <f>IF(ISERROR(AF177/(AF12*4)),"NM",(AF177/(AF12*4)))</f>
        <v>1.5912105158914214E-2</v>
      </c>
      <c r="AG373" s="908">
        <f>IF(ISERROR(AG177/(AG12*4)),"NM",(AG177/(AG12*4)))</f>
        <v>1.3197267457243884E-2</v>
      </c>
      <c r="AH373" s="905">
        <f>AH177/(AH12)</f>
        <v>1.4303404765629074E-2</v>
      </c>
      <c r="AI373" s="908">
        <f>IF(ISERROR(AI177/(AI12*4)),"NM",(AI177/(AI12*4)))</f>
        <v>2.1207362946877729E-2</v>
      </c>
      <c r="AJ373" s="908">
        <f>IF(ISERROR(AJ177/(AJ12*4)),"NM",(AJ177/(AJ12*4)))</f>
        <v>1.9883903823591193E-2</v>
      </c>
      <c r="AK373" s="908">
        <f>IF(ISERROR(AK177/(AK12*4)),"NM",(AK177/(AK12*4)))</f>
        <v>1.5770998259400332E-2</v>
      </c>
      <c r="AL373" s="908">
        <f>IF(ISERROR(AL177/(AL12*4)),"NM",(AL177/(AL12*4)))</f>
        <v>1.5392118985513159E-2</v>
      </c>
      <c r="AM373" s="905">
        <f>AM177/(AM12)</f>
        <v>1.6078705882574124E-2</v>
      </c>
      <c r="AN373" s="908">
        <f>IF(ISERROR(AN177/(AN12*4)),"NM",(AN177/(AN12*4)))</f>
        <v>1.6115861860205107E-2</v>
      </c>
      <c r="AO373" s="908">
        <f>IF(ISERROR(AO177/(AO12*4)),"NM",(AO177/(AO12*4)))</f>
        <v>2.1947024464413038E-2</v>
      </c>
      <c r="AP373" s="908">
        <f>IF(ISERROR(AP177/(AP12*4)),"NM",(AP177/(AP12*4)))</f>
        <v>1.7357048131679535E-2</v>
      </c>
      <c r="AQ373" s="908">
        <f>IF(ISERROR(AQ177/(AQ12*4)),"NM",(AQ177/(AQ12*4)))</f>
        <v>1.6938287327046189E-2</v>
      </c>
      <c r="AR373" s="905">
        <f>AR177/(AR12)</f>
        <v>1.8031448550030173E-2</v>
      </c>
      <c r="AS373" s="908">
        <f>IF(ISERROR(AS177/(AS12*4)),"NM",(AS177/(AS12*4)))</f>
        <v>1.6184803122353868E-2</v>
      </c>
      <c r="AT373" s="908">
        <f>IF(ISERROR(AT177/(AT12*4)),"NM",(AT177/(AT12*4)))</f>
        <v>1.8827489199236411E-2</v>
      </c>
      <c r="AU373" s="908">
        <f>IF(ISERROR(AU177/(AU12*4)),"NM",(AU177/(AU12*4)))</f>
        <v>2.0952451031157285E-2</v>
      </c>
      <c r="AV373" s="909">
        <f>IF(ISERROR(AV177/(AV12*4)),"NM",(AV177/(AV12*4)))</f>
        <v>1.8168480199785939E-2</v>
      </c>
      <c r="AW373" s="905">
        <f>AW177/(AW12)</f>
        <v>1.9700219724106988E-2</v>
      </c>
      <c r="AX373" s="908">
        <f>IF(ISERROR(AX177/(AX12*4)),"NM",(AX177/(AX12*4)))</f>
        <v>1.5642346981232024E-2</v>
      </c>
      <c r="AY373" s="908">
        <f>IF(ISERROR(AY177/(AY12*4)),"NM",(AY177/(AY12*4)))</f>
        <v>1.5487782362290689E-2</v>
      </c>
      <c r="AZ373" s="908">
        <f>IF(ISERROR(AZ177/(AZ12*4)),"NM",(AZ177/(AZ12*4)))</f>
        <v>1.4363125676345815E-2</v>
      </c>
      <c r="BA373" s="908">
        <f>IF(ISERROR(BA177/(BA12*4)),"NM",(BA177/(BA12*4)))</f>
        <v>1.42758348152539E-2</v>
      </c>
      <c r="BB373" s="910">
        <f>BB177/(BB12)</f>
        <v>1.448492314971396E-2</v>
      </c>
      <c r="BC373" s="908">
        <f>IF(ISERROR(BC177/(BC12*4)),"NM",(BC177/(BC12*4)))</f>
        <v>1.2435336251492242E-2</v>
      </c>
      <c r="BD373" s="908">
        <f>IF(ISERROR(BD177/(BD12*4)),"NM",(BD177/(BD12*4)))</f>
        <v>1.8730886850152905E-2</v>
      </c>
      <c r="BE373" s="908">
        <f>IF(ISERROR(BE177/(BE12*4)),"NM",(BE177/(BE12*4)))</f>
        <v>1.9304316153706067E-2</v>
      </c>
      <c r="BF373" s="908">
        <f>IF(ISERROR(BF177/(BF12*4)),"NM",(BF177/(BF12*4)))</f>
        <v>1.6701735928458708E-2</v>
      </c>
      <c r="BG373" s="910">
        <f>BG177/(BG12)</f>
        <v>1.7760581763938094E-2</v>
      </c>
      <c r="BH373" s="911">
        <f>BG373</f>
        <v>1.7760581763938094E-2</v>
      </c>
      <c r="BI373" s="911">
        <f>BH373</f>
        <v>1.7760581763938094E-2</v>
      </c>
      <c r="BJ373" s="911">
        <f>BI373</f>
        <v>1.7760581763938094E-2</v>
      </c>
      <c r="BK373" s="911">
        <f>BJ373</f>
        <v>1.7760581763938094E-2</v>
      </c>
      <c r="BL373" s="910">
        <f>BL177/(BL12)</f>
        <v>1.8377709688913377E-2</v>
      </c>
      <c r="BM373" s="911">
        <f>BL373</f>
        <v>1.8377709688913377E-2</v>
      </c>
      <c r="BN373" s="911">
        <f>BM373</f>
        <v>1.8377709688913377E-2</v>
      </c>
      <c r="BO373" s="911">
        <f>BN373</f>
        <v>1.8377709688913377E-2</v>
      </c>
      <c r="BP373" s="911">
        <f>BO373</f>
        <v>1.8377709688913377E-2</v>
      </c>
      <c r="BQ373" s="910">
        <f>BQ177/(BQ12)</f>
        <v>1.9034302427789147E-2</v>
      </c>
      <c r="BR373" s="911">
        <f>BQ373</f>
        <v>1.9034302427789147E-2</v>
      </c>
      <c r="BS373" s="911">
        <f>BR373</f>
        <v>1.9034302427789147E-2</v>
      </c>
      <c r="BT373" s="911">
        <f>BS373</f>
        <v>1.9034302427789147E-2</v>
      </c>
      <c r="BU373" s="911">
        <f>BT373</f>
        <v>1.9034302427789147E-2</v>
      </c>
      <c r="BV373" s="910">
        <f>BV177/(BV12)</f>
        <v>1.9715375453882009E-2</v>
      </c>
      <c r="BW373" s="911">
        <f>BV373</f>
        <v>1.9715375453882009E-2</v>
      </c>
      <c r="BX373" s="911">
        <f>BW373</f>
        <v>1.9715375453882009E-2</v>
      </c>
      <c r="BY373" s="911">
        <f>BX373</f>
        <v>1.9715375453882009E-2</v>
      </c>
      <c r="BZ373" s="911">
        <f>BY373</f>
        <v>1.9715375453882009E-2</v>
      </c>
      <c r="CA373" s="910">
        <f>CA177/(CA12)</f>
        <v>2.0421884577865194E-2</v>
      </c>
      <c r="CC373" s="9"/>
      <c r="CD373" s="9"/>
      <c r="CE373" s="716"/>
      <c r="CF373" s="716"/>
      <c r="CG373" s="716"/>
      <c r="CH373" s="716"/>
      <c r="CI373" s="716"/>
      <c r="CJ373" s="716"/>
      <c r="CK373" s="716"/>
      <c r="CL373" s="716"/>
      <c r="CM373" s="716"/>
      <c r="CN373" s="716"/>
      <c r="CO373" s="716"/>
      <c r="CP373" s="188"/>
      <c r="CQ373" s="188"/>
      <c r="CR373" s="188"/>
      <c r="CS373" s="188"/>
      <c r="CT373" s="188"/>
      <c r="CU373" s="188"/>
      <c r="DB373" s="1961"/>
      <c r="DC373" s="1961"/>
      <c r="DD373" s="1961"/>
      <c r="DE373" s="1961"/>
      <c r="DF373" s="1961"/>
      <c r="DG373" s="1961"/>
      <c r="DH373" s="1961"/>
      <c r="DI373" s="716"/>
    </row>
    <row r="374" spans="1:113" ht="5.0999999999999996" hidden="1" customHeight="1" x14ac:dyDescent="0.25">
      <c r="A374" s="912"/>
      <c r="B374" s="892"/>
      <c r="C374" s="110"/>
      <c r="D374" s="110"/>
      <c r="E374" s="29"/>
      <c r="F374" s="29"/>
      <c r="G374" s="29"/>
      <c r="H374" s="29"/>
      <c r="I374" s="110"/>
      <c r="J374" s="29"/>
      <c r="K374" s="29"/>
      <c r="L374" s="29"/>
      <c r="M374" s="29"/>
      <c r="N374" s="110"/>
      <c r="O374" s="29"/>
      <c r="P374" s="29"/>
      <c r="Q374" s="29"/>
      <c r="R374" s="455"/>
      <c r="S374" s="110"/>
      <c r="T374" s="29"/>
      <c r="U374" s="29"/>
      <c r="V374" s="29"/>
      <c r="W374" s="455"/>
      <c r="X374" s="110"/>
      <c r="Y374" s="29"/>
      <c r="Z374" s="29"/>
      <c r="AA374" s="29"/>
      <c r="AB374" s="29"/>
      <c r="AC374" s="110"/>
      <c r="AD374" s="480"/>
      <c r="AE374" s="29"/>
      <c r="AF374" s="29"/>
      <c r="AG374" s="29"/>
      <c r="AH374" s="110"/>
      <c r="AI374" s="29"/>
      <c r="AJ374" s="29"/>
      <c r="AK374" s="29"/>
      <c r="AL374" s="29"/>
      <c r="AM374" s="110"/>
      <c r="AN374" s="29"/>
      <c r="AO374" s="29"/>
      <c r="AP374" s="29"/>
      <c r="AQ374" s="29"/>
      <c r="AR374" s="110"/>
      <c r="AS374" s="29"/>
      <c r="AT374" s="29"/>
      <c r="AU374" s="29"/>
      <c r="AV374" s="29"/>
      <c r="AW374" s="913"/>
      <c r="AX374" s="29"/>
      <c r="AY374" s="29"/>
      <c r="AZ374" s="29"/>
      <c r="BA374" s="29"/>
      <c r="BB374" s="914"/>
      <c r="BC374" s="29"/>
      <c r="BD374" s="29"/>
      <c r="BE374" s="29"/>
      <c r="BF374" s="29"/>
      <c r="BG374" s="914"/>
      <c r="BH374" s="29"/>
      <c r="BI374" s="29"/>
      <c r="BJ374" s="29"/>
      <c r="BK374" s="29"/>
      <c r="BL374" s="914"/>
      <c r="BM374" s="29"/>
      <c r="BN374" s="29"/>
      <c r="BO374" s="29"/>
      <c r="BP374" s="29"/>
      <c r="BQ374" s="914"/>
      <c r="BR374" s="29"/>
      <c r="BS374" s="29"/>
      <c r="BT374" s="29"/>
      <c r="BU374" s="29"/>
      <c r="BV374" s="914"/>
      <c r="BW374" s="29"/>
      <c r="BX374" s="29"/>
      <c r="BY374" s="29"/>
      <c r="BZ374" s="29"/>
      <c r="CA374" s="914"/>
      <c r="CC374" s="29"/>
      <c r="CD374" s="29"/>
      <c r="CE374" s="29"/>
      <c r="CF374" s="29"/>
      <c r="CG374" s="29"/>
      <c r="CH374" s="29"/>
      <c r="CI374" s="29"/>
      <c r="CJ374" s="29"/>
      <c r="CK374" s="29"/>
      <c r="CL374" s="29"/>
      <c r="CM374" s="29"/>
      <c r="CN374" s="29"/>
      <c r="CO374" s="29"/>
      <c r="CP374" s="188"/>
      <c r="CQ374" s="188"/>
      <c r="CR374" s="188"/>
      <c r="CS374" s="188"/>
      <c r="CT374" s="188"/>
      <c r="CU374" s="188"/>
      <c r="DB374" s="1961"/>
      <c r="DC374" s="1961"/>
      <c r="DD374" s="1961"/>
      <c r="DE374" s="1961"/>
      <c r="DF374" s="1961"/>
      <c r="DG374" s="1961"/>
      <c r="DH374" s="1961"/>
      <c r="DI374" s="9"/>
    </row>
    <row r="375" spans="1:113" ht="12" hidden="1" customHeight="1" x14ac:dyDescent="0.25">
      <c r="A375" s="46" t="s">
        <v>247</v>
      </c>
      <c r="B375" s="902"/>
      <c r="C375" s="441">
        <f t="shared" ref="C375:S375" si="511">C376+C377+C378</f>
        <v>0.39800000000000002</v>
      </c>
      <c r="D375" s="441">
        <f t="shared" si="511"/>
        <v>0.40598554972957357</v>
      </c>
      <c r="E375" s="92">
        <f t="shared" si="511"/>
        <v>0.41095136186770431</v>
      </c>
      <c r="F375" s="92">
        <f t="shared" si="511"/>
        <v>0.41095136186770431</v>
      </c>
      <c r="G375" s="92">
        <f t="shared" si="511"/>
        <v>0.41095136186770431</v>
      </c>
      <c r="H375" s="92">
        <f t="shared" si="511"/>
        <v>0.41095136186770431</v>
      </c>
      <c r="I375" s="441">
        <f t="shared" si="511"/>
        <v>0.41095136186770431</v>
      </c>
      <c r="J375" s="92">
        <f t="shared" si="511"/>
        <v>0.42699485022064826</v>
      </c>
      <c r="K375" s="92">
        <f t="shared" si="511"/>
        <v>0.42699485022064826</v>
      </c>
      <c r="L375" s="92">
        <f t="shared" si="511"/>
        <v>0.42699485022064826</v>
      </c>
      <c r="M375" s="92">
        <f t="shared" si="511"/>
        <v>0.42699485022064826</v>
      </c>
      <c r="N375" s="441">
        <f t="shared" si="511"/>
        <v>0.42699485022064826</v>
      </c>
      <c r="O375" s="92">
        <f t="shared" si="511"/>
        <v>0.52200000000000002</v>
      </c>
      <c r="P375" s="92">
        <f t="shared" si="511"/>
        <v>0.52200000000000002</v>
      </c>
      <c r="Q375" s="92">
        <f t="shared" si="511"/>
        <v>0.52200000000000002</v>
      </c>
      <c r="R375" s="92">
        <f t="shared" si="511"/>
        <v>0.52200000000000002</v>
      </c>
      <c r="S375" s="441">
        <f t="shared" si="511"/>
        <v>0.52200000000000002</v>
      </c>
      <c r="T375" s="90">
        <f>SUM(T376:T378)</f>
        <v>0.40399999999999997</v>
      </c>
      <c r="U375" s="90">
        <f>SUM(U376:U378)</f>
        <v>0.40399999999999997</v>
      </c>
      <c r="V375" s="90">
        <f>SUM(V376:V378)</f>
        <v>0.40399999999999997</v>
      </c>
      <c r="W375" s="90">
        <f>SUM(W376:W378)</f>
        <v>0.40399999999999997</v>
      </c>
      <c r="X375" s="441">
        <f>X376+X377+X378</f>
        <v>0.40399999999999997</v>
      </c>
      <c r="Y375" s="90">
        <f>X375</f>
        <v>0.40399999999999997</v>
      </c>
      <c r="Z375" s="90">
        <f>Y375</f>
        <v>0.40399999999999997</v>
      </c>
      <c r="AA375" s="90">
        <f>Z375</f>
        <v>0.40399999999999997</v>
      </c>
      <c r="AB375" s="90">
        <f>AA375</f>
        <v>0.40399999999999997</v>
      </c>
      <c r="AC375" s="91">
        <f>AC380</f>
        <v>0.38871311020146376</v>
      </c>
      <c r="AD375" s="716">
        <v>0.35799999999999998</v>
      </c>
      <c r="AE375" s="716">
        <v>0.4</v>
      </c>
      <c r="AF375" s="716">
        <v>0.4</v>
      </c>
      <c r="AG375" s="716">
        <v>0.4</v>
      </c>
      <c r="AH375" s="91">
        <f>-AH52/AH49</f>
        <v>0.36590994325606618</v>
      </c>
      <c r="AI375" s="716">
        <v>0.4</v>
      </c>
      <c r="AJ375" s="716">
        <v>0.4</v>
      </c>
      <c r="AK375" s="716">
        <v>0.375</v>
      </c>
      <c r="AL375" s="716">
        <v>0.375</v>
      </c>
      <c r="AM375" s="91">
        <f>-AM52/AM49</f>
        <v>0.3645904097943789</v>
      </c>
      <c r="AN375" s="716">
        <v>0.4</v>
      </c>
      <c r="AO375" s="716">
        <v>0.38500000000000001</v>
      </c>
      <c r="AP375" s="716">
        <v>0.38500000000000001</v>
      </c>
      <c r="AQ375" s="716">
        <v>0.38500000000000001</v>
      </c>
      <c r="AR375" s="91">
        <f>-AR52/AR49</f>
        <v>0.37207510751413775</v>
      </c>
      <c r="AS375" s="716">
        <v>0.38</v>
      </c>
      <c r="AT375" s="716">
        <f>AT380</f>
        <v>0.18756777730243859</v>
      </c>
      <c r="AU375" s="716">
        <f>AU380</f>
        <v>0.3198065937695122</v>
      </c>
      <c r="AV375" s="716">
        <f>AV380</f>
        <v>0.30312072151719971</v>
      </c>
      <c r="AW375" s="91">
        <f>-AW52/AW49</f>
        <v>0.29261446821326681</v>
      </c>
      <c r="AX375" s="716">
        <f>AX380</f>
        <v>0.31692407293281288</v>
      </c>
      <c r="AY375" s="716">
        <f>AY380</f>
        <v>0.33493675618418611</v>
      </c>
      <c r="AZ375" s="716">
        <f>AZ380</f>
        <v>0.25997702962945779</v>
      </c>
      <c r="BA375" s="716">
        <f>BA380</f>
        <v>0.32896379525593006</v>
      </c>
      <c r="BB375" s="747">
        <f>-BB52/BB49</f>
        <v>0.30927894977567083</v>
      </c>
      <c r="BC375" s="716">
        <f>BC380</f>
        <v>0.32506203473945416</v>
      </c>
      <c r="BD375" s="716">
        <f>BD380</f>
        <v>0.28781636256621529</v>
      </c>
      <c r="BE375" s="716">
        <f>BE380</f>
        <v>0.33204205866076386</v>
      </c>
      <c r="BF375" s="716">
        <v>0.35</v>
      </c>
      <c r="BG375" s="747">
        <f>-BG52/BG49</f>
        <v>0.1967877297062654</v>
      </c>
      <c r="BH375" s="716">
        <v>0.21</v>
      </c>
      <c r="BI375" s="716">
        <f>BH375</f>
        <v>0.21</v>
      </c>
      <c r="BJ375" s="716">
        <f>BI375</f>
        <v>0.21</v>
      </c>
      <c r="BK375" s="716">
        <f>BJ375</f>
        <v>0.21</v>
      </c>
      <c r="BL375" s="747">
        <f>-BL52/BL49</f>
        <v>0.22</v>
      </c>
      <c r="BM375" s="716">
        <v>0.21</v>
      </c>
      <c r="BN375" s="716">
        <f>BM375</f>
        <v>0.21</v>
      </c>
      <c r="BO375" s="716">
        <f>BN375</f>
        <v>0.21</v>
      </c>
      <c r="BP375" s="716">
        <f>BO375</f>
        <v>0.21</v>
      </c>
      <c r="BQ375" s="747">
        <f>-BQ52/BQ49</f>
        <v>0.21999999999999997</v>
      </c>
      <c r="BR375" s="716">
        <v>0.21</v>
      </c>
      <c r="BS375" s="716">
        <f>BR375</f>
        <v>0.21</v>
      </c>
      <c r="BT375" s="716">
        <f>BS375</f>
        <v>0.21</v>
      </c>
      <c r="BU375" s="716">
        <f>BT375</f>
        <v>0.21</v>
      </c>
      <c r="BV375" s="747">
        <f>-BV52/BV49</f>
        <v>0.21999999999999997</v>
      </c>
      <c r="BW375" s="716">
        <v>0.21</v>
      </c>
      <c r="BX375" s="716">
        <f>BW375</f>
        <v>0.21</v>
      </c>
      <c r="BY375" s="716">
        <f>BX375</f>
        <v>0.21</v>
      </c>
      <c r="BZ375" s="716">
        <f>BY375</f>
        <v>0.21</v>
      </c>
      <c r="CA375" s="747">
        <f>-CA52/CA49</f>
        <v>0.21999999999999997</v>
      </c>
      <c r="CC375" s="29"/>
      <c r="CD375" s="29"/>
      <c r="CE375" s="716"/>
      <c r="CF375" s="716"/>
      <c r="CG375" s="716"/>
      <c r="CH375" s="716"/>
      <c r="CI375" s="716"/>
      <c r="CJ375" s="716"/>
      <c r="CK375" s="716"/>
      <c r="CL375" s="716"/>
      <c r="CM375" s="716"/>
      <c r="CN375" s="716"/>
      <c r="CO375" s="716"/>
      <c r="CP375" s="188"/>
      <c r="CQ375" s="188"/>
      <c r="CR375" s="188"/>
      <c r="CS375" s="188"/>
      <c r="CT375" s="188"/>
      <c r="CU375" s="188"/>
      <c r="DB375" s="1961"/>
      <c r="DC375" s="1961"/>
      <c r="DD375" s="1961"/>
      <c r="DE375" s="1961"/>
      <c r="DF375" s="1961"/>
      <c r="DG375" s="1961"/>
      <c r="DH375" s="1961"/>
      <c r="DI375" s="716"/>
    </row>
    <row r="376" spans="1:113" ht="12" hidden="1" customHeight="1" outlineLevel="1" x14ac:dyDescent="0.25">
      <c r="A376" s="46" t="s">
        <v>248</v>
      </c>
      <c r="B376" s="915"/>
      <c r="C376" s="709">
        <v>0.35</v>
      </c>
      <c r="D376" s="709">
        <f>8.477/24.221</f>
        <v>0.34998554972957352</v>
      </c>
      <c r="E376" s="706">
        <f>$I$376</f>
        <v>0.34995136186770426</v>
      </c>
      <c r="F376" s="706">
        <f>$I$376</f>
        <v>0.34995136186770426</v>
      </c>
      <c r="G376" s="706">
        <f>$I$376</f>
        <v>0.34995136186770426</v>
      </c>
      <c r="H376" s="706">
        <f>$I$376</f>
        <v>0.34995136186770426</v>
      </c>
      <c r="I376" s="709">
        <f>1.439/4.112</f>
        <v>0.34995136186770426</v>
      </c>
      <c r="J376" s="706">
        <f>$N$376</f>
        <v>0.34999485022064825</v>
      </c>
      <c r="K376" s="706">
        <f>$N$376</f>
        <v>0.34999485022064825</v>
      </c>
      <c r="L376" s="706">
        <f>$N$376</f>
        <v>0.34999485022064825</v>
      </c>
      <c r="M376" s="706">
        <f>$N$376</f>
        <v>0.34999485022064825</v>
      </c>
      <c r="N376" s="709">
        <f>-44.176/-126.219</f>
        <v>0.34999485022064825</v>
      </c>
      <c r="O376" s="716">
        <f>S376</f>
        <v>0.35</v>
      </c>
      <c r="P376" s="716">
        <f>S376</f>
        <v>0.35</v>
      </c>
      <c r="Q376" s="716">
        <f>S376</f>
        <v>0.35</v>
      </c>
      <c r="R376" s="716">
        <f>S376</f>
        <v>0.35</v>
      </c>
      <c r="S376" s="731">
        <v>0.35</v>
      </c>
      <c r="T376" s="716">
        <f>X376</f>
        <v>0.35</v>
      </c>
      <c r="U376" s="716">
        <f>X376</f>
        <v>0.35</v>
      </c>
      <c r="V376" s="716">
        <f>X376</f>
        <v>0.35</v>
      </c>
      <c r="W376" s="716">
        <f>X376</f>
        <v>0.35</v>
      </c>
      <c r="X376" s="731">
        <v>0.35</v>
      </c>
      <c r="Y376" s="706"/>
      <c r="Z376" s="706"/>
      <c r="AA376" s="706"/>
      <c r="AB376" s="706"/>
      <c r="AC376" s="709"/>
      <c r="AD376" s="706"/>
      <c r="AE376" s="706"/>
      <c r="AF376" s="706"/>
      <c r="AG376" s="706"/>
      <c r="AH376" s="731">
        <v>0.35</v>
      </c>
      <c r="AI376" s="716"/>
      <c r="AJ376" s="716"/>
      <c r="AK376" s="716"/>
      <c r="AL376" s="716"/>
      <c r="AM376" s="731">
        <v>0.35</v>
      </c>
      <c r="AN376" s="716"/>
      <c r="AO376" s="716"/>
      <c r="AP376" s="716"/>
      <c r="AQ376" s="716"/>
      <c r="AR376" s="709"/>
      <c r="AS376" s="716"/>
      <c r="AT376" s="716"/>
      <c r="AU376" s="716"/>
      <c r="AV376" s="716"/>
      <c r="AW376" s="731"/>
      <c r="AX376" s="716"/>
      <c r="AY376" s="716"/>
      <c r="AZ376" s="716"/>
      <c r="BA376" s="716"/>
      <c r="BB376" s="713"/>
      <c r="BC376" s="716"/>
      <c r="BD376" s="716"/>
      <c r="BE376" s="716"/>
      <c r="BF376" s="716"/>
      <c r="BG376" s="713"/>
      <c r="BH376" s="716"/>
      <c r="BI376" s="716"/>
      <c r="BJ376" s="716"/>
      <c r="BK376" s="716"/>
      <c r="BL376" s="713"/>
      <c r="BM376" s="716"/>
      <c r="BN376" s="716"/>
      <c r="BO376" s="716"/>
      <c r="BP376" s="716"/>
      <c r="BQ376" s="713"/>
      <c r="BR376" s="716"/>
      <c r="BS376" s="716"/>
      <c r="BT376" s="716"/>
      <c r="BU376" s="716"/>
      <c r="BV376" s="713"/>
      <c r="BW376" s="716"/>
      <c r="BX376" s="716"/>
      <c r="BY376" s="716"/>
      <c r="BZ376" s="716"/>
      <c r="CA376" s="713"/>
      <c r="CC376" s="29"/>
      <c r="CD376" s="29"/>
      <c r="CE376" s="706"/>
      <c r="CF376" s="706"/>
      <c r="CG376" s="706"/>
      <c r="CH376" s="706"/>
      <c r="CI376" s="706"/>
      <c r="CJ376" s="706"/>
      <c r="CK376" s="706"/>
      <c r="CL376" s="706"/>
      <c r="CM376" s="706"/>
      <c r="CN376" s="706"/>
      <c r="CO376" s="706"/>
      <c r="CP376" s="188"/>
      <c r="CQ376" s="188"/>
      <c r="CR376" s="188"/>
      <c r="CS376" s="188"/>
      <c r="CT376" s="188"/>
      <c r="CU376" s="188"/>
      <c r="DB376" s="1961"/>
      <c r="DC376" s="1961"/>
      <c r="DD376" s="1961"/>
      <c r="DE376" s="1961"/>
      <c r="DF376" s="1961"/>
      <c r="DG376" s="1961"/>
      <c r="DH376" s="1961"/>
      <c r="DI376" s="716"/>
    </row>
    <row r="377" spans="1:113" ht="12" hidden="1" customHeight="1" outlineLevel="1" x14ac:dyDescent="0.25">
      <c r="A377" s="46" t="s">
        <v>249</v>
      </c>
      <c r="B377" s="915"/>
      <c r="C377" s="709">
        <v>2.7E-2</v>
      </c>
      <c r="D377" s="709">
        <v>2.9000000000000001E-2</v>
      </c>
      <c r="E377" s="706">
        <f>$I$377</f>
        <v>3.2000000000000001E-2</v>
      </c>
      <c r="F377" s="706">
        <f>$I$377</f>
        <v>3.2000000000000001E-2</v>
      </c>
      <c r="G377" s="706">
        <f>$I$377</f>
        <v>3.2000000000000001E-2</v>
      </c>
      <c r="H377" s="706">
        <f>$I$377</f>
        <v>3.2000000000000001E-2</v>
      </c>
      <c r="I377" s="709">
        <v>3.2000000000000001E-2</v>
      </c>
      <c r="J377" s="706">
        <f>$N$377</f>
        <v>0.05</v>
      </c>
      <c r="K377" s="706">
        <f>$N$377</f>
        <v>0.05</v>
      </c>
      <c r="L377" s="706">
        <f>$N$377</f>
        <v>0.05</v>
      </c>
      <c r="M377" s="706">
        <f>$N$377</f>
        <v>0.05</v>
      </c>
      <c r="N377" s="709">
        <v>0.05</v>
      </c>
      <c r="O377" s="716">
        <f>S377</f>
        <v>6.9000000000000006E-2</v>
      </c>
      <c r="P377" s="716">
        <f>S377</f>
        <v>6.9000000000000006E-2</v>
      </c>
      <c r="Q377" s="716">
        <f>S377</f>
        <v>6.9000000000000006E-2</v>
      </c>
      <c r="R377" s="716">
        <f>S377</f>
        <v>6.9000000000000006E-2</v>
      </c>
      <c r="S377" s="731">
        <v>6.9000000000000006E-2</v>
      </c>
      <c r="T377" s="716">
        <f>X377</f>
        <v>4.8000000000000001E-2</v>
      </c>
      <c r="U377" s="716">
        <f>X377</f>
        <v>4.8000000000000001E-2</v>
      </c>
      <c r="V377" s="716">
        <f>X377</f>
        <v>4.8000000000000001E-2</v>
      </c>
      <c r="W377" s="716">
        <f>X377</f>
        <v>4.8000000000000001E-2</v>
      </c>
      <c r="X377" s="731">
        <v>4.8000000000000001E-2</v>
      </c>
      <c r="Y377" s="706"/>
      <c r="Z377" s="706"/>
      <c r="AA377" s="706"/>
      <c r="AB377" s="706"/>
      <c r="AC377" s="709"/>
      <c r="AD377" s="706"/>
      <c r="AE377" s="706"/>
      <c r="AF377" s="706"/>
      <c r="AG377" s="706"/>
      <c r="AH377" s="709">
        <v>1.7000000000000001E-2</v>
      </c>
      <c r="AI377" s="706" t="s">
        <v>51</v>
      </c>
      <c r="AJ377" s="706" t="s">
        <v>51</v>
      </c>
      <c r="AK377" s="706"/>
      <c r="AL377" s="706"/>
      <c r="AM377" s="709">
        <v>2.5999999999999999E-2</v>
      </c>
      <c r="AN377" s="706" t="s">
        <v>51</v>
      </c>
      <c r="AO377" s="706"/>
      <c r="AP377" s="706"/>
      <c r="AQ377" s="706"/>
      <c r="AR377" s="709"/>
      <c r="AS377" s="706"/>
      <c r="AT377" s="706"/>
      <c r="AU377" s="706"/>
      <c r="AV377" s="706"/>
      <c r="AW377" s="731"/>
      <c r="AX377" s="706"/>
      <c r="AY377" s="706"/>
      <c r="AZ377" s="706"/>
      <c r="BA377" s="706"/>
      <c r="BB377" s="713"/>
      <c r="BC377" s="706"/>
      <c r="BD377" s="706"/>
      <c r="BE377" s="706"/>
      <c r="BF377" s="706"/>
      <c r="BG377" s="713"/>
      <c r="BH377" s="706"/>
      <c r="BI377" s="706"/>
      <c r="BJ377" s="706"/>
      <c r="BK377" s="706"/>
      <c r="BL377" s="713"/>
      <c r="BM377" s="706"/>
      <c r="BN377" s="706"/>
      <c r="BO377" s="706"/>
      <c r="BP377" s="706"/>
      <c r="BQ377" s="713"/>
      <c r="BR377" s="706"/>
      <c r="BS377" s="706"/>
      <c r="BT377" s="706"/>
      <c r="BU377" s="706"/>
      <c r="BV377" s="713"/>
      <c r="BW377" s="706"/>
      <c r="BX377" s="706"/>
      <c r="BY377" s="706"/>
      <c r="BZ377" s="706"/>
      <c r="CA377" s="713"/>
      <c r="CC377" s="29"/>
      <c r="CD377" s="29"/>
      <c r="CE377" s="706"/>
      <c r="CF377" s="706"/>
      <c r="CG377" s="706"/>
      <c r="CH377" s="706"/>
      <c r="CI377" s="706"/>
      <c r="CJ377" s="706"/>
      <c r="CK377" s="706"/>
      <c r="CL377" s="706"/>
      <c r="CM377" s="706"/>
      <c r="CN377" s="706"/>
      <c r="CO377" s="706"/>
      <c r="CP377" s="188"/>
      <c r="CQ377" s="188"/>
      <c r="CR377" s="188"/>
      <c r="CS377" s="188"/>
      <c r="CT377" s="188"/>
      <c r="CU377" s="188"/>
      <c r="DB377" s="1961"/>
      <c r="DC377" s="1961"/>
      <c r="DD377" s="1961"/>
      <c r="DE377" s="1961"/>
      <c r="DF377" s="1961"/>
      <c r="DG377" s="1961"/>
      <c r="DH377" s="1961"/>
      <c r="DI377" s="716"/>
    </row>
    <row r="378" spans="1:113" ht="12" hidden="1" customHeight="1" outlineLevel="1" x14ac:dyDescent="0.25">
      <c r="A378" s="46" t="s">
        <v>131</v>
      </c>
      <c r="B378" s="915"/>
      <c r="C378" s="709">
        <v>2.1000000000000001E-2</v>
      </c>
      <c r="D378" s="709">
        <v>2.7E-2</v>
      </c>
      <c r="E378" s="706">
        <f>$I$378</f>
        <v>2.9000000000000001E-2</v>
      </c>
      <c r="F378" s="706">
        <f>$I$378</f>
        <v>2.9000000000000001E-2</v>
      </c>
      <c r="G378" s="706">
        <f>$I$378</f>
        <v>2.9000000000000001E-2</v>
      </c>
      <c r="H378" s="706">
        <f>$I$378</f>
        <v>2.9000000000000001E-2</v>
      </c>
      <c r="I378" s="709">
        <v>2.9000000000000001E-2</v>
      </c>
      <c r="J378" s="706">
        <f>$N$378</f>
        <v>2.7E-2</v>
      </c>
      <c r="K378" s="706">
        <f>$N$378</f>
        <v>2.7E-2</v>
      </c>
      <c r="L378" s="706">
        <f>$N$378</f>
        <v>2.7E-2</v>
      </c>
      <c r="M378" s="706">
        <f>$N$378</f>
        <v>2.7E-2</v>
      </c>
      <c r="N378" s="709">
        <v>2.7E-2</v>
      </c>
      <c r="O378" s="716">
        <f>S378</f>
        <v>0.10300000000000001</v>
      </c>
      <c r="P378" s="716">
        <f>S378</f>
        <v>0.10300000000000001</v>
      </c>
      <c r="Q378" s="716">
        <f>S378</f>
        <v>0.10300000000000001</v>
      </c>
      <c r="R378" s="716">
        <f>S378</f>
        <v>0.10300000000000001</v>
      </c>
      <c r="S378" s="731">
        <v>0.10300000000000001</v>
      </c>
      <c r="T378" s="716">
        <f>X378</f>
        <v>6.0000000000000001E-3</v>
      </c>
      <c r="U378" s="716">
        <f>X378</f>
        <v>6.0000000000000001E-3</v>
      </c>
      <c r="V378" s="716">
        <f>X378</f>
        <v>6.0000000000000001E-3</v>
      </c>
      <c r="W378" s="716">
        <f>X378</f>
        <v>6.0000000000000001E-3</v>
      </c>
      <c r="X378" s="731">
        <f>1%-0.4%</f>
        <v>6.0000000000000001E-3</v>
      </c>
      <c r="Y378" s="706"/>
      <c r="Z378" s="706"/>
      <c r="AA378" s="706"/>
      <c r="AB378" s="706"/>
      <c r="AC378" s="709"/>
      <c r="AD378" s="706"/>
      <c r="AE378" s="706"/>
      <c r="AF378" s="706"/>
      <c r="AG378" s="706"/>
      <c r="AH378" s="709">
        <f>0.9%-1.1%</f>
        <v>-2E-3</v>
      </c>
      <c r="AI378" s="706"/>
      <c r="AJ378" s="706"/>
      <c r="AK378" s="706"/>
      <c r="AL378" s="706"/>
      <c r="AM378" s="709">
        <f>0.9%-2%</f>
        <v>-1.0999999999999999E-2</v>
      </c>
      <c r="AN378" s="706"/>
      <c r="AO378" s="706"/>
      <c r="AP378" s="706"/>
      <c r="AQ378" s="706"/>
      <c r="AR378" s="709"/>
      <c r="AS378" s="706"/>
      <c r="AT378" s="706"/>
      <c r="AU378" s="706"/>
      <c r="AV378" s="706"/>
      <c r="AW378" s="731"/>
      <c r="AX378" s="706"/>
      <c r="AY378" s="706"/>
      <c r="AZ378" s="706"/>
      <c r="BA378" s="706"/>
      <c r="BB378" s="713"/>
      <c r="BC378" s="706"/>
      <c r="BD378" s="706"/>
      <c r="BE378" s="706"/>
      <c r="BF378" s="706"/>
      <c r="BG378" s="713"/>
      <c r="BH378" s="706"/>
      <c r="BI378" s="706"/>
      <c r="BJ378" s="706"/>
      <c r="BK378" s="706"/>
      <c r="BL378" s="713"/>
      <c r="BM378" s="706"/>
      <c r="BN378" s="706"/>
      <c r="BO378" s="706"/>
      <c r="BP378" s="706"/>
      <c r="BQ378" s="713"/>
      <c r="BR378" s="706"/>
      <c r="BS378" s="706"/>
      <c r="BT378" s="706"/>
      <c r="BU378" s="706"/>
      <c r="BV378" s="713"/>
      <c r="BW378" s="706"/>
      <c r="BX378" s="706"/>
      <c r="BY378" s="706"/>
      <c r="BZ378" s="706"/>
      <c r="CA378" s="713"/>
      <c r="CC378" s="29"/>
      <c r="CD378" s="29"/>
      <c r="CE378" s="706"/>
      <c r="CF378" s="706"/>
      <c r="CG378" s="706"/>
      <c r="CH378" s="706"/>
      <c r="CI378" s="706"/>
      <c r="CJ378" s="706"/>
      <c r="CK378" s="706"/>
      <c r="CL378" s="706"/>
      <c r="CM378" s="706"/>
      <c r="CN378" s="706"/>
      <c r="CO378" s="706"/>
      <c r="CP378" s="188"/>
      <c r="CQ378" s="188"/>
      <c r="CR378" s="188"/>
      <c r="CS378" s="188"/>
      <c r="CT378" s="188"/>
      <c r="CU378" s="188"/>
      <c r="DB378" s="1961"/>
      <c r="DC378" s="1961"/>
      <c r="DD378" s="1961"/>
      <c r="DE378" s="1961"/>
      <c r="DF378" s="1961"/>
      <c r="DG378" s="1961"/>
      <c r="DH378" s="1961"/>
      <c r="DI378" s="716"/>
    </row>
    <row r="379" spans="1:113" ht="5.0999999999999996" hidden="1" customHeight="1" x14ac:dyDescent="0.25">
      <c r="A379" s="46"/>
      <c r="B379" s="915"/>
      <c r="C379" s="709"/>
      <c r="D379" s="709"/>
      <c r="E379" s="706"/>
      <c r="F379" s="706"/>
      <c r="G379" s="706"/>
      <c r="H379" s="916"/>
      <c r="I379" s="917"/>
      <c r="J379" s="916"/>
      <c r="K379" s="916"/>
      <c r="L379" s="916"/>
      <c r="M379" s="916"/>
      <c r="N379" s="917"/>
      <c r="O379" s="916"/>
      <c r="P379" s="916"/>
      <c r="Q379" s="916"/>
      <c r="R379" s="916"/>
      <c r="S379" s="917"/>
      <c r="T379" s="916"/>
      <c r="U379" s="916"/>
      <c r="V379" s="916"/>
      <c r="W379" s="916"/>
      <c r="X379" s="917"/>
      <c r="Y379" s="916"/>
      <c r="Z379" s="916"/>
      <c r="AA379" s="916"/>
      <c r="AB379" s="916"/>
      <c r="AC379" s="918"/>
      <c r="AD379" s="916"/>
      <c r="AE379" s="916"/>
      <c r="AF379" s="916"/>
      <c r="AG379" s="916"/>
      <c r="AH379" s="919"/>
      <c r="AI379" s="916"/>
      <c r="AJ379" s="916"/>
      <c r="AK379" s="916"/>
      <c r="AL379" s="916"/>
      <c r="AM379" s="918"/>
      <c r="AN379" s="916"/>
      <c r="AO379" s="916"/>
      <c r="AP379" s="916"/>
      <c r="AQ379" s="916"/>
      <c r="AR379" s="918"/>
      <c r="AS379" s="916"/>
      <c r="AT379" s="916"/>
      <c r="AU379" s="916"/>
      <c r="AV379" s="916"/>
      <c r="AW379" s="920"/>
      <c r="AX379" s="916"/>
      <c r="AY379" s="916"/>
      <c r="AZ379" s="916"/>
      <c r="BA379" s="916"/>
      <c r="BB379" s="921"/>
      <c r="BC379" s="706"/>
      <c r="BD379" s="706"/>
      <c r="BE379" s="916"/>
      <c r="BF379" s="916"/>
      <c r="BG379" s="921"/>
      <c r="BH379" s="916"/>
      <c r="BI379" s="916"/>
      <c r="BJ379" s="916"/>
      <c r="BK379" s="916"/>
      <c r="BL379" s="921"/>
      <c r="BM379" s="916"/>
      <c r="BN379" s="916"/>
      <c r="BO379" s="916"/>
      <c r="BP379" s="916"/>
      <c r="BQ379" s="921"/>
      <c r="BR379" s="916"/>
      <c r="BS379" s="916"/>
      <c r="BT379" s="916"/>
      <c r="BU379" s="916"/>
      <c r="BV379" s="921"/>
      <c r="BW379" s="916"/>
      <c r="BX379" s="916"/>
      <c r="BY379" s="916"/>
      <c r="BZ379" s="916"/>
      <c r="CA379" s="921"/>
      <c r="CC379" s="29"/>
      <c r="CD379" s="29"/>
      <c r="CE379" s="916"/>
      <c r="CF379" s="916"/>
      <c r="CG379" s="916"/>
      <c r="CH379" s="916"/>
      <c r="CI379" s="916"/>
      <c r="CJ379" s="916"/>
      <c r="CK379" s="916"/>
      <c r="CL379" s="916"/>
      <c r="CM379" s="916"/>
      <c r="CN379" s="916"/>
      <c r="CO379" s="916"/>
      <c r="CP379" s="188"/>
      <c r="CQ379" s="188"/>
      <c r="CR379" s="188"/>
      <c r="CS379" s="188"/>
      <c r="CT379" s="188"/>
      <c r="CU379" s="188"/>
      <c r="DB379" s="1961"/>
      <c r="DC379" s="1961"/>
      <c r="DD379" s="1961"/>
      <c r="DE379" s="1961"/>
      <c r="DF379" s="1961"/>
      <c r="DG379" s="1961"/>
      <c r="DH379" s="1961"/>
      <c r="DI379" s="1961"/>
    </row>
    <row r="380" spans="1:113" x14ac:dyDescent="0.25">
      <c r="A380" s="46" t="s">
        <v>250</v>
      </c>
      <c r="B380" s="902"/>
      <c r="C380" s="441">
        <f t="shared" ref="C380:AL380" si="512">-C52/C49</f>
        <v>0.4030770822263704</v>
      </c>
      <c r="D380" s="441">
        <f t="shared" si="512"/>
        <v>0.39519368322471715</v>
      </c>
      <c r="E380" s="92">
        <f t="shared" si="512"/>
        <v>0.3901440271109855</v>
      </c>
      <c r="F380" s="92">
        <f t="shared" si="512"/>
        <v>0.42473689887363442</v>
      </c>
      <c r="G380" s="92">
        <f t="shared" si="512"/>
        <v>0.42403881496728651</v>
      </c>
      <c r="H380" s="92">
        <f t="shared" si="512"/>
        <v>0.3563053906821691</v>
      </c>
      <c r="I380" s="441">
        <f t="shared" si="512"/>
        <v>0.39971024261370458</v>
      </c>
      <c r="J380" s="92">
        <f t="shared" si="512"/>
        <v>0.42137034216242147</v>
      </c>
      <c r="K380" s="92">
        <f t="shared" si="512"/>
        <v>0.44447227440339504</v>
      </c>
      <c r="L380" s="92">
        <f t="shared" si="512"/>
        <v>0.41095870653224309</v>
      </c>
      <c r="M380" s="92">
        <f t="shared" si="512"/>
        <v>0.45449782182368026</v>
      </c>
      <c r="N380" s="441">
        <f t="shared" si="512"/>
        <v>0.43266917414547928</v>
      </c>
      <c r="O380" s="92">
        <f t="shared" si="512"/>
        <v>0.42924492337408177</v>
      </c>
      <c r="P380" s="92">
        <f t="shared" si="512"/>
        <v>0.4214960332451832</v>
      </c>
      <c r="Q380" s="92">
        <f t="shared" si="512"/>
        <v>0.44024456557779257</v>
      </c>
      <c r="R380" s="92">
        <f t="shared" si="512"/>
        <v>1.2072214005530202</v>
      </c>
      <c r="S380" s="441">
        <f t="shared" si="512"/>
        <v>0.52149808204682435</v>
      </c>
      <c r="T380" s="92">
        <f t="shared" si="512"/>
        <v>0.4350181610415052</v>
      </c>
      <c r="U380" s="92">
        <f t="shared" si="512"/>
        <v>0.40857307774098489</v>
      </c>
      <c r="V380" s="92">
        <f t="shared" si="512"/>
        <v>0.40286034453286718</v>
      </c>
      <c r="W380" s="92">
        <f t="shared" si="512"/>
        <v>0.36995745087727688</v>
      </c>
      <c r="X380" s="441">
        <f t="shared" si="512"/>
        <v>0.4035362105004302</v>
      </c>
      <c r="Y380" s="92">
        <f t="shared" si="512"/>
        <v>0.40142112054082529</v>
      </c>
      <c r="Z380" s="92">
        <f t="shared" si="512"/>
        <v>0.41133000264940756</v>
      </c>
      <c r="AA380" s="92">
        <f t="shared" si="512"/>
        <v>0.39238545224216587</v>
      </c>
      <c r="AB380" s="92">
        <f t="shared" si="512"/>
        <v>0.35482368061691716</v>
      </c>
      <c r="AC380" s="441">
        <f t="shared" si="512"/>
        <v>0.38871311020146376</v>
      </c>
      <c r="AD380" s="92">
        <f t="shared" si="512"/>
        <v>0.3935420409556869</v>
      </c>
      <c r="AE380" s="92">
        <f t="shared" si="512"/>
        <v>0.39471403455192283</v>
      </c>
      <c r="AF380" s="92">
        <f t="shared" si="512"/>
        <v>0.3931091526614745</v>
      </c>
      <c r="AG380" s="92">
        <f t="shared" si="512"/>
        <v>0.28990103301307518</v>
      </c>
      <c r="AH380" s="441">
        <f>AH375</f>
        <v>0.36590994325606618</v>
      </c>
      <c r="AI380" s="92">
        <f t="shared" si="512"/>
        <v>0.36590602526957672</v>
      </c>
      <c r="AJ380" s="92">
        <f t="shared" si="512"/>
        <v>0.35884302974123722</v>
      </c>
      <c r="AK380" s="92">
        <f t="shared" si="512"/>
        <v>0.36041464466731377</v>
      </c>
      <c r="AL380" s="92">
        <f t="shared" si="512"/>
        <v>0.37319942236380921</v>
      </c>
      <c r="AM380" s="441">
        <f>AM375</f>
        <v>0.3645904097943789</v>
      </c>
      <c r="AN380" s="92">
        <f>-AN52/AN49</f>
        <v>0.35743800080661736</v>
      </c>
      <c r="AO380" s="92">
        <f>-AO52/AO49</f>
        <v>0.3787401186119162</v>
      </c>
      <c r="AP380" s="92">
        <f>-AP52/AP49</f>
        <v>0.37215849645228166</v>
      </c>
      <c r="AQ380" s="92">
        <f>-AQ52/AQ49</f>
        <v>0.37811926634229426</v>
      </c>
      <c r="AR380" s="441">
        <f>AR375</f>
        <v>0.37207510751413775</v>
      </c>
      <c r="AS380" s="92">
        <f>-AS52/AS49</f>
        <v>0.38124796228023977</v>
      </c>
      <c r="AT380" s="92">
        <f>-AT52/AT49</f>
        <v>0.18756777730243859</v>
      </c>
      <c r="AU380" s="92">
        <f>-AU52/AU49</f>
        <v>0.3198065937695122</v>
      </c>
      <c r="AV380" s="92">
        <f>-AV52/AV49</f>
        <v>0.30312072151719971</v>
      </c>
      <c r="AW380" s="91">
        <f>AW375</f>
        <v>0.29261446821326681</v>
      </c>
      <c r="AX380" s="92">
        <f>-AX52/AX49</f>
        <v>0.31692407293281288</v>
      </c>
      <c r="AY380" s="92">
        <f>-AY52/AY49</f>
        <v>0.33493675618418611</v>
      </c>
      <c r="AZ380" s="92">
        <f>-AZ52/AZ49</f>
        <v>0.25997702962945779</v>
      </c>
      <c r="BA380" s="92">
        <f>-BA52/BA49</f>
        <v>0.32896379525593006</v>
      </c>
      <c r="BB380" s="747">
        <f>AVERAGE(AX380:BA380)</f>
        <v>0.31020041350059668</v>
      </c>
      <c r="BC380" s="92">
        <f>-BC52/BC49</f>
        <v>0.32506203473945416</v>
      </c>
      <c r="BD380" s="92">
        <f>-BD52/BD49</f>
        <v>0.28781636256621529</v>
      </c>
      <c r="BE380" s="92">
        <f>-BE52/BE49</f>
        <v>0.33204205866076386</v>
      </c>
      <c r="BF380" s="92">
        <f>-BF52/BF49</f>
        <v>-0.14110429447852763</v>
      </c>
      <c r="BG380" s="747">
        <f>BG375</f>
        <v>0.1967877297062654</v>
      </c>
      <c r="BH380" s="1938">
        <v>0.22</v>
      </c>
      <c r="BI380" s="716">
        <f t="shared" ref="BI380:BK381" si="513">BH380</f>
        <v>0.22</v>
      </c>
      <c r="BJ380" s="716">
        <f t="shared" si="513"/>
        <v>0.22</v>
      </c>
      <c r="BK380" s="716">
        <f t="shared" si="513"/>
        <v>0.22</v>
      </c>
      <c r="BL380" s="747">
        <f>BL375</f>
        <v>0.22</v>
      </c>
      <c r="BM380" s="716">
        <f>BL380</f>
        <v>0.22</v>
      </c>
      <c r="BN380" s="716">
        <f>BM380</f>
        <v>0.22</v>
      </c>
      <c r="BO380" s="716">
        <f>BN380</f>
        <v>0.22</v>
      </c>
      <c r="BP380" s="716">
        <f>BO380</f>
        <v>0.22</v>
      </c>
      <c r="BQ380" s="747">
        <f>BQ375</f>
        <v>0.21999999999999997</v>
      </c>
      <c r="BR380" s="716">
        <f>BQ380</f>
        <v>0.21999999999999997</v>
      </c>
      <c r="BS380" s="716">
        <f>BR380</f>
        <v>0.21999999999999997</v>
      </c>
      <c r="BT380" s="716">
        <f>BS380</f>
        <v>0.21999999999999997</v>
      </c>
      <c r="BU380" s="716">
        <f>BT380</f>
        <v>0.21999999999999997</v>
      </c>
      <c r="BV380" s="747">
        <f>BV375</f>
        <v>0.21999999999999997</v>
      </c>
      <c r="BW380" s="716">
        <f>BV380</f>
        <v>0.21999999999999997</v>
      </c>
      <c r="BX380" s="716">
        <f>BW380</f>
        <v>0.21999999999999997</v>
      </c>
      <c r="BY380" s="716">
        <f>BX380</f>
        <v>0.21999999999999997</v>
      </c>
      <c r="BZ380" s="716">
        <f>BY380</f>
        <v>0.21999999999999997</v>
      </c>
      <c r="CA380" s="747">
        <f>CA375</f>
        <v>0.21999999999999997</v>
      </c>
      <c r="CC380" s="29"/>
      <c r="CD380" s="29"/>
      <c r="CE380" s="92"/>
      <c r="CF380" s="92"/>
      <c r="CG380" s="92"/>
      <c r="CH380" s="92"/>
      <c r="CI380" s="92"/>
      <c r="CJ380" s="92"/>
      <c r="CK380" s="92"/>
      <c r="CL380" s="92"/>
      <c r="CM380" s="92"/>
      <c r="CN380" s="92"/>
      <c r="CO380" s="92"/>
      <c r="CP380" s="188"/>
      <c r="CQ380" s="188"/>
      <c r="CR380" s="188"/>
      <c r="CS380" s="188"/>
      <c r="CT380" s="188"/>
      <c r="CU380" s="188"/>
      <c r="DB380" s="1961"/>
      <c r="DC380" s="1961"/>
      <c r="DD380" s="1961"/>
      <c r="DE380" s="1961"/>
      <c r="DF380" s="1961"/>
      <c r="DG380" s="1961"/>
      <c r="DH380" s="1961"/>
      <c r="DI380" s="90"/>
    </row>
    <row r="381" spans="1:113" ht="15.75" thickBot="1" x14ac:dyDescent="0.3">
      <c r="A381" s="922" t="s">
        <v>251</v>
      </c>
      <c r="B381" s="885"/>
      <c r="C381" s="886"/>
      <c r="D381" s="886"/>
      <c r="E381" s="884"/>
      <c r="F381" s="884"/>
      <c r="G381" s="884"/>
      <c r="H381" s="884"/>
      <c r="I381" s="923"/>
      <c r="J381" s="924"/>
      <c r="K381" s="924"/>
      <c r="L381" s="924"/>
      <c r="M381" s="924"/>
      <c r="N381" s="923"/>
      <c r="O381" s="924"/>
      <c r="P381" s="924"/>
      <c r="Q381" s="924"/>
      <c r="R381" s="924"/>
      <c r="S381" s="923"/>
      <c r="T381" s="924"/>
      <c r="U381" s="924"/>
      <c r="V381" s="924"/>
      <c r="W381" s="924"/>
      <c r="X381" s="923"/>
      <c r="Y381" s="924"/>
      <c r="Z381" s="924"/>
      <c r="AA381" s="924"/>
      <c r="AB381" s="924"/>
      <c r="AC381" s="923"/>
      <c r="AD381" s="924"/>
      <c r="AE381" s="924"/>
      <c r="AF381" s="924"/>
      <c r="AG381" s="924"/>
      <c r="AH381" s="923"/>
      <c r="AI381" s="924"/>
      <c r="AJ381" s="924"/>
      <c r="AK381" s="924"/>
      <c r="AL381" s="924"/>
      <c r="AM381" s="923"/>
      <c r="AN381" s="924"/>
      <c r="AO381" s="924"/>
      <c r="AP381" s="924"/>
      <c r="AQ381" s="924"/>
      <c r="AR381" s="923"/>
      <c r="AS381" s="924"/>
      <c r="AT381" s="924"/>
      <c r="AU381" s="924"/>
      <c r="AV381" s="924"/>
      <c r="AW381" s="925"/>
      <c r="AX381" s="924"/>
      <c r="AY381" s="924"/>
      <c r="AZ381" s="924"/>
      <c r="BA381" s="924"/>
      <c r="BB381" s="747"/>
      <c r="BC381" s="716"/>
      <c r="BD381" s="716"/>
      <c r="BE381" s="716"/>
      <c r="BF381" s="716"/>
      <c r="BG381" s="747">
        <f>BF381</f>
        <v>0</v>
      </c>
      <c r="BH381" s="716">
        <v>0.21</v>
      </c>
      <c r="BI381" s="716">
        <f t="shared" si="513"/>
        <v>0.21</v>
      </c>
      <c r="BJ381" s="716">
        <f t="shared" si="513"/>
        <v>0.21</v>
      </c>
      <c r="BK381" s="716">
        <f t="shared" si="513"/>
        <v>0.21</v>
      </c>
      <c r="BL381" s="747">
        <f>BK381</f>
        <v>0.21</v>
      </c>
      <c r="BM381" s="716">
        <v>0.21</v>
      </c>
      <c r="BN381" s="716">
        <f>BM381</f>
        <v>0.21</v>
      </c>
      <c r="BO381" s="716">
        <f>BN381</f>
        <v>0.21</v>
      </c>
      <c r="BP381" s="716">
        <f>BO381</f>
        <v>0.21</v>
      </c>
      <c r="BQ381" s="747">
        <f>BP381</f>
        <v>0.21</v>
      </c>
      <c r="BR381" s="716">
        <v>0.21</v>
      </c>
      <c r="BS381" s="716">
        <f>BR381</f>
        <v>0.21</v>
      </c>
      <c r="BT381" s="716">
        <f>BS381</f>
        <v>0.21</v>
      </c>
      <c r="BU381" s="716">
        <f>BT381</f>
        <v>0.21</v>
      </c>
      <c r="BV381" s="747">
        <f>BU381</f>
        <v>0.21</v>
      </c>
      <c r="BW381" s="716">
        <v>0.21</v>
      </c>
      <c r="BX381" s="716">
        <f>BW381</f>
        <v>0.21</v>
      </c>
      <c r="BY381" s="716">
        <f>BX381</f>
        <v>0.21</v>
      </c>
      <c r="BZ381" s="716">
        <f>BY381</f>
        <v>0.21</v>
      </c>
      <c r="CA381" s="747">
        <f>BZ381</f>
        <v>0.21</v>
      </c>
      <c r="CC381" s="29"/>
      <c r="CD381" s="29"/>
      <c r="CE381" s="926"/>
      <c r="CF381" s="926"/>
      <c r="CG381" s="926"/>
      <c r="CH381" s="926"/>
      <c r="CI381" s="926"/>
      <c r="CJ381" s="926"/>
      <c r="CK381" s="926"/>
      <c r="CL381" s="926"/>
      <c r="CM381" s="926"/>
      <c r="CN381" s="926"/>
      <c r="CO381" s="926"/>
      <c r="CP381" s="188"/>
      <c r="CQ381" s="188"/>
      <c r="CR381" s="188"/>
      <c r="CS381" s="188"/>
      <c r="CT381" s="188"/>
      <c r="CU381" s="188"/>
      <c r="DB381" s="1961"/>
      <c r="DC381" s="1961"/>
      <c r="DD381" s="1961"/>
      <c r="DE381" s="1961"/>
      <c r="DF381" s="1961"/>
      <c r="DG381" s="1961"/>
      <c r="DH381" s="1961"/>
      <c r="DI381" s="1961"/>
    </row>
    <row r="382" spans="1:113" x14ac:dyDescent="0.25">
      <c r="A382" s="927"/>
      <c r="B382" s="928"/>
      <c r="C382" s="929"/>
      <c r="D382" s="929"/>
      <c r="E382" s="930"/>
      <c r="F382" s="930"/>
      <c r="G382" s="930"/>
      <c r="H382" s="930"/>
      <c r="I382" s="931"/>
      <c r="J382" s="932"/>
      <c r="K382" s="932"/>
      <c r="L382" s="932"/>
      <c r="M382" s="932"/>
      <c r="N382" s="931"/>
      <c r="O382" s="932"/>
      <c r="P382" s="932"/>
      <c r="Q382" s="932"/>
      <c r="R382" s="932"/>
      <c r="S382" s="931"/>
      <c r="T382" s="932"/>
      <c r="U382" s="932"/>
      <c r="V382" s="932"/>
      <c r="W382" s="932"/>
      <c r="X382" s="931"/>
      <c r="Y382" s="932"/>
      <c r="Z382" s="932"/>
      <c r="AA382" s="932"/>
      <c r="AB382" s="932"/>
      <c r="AC382" s="931"/>
      <c r="AD382" s="932"/>
      <c r="AE382" s="932"/>
      <c r="AF382" s="932"/>
      <c r="AG382" s="932"/>
      <c r="AH382" s="931"/>
      <c r="AI382" s="932"/>
      <c r="AJ382" s="932"/>
      <c r="AK382" s="932"/>
      <c r="AL382" s="932"/>
      <c r="AM382" s="931"/>
      <c r="AN382" s="932"/>
      <c r="AO382" s="932"/>
      <c r="AP382" s="932"/>
      <c r="AQ382" s="932"/>
      <c r="AR382" s="931"/>
      <c r="AS382" s="932"/>
      <c r="AT382" s="932"/>
      <c r="AU382" s="932"/>
      <c r="AV382" s="932"/>
      <c r="AW382" s="933"/>
      <c r="AX382" s="932"/>
      <c r="AY382" s="932"/>
      <c r="AZ382" s="932"/>
      <c r="BA382" s="932"/>
      <c r="BB382" s="934"/>
      <c r="BC382" s="932"/>
      <c r="BD382" s="932"/>
      <c r="BE382" s="932"/>
      <c r="BF382" s="932"/>
      <c r="BG382" s="934"/>
      <c r="BH382" s="932"/>
      <c r="BI382" s="932"/>
      <c r="BJ382" s="932"/>
      <c r="BK382" s="932"/>
      <c r="BL382" s="934"/>
      <c r="BM382" s="932"/>
      <c r="BN382" s="932"/>
      <c r="BO382" s="932"/>
      <c r="BP382" s="932"/>
      <c r="BQ382" s="934"/>
      <c r="BR382" s="932"/>
      <c r="BS382" s="932"/>
      <c r="BT382" s="932"/>
      <c r="BU382" s="932"/>
      <c r="BV382" s="934"/>
      <c r="BW382" s="932"/>
      <c r="BX382" s="932"/>
      <c r="BY382" s="932"/>
      <c r="BZ382" s="932"/>
      <c r="CA382" s="934"/>
      <c r="CC382" s="29"/>
      <c r="CD382" s="29"/>
      <c r="CE382" s="926"/>
      <c r="CF382" s="926"/>
      <c r="CG382" s="926"/>
      <c r="CH382" s="926"/>
      <c r="CI382" s="926"/>
      <c r="CJ382" s="926"/>
      <c r="CK382" s="926"/>
      <c r="CL382" s="926"/>
      <c r="CM382" s="926"/>
      <c r="CN382" s="926"/>
      <c r="CO382" s="926"/>
      <c r="CP382" s="188"/>
      <c r="CQ382" s="188"/>
      <c r="CR382" s="188"/>
      <c r="CS382" s="188"/>
      <c r="CT382" s="188"/>
      <c r="CU382" s="188"/>
      <c r="DB382" s="1961"/>
      <c r="DC382" s="1961"/>
      <c r="DD382" s="1961"/>
      <c r="DE382" s="1961"/>
      <c r="DF382" s="1961"/>
      <c r="DG382" s="1961"/>
      <c r="DH382" s="1961"/>
      <c r="DI382" s="1961"/>
    </row>
    <row r="383" spans="1:113" ht="12" customHeight="1" x14ac:dyDescent="0.25">
      <c r="A383" s="50" t="s">
        <v>110</v>
      </c>
      <c r="B383" s="935"/>
      <c r="C383" s="936">
        <f t="shared" ref="C383:H383" si="514">-C137</f>
        <v>24.018999999999998</v>
      </c>
      <c r="D383" s="936">
        <f t="shared" si="514"/>
        <v>25.742000000000001</v>
      </c>
      <c r="E383" s="937">
        <f t="shared" si="514"/>
        <v>14.406000000000001</v>
      </c>
      <c r="F383" s="937">
        <f t="shared" si="514"/>
        <v>8.6440000000000001</v>
      </c>
      <c r="G383" s="937">
        <f t="shared" si="514"/>
        <v>5.2779999999999987</v>
      </c>
      <c r="H383" s="937">
        <f t="shared" si="514"/>
        <v>4.6130000000000031</v>
      </c>
      <c r="I383" s="740">
        <f>SUM(E383:H383)</f>
        <v>32.941000000000003</v>
      </c>
      <c r="J383" s="937">
        <f>-J137</f>
        <v>9.766</v>
      </c>
      <c r="K383" s="937">
        <f>-K137</f>
        <v>8.0439999999999987</v>
      </c>
      <c r="L383" s="937">
        <f>-L137</f>
        <v>4.5130000000000017</v>
      </c>
      <c r="M383" s="937">
        <f>-M137</f>
        <v>8.3290000000000006</v>
      </c>
      <c r="N383" s="740">
        <f>SUM(J383:M383)</f>
        <v>30.652000000000001</v>
      </c>
      <c r="O383" s="937">
        <f>-O137</f>
        <v>8.359</v>
      </c>
      <c r="P383" s="937">
        <f>-P137</f>
        <v>7.8360000000000003</v>
      </c>
      <c r="Q383" s="937">
        <f>-Q137</f>
        <v>8.1239999999999988</v>
      </c>
      <c r="R383" s="937">
        <f>-R137</f>
        <v>14.375000000000004</v>
      </c>
      <c r="S383" s="740">
        <f>SUM(O383:R383)</f>
        <v>38.694000000000003</v>
      </c>
      <c r="T383" s="937">
        <f>-T137</f>
        <v>7.4980000000000002</v>
      </c>
      <c r="U383" s="937">
        <f>-U137</f>
        <v>8.0719999999999992</v>
      </c>
      <c r="V383" s="937">
        <f>-V137</f>
        <v>6.6359999999999992</v>
      </c>
      <c r="W383" s="937">
        <f>-W137</f>
        <v>16.434999999999999</v>
      </c>
      <c r="X383" s="740">
        <f>SUM(T383:W383)</f>
        <v>38.640999999999998</v>
      </c>
      <c r="Y383" s="937">
        <f>-Y137</f>
        <v>13.648</v>
      </c>
      <c r="Z383" s="937">
        <f>-Z137</f>
        <v>14.523</v>
      </c>
      <c r="AA383" s="937">
        <f>-AA137</f>
        <v>13.753999999999998</v>
      </c>
      <c r="AB383" s="937">
        <f>-AB137</f>
        <v>17.904000000000003</v>
      </c>
      <c r="AC383" s="740">
        <f>SUM(Y383:AB383)</f>
        <v>59.829000000000001</v>
      </c>
      <c r="AD383" s="937">
        <f>-AD137</f>
        <v>17.442</v>
      </c>
      <c r="AE383" s="937">
        <f>-AE137</f>
        <v>19.089999999999996</v>
      </c>
      <c r="AF383" s="937">
        <f>-AF137</f>
        <v>19.192</v>
      </c>
      <c r="AG383" s="937">
        <f>-AG137</f>
        <v>18.649000000000008</v>
      </c>
      <c r="AH383" s="740">
        <f>SUM(AD383:AG383)</f>
        <v>74.373000000000005</v>
      </c>
      <c r="AI383" s="937">
        <f>-AI137</f>
        <v>28.065000000000001</v>
      </c>
      <c r="AJ383" s="937">
        <f>-AJ137</f>
        <v>35.44</v>
      </c>
      <c r="AK383" s="937">
        <f>-AK137</f>
        <v>44.410000000000011</v>
      </c>
      <c r="AL383" s="937">
        <f>-AL137</f>
        <v>38.060999999999993</v>
      </c>
      <c r="AM383" s="639">
        <f>SUM(AI383:AL383)</f>
        <v>145.976</v>
      </c>
      <c r="AN383" s="938">
        <f>-AN137</f>
        <v>36.143999999999998</v>
      </c>
      <c r="AO383" s="938">
        <f>-AO137</f>
        <v>39.619999999999997</v>
      </c>
      <c r="AP383" s="938">
        <f>-AP137</f>
        <v>27.228000000000009</v>
      </c>
      <c r="AQ383" s="938">
        <f>-AQ137</f>
        <v>43.826000000000008</v>
      </c>
      <c r="AR383" s="639">
        <f>SUM(AN383:AQ383)</f>
        <v>146.81800000000001</v>
      </c>
      <c r="AS383" s="482">
        <f>-AS137</f>
        <v>24.76</v>
      </c>
      <c r="AT383" s="482">
        <f>-AT137</f>
        <v>35.331999999999994</v>
      </c>
      <c r="AU383" s="482">
        <f>-AU137</f>
        <v>45.673000000000002</v>
      </c>
      <c r="AV383" s="482">
        <f>-AV137</f>
        <v>60.373000000000005</v>
      </c>
      <c r="AW383" s="639">
        <f>SUM(AS383:AV383)</f>
        <v>166.13800000000001</v>
      </c>
      <c r="AX383" s="482">
        <f>-AX137</f>
        <v>30.763000000000002</v>
      </c>
      <c r="AY383" s="482">
        <f>-AY137</f>
        <v>31.468</v>
      </c>
      <c r="AZ383" s="482">
        <f>-AZ137</f>
        <v>36.338999999999992</v>
      </c>
      <c r="BA383" s="482">
        <f>-BA137</f>
        <v>57.930000000000007</v>
      </c>
      <c r="BB383" s="642">
        <f>SUM(AX383:BA383)</f>
        <v>156.5</v>
      </c>
      <c r="BC383" s="482">
        <f>-BC137</f>
        <v>31.1</v>
      </c>
      <c r="BD383" s="482">
        <f>-BD137</f>
        <v>41.4</v>
      </c>
      <c r="BE383" s="482">
        <f>-BE137</f>
        <v>41.300000000000004</v>
      </c>
      <c r="BF383" s="482">
        <f>-BF137</f>
        <v>69.699999999999989</v>
      </c>
      <c r="BG383" s="642">
        <f>SUM(BC383:BF383)</f>
        <v>183.5</v>
      </c>
      <c r="BH383" s="482">
        <f>+BH384*BH12</f>
        <v>40.837905698368488</v>
      </c>
      <c r="BI383" s="482">
        <f>+BI384*BI12</f>
        <v>51.933537889908244</v>
      </c>
      <c r="BJ383" s="482">
        <f>+BJ384*BJ12</f>
        <v>50.977421134583878</v>
      </c>
      <c r="BK383" s="482">
        <f>+BK384*BK12</f>
        <v>80.698133696300175</v>
      </c>
      <c r="BL383" s="642">
        <f>SUM(BH383:BK383)</f>
        <v>224.44699841916079</v>
      </c>
      <c r="BM383" s="482">
        <f>+BM384*BM12</f>
        <v>37.148866154994032</v>
      </c>
      <c r="BN383" s="482">
        <f>+BN384*BN12</f>
        <v>48.762677047018336</v>
      </c>
      <c r="BO383" s="482">
        <f>+BO384*BO12</f>
        <v>47.59921678177929</v>
      </c>
      <c r="BP383" s="482">
        <f>+BP384*BP12</f>
        <v>78.976880564615115</v>
      </c>
      <c r="BQ383" s="642">
        <f>SUM(BM383:BP383)</f>
        <v>212.48764054840677</v>
      </c>
      <c r="BR383" s="482">
        <f>+BR384*BR12</f>
        <v>33.524981871501538</v>
      </c>
      <c r="BS383" s="482">
        <f>+BS384*BS12</f>
        <v>45.642172652306421</v>
      </c>
      <c r="BT383" s="482">
        <f>+BT384*BT12</f>
        <v>44.262345799311653</v>
      </c>
      <c r="BU383" s="482">
        <f>+BU384*BU12</f>
        <v>77.27504914828188</v>
      </c>
      <c r="BV383" s="642">
        <f>SUM(BR383:BU383)</f>
        <v>200.70454947140149</v>
      </c>
      <c r="BW383" s="482">
        <f>+BW384*BW12</f>
        <v>32.060319684863096</v>
      </c>
      <c r="BX383" s="482">
        <f>+BX384*BX12</f>
        <v>44.772861956146265</v>
      </c>
      <c r="BY383" s="482">
        <f>+BY384*BY12</f>
        <v>43.228814161451965</v>
      </c>
      <c r="BZ383" s="482">
        <f>+BZ384*BZ12</f>
        <v>78.025619720317792</v>
      </c>
      <c r="CA383" s="642">
        <f>SUM(BW383:BZ383)</f>
        <v>198.08761552277912</v>
      </c>
      <c r="CC383" s="29"/>
      <c r="CD383" s="139" t="str">
        <f>A383</f>
        <v>Capital Expenditures</v>
      </c>
      <c r="CE383" s="74">
        <f>D383</f>
        <v>25.742000000000001</v>
      </c>
      <c r="CF383" s="74">
        <f>I383</f>
        <v>32.941000000000003</v>
      </c>
      <c r="CG383" s="74">
        <f>N383</f>
        <v>30.652000000000001</v>
      </c>
      <c r="CH383" s="74">
        <f>S383</f>
        <v>38.694000000000003</v>
      </c>
      <c r="CI383" s="74">
        <f>X383</f>
        <v>38.640999999999998</v>
      </c>
      <c r="CJ383" s="74">
        <f>AC383</f>
        <v>59.829000000000001</v>
      </c>
      <c r="CK383" s="74">
        <f>AH383</f>
        <v>74.373000000000005</v>
      </c>
      <c r="CL383" s="74">
        <f>AM383</f>
        <v>145.976</v>
      </c>
      <c r="CM383" s="74">
        <f>AR383</f>
        <v>146.81800000000001</v>
      </c>
      <c r="CN383" s="74">
        <f>AW383</f>
        <v>166.13800000000001</v>
      </c>
      <c r="CO383" s="74">
        <f>BB383</f>
        <v>156.5</v>
      </c>
      <c r="CP383" s="74">
        <f>BG383</f>
        <v>183.5</v>
      </c>
      <c r="CQ383" s="74">
        <f>BL383</f>
        <v>224.44699841916079</v>
      </c>
      <c r="CR383" s="74">
        <f>BQ383</f>
        <v>212.48764054840677</v>
      </c>
      <c r="CS383" s="74">
        <f>BV383</f>
        <v>200.70454947140149</v>
      </c>
      <c r="CT383" s="74">
        <f>CA383</f>
        <v>198.08761552277912</v>
      </c>
      <c r="CU383" s="188"/>
      <c r="DB383" s="1961"/>
      <c r="DC383" s="1961"/>
      <c r="DD383" s="1961"/>
      <c r="DE383" s="1961"/>
      <c r="DF383" s="1961"/>
      <c r="DG383" s="1961"/>
      <c r="DH383" s="1961"/>
      <c r="DI383" s="640"/>
    </row>
    <row r="384" spans="1:113" ht="12" customHeight="1" x14ac:dyDescent="0.25">
      <c r="A384" s="439" t="s">
        <v>252</v>
      </c>
      <c r="B384" s="902"/>
      <c r="C384" s="441">
        <f t="shared" ref="C384:AX384" si="515">C383/C12</f>
        <v>3.72006938636434E-2</v>
      </c>
      <c r="D384" s="441">
        <f t="shared" si="515"/>
        <v>3.5256590237669028E-2</v>
      </c>
      <c r="E384" s="92">
        <f t="shared" si="515"/>
        <v>7.2452397477292624E-2</v>
      </c>
      <c r="F384" s="92">
        <f t="shared" si="515"/>
        <v>4.2972051264205537E-2</v>
      </c>
      <c r="G384" s="92">
        <f t="shared" si="515"/>
        <v>2.6426600842166394E-2</v>
      </c>
      <c r="H384" s="92">
        <f t="shared" si="515"/>
        <v>2.278204697655125E-2</v>
      </c>
      <c r="I384" s="441">
        <f t="shared" si="515"/>
        <v>4.1063581797443273E-2</v>
      </c>
      <c r="J384" s="92">
        <f t="shared" si="515"/>
        <v>4.5293064586444547E-2</v>
      </c>
      <c r="K384" s="92">
        <f t="shared" si="515"/>
        <v>3.6222486400806941E-2</v>
      </c>
      <c r="L384" s="92">
        <f t="shared" si="515"/>
        <v>2.0112214839276093E-2</v>
      </c>
      <c r="M384" s="92">
        <f t="shared" si="515"/>
        <v>3.5983220215234007E-2</v>
      </c>
      <c r="N384" s="441">
        <f t="shared" si="515"/>
        <v>3.4303620390576918E-2</v>
      </c>
      <c r="O384" s="92">
        <f t="shared" si="515"/>
        <v>3.4014103706597326E-2</v>
      </c>
      <c r="P384" s="92">
        <f t="shared" si="515"/>
        <v>3.0381984832270975E-2</v>
      </c>
      <c r="Q384" s="92">
        <f t="shared" si="515"/>
        <v>3.1450460878553362E-2</v>
      </c>
      <c r="R384" s="92">
        <f t="shared" si="515"/>
        <v>5.4219503179620272E-2</v>
      </c>
      <c r="S384" s="441">
        <f>S383/S12</f>
        <v>3.7672913356388449E-2</v>
      </c>
      <c r="T384" s="92">
        <f t="shared" si="515"/>
        <v>2.7151516907232921E-2</v>
      </c>
      <c r="U384" s="92">
        <f t="shared" si="515"/>
        <v>2.8656936846103865E-2</v>
      </c>
      <c r="V384" s="92">
        <f t="shared" si="515"/>
        <v>2.3093466595210083E-2</v>
      </c>
      <c r="W384" s="92">
        <f t="shared" si="515"/>
        <v>5.6061918828754456E-2</v>
      </c>
      <c r="X384" s="441">
        <f>X383/X12</f>
        <v>3.3944953322504724E-2</v>
      </c>
      <c r="Y384" s="92">
        <f t="shared" si="515"/>
        <v>4.3622091034905976E-2</v>
      </c>
      <c r="Z384" s="92">
        <f t="shared" si="515"/>
        <v>4.4374847225617201E-2</v>
      </c>
      <c r="AA384" s="92">
        <f t="shared" si="515"/>
        <v>4.0441284570917786E-2</v>
      </c>
      <c r="AB384" s="92">
        <f t="shared" si="515"/>
        <v>5.092251552220893E-2</v>
      </c>
      <c r="AC384" s="441">
        <f>AC383/AC12</f>
        <v>4.4922062710235459E-2</v>
      </c>
      <c r="AD384" s="92">
        <f t="shared" si="515"/>
        <v>5.0337517063442826E-2</v>
      </c>
      <c r="AE384" s="92">
        <f t="shared" si="515"/>
        <v>5.1148633803647113E-2</v>
      </c>
      <c r="AF384" s="92">
        <f t="shared" si="515"/>
        <v>4.8116771924194522E-2</v>
      </c>
      <c r="AG384" s="92">
        <f t="shared" si="515"/>
        <v>4.4858441777114968E-2</v>
      </c>
      <c r="AH384" s="441">
        <f>AH383/AH12</f>
        <v>4.8472939152197719E-2</v>
      </c>
      <c r="AI384" s="92">
        <f t="shared" si="515"/>
        <v>7.4502849770505211E-2</v>
      </c>
      <c r="AJ384" s="92">
        <f t="shared" si="515"/>
        <v>9.0786595144044302E-2</v>
      </c>
      <c r="AK384" s="92">
        <f t="shared" si="515"/>
        <v>0.10781036445778018</v>
      </c>
      <c r="AL384" s="92">
        <f t="shared" si="515"/>
        <v>9.1334051636218758E-2</v>
      </c>
      <c r="AM384" s="441">
        <f t="shared" si="515"/>
        <v>9.1480109518440975E-2</v>
      </c>
      <c r="AN384" s="92">
        <f t="shared" si="515"/>
        <v>8.8232924766198859E-2</v>
      </c>
      <c r="AO384" s="92">
        <f t="shared" si="515"/>
        <v>9.3541791601543134E-2</v>
      </c>
      <c r="AP384" s="92">
        <f t="shared" si="515"/>
        <v>6.068670388820168E-2</v>
      </c>
      <c r="AQ384" s="92">
        <f t="shared" si="515"/>
        <v>9.4277035864252789E-2</v>
      </c>
      <c r="AR384" s="441">
        <f t="shared" si="515"/>
        <v>8.4053251626185224E-2</v>
      </c>
      <c r="AS384" s="92">
        <f t="shared" si="515"/>
        <v>5.3896738550752402E-2</v>
      </c>
      <c r="AT384" s="92">
        <f t="shared" si="515"/>
        <v>7.0997689138953074E-2</v>
      </c>
      <c r="AU384" s="92">
        <f t="shared" si="515"/>
        <v>8.2981317257781156E-2</v>
      </c>
      <c r="AV384" s="92">
        <f t="shared" si="515"/>
        <v>0.10769354263289331</v>
      </c>
      <c r="AW384" s="441">
        <f t="shared" si="515"/>
        <v>8.0335659520475361E-2</v>
      </c>
      <c r="AX384" s="92">
        <f t="shared" si="515"/>
        <v>6.243746207131709E-2</v>
      </c>
      <c r="AY384" s="92">
        <f t="shared" ref="AY384:BD384" si="516">AY383/AY12</f>
        <v>6.3151219355563767E-2</v>
      </c>
      <c r="AZ384" s="92">
        <f t="shared" si="516"/>
        <v>7.2958012853331061E-2</v>
      </c>
      <c r="BA384" s="92">
        <f t="shared" si="516"/>
        <v>0.1144635447540012</v>
      </c>
      <c r="BB384" s="451">
        <f t="shared" si="516"/>
        <v>7.8439116710388751E-2</v>
      </c>
      <c r="BC384" s="92">
        <f t="shared" si="516"/>
        <v>6.1878233187425392E-2</v>
      </c>
      <c r="BD384" s="92">
        <f t="shared" si="516"/>
        <v>7.9128440366972461E-2</v>
      </c>
      <c r="BE384" s="92">
        <f t="shared" ref="BE384:BF384" si="517">BE383/BE12</f>
        <v>7.5213986523401957E-2</v>
      </c>
      <c r="BF384" s="92">
        <f t="shared" si="517"/>
        <v>0.12221637734525687</v>
      </c>
      <c r="BG384" s="451">
        <f>BG383/BG12</f>
        <v>8.5539809807943304E-2</v>
      </c>
      <c r="BH384" s="92">
        <f>CHOOSE($A$3,BH385,BH386,BH387)</f>
        <v>7.1878233187425394E-2</v>
      </c>
      <c r="BI384" s="92">
        <f>CHOOSE($A$3,BI385,BI386,BI387)</f>
        <v>8.9128440366972456E-2</v>
      </c>
      <c r="BJ384" s="92">
        <f>CHOOSE($A$3,BJ385,BJ386,BJ387)</f>
        <v>8.5213986523401952E-2</v>
      </c>
      <c r="BK384" s="92">
        <f>CHOOSE($A$3,BK385,BK386,BK387)</f>
        <v>0.13221637734525687</v>
      </c>
      <c r="BL384" s="451">
        <f>BL383/BL12</f>
        <v>9.5128308062100514E-2</v>
      </c>
      <c r="BM384" s="92">
        <f>CHOOSE($A$3,BM385,BM386,BM387)</f>
        <v>6.1878233187425392E-2</v>
      </c>
      <c r="BN384" s="92">
        <f>CHOOSE($A$3,BN385,BN386,BN387)</f>
        <v>7.9128440366972461E-2</v>
      </c>
      <c r="BO384" s="92">
        <f>CHOOSE($A$3,BO385,BO386,BO387)</f>
        <v>7.5213986523401957E-2</v>
      </c>
      <c r="BP384" s="92">
        <f>CHOOSE($A$3,BP385,BP386,BP387)</f>
        <v>0.12221637734525688</v>
      </c>
      <c r="BQ384" s="451">
        <f>BQ383/BQ12</f>
        <v>8.5142949735911369E-2</v>
      </c>
      <c r="BR384" s="92">
        <f>CHOOSE($A$3,BR385,BR386,BR387)</f>
        <v>5.2878233187425391E-2</v>
      </c>
      <c r="BS384" s="92">
        <f>CHOOSE($A$3,BS385,BS386,BS387)</f>
        <v>7.0128440366972467E-2</v>
      </c>
      <c r="BT384" s="92">
        <f>CHOOSE($A$3,BT385,BT386,BT387)</f>
        <v>6.6213986523401963E-2</v>
      </c>
      <c r="BU384" s="92">
        <f>CHOOSE($A$3,BU385,BU386,BU387)</f>
        <v>0.11321637734525689</v>
      </c>
      <c r="BV384" s="451">
        <f>BV383/BV12</f>
        <v>7.614392799873769E-2</v>
      </c>
      <c r="BW384" s="92">
        <f>CHOOSE($A$3,BW385,BW386,BW387)</f>
        <v>4.7878233187425394E-2</v>
      </c>
      <c r="BX384" s="92">
        <f>CHOOSE($A$3,BX385,BX386,BX387)</f>
        <v>6.5128440366972462E-2</v>
      </c>
      <c r="BY384" s="92">
        <f>CHOOSE($A$3,BY385,BY386,BY387)</f>
        <v>6.1213986523401966E-2</v>
      </c>
      <c r="BZ384" s="92">
        <f>CHOOSE($A$3,BZ385,BZ386,BZ387)</f>
        <v>0.10821637734525688</v>
      </c>
      <c r="CA384" s="451">
        <f>CA383/CA12</f>
        <v>7.1144914655845298E-2</v>
      </c>
      <c r="CC384" s="29"/>
      <c r="CD384" s="868" t="str">
        <f>A384</f>
        <v>% of Total Revenues</v>
      </c>
      <c r="CE384" s="95">
        <f>D384</f>
        <v>3.5256590237669028E-2</v>
      </c>
      <c r="CF384" s="95">
        <f>I384</f>
        <v>4.1063581797443273E-2</v>
      </c>
      <c r="CG384" s="95">
        <f>N384</f>
        <v>3.4303620390576918E-2</v>
      </c>
      <c r="CH384" s="95">
        <f>S384</f>
        <v>3.7672913356388449E-2</v>
      </c>
      <c r="CI384" s="95">
        <f>X384</f>
        <v>3.3944953322504724E-2</v>
      </c>
      <c r="CJ384" s="95">
        <f>AC384</f>
        <v>4.4922062710235459E-2</v>
      </c>
      <c r="CK384" s="95">
        <f>AH384</f>
        <v>4.8472939152197719E-2</v>
      </c>
      <c r="CL384" s="95">
        <f>AM384</f>
        <v>9.1480109518440975E-2</v>
      </c>
      <c r="CM384" s="95">
        <f>AR384</f>
        <v>8.4053251626185224E-2</v>
      </c>
      <c r="CN384" s="95">
        <f>AW384</f>
        <v>8.0335659520475361E-2</v>
      </c>
      <c r="CO384" s="95">
        <f>BB384</f>
        <v>7.8439116710388751E-2</v>
      </c>
      <c r="CP384" s="95">
        <f>BG384</f>
        <v>8.5539809807943304E-2</v>
      </c>
      <c r="CQ384" s="95">
        <f>BL384</f>
        <v>9.5128308062100514E-2</v>
      </c>
      <c r="CR384" s="95">
        <f>BQ384</f>
        <v>8.5142949735911369E-2</v>
      </c>
      <c r="CS384" s="95">
        <f>BV384</f>
        <v>7.614392799873769E-2</v>
      </c>
      <c r="CT384" s="95">
        <f>CA384</f>
        <v>7.1144914655845298E-2</v>
      </c>
      <c r="CU384" s="188"/>
      <c r="DB384" s="1961"/>
      <c r="DC384" s="1961"/>
      <c r="DD384" s="1961"/>
      <c r="DE384" s="1961"/>
      <c r="DF384" s="1961"/>
      <c r="DG384" s="1961"/>
      <c r="DH384" s="1961"/>
      <c r="DI384" s="90"/>
    </row>
    <row r="385" spans="1:113" ht="12" hidden="1" customHeight="1" outlineLevel="1" x14ac:dyDescent="0.25">
      <c r="A385" s="939" t="s">
        <v>214</v>
      </c>
      <c r="B385" s="902"/>
      <c r="C385" s="751"/>
      <c r="D385" s="749"/>
      <c r="E385" s="750"/>
      <c r="F385" s="750"/>
      <c r="G385" s="750"/>
      <c r="H385" s="750"/>
      <c r="I385" s="751"/>
      <c r="J385" s="750"/>
      <c r="K385" s="750"/>
      <c r="L385" s="750"/>
      <c r="M385" s="750"/>
      <c r="N385" s="752"/>
      <c r="O385" s="750"/>
      <c r="P385" s="753"/>
      <c r="Q385" s="753"/>
      <c r="R385" s="753"/>
      <c r="S385" s="752"/>
      <c r="T385" s="753"/>
      <c r="U385" s="753"/>
      <c r="V385" s="753"/>
      <c r="W385" s="753"/>
      <c r="X385" s="752"/>
      <c r="Y385" s="753"/>
      <c r="Z385" s="753"/>
      <c r="AA385" s="753"/>
      <c r="AB385" s="753"/>
      <c r="AC385" s="752"/>
      <c r="AD385" s="753"/>
      <c r="AE385" s="753"/>
      <c r="AF385" s="753"/>
      <c r="AG385" s="753"/>
      <c r="AH385" s="752"/>
      <c r="AI385" s="753"/>
      <c r="AJ385" s="753"/>
      <c r="AK385" s="753"/>
      <c r="AL385" s="753"/>
      <c r="AM385" s="752"/>
      <c r="AN385" s="753"/>
      <c r="AO385" s="753"/>
      <c r="AP385" s="753"/>
      <c r="AQ385" s="753"/>
      <c r="AR385" s="752"/>
      <c r="AS385" s="753"/>
      <c r="AT385" s="753"/>
      <c r="AU385" s="753"/>
      <c r="AV385" s="753"/>
      <c r="AW385" s="752"/>
      <c r="AX385" s="753"/>
      <c r="AY385" s="753"/>
      <c r="AZ385" s="753"/>
      <c r="BA385" s="753"/>
      <c r="BB385" s="768"/>
      <c r="BC385" s="753"/>
      <c r="BD385" s="753"/>
      <c r="BE385" s="750"/>
      <c r="BF385" s="750"/>
      <c r="BG385" s="768"/>
      <c r="BH385" s="750">
        <f>BH386+0.01</f>
        <v>8.1878233187425389E-2</v>
      </c>
      <c r="BI385" s="750">
        <f>BI386+0.01</f>
        <v>9.9128440366972451E-2</v>
      </c>
      <c r="BJ385" s="750">
        <f>BJ386+0.01</f>
        <v>9.5213986523401947E-2</v>
      </c>
      <c r="BK385" s="750">
        <f>BK386+0.01</f>
        <v>0.14221637734525688</v>
      </c>
      <c r="BL385" s="768"/>
      <c r="BM385" s="750">
        <f>BM386+0.01</f>
        <v>7.1878233187425394E-2</v>
      </c>
      <c r="BN385" s="750">
        <f>BN386+0.01</f>
        <v>8.9128440366972456E-2</v>
      </c>
      <c r="BO385" s="750">
        <f>BO386+0.01</f>
        <v>8.5213986523401952E-2</v>
      </c>
      <c r="BP385" s="750">
        <f>BP386+0.01</f>
        <v>0.13221637734525687</v>
      </c>
      <c r="BQ385" s="768"/>
      <c r="BR385" s="750">
        <f>BR386+0.01</f>
        <v>6.2878233187425386E-2</v>
      </c>
      <c r="BS385" s="750">
        <f>BS386+0.01</f>
        <v>8.0128440366972462E-2</v>
      </c>
      <c r="BT385" s="750">
        <f>BT386+0.01</f>
        <v>7.6213986523401958E-2</v>
      </c>
      <c r="BU385" s="750">
        <f>BU386+0.01</f>
        <v>0.12321637734525688</v>
      </c>
      <c r="BV385" s="768"/>
      <c r="BW385" s="750">
        <f>BW386+0.01</f>
        <v>5.7878233187425396E-2</v>
      </c>
      <c r="BX385" s="750">
        <f>BX386+0.01</f>
        <v>7.5128440366972457E-2</v>
      </c>
      <c r="BY385" s="750">
        <f>BY386+0.01</f>
        <v>7.1213986523401968E-2</v>
      </c>
      <c r="BZ385" s="750">
        <f>BZ386+0.01</f>
        <v>0.11821637734525688</v>
      </c>
      <c r="CA385" s="768"/>
      <c r="CC385" s="29"/>
      <c r="CD385" s="29"/>
      <c r="CE385" s="753"/>
      <c r="CF385" s="753"/>
      <c r="CG385" s="753"/>
      <c r="CH385" s="753"/>
      <c r="CI385" s="753"/>
      <c r="CJ385" s="753"/>
      <c r="CK385" s="753"/>
      <c r="CL385" s="716"/>
      <c r="CM385" s="716"/>
      <c r="CN385" s="716"/>
      <c r="CO385" s="716"/>
      <c r="CP385" s="6"/>
      <c r="CQ385" s="6"/>
      <c r="CR385" s="6"/>
      <c r="CS385" s="6"/>
      <c r="CT385" s="14"/>
      <c r="CU385" s="1961"/>
      <c r="DB385" s="1961"/>
      <c r="DC385" s="1961"/>
      <c r="DD385" s="1961"/>
      <c r="DE385" s="1961"/>
      <c r="DF385" s="1961"/>
      <c r="DG385" s="1961"/>
      <c r="DH385" s="1961"/>
      <c r="DI385" s="716"/>
    </row>
    <row r="386" spans="1:113" ht="12" hidden="1" customHeight="1" outlineLevel="1" x14ac:dyDescent="0.25">
      <c r="A386" s="939" t="s">
        <v>215</v>
      </c>
      <c r="B386" s="902"/>
      <c r="C386" s="751"/>
      <c r="D386" s="749"/>
      <c r="E386" s="750"/>
      <c r="F386" s="750"/>
      <c r="G386" s="750"/>
      <c r="H386" s="750"/>
      <c r="I386" s="751"/>
      <c r="J386" s="750"/>
      <c r="K386" s="750"/>
      <c r="L386" s="750"/>
      <c r="M386" s="750"/>
      <c r="N386" s="752"/>
      <c r="O386" s="750"/>
      <c r="P386" s="753"/>
      <c r="Q386" s="753"/>
      <c r="R386" s="753"/>
      <c r="S386" s="752"/>
      <c r="T386" s="753"/>
      <c r="U386" s="753"/>
      <c r="V386" s="753"/>
      <c r="W386" s="753"/>
      <c r="X386" s="752"/>
      <c r="Y386" s="753"/>
      <c r="Z386" s="753"/>
      <c r="AA386" s="753"/>
      <c r="AB386" s="753"/>
      <c r="AC386" s="752"/>
      <c r="AD386" s="753"/>
      <c r="AE386" s="753"/>
      <c r="AF386" s="753"/>
      <c r="AG386" s="753"/>
      <c r="AH386" s="752"/>
      <c r="AI386" s="753"/>
      <c r="AJ386" s="753"/>
      <c r="AK386" s="753"/>
      <c r="AL386" s="753"/>
      <c r="AM386" s="752"/>
      <c r="AN386" s="753"/>
      <c r="AO386" s="753"/>
      <c r="AP386" s="753"/>
      <c r="AQ386" s="753"/>
      <c r="AR386" s="752"/>
      <c r="AS386" s="750"/>
      <c r="AT386" s="750"/>
      <c r="AU386" s="750"/>
      <c r="AV386" s="749"/>
      <c r="AW386" s="752"/>
      <c r="AX386" s="750"/>
      <c r="AY386" s="750"/>
      <c r="AZ386" s="750"/>
      <c r="BA386" s="750"/>
      <c r="BB386" s="768"/>
      <c r="BC386" s="750"/>
      <c r="BD386" s="750"/>
      <c r="BE386" s="753"/>
      <c r="BF386" s="753"/>
      <c r="BG386" s="768"/>
      <c r="BH386" s="753">
        <f>BC384+0.01</f>
        <v>7.1878233187425394E-2</v>
      </c>
      <c r="BI386" s="753">
        <f t="shared" ref="BI386:BK386" si="518">BD384+0.01</f>
        <v>8.9128440366972456E-2</v>
      </c>
      <c r="BJ386" s="753">
        <f t="shared" si="518"/>
        <v>8.5213986523401952E-2</v>
      </c>
      <c r="BK386" s="753">
        <f t="shared" si="518"/>
        <v>0.13221637734525687</v>
      </c>
      <c r="BL386" s="768">
        <f>AVERAGE(BH386:BK386)</f>
        <v>9.4609259355764169E-2</v>
      </c>
      <c r="BM386" s="753">
        <f t="shared" ref="BM386:BO386" si="519">BH386-0.01</f>
        <v>6.1878233187425392E-2</v>
      </c>
      <c r="BN386" s="753">
        <f t="shared" si="519"/>
        <v>7.9128440366972461E-2</v>
      </c>
      <c r="BO386" s="753">
        <f t="shared" si="519"/>
        <v>7.5213986523401957E-2</v>
      </c>
      <c r="BP386" s="753">
        <f>BK386-0.01</f>
        <v>0.12221637734525688</v>
      </c>
      <c r="BQ386" s="768">
        <f>AVERAGE(BM386:BP386)</f>
        <v>8.4609259355764174E-2</v>
      </c>
      <c r="BR386" s="753">
        <f>BM386-0.009</f>
        <v>5.2878233187425391E-2</v>
      </c>
      <c r="BS386" s="753">
        <f>BN386-0.009</f>
        <v>7.0128440366972467E-2</v>
      </c>
      <c r="BT386" s="753">
        <f>BO386-0.009</f>
        <v>6.6213986523401963E-2</v>
      </c>
      <c r="BU386" s="753">
        <f>BP386-0.009</f>
        <v>0.11321637734525689</v>
      </c>
      <c r="BV386" s="768">
        <f>AVERAGE(BR386:BU386)</f>
        <v>7.560925935576418E-2</v>
      </c>
      <c r="BW386" s="753">
        <f>BR386-0.005</f>
        <v>4.7878233187425394E-2</v>
      </c>
      <c r="BX386" s="753">
        <f t="shared" ref="BX386:BZ386" si="520">BS386-0.005</f>
        <v>6.5128440366972462E-2</v>
      </c>
      <c r="BY386" s="753">
        <f t="shared" si="520"/>
        <v>6.1213986523401966E-2</v>
      </c>
      <c r="BZ386" s="753">
        <f t="shared" si="520"/>
        <v>0.10821637734525688</v>
      </c>
      <c r="CA386" s="768">
        <f>AVERAGE(BW386:BZ386)</f>
        <v>7.0609259355764176E-2</v>
      </c>
      <c r="CC386" s="29"/>
      <c r="CD386" s="29"/>
      <c r="CE386" s="753"/>
      <c r="CF386" s="753"/>
      <c r="CG386" s="753"/>
      <c r="CH386" s="753"/>
      <c r="CI386" s="753"/>
      <c r="CJ386" s="753"/>
      <c r="CK386" s="753"/>
      <c r="CL386" s="716"/>
      <c r="CM386" s="716"/>
      <c r="CN386" s="716"/>
      <c r="CO386" s="716"/>
      <c r="CP386" s="6"/>
      <c r="CQ386" s="6"/>
      <c r="CR386" s="6"/>
      <c r="CS386" s="6"/>
      <c r="CT386" s="14"/>
      <c r="CU386" s="1961"/>
      <c r="DB386" s="1961"/>
      <c r="DC386" s="1961"/>
      <c r="DD386" s="1961"/>
      <c r="DE386" s="1961"/>
      <c r="DF386" s="1961"/>
      <c r="DG386" s="1961"/>
      <c r="DH386" s="1961"/>
      <c r="DI386" s="716"/>
    </row>
    <row r="387" spans="1:113" ht="12" hidden="1" customHeight="1" outlineLevel="1" x14ac:dyDescent="0.25">
      <c r="A387" s="939" t="s">
        <v>216</v>
      </c>
      <c r="B387" s="902"/>
      <c r="C387" s="751"/>
      <c r="D387" s="749"/>
      <c r="E387" s="750"/>
      <c r="F387" s="750"/>
      <c r="G387" s="750"/>
      <c r="H387" s="750"/>
      <c r="I387" s="751"/>
      <c r="J387" s="750"/>
      <c r="K387" s="750"/>
      <c r="L387" s="750"/>
      <c r="M387" s="750"/>
      <c r="N387" s="752"/>
      <c r="O387" s="750"/>
      <c r="P387" s="753"/>
      <c r="Q387" s="753"/>
      <c r="R387" s="753"/>
      <c r="S387" s="752"/>
      <c r="T387" s="753"/>
      <c r="U387" s="753"/>
      <c r="V387" s="753"/>
      <c r="W387" s="753"/>
      <c r="X387" s="752"/>
      <c r="Y387" s="753"/>
      <c r="Z387" s="753"/>
      <c r="AA387" s="753"/>
      <c r="AB387" s="753"/>
      <c r="AC387" s="752"/>
      <c r="AD387" s="753"/>
      <c r="AE387" s="753"/>
      <c r="AF387" s="753"/>
      <c r="AG387" s="753"/>
      <c r="AH387" s="752"/>
      <c r="AI387" s="753"/>
      <c r="AJ387" s="753"/>
      <c r="AK387" s="753"/>
      <c r="AL387" s="753"/>
      <c r="AM387" s="752"/>
      <c r="AN387" s="753"/>
      <c r="AO387" s="753"/>
      <c r="AP387" s="753"/>
      <c r="AQ387" s="753"/>
      <c r="AR387" s="752"/>
      <c r="AS387" s="753"/>
      <c r="AT387" s="753"/>
      <c r="AU387" s="753"/>
      <c r="AV387" s="753"/>
      <c r="AW387" s="752"/>
      <c r="AX387" s="750"/>
      <c r="AY387" s="750"/>
      <c r="AZ387" s="750"/>
      <c r="BA387" s="750"/>
      <c r="BB387" s="768"/>
      <c r="BC387" s="750"/>
      <c r="BD387" s="750"/>
      <c r="BE387" s="750"/>
      <c r="BF387" s="750"/>
      <c r="BG387" s="768"/>
      <c r="BH387" s="750">
        <f>BH386-0.01</f>
        <v>6.1878233187425392E-2</v>
      </c>
      <c r="BI387" s="750">
        <f>BI386-0.01</f>
        <v>7.9128440366972461E-2</v>
      </c>
      <c r="BJ387" s="750">
        <f>BJ386-0.01</f>
        <v>7.5213986523401957E-2</v>
      </c>
      <c r="BK387" s="750">
        <f>BK386-0.01</f>
        <v>0.12221637734525688</v>
      </c>
      <c r="BL387" s="768"/>
      <c r="BM387" s="750">
        <f>BM386-0.01</f>
        <v>5.187823318742539E-2</v>
      </c>
      <c r="BN387" s="750">
        <f>BN386-0.01</f>
        <v>6.9128440366972466E-2</v>
      </c>
      <c r="BO387" s="750">
        <f>BO386-0.01</f>
        <v>6.5213986523401962E-2</v>
      </c>
      <c r="BP387" s="750">
        <f>BP386-0.01</f>
        <v>0.11221637734525688</v>
      </c>
      <c r="BQ387" s="768"/>
      <c r="BR387" s="750">
        <f>BR386-0.01</f>
        <v>4.2878233187425389E-2</v>
      </c>
      <c r="BS387" s="750">
        <f>BS386-0.01</f>
        <v>6.0128440366972465E-2</v>
      </c>
      <c r="BT387" s="750">
        <f>BT386-0.01</f>
        <v>5.6213986523401961E-2</v>
      </c>
      <c r="BU387" s="750">
        <f>BU386-0.01</f>
        <v>0.10321637734525689</v>
      </c>
      <c r="BV387" s="768"/>
      <c r="BW387" s="750">
        <f>BW386-0.01</f>
        <v>3.7878233187425392E-2</v>
      </c>
      <c r="BX387" s="750">
        <f>BX386-0.01</f>
        <v>5.512844036697246E-2</v>
      </c>
      <c r="BY387" s="750">
        <f>BY386-0.01</f>
        <v>5.1213986523401964E-2</v>
      </c>
      <c r="BZ387" s="750">
        <f>BZ386-0.01</f>
        <v>9.8216377345256886E-2</v>
      </c>
      <c r="CA387" s="768"/>
      <c r="CC387" s="29"/>
      <c r="CD387" s="29"/>
      <c r="CE387" s="753"/>
      <c r="CF387" s="753"/>
      <c r="CG387" s="753"/>
      <c r="CH387" s="753"/>
      <c r="CI387" s="753"/>
      <c r="CJ387" s="753"/>
      <c r="CK387" s="753"/>
      <c r="CL387" s="716"/>
      <c r="CM387" s="716"/>
      <c r="CN387" s="716"/>
      <c r="CO387" s="716"/>
      <c r="CP387" s="6"/>
      <c r="CQ387" s="6"/>
      <c r="CR387" s="6"/>
      <c r="CS387" s="6"/>
      <c r="CT387" s="14"/>
      <c r="CU387" s="1961"/>
      <c r="DB387" s="1961"/>
      <c r="DC387" s="1961"/>
      <c r="DD387" s="1961"/>
      <c r="DE387" s="1961"/>
      <c r="DF387" s="1961"/>
      <c r="DG387" s="1961"/>
      <c r="DH387" s="1961"/>
      <c r="DI387" s="716"/>
    </row>
    <row r="388" spans="1:113" ht="15.75" hidden="1" outlineLevel="1" thickBot="1" x14ac:dyDescent="0.3">
      <c r="A388" s="940"/>
      <c r="B388" s="885"/>
      <c r="C388" s="886"/>
      <c r="D388" s="886"/>
      <c r="E388" s="884"/>
      <c r="F388" s="884"/>
      <c r="G388" s="884"/>
      <c r="H388" s="884"/>
      <c r="I388" s="886"/>
      <c r="J388" s="884"/>
      <c r="K388" s="884"/>
      <c r="L388" s="884"/>
      <c r="M388" s="884"/>
      <c r="N388" s="886"/>
      <c r="O388" s="884"/>
      <c r="P388" s="884"/>
      <c r="Q388" s="884"/>
      <c r="R388" s="884"/>
      <c r="S388" s="886"/>
      <c r="T388" s="884"/>
      <c r="U388" s="884"/>
      <c r="V388" s="884"/>
      <c r="W388" s="884"/>
      <c r="X388" s="886"/>
      <c r="Y388" s="884"/>
      <c r="Z388" s="884"/>
      <c r="AA388" s="884"/>
      <c r="AB388" s="884"/>
      <c r="AC388" s="886"/>
      <c r="AD388" s="884"/>
      <c r="AE388" s="884"/>
      <c r="AF388" s="884"/>
      <c r="AG388" s="884"/>
      <c r="AH388" s="886"/>
      <c r="AI388" s="884"/>
      <c r="AJ388" s="884"/>
      <c r="AK388" s="884"/>
      <c r="AL388" s="884"/>
      <c r="AM388" s="886"/>
      <c r="AN388" s="884"/>
      <c r="AO388" s="884"/>
      <c r="AP388" s="884"/>
      <c r="AQ388" s="884"/>
      <c r="AR388" s="886"/>
      <c r="AS388" s="884"/>
      <c r="AT388" s="884"/>
      <c r="AU388" s="884"/>
      <c r="AV388" s="884"/>
      <c r="AW388" s="941"/>
      <c r="AX388" s="884"/>
      <c r="AY388" s="884"/>
      <c r="AZ388" s="884"/>
      <c r="BA388" s="884"/>
      <c r="BB388" s="942"/>
      <c r="BC388" s="884"/>
      <c r="BD388" s="884"/>
      <c r="BE388" s="884"/>
      <c r="BF388" s="884"/>
      <c r="BG388" s="942"/>
      <c r="BH388" s="884"/>
      <c r="BI388" s="884"/>
      <c r="BJ388" s="884"/>
      <c r="BK388" s="884"/>
      <c r="BL388" s="942"/>
      <c r="BM388" s="884"/>
      <c r="BN388" s="884"/>
      <c r="BO388" s="884"/>
      <c r="BP388" s="884"/>
      <c r="BQ388" s="942"/>
      <c r="BR388" s="884"/>
      <c r="BS388" s="884"/>
      <c r="BT388" s="884"/>
      <c r="BU388" s="884"/>
      <c r="BV388" s="942"/>
      <c r="BW388" s="884"/>
      <c r="BX388" s="884"/>
      <c r="BY388" s="884"/>
      <c r="BZ388" s="884"/>
      <c r="CA388" s="942"/>
      <c r="CC388" s="29"/>
      <c r="CD388" s="29"/>
      <c r="CE388" s="29"/>
      <c r="CF388" s="29"/>
      <c r="CG388" s="29"/>
      <c r="CH388" s="29"/>
      <c r="CI388" s="29"/>
      <c r="CJ388" s="29"/>
      <c r="CK388" s="29"/>
      <c r="CL388" s="9"/>
      <c r="CM388" s="9"/>
      <c r="CN388" s="9"/>
      <c r="CO388" s="9"/>
      <c r="CP388" s="18"/>
      <c r="CQ388" s="18"/>
      <c r="CR388" s="18"/>
      <c r="CS388" s="18"/>
      <c r="CT388" s="188"/>
      <c r="CU388" s="188"/>
      <c r="DB388" s="1961"/>
      <c r="DC388" s="1961"/>
      <c r="DD388" s="1961"/>
      <c r="DE388" s="1961"/>
      <c r="DF388" s="1961"/>
      <c r="DG388" s="1961"/>
      <c r="DH388" s="1961"/>
      <c r="DI388" s="9"/>
    </row>
    <row r="389" spans="1:113" collapsed="1" x14ac:dyDescent="0.25">
      <c r="A389" s="943"/>
      <c r="B389" s="892"/>
      <c r="C389" s="110"/>
      <c r="D389" s="110"/>
      <c r="E389" s="29"/>
      <c r="F389" s="29"/>
      <c r="G389" s="29"/>
      <c r="H389" s="29"/>
      <c r="I389" s="110"/>
      <c r="J389" s="29"/>
      <c r="K389" s="29"/>
      <c r="L389" s="29"/>
      <c r="M389" s="29"/>
      <c r="N389" s="110"/>
      <c r="O389" s="29"/>
      <c r="P389" s="29"/>
      <c r="Q389" s="29"/>
      <c r="R389" s="29"/>
      <c r="S389" s="110"/>
      <c r="T389" s="29"/>
      <c r="U389" s="29"/>
      <c r="V389" s="29"/>
      <c r="W389" s="29"/>
      <c r="X389" s="110"/>
      <c r="Y389" s="29"/>
      <c r="Z389" s="29"/>
      <c r="AA389" s="29"/>
      <c r="AB389" s="29"/>
      <c r="AC389" s="110"/>
      <c r="AD389" s="29"/>
      <c r="AE389" s="29"/>
      <c r="AF389" s="29"/>
      <c r="AG389" s="29"/>
      <c r="AH389" s="110"/>
      <c r="AI389" s="29"/>
      <c r="AJ389" s="29"/>
      <c r="AK389" s="29"/>
      <c r="AL389" s="29"/>
      <c r="AM389" s="110"/>
      <c r="AN389" s="29"/>
      <c r="AO389" s="29"/>
      <c r="AP389" s="29"/>
      <c r="AQ389" s="29"/>
      <c r="AR389" s="110"/>
      <c r="AS389" s="29"/>
      <c r="AT389" s="29"/>
      <c r="AU389" s="29"/>
      <c r="AV389" s="29"/>
      <c r="AW389" s="634"/>
      <c r="AX389" s="29"/>
      <c r="AY389" s="29"/>
      <c r="AZ389" s="29"/>
      <c r="BA389" s="29"/>
      <c r="BB389" s="635"/>
      <c r="BC389" s="29"/>
      <c r="BD389" s="29"/>
      <c r="BE389" s="29"/>
      <c r="BF389" s="29"/>
      <c r="BG389" s="635"/>
      <c r="BH389" s="29"/>
      <c r="BI389" s="29"/>
      <c r="BJ389" s="29"/>
      <c r="BK389" s="29"/>
      <c r="BL389" s="635"/>
      <c r="BM389" s="29"/>
      <c r="BN389" s="29"/>
      <c r="BO389" s="29"/>
      <c r="BP389" s="29"/>
      <c r="BQ389" s="635"/>
      <c r="BR389" s="29"/>
      <c r="BS389" s="29"/>
      <c r="BT389" s="29"/>
      <c r="BU389" s="29"/>
      <c r="BV389" s="635"/>
      <c r="BW389" s="29"/>
      <c r="BX389" s="29"/>
      <c r="BY389" s="29"/>
      <c r="BZ389" s="29"/>
      <c r="CA389" s="635"/>
      <c r="CC389" s="29"/>
      <c r="CD389" s="29"/>
      <c r="CE389" s="29"/>
      <c r="CF389" s="29"/>
      <c r="CG389" s="29"/>
      <c r="CH389" s="29"/>
      <c r="CI389" s="29"/>
      <c r="CJ389" s="29"/>
      <c r="CK389" s="29"/>
      <c r="CL389" s="29"/>
      <c r="CM389" s="29"/>
      <c r="CN389" s="29"/>
      <c r="CO389" s="29"/>
      <c r="CP389" s="14"/>
      <c r="CQ389" s="14"/>
      <c r="CR389" s="14"/>
      <c r="CS389" s="14"/>
      <c r="CT389" s="14"/>
      <c r="CU389" s="1961"/>
      <c r="DB389" s="1961"/>
      <c r="DC389" s="1961"/>
      <c r="DD389" s="1961"/>
      <c r="DE389" s="1961"/>
      <c r="DF389" s="1961"/>
      <c r="DG389" s="1961"/>
      <c r="DH389" s="1961"/>
      <c r="DI389" s="9"/>
    </row>
    <row r="390" spans="1:113" x14ac:dyDescent="0.25">
      <c r="A390" s="943" t="s">
        <v>253</v>
      </c>
      <c r="B390" s="892"/>
      <c r="C390" s="110"/>
      <c r="D390" s="110"/>
      <c r="E390" s="29"/>
      <c r="F390" s="29"/>
      <c r="G390" s="29"/>
      <c r="H390" s="29"/>
      <c r="I390" s="110"/>
      <c r="J390" s="29"/>
      <c r="K390" s="29"/>
      <c r="L390" s="29"/>
      <c r="M390" s="29"/>
      <c r="N390" s="110"/>
      <c r="O390" s="29"/>
      <c r="P390" s="29"/>
      <c r="Q390" s="29"/>
      <c r="R390" s="29"/>
      <c r="S390" s="110"/>
      <c r="T390" s="29"/>
      <c r="U390" s="29"/>
      <c r="V390" s="29"/>
      <c r="W390" s="29"/>
      <c r="X390" s="110"/>
      <c r="Y390" s="29"/>
      <c r="Z390" s="29"/>
      <c r="AA390" s="29"/>
      <c r="AB390" s="29"/>
      <c r="AC390" s="110"/>
      <c r="AD390" s="29"/>
      <c r="AE390" s="29"/>
      <c r="AF390" s="29"/>
      <c r="AG390" s="29"/>
      <c r="AH390" s="110"/>
      <c r="AI390" s="29"/>
      <c r="AJ390" s="29"/>
      <c r="AK390" s="29"/>
      <c r="AL390" s="29"/>
      <c r="AM390" s="110"/>
      <c r="AN390" s="29"/>
      <c r="AO390" s="29"/>
      <c r="AP390" s="29"/>
      <c r="AQ390" s="29"/>
      <c r="AR390" s="110"/>
      <c r="AS390" s="29"/>
      <c r="AT390" s="29"/>
      <c r="AU390" s="29"/>
      <c r="AV390" s="29"/>
      <c r="AW390" s="634"/>
      <c r="AX390" s="29"/>
      <c r="AY390" s="29"/>
      <c r="AZ390" s="29"/>
      <c r="BA390" s="29"/>
      <c r="BB390" s="635"/>
      <c r="BC390" s="29"/>
      <c r="BD390" s="29"/>
      <c r="BE390" s="29"/>
      <c r="BF390" s="29"/>
      <c r="BG390" s="635"/>
      <c r="BH390" s="29"/>
      <c r="BI390" s="29"/>
      <c r="BJ390" s="29"/>
      <c r="BK390" s="29"/>
      <c r="BL390" s="635"/>
      <c r="BM390" s="29"/>
      <c r="BN390" s="29"/>
      <c r="BO390" s="29"/>
      <c r="BP390" s="29"/>
      <c r="BQ390" s="635"/>
      <c r="BR390" s="29"/>
      <c r="BS390" s="29"/>
      <c r="BT390" s="29"/>
      <c r="BU390" s="29"/>
      <c r="BV390" s="635"/>
      <c r="BW390" s="29"/>
      <c r="BX390" s="29"/>
      <c r="BY390" s="29"/>
      <c r="BZ390" s="29"/>
      <c r="CA390" s="635"/>
      <c r="CC390" s="29"/>
      <c r="CD390" s="29"/>
      <c r="CE390" s="29"/>
      <c r="CF390" s="29"/>
      <c r="CG390" s="29"/>
      <c r="CH390" s="29"/>
      <c r="CI390" s="29"/>
      <c r="CJ390" s="29"/>
      <c r="CK390" s="29"/>
      <c r="CL390" s="29"/>
      <c r="CM390" s="29"/>
      <c r="CN390" s="29"/>
      <c r="CO390" s="29"/>
      <c r="CP390" s="14"/>
      <c r="CQ390" s="14"/>
      <c r="CR390" s="14"/>
      <c r="CS390" s="14"/>
      <c r="CT390" s="14"/>
      <c r="CU390" s="1961"/>
      <c r="DB390" s="1961"/>
      <c r="DC390" s="1961"/>
      <c r="DD390" s="1961"/>
      <c r="DE390" s="1961"/>
      <c r="DF390" s="1961"/>
      <c r="DG390" s="1961"/>
      <c r="DH390" s="1961"/>
      <c r="DI390" s="9"/>
    </row>
    <row r="391" spans="1:113" ht="12" customHeight="1" x14ac:dyDescent="0.25">
      <c r="A391" s="46" t="s">
        <v>254</v>
      </c>
      <c r="B391" s="892"/>
      <c r="C391" s="110"/>
      <c r="D391" s="110"/>
      <c r="E391" s="29"/>
      <c r="F391" s="29"/>
      <c r="G391" s="29"/>
      <c r="H391" s="29"/>
      <c r="I391" s="110"/>
      <c r="J391" s="29"/>
      <c r="K391" s="29"/>
      <c r="L391" s="29"/>
      <c r="M391" s="29"/>
      <c r="N391" s="110"/>
      <c r="O391" s="29"/>
      <c r="P391" s="716"/>
      <c r="Q391" s="716"/>
      <c r="R391" s="716"/>
      <c r="S391" s="110"/>
      <c r="T391" s="716"/>
      <c r="U391" s="716"/>
      <c r="V391" s="716"/>
      <c r="W391" s="716"/>
      <c r="X391" s="110"/>
      <c r="Y391" s="716"/>
      <c r="Z391" s="716"/>
      <c r="AA391" s="716"/>
      <c r="AB391" s="716"/>
      <c r="AC391" s="731"/>
      <c r="AD391" s="716"/>
      <c r="AE391" s="716"/>
      <c r="AF391" s="716"/>
      <c r="AG391" s="716"/>
      <c r="AH391" s="731"/>
      <c r="AI391" s="716"/>
      <c r="AJ391" s="716"/>
      <c r="AK391" s="716"/>
      <c r="AL391" s="716"/>
      <c r="AM391" s="731"/>
      <c r="AN391" s="716"/>
      <c r="AO391" s="716"/>
      <c r="AP391" s="716"/>
      <c r="AQ391" s="716"/>
      <c r="AR391" s="731"/>
      <c r="AS391" s="716"/>
      <c r="AT391" s="716"/>
      <c r="AU391" s="716"/>
      <c r="AV391" s="716"/>
      <c r="AW391" s="731"/>
      <c r="AX391" s="716"/>
      <c r="AY391" s="716"/>
      <c r="AZ391" s="716"/>
      <c r="BA391" s="716"/>
      <c r="BB391" s="713"/>
      <c r="BC391" s="716"/>
      <c r="BD391" s="716"/>
      <c r="BE391" s="716"/>
      <c r="BF391" s="716"/>
      <c r="BG391" s="713"/>
      <c r="BH391" s="716">
        <v>0.5</v>
      </c>
      <c r="BI391" s="716">
        <v>0.5</v>
      </c>
      <c r="BJ391" s="716">
        <v>0.5</v>
      </c>
      <c r="BK391" s="716">
        <v>0.5</v>
      </c>
      <c r="BL391" s="713">
        <v>0.5</v>
      </c>
      <c r="BM391" s="716">
        <v>0.5</v>
      </c>
      <c r="BN391" s="716">
        <v>0.5</v>
      </c>
      <c r="BO391" s="716">
        <v>0.5</v>
      </c>
      <c r="BP391" s="716">
        <v>0.5</v>
      </c>
      <c r="BQ391" s="713">
        <v>0.5</v>
      </c>
      <c r="BR391" s="716">
        <v>0.5</v>
      </c>
      <c r="BS391" s="716">
        <v>0.5</v>
      </c>
      <c r="BT391" s="716">
        <v>0.5</v>
      </c>
      <c r="BU391" s="716">
        <v>0.5</v>
      </c>
      <c r="BV391" s="713">
        <v>0.5</v>
      </c>
      <c r="BW391" s="716">
        <v>0.5</v>
      </c>
      <c r="BX391" s="716">
        <v>0.5</v>
      </c>
      <c r="BY391" s="716">
        <v>0.5</v>
      </c>
      <c r="BZ391" s="716">
        <v>0.5</v>
      </c>
      <c r="CA391" s="713">
        <v>0.5</v>
      </c>
      <c r="CC391" s="29"/>
      <c r="CD391" s="29"/>
      <c r="CE391" s="716"/>
      <c r="CF391" s="716"/>
      <c r="CG391" s="716"/>
      <c r="CH391" s="716"/>
      <c r="CI391" s="716"/>
      <c r="CJ391" s="716"/>
      <c r="CK391" s="716"/>
      <c r="CL391" s="716"/>
      <c r="CM391" s="716"/>
      <c r="CN391" s="716"/>
      <c r="CO391" s="716"/>
      <c r="CP391" s="14"/>
      <c r="CQ391" s="14"/>
      <c r="CR391" s="14"/>
      <c r="CS391" s="14"/>
      <c r="CT391" s="14"/>
      <c r="CU391" s="1961"/>
      <c r="DB391" s="1961"/>
      <c r="DC391" s="1961"/>
      <c r="DD391" s="1961"/>
      <c r="DE391" s="1961"/>
      <c r="DF391" s="1961"/>
      <c r="DG391" s="1961"/>
      <c r="DH391" s="1961"/>
      <c r="DI391" s="716"/>
    </row>
    <row r="392" spans="1:113" ht="12" customHeight="1" x14ac:dyDescent="0.25">
      <c r="A392" s="46" t="s">
        <v>255</v>
      </c>
      <c r="B392" s="892"/>
      <c r="C392" s="110"/>
      <c r="D392" s="110"/>
      <c r="E392" s="29"/>
      <c r="F392" s="29"/>
      <c r="G392" s="29"/>
      <c r="H392" s="29"/>
      <c r="I392" s="110"/>
      <c r="J392" s="29"/>
      <c r="K392" s="29"/>
      <c r="L392" s="29"/>
      <c r="M392" s="29"/>
      <c r="N392" s="110"/>
      <c r="O392" s="29"/>
      <c r="P392" s="716"/>
      <c r="Q392" s="716"/>
      <c r="R392" s="716"/>
      <c r="S392" s="110"/>
      <c r="T392" s="716"/>
      <c r="U392" s="716"/>
      <c r="V392" s="716"/>
      <c r="W392" s="716"/>
      <c r="X392" s="110"/>
      <c r="Y392" s="716"/>
      <c r="Z392" s="716"/>
      <c r="AA392" s="716"/>
      <c r="AB392" s="716"/>
      <c r="AC392" s="731"/>
      <c r="AD392" s="716"/>
      <c r="AE392" s="716"/>
      <c r="AF392" s="716"/>
      <c r="AG392" s="716"/>
      <c r="AH392" s="731"/>
      <c r="AI392" s="716"/>
      <c r="AJ392" s="716"/>
      <c r="AK392" s="716"/>
      <c r="AL392" s="716"/>
      <c r="AM392" s="731"/>
      <c r="AN392" s="716"/>
      <c r="AO392" s="716"/>
      <c r="AP392" s="716"/>
      <c r="AQ392" s="716"/>
      <c r="AR392" s="731"/>
      <c r="AS392" s="716"/>
      <c r="AT392" s="716"/>
      <c r="AU392" s="716"/>
      <c r="AV392" s="716"/>
      <c r="AW392" s="731"/>
      <c r="AX392" s="716"/>
      <c r="AY392" s="716"/>
      <c r="AZ392" s="716"/>
      <c r="BA392" s="716"/>
      <c r="BB392" s="713"/>
      <c r="BC392" s="716"/>
      <c r="BD392" s="716"/>
      <c r="BE392" s="716"/>
      <c r="BF392" s="716"/>
      <c r="BG392" s="713"/>
      <c r="BH392" s="716">
        <v>0.5</v>
      </c>
      <c r="BI392" s="716">
        <v>0.5</v>
      </c>
      <c r="BJ392" s="716">
        <v>0.5</v>
      </c>
      <c r="BK392" s="716">
        <v>0.5</v>
      </c>
      <c r="BL392" s="713">
        <v>0.5</v>
      </c>
      <c r="BM392" s="716">
        <v>0.5</v>
      </c>
      <c r="BN392" s="716">
        <v>0.5</v>
      </c>
      <c r="BO392" s="716">
        <v>0.5</v>
      </c>
      <c r="BP392" s="716">
        <v>0.5</v>
      </c>
      <c r="BQ392" s="713">
        <v>0.5</v>
      </c>
      <c r="BR392" s="716">
        <v>0.5</v>
      </c>
      <c r="BS392" s="716">
        <v>0.5</v>
      </c>
      <c r="BT392" s="716">
        <v>0.5</v>
      </c>
      <c r="BU392" s="716">
        <v>0.5</v>
      </c>
      <c r="BV392" s="713">
        <v>0.5</v>
      </c>
      <c r="BW392" s="716">
        <v>0.5</v>
      </c>
      <c r="BX392" s="716">
        <v>0.5</v>
      </c>
      <c r="BY392" s="716">
        <v>0.5</v>
      </c>
      <c r="BZ392" s="716">
        <v>0.5</v>
      </c>
      <c r="CA392" s="713">
        <v>0.5</v>
      </c>
      <c r="CC392" s="29"/>
      <c r="CD392" s="29"/>
      <c r="CE392" s="716"/>
      <c r="CF392" s="716"/>
      <c r="CG392" s="716"/>
      <c r="CH392" s="716"/>
      <c r="CI392" s="716"/>
      <c r="CJ392" s="716"/>
      <c r="CK392" s="716"/>
      <c r="CL392" s="716"/>
      <c r="CM392" s="716"/>
      <c r="CN392" s="716"/>
      <c r="CO392" s="716"/>
      <c r="CP392" s="14"/>
      <c r="CQ392" s="14"/>
      <c r="CR392" s="14"/>
      <c r="CS392" s="14"/>
      <c r="CT392" s="14"/>
      <c r="CU392" s="1961"/>
      <c r="DB392" s="1961"/>
      <c r="DC392" s="1961"/>
      <c r="DD392" s="1961"/>
      <c r="DE392" s="1961"/>
      <c r="DF392" s="1961"/>
      <c r="DG392" s="1961"/>
      <c r="DH392" s="1961"/>
      <c r="DI392" s="716"/>
    </row>
    <row r="393" spans="1:113" ht="12" customHeight="1" x14ac:dyDescent="0.25">
      <c r="A393" s="46" t="s">
        <v>256</v>
      </c>
      <c r="B393" s="892"/>
      <c r="C393" s="110"/>
      <c r="D393" s="110"/>
      <c r="E393" s="29"/>
      <c r="F393" s="29"/>
      <c r="G393" s="29"/>
      <c r="H393" s="29"/>
      <c r="I393" s="110"/>
      <c r="J393" s="29"/>
      <c r="K393" s="29"/>
      <c r="L393" s="29"/>
      <c r="M393" s="29"/>
      <c r="N393" s="110"/>
      <c r="O393" s="29"/>
      <c r="P393" s="944"/>
      <c r="Q393" s="944"/>
      <c r="R393" s="944"/>
      <c r="S393" s="110"/>
      <c r="T393" s="944"/>
      <c r="U393" s="944"/>
      <c r="V393" s="944"/>
      <c r="W393" s="944"/>
      <c r="X393" s="110"/>
      <c r="Y393" s="944"/>
      <c r="Z393" s="944"/>
      <c r="AA393" s="944"/>
      <c r="AB393" s="944"/>
      <c r="AC393" s="945"/>
      <c r="AD393" s="944"/>
      <c r="AE393" s="944"/>
      <c r="AF393" s="944"/>
      <c r="AG393" s="944"/>
      <c r="AH393" s="945"/>
      <c r="AI393" s="944"/>
      <c r="AJ393" s="944"/>
      <c r="AK393" s="944"/>
      <c r="AL393" s="944"/>
      <c r="AM393" s="945"/>
      <c r="AN393" s="944"/>
      <c r="AO393" s="944"/>
      <c r="AP393" s="944"/>
      <c r="AQ393" s="944"/>
      <c r="AR393" s="945"/>
      <c r="AS393" s="944"/>
      <c r="AT393" s="944"/>
      <c r="AU393" s="944"/>
      <c r="AV393" s="944"/>
      <c r="AW393" s="945"/>
      <c r="AX393" s="944"/>
      <c r="AY393" s="944"/>
      <c r="AZ393" s="944"/>
      <c r="BA393" s="944"/>
      <c r="BB393" s="946"/>
      <c r="BC393" s="944"/>
      <c r="BD393" s="944"/>
      <c r="BE393" s="944"/>
      <c r="BF393" s="944"/>
      <c r="BG393" s="946"/>
      <c r="BH393" s="944">
        <f t="shared" ref="BH393:CA393" si="521">1-SUM(BH391,BH392)</f>
        <v>0</v>
      </c>
      <c r="BI393" s="944">
        <f t="shared" si="521"/>
        <v>0</v>
      </c>
      <c r="BJ393" s="944">
        <f t="shared" si="521"/>
        <v>0</v>
      </c>
      <c r="BK393" s="944">
        <f t="shared" si="521"/>
        <v>0</v>
      </c>
      <c r="BL393" s="946">
        <f t="shared" si="521"/>
        <v>0</v>
      </c>
      <c r="BM393" s="944">
        <f t="shared" si="521"/>
        <v>0</v>
      </c>
      <c r="BN393" s="944">
        <f t="shared" si="521"/>
        <v>0</v>
      </c>
      <c r="BO393" s="944">
        <f t="shared" si="521"/>
        <v>0</v>
      </c>
      <c r="BP393" s="944">
        <f t="shared" si="521"/>
        <v>0</v>
      </c>
      <c r="BQ393" s="946">
        <f t="shared" si="521"/>
        <v>0</v>
      </c>
      <c r="BR393" s="944">
        <f t="shared" si="521"/>
        <v>0</v>
      </c>
      <c r="BS393" s="944">
        <f t="shared" si="521"/>
        <v>0</v>
      </c>
      <c r="BT393" s="944">
        <f t="shared" si="521"/>
        <v>0</v>
      </c>
      <c r="BU393" s="944">
        <f t="shared" si="521"/>
        <v>0</v>
      </c>
      <c r="BV393" s="946">
        <f t="shared" si="521"/>
        <v>0</v>
      </c>
      <c r="BW393" s="944">
        <f t="shared" si="521"/>
        <v>0</v>
      </c>
      <c r="BX393" s="944">
        <f t="shared" si="521"/>
        <v>0</v>
      </c>
      <c r="BY393" s="944">
        <f t="shared" si="521"/>
        <v>0</v>
      </c>
      <c r="BZ393" s="944">
        <f t="shared" si="521"/>
        <v>0</v>
      </c>
      <c r="CA393" s="946">
        <f t="shared" si="521"/>
        <v>0</v>
      </c>
      <c r="CC393" s="29"/>
      <c r="CD393" s="29"/>
      <c r="CE393" s="944"/>
      <c r="CF393" s="944"/>
      <c r="CG393" s="944"/>
      <c r="CH393" s="944"/>
      <c r="CI393" s="944"/>
      <c r="CJ393" s="944"/>
      <c r="CK393" s="944"/>
      <c r="CL393" s="944"/>
      <c r="CM393" s="944"/>
      <c r="CN393" s="944"/>
      <c r="CO393" s="944"/>
      <c r="CP393" s="14"/>
      <c r="CQ393" s="14"/>
      <c r="CR393" s="14"/>
      <c r="CS393" s="14"/>
      <c r="CT393" s="14"/>
      <c r="CU393" s="1961"/>
      <c r="DB393" s="1961"/>
      <c r="DC393" s="1961"/>
      <c r="DD393" s="1961"/>
      <c r="DE393" s="1961"/>
      <c r="DF393" s="1961"/>
      <c r="DG393" s="1961"/>
      <c r="DH393" s="1961"/>
      <c r="DI393" s="944"/>
    </row>
    <row r="394" spans="1:113" ht="5.0999999999999996" customHeight="1" x14ac:dyDescent="0.25">
      <c r="A394" s="50"/>
      <c r="B394" s="892"/>
      <c r="C394" s="110"/>
      <c r="D394" s="110"/>
      <c r="E394" s="29"/>
      <c r="F394" s="29"/>
      <c r="G394" s="29"/>
      <c r="H394" s="29"/>
      <c r="I394" s="110"/>
      <c r="J394" s="29"/>
      <c r="K394" s="29"/>
      <c r="L394" s="29"/>
      <c r="M394" s="29"/>
      <c r="N394" s="110"/>
      <c r="O394" s="29"/>
      <c r="P394" s="29"/>
      <c r="Q394" s="29"/>
      <c r="R394" s="29"/>
      <c r="S394" s="110"/>
      <c r="T394" s="29"/>
      <c r="U394" s="29"/>
      <c r="V394" s="29"/>
      <c r="W394" s="29"/>
      <c r="X394" s="110"/>
      <c r="Y394" s="29"/>
      <c r="Z394" s="29"/>
      <c r="AA394" s="29"/>
      <c r="AB394" s="29"/>
      <c r="AC394" s="110"/>
      <c r="AD394" s="29"/>
      <c r="AE394" s="29"/>
      <c r="AF394" s="29"/>
      <c r="AG394" s="29"/>
      <c r="AH394" s="110"/>
      <c r="AI394" s="29"/>
      <c r="AJ394" s="29"/>
      <c r="AK394" s="29"/>
      <c r="AL394" s="29"/>
      <c r="AM394" s="110"/>
      <c r="AN394" s="29"/>
      <c r="AO394" s="29"/>
      <c r="AP394" s="29"/>
      <c r="AQ394" s="29"/>
      <c r="AR394" s="110"/>
      <c r="AS394" s="29"/>
      <c r="AT394" s="29"/>
      <c r="AU394" s="29"/>
      <c r="AV394" s="29"/>
      <c r="AW394" s="634"/>
      <c r="AX394" s="29"/>
      <c r="AY394" s="29"/>
      <c r="AZ394" s="29"/>
      <c r="BA394" s="29"/>
      <c r="BB394" s="635"/>
      <c r="BC394" s="29"/>
      <c r="BD394" s="29"/>
      <c r="BE394" s="29"/>
      <c r="BF394" s="29"/>
      <c r="BG394" s="635"/>
      <c r="BH394" s="29"/>
      <c r="BI394" s="29"/>
      <c r="BJ394" s="29"/>
      <c r="BK394" s="29"/>
      <c r="BL394" s="635"/>
      <c r="BM394" s="29"/>
      <c r="BN394" s="29"/>
      <c r="BO394" s="29"/>
      <c r="BP394" s="29"/>
      <c r="BQ394" s="635"/>
      <c r="BR394" s="29"/>
      <c r="BS394" s="29"/>
      <c r="BT394" s="29"/>
      <c r="BU394" s="29"/>
      <c r="BV394" s="635"/>
      <c r="BW394" s="29"/>
      <c r="BX394" s="29"/>
      <c r="BY394" s="29"/>
      <c r="BZ394" s="29"/>
      <c r="CA394" s="635"/>
      <c r="CC394" s="29"/>
      <c r="CD394" s="29"/>
      <c r="CE394" s="29"/>
      <c r="CF394" s="29"/>
      <c r="CG394" s="29"/>
      <c r="CH394" s="29"/>
      <c r="CI394" s="29"/>
      <c r="CJ394" s="29"/>
      <c r="CK394" s="29"/>
      <c r="CL394" s="29"/>
      <c r="CM394" s="29"/>
      <c r="CN394" s="29"/>
      <c r="CO394" s="29"/>
      <c r="CP394" s="14"/>
      <c r="CQ394" s="14"/>
      <c r="CR394" s="14"/>
      <c r="CS394" s="14"/>
      <c r="CT394" s="14"/>
      <c r="CU394" s="1961"/>
      <c r="DB394" s="1961"/>
      <c r="DC394" s="1961"/>
      <c r="DD394" s="1961"/>
      <c r="DE394" s="1961"/>
      <c r="DF394" s="1961"/>
      <c r="DG394" s="1961"/>
      <c r="DH394" s="1961"/>
      <c r="DI394" s="9"/>
    </row>
    <row r="395" spans="1:113" ht="12" customHeight="1" x14ac:dyDescent="0.25">
      <c r="A395" s="50" t="s">
        <v>257</v>
      </c>
      <c r="B395" s="892"/>
      <c r="C395" s="110"/>
      <c r="D395" s="110"/>
      <c r="E395" s="29"/>
      <c r="F395" s="29"/>
      <c r="G395" s="29"/>
      <c r="H395" s="29"/>
      <c r="I395" s="110"/>
      <c r="J395" s="29"/>
      <c r="K395" s="29"/>
      <c r="L395" s="29"/>
      <c r="M395" s="29"/>
      <c r="N395" s="110"/>
      <c r="O395" s="29"/>
      <c r="P395" s="29"/>
      <c r="Q395" s="29"/>
      <c r="R395" s="29"/>
      <c r="S395" s="110"/>
      <c r="T395" s="29"/>
      <c r="U395" s="29"/>
      <c r="V395" s="29"/>
      <c r="W395" s="29"/>
      <c r="X395" s="110"/>
      <c r="Y395" s="29"/>
      <c r="Z395" s="29"/>
      <c r="AA395" s="29"/>
      <c r="AB395" s="29"/>
      <c r="AC395" s="110"/>
      <c r="AD395" s="29"/>
      <c r="AE395" s="29"/>
      <c r="AF395" s="29"/>
      <c r="AG395" s="29"/>
      <c r="AH395" s="110"/>
      <c r="AI395" s="29"/>
      <c r="AJ395" s="29"/>
      <c r="AK395" s="29"/>
      <c r="AL395" s="29"/>
      <c r="AM395" s="110"/>
      <c r="AN395" s="29"/>
      <c r="AO395" s="29"/>
      <c r="AP395" s="29"/>
      <c r="AQ395" s="29"/>
      <c r="AR395" s="110"/>
      <c r="AS395" s="29"/>
      <c r="AT395" s="29"/>
      <c r="AU395" s="29"/>
      <c r="AV395" s="29"/>
      <c r="AW395" s="634"/>
      <c r="AX395" s="29"/>
      <c r="AY395" s="29"/>
      <c r="AZ395" s="29"/>
      <c r="BA395" s="29"/>
      <c r="BB395" s="635"/>
      <c r="BC395" s="29"/>
      <c r="BD395" s="29"/>
      <c r="BE395" s="29"/>
      <c r="BF395" s="29"/>
      <c r="BG395" s="635"/>
      <c r="BH395" s="29"/>
      <c r="BI395" s="29"/>
      <c r="BJ395" s="29"/>
      <c r="BK395" s="29"/>
      <c r="BL395" s="635"/>
      <c r="BM395" s="29"/>
      <c r="BN395" s="29"/>
      <c r="BO395" s="29"/>
      <c r="BP395" s="29"/>
      <c r="BQ395" s="635"/>
      <c r="BR395" s="29"/>
      <c r="BS395" s="29"/>
      <c r="BT395" s="29"/>
      <c r="BU395" s="29"/>
      <c r="BV395" s="635"/>
      <c r="BW395" s="29"/>
      <c r="BX395" s="29"/>
      <c r="BY395" s="29"/>
      <c r="BZ395" s="29"/>
      <c r="CA395" s="635"/>
      <c r="CC395" s="29"/>
      <c r="CD395" s="29"/>
      <c r="CE395" s="29"/>
      <c r="CF395" s="29"/>
      <c r="CG395" s="29"/>
      <c r="CH395" s="29"/>
      <c r="CI395" s="29"/>
      <c r="CJ395" s="29"/>
      <c r="CK395" s="29"/>
      <c r="CL395" s="29"/>
      <c r="CM395" s="29"/>
      <c r="CN395" s="29"/>
      <c r="CO395" s="29"/>
      <c r="CP395" s="14"/>
      <c r="CQ395" s="14"/>
      <c r="CR395" s="14"/>
      <c r="CS395" s="14"/>
      <c r="CT395" s="14"/>
      <c r="CU395" s="1961"/>
      <c r="DB395" s="1961"/>
      <c r="DC395" s="1961"/>
      <c r="DD395" s="1961"/>
      <c r="DE395" s="1961"/>
      <c r="DF395" s="1961"/>
      <c r="DG395" s="1961"/>
      <c r="DH395" s="1961"/>
      <c r="DI395" s="9"/>
    </row>
    <row r="396" spans="1:113" ht="12" customHeight="1" x14ac:dyDescent="0.25">
      <c r="A396" s="50" t="s">
        <v>258</v>
      </c>
      <c r="B396" s="892"/>
      <c r="C396" s="110"/>
      <c r="D396" s="740">
        <f>C401</f>
        <v>0</v>
      </c>
      <c r="E396" s="482"/>
      <c r="F396" s="447"/>
      <c r="G396" s="482"/>
      <c r="H396" s="482"/>
      <c r="I396" s="740">
        <f>D401</f>
        <v>70.47</v>
      </c>
      <c r="J396" s="482">
        <f>I401</f>
        <v>85.436000000000007</v>
      </c>
      <c r="K396" s="482">
        <f>J401</f>
        <v>87.224999999999994</v>
      </c>
      <c r="L396" s="482">
        <f>K401</f>
        <v>88.19</v>
      </c>
      <c r="M396" s="482">
        <f>L401</f>
        <v>84.734999999999999</v>
      </c>
      <c r="N396" s="740">
        <f>I401</f>
        <v>85.436000000000007</v>
      </c>
      <c r="O396" s="482">
        <f>N401</f>
        <v>82.587000000000003</v>
      </c>
      <c r="P396" s="482">
        <f>O401</f>
        <v>87.070999999999998</v>
      </c>
      <c r="Q396" s="482">
        <f>P401</f>
        <v>84.278000000000006</v>
      </c>
      <c r="R396" s="482">
        <f>Q401</f>
        <v>87.228999999999999</v>
      </c>
      <c r="S396" s="740">
        <f>N401</f>
        <v>82.587000000000003</v>
      </c>
      <c r="T396" s="482">
        <f>S401</f>
        <v>89.165000000000006</v>
      </c>
      <c r="U396" s="482">
        <f>T401</f>
        <v>88.272000000000006</v>
      </c>
      <c r="V396" s="482">
        <f>U401</f>
        <v>86.253</v>
      </c>
      <c r="W396" s="482">
        <f>V401</f>
        <v>83.570999999999998</v>
      </c>
      <c r="X396" s="740">
        <f>S401</f>
        <v>89.165000000000006</v>
      </c>
      <c r="Y396" s="482">
        <f>X401</f>
        <v>93.409000000000006</v>
      </c>
      <c r="Z396" s="482">
        <f>Y401</f>
        <v>100.774</v>
      </c>
      <c r="AA396" s="482">
        <f>Z401</f>
        <v>107.645</v>
      </c>
      <c r="AB396" s="482">
        <f>AA401</f>
        <v>110.328</v>
      </c>
      <c r="AC396" s="740">
        <f>X401</f>
        <v>93.409000000000006</v>
      </c>
      <c r="AD396" s="482">
        <f>AC401</f>
        <v>119.411</v>
      </c>
      <c r="AE396" s="482">
        <f>AD401</f>
        <v>124.78100000000001</v>
      </c>
      <c r="AF396" s="482">
        <f>AE401</f>
        <v>133.73099999999999</v>
      </c>
      <c r="AG396" s="482">
        <f>AF401</f>
        <v>144.79900000000001</v>
      </c>
      <c r="AH396" s="740">
        <f>AC401</f>
        <v>119.411</v>
      </c>
      <c r="AI396" s="482">
        <f>AH401</f>
        <v>154.084</v>
      </c>
      <c r="AJ396" s="482">
        <f>AI401</f>
        <v>167.12899999999999</v>
      </c>
      <c r="AK396" s="482">
        <f>AJ401</f>
        <v>185.928</v>
      </c>
      <c r="AL396" s="482">
        <f>AK401</f>
        <v>219.11600000000001</v>
      </c>
      <c r="AM396" s="740">
        <f>AH401</f>
        <v>154.084</v>
      </c>
      <c r="AN396" s="482">
        <f>AM401</f>
        <v>233.37299999999996</v>
      </c>
      <c r="AO396" s="482">
        <f>AN401</f>
        <v>251.73099999999999</v>
      </c>
      <c r="AP396" s="482">
        <f>AO401</f>
        <v>272.875</v>
      </c>
      <c r="AQ396" s="482">
        <f>AP401</f>
        <v>281.34699999999998</v>
      </c>
      <c r="AR396" s="740">
        <f>AM401</f>
        <v>233.37299999999996</v>
      </c>
      <c r="AS396" s="482">
        <f>AR401</f>
        <v>302.27300000000002</v>
      </c>
      <c r="AT396" s="482">
        <f>AS401</f>
        <v>303.82900000000001</v>
      </c>
      <c r="AU396" s="482">
        <f>AT401</f>
        <v>386.09300000000002</v>
      </c>
      <c r="AV396" s="482">
        <f>AU401</f>
        <v>391.625</v>
      </c>
      <c r="AW396" s="740">
        <f>AR401</f>
        <v>302.27300000000002</v>
      </c>
      <c r="AX396" s="482">
        <f>AW401</f>
        <v>418.16800000000006</v>
      </c>
      <c r="AY396" s="482">
        <f>AX401</f>
        <v>341.98899999999998</v>
      </c>
      <c r="AZ396" s="482">
        <f>AY401</f>
        <v>334.63099999999997</v>
      </c>
      <c r="BA396" s="482">
        <f>AZ401</f>
        <v>355.86700000000002</v>
      </c>
      <c r="BB396" s="446">
        <f>AW401</f>
        <v>418.16800000000006</v>
      </c>
      <c r="BC396" s="482">
        <f>BB401</f>
        <v>380.30000000000007</v>
      </c>
      <c r="BD396" s="482">
        <f>BC401</f>
        <v>377.8</v>
      </c>
      <c r="BE396" s="482">
        <f>BD401</f>
        <v>403.5</v>
      </c>
      <c r="BF396" s="482">
        <f>BE401</f>
        <v>437.8</v>
      </c>
      <c r="BG396" s="446">
        <f>BB401</f>
        <v>380.30000000000007</v>
      </c>
      <c r="BH396" s="482">
        <f>BG401</f>
        <v>478.3</v>
      </c>
      <c r="BI396" s="482">
        <f>BH401</f>
        <v>480.50204569836853</v>
      </c>
      <c r="BJ396" s="482">
        <f>BI401</f>
        <v>494.66564358827679</v>
      </c>
      <c r="BK396" s="482">
        <f>BJ401</f>
        <v>507.3479847228607</v>
      </c>
      <c r="BL396" s="446">
        <f>BG401</f>
        <v>478.3</v>
      </c>
      <c r="BM396" s="482">
        <f>BL401</f>
        <v>549.30627841916089</v>
      </c>
      <c r="BN396" s="482">
        <f>BM401</f>
        <v>547.94328238665491</v>
      </c>
      <c r="BO396" s="482">
        <f>BN401</f>
        <v>559.06211224617323</v>
      </c>
      <c r="BP396" s="482">
        <f>BO401</f>
        <v>568.49273465295255</v>
      </c>
      <c r="BQ396" s="446">
        <f>BL401</f>
        <v>549.30627841916089</v>
      </c>
      <c r="BR396" s="482">
        <f>BQ401</f>
        <v>608.85696021756758</v>
      </c>
      <c r="BS396" s="482">
        <f>BR401</f>
        <v>604.02631714531913</v>
      </c>
      <c r="BT396" s="482">
        <f>BS401</f>
        <v>612.1835195538755</v>
      </c>
      <c r="BU396" s="482">
        <f>BT401</f>
        <v>618.43664286568719</v>
      </c>
      <c r="BV396" s="446">
        <f>BQ401</f>
        <v>608.85696021756758</v>
      </c>
      <c r="BW396" s="482">
        <f>BV401</f>
        <v>657.25929011396909</v>
      </c>
      <c r="BX396" s="482">
        <f>BW401</f>
        <v>650.58120360789462</v>
      </c>
      <c r="BY396" s="482">
        <f>BX401</f>
        <v>657.47984680810339</v>
      </c>
      <c r="BZ396" s="482">
        <f>BY401</f>
        <v>662.30897735768031</v>
      </c>
      <c r="CA396" s="446">
        <f>BV401</f>
        <v>657.25929011396909</v>
      </c>
      <c r="CC396" s="29"/>
      <c r="CD396" s="29"/>
      <c r="CE396" s="482"/>
      <c r="CF396" s="482"/>
      <c r="CG396" s="482"/>
      <c r="CH396" s="482"/>
      <c r="CI396" s="482"/>
      <c r="CJ396" s="482"/>
      <c r="CK396" s="482"/>
      <c r="CL396" s="482"/>
      <c r="CM396" s="482"/>
      <c r="CN396" s="482"/>
      <c r="CO396" s="482"/>
      <c r="CP396" s="14"/>
      <c r="CQ396" s="14"/>
      <c r="CR396" s="14"/>
      <c r="CS396" s="14"/>
      <c r="CT396" s="14"/>
      <c r="CU396" s="1961"/>
      <c r="DB396" s="1961"/>
      <c r="DC396" s="1961"/>
      <c r="DD396" s="1961"/>
      <c r="DE396" s="1961"/>
      <c r="DF396" s="1961"/>
      <c r="DG396" s="1961"/>
      <c r="DH396" s="1961"/>
      <c r="DI396" s="640"/>
    </row>
    <row r="397" spans="1:113" ht="12" customHeight="1" x14ac:dyDescent="0.25">
      <c r="A397" s="46" t="s">
        <v>259</v>
      </c>
      <c r="B397" s="892"/>
      <c r="C397" s="110"/>
      <c r="D397" s="897">
        <f>-D137</f>
        <v>25.742000000000001</v>
      </c>
      <c r="E397" s="483"/>
      <c r="F397" s="483"/>
      <c r="G397" s="483"/>
      <c r="H397" s="483"/>
      <c r="I397" s="897">
        <f>SUM(E397:H397)</f>
        <v>0</v>
      </c>
      <c r="J397" s="483">
        <f>-J137</f>
        <v>9.766</v>
      </c>
      <c r="K397" s="483">
        <f>-K137</f>
        <v>8.0439999999999987</v>
      </c>
      <c r="L397" s="483">
        <f>-L137</f>
        <v>4.5130000000000017</v>
      </c>
      <c r="M397" s="483">
        <f>-M137</f>
        <v>8.3290000000000006</v>
      </c>
      <c r="N397" s="897">
        <f>SUM(J397:M397)</f>
        <v>30.652000000000001</v>
      </c>
      <c r="O397" s="483">
        <f>-O137</f>
        <v>8.359</v>
      </c>
      <c r="P397" s="483">
        <f>-P137</f>
        <v>7.8360000000000003</v>
      </c>
      <c r="Q397" s="483">
        <f>-Q137</f>
        <v>8.1239999999999988</v>
      </c>
      <c r="R397" s="483">
        <f>-R137</f>
        <v>14.375000000000004</v>
      </c>
      <c r="S397" s="897">
        <f>SUM(O397:R397)</f>
        <v>38.694000000000003</v>
      </c>
      <c r="T397" s="483">
        <f>-T137</f>
        <v>7.4980000000000002</v>
      </c>
      <c r="U397" s="483">
        <f>-U137</f>
        <v>8.0719999999999992</v>
      </c>
      <c r="V397" s="483">
        <f>-V137</f>
        <v>6.6359999999999992</v>
      </c>
      <c r="W397" s="483">
        <f>-W137</f>
        <v>16.434999999999999</v>
      </c>
      <c r="X397" s="897">
        <f>SUM(T397:W397)</f>
        <v>38.640999999999998</v>
      </c>
      <c r="Y397" s="483">
        <f t="shared" ref="Y397:AG397" si="522">-Y137</f>
        <v>13.648</v>
      </c>
      <c r="Z397" s="483">
        <f t="shared" si="522"/>
        <v>14.523</v>
      </c>
      <c r="AA397" s="483">
        <f t="shared" si="522"/>
        <v>13.753999999999998</v>
      </c>
      <c r="AB397" s="483">
        <f t="shared" si="522"/>
        <v>17.904000000000003</v>
      </c>
      <c r="AC397" s="897">
        <f t="shared" si="522"/>
        <v>59.829000000000001</v>
      </c>
      <c r="AD397" s="483">
        <f t="shared" si="522"/>
        <v>17.442</v>
      </c>
      <c r="AE397" s="483">
        <f t="shared" si="522"/>
        <v>19.089999999999996</v>
      </c>
      <c r="AF397" s="483">
        <f t="shared" si="522"/>
        <v>19.192</v>
      </c>
      <c r="AG397" s="483">
        <f t="shared" si="522"/>
        <v>18.649000000000008</v>
      </c>
      <c r="AH397" s="897">
        <f>SUM(AD397:AG397)</f>
        <v>74.373000000000005</v>
      </c>
      <c r="AI397" s="483">
        <f>-AI137</f>
        <v>28.065000000000001</v>
      </c>
      <c r="AJ397" s="483">
        <f>-AJ137</f>
        <v>35.44</v>
      </c>
      <c r="AK397" s="483">
        <f>-AK137</f>
        <v>44.410000000000011</v>
      </c>
      <c r="AL397" s="483">
        <f>-AL137</f>
        <v>38.060999999999993</v>
      </c>
      <c r="AM397" s="897">
        <f>SUM(AI397:AL397)</f>
        <v>145.976</v>
      </c>
      <c r="AN397" s="483">
        <f>-AN137</f>
        <v>36.143999999999998</v>
      </c>
      <c r="AO397" s="483">
        <f>-AO137</f>
        <v>39.619999999999997</v>
      </c>
      <c r="AP397" s="483">
        <f>-AP137</f>
        <v>27.228000000000009</v>
      </c>
      <c r="AQ397" s="483">
        <f>-AQ137</f>
        <v>43.826000000000008</v>
      </c>
      <c r="AR397" s="897">
        <f>SUM(AN397:AQ397)</f>
        <v>146.81800000000001</v>
      </c>
      <c r="AS397" s="483">
        <f>-AS137</f>
        <v>24.76</v>
      </c>
      <c r="AT397" s="483">
        <f>-AT137</f>
        <v>35.331999999999994</v>
      </c>
      <c r="AU397" s="483">
        <f>-AU137</f>
        <v>45.673000000000002</v>
      </c>
      <c r="AV397" s="483">
        <f>-AV137</f>
        <v>60.373000000000005</v>
      </c>
      <c r="AW397" s="897">
        <f>SUM(AS397:AV397)</f>
        <v>166.13800000000001</v>
      </c>
      <c r="AX397" s="483">
        <f>-AX137</f>
        <v>30.763000000000002</v>
      </c>
      <c r="AY397" s="483">
        <f>-AY137</f>
        <v>31.468</v>
      </c>
      <c r="AZ397" s="483">
        <f>-AZ137</f>
        <v>36.338999999999992</v>
      </c>
      <c r="BA397" s="483">
        <f>-BA137</f>
        <v>57.930000000000007</v>
      </c>
      <c r="BB397" s="469">
        <f>SUM(AX397:BA397)</f>
        <v>156.5</v>
      </c>
      <c r="BC397" s="483">
        <f>-BC137</f>
        <v>31.1</v>
      </c>
      <c r="BD397" s="483">
        <f>-BD137</f>
        <v>41.4</v>
      </c>
      <c r="BE397" s="483">
        <f>-BE137</f>
        <v>41.300000000000004</v>
      </c>
      <c r="BF397" s="483">
        <f>-BF137</f>
        <v>69.699999999999989</v>
      </c>
      <c r="BG397" s="469">
        <f>SUM(BC397:BF397)</f>
        <v>183.5</v>
      </c>
      <c r="BH397" s="483">
        <f>-BH137</f>
        <v>40.837905698368488</v>
      </c>
      <c r="BI397" s="483">
        <f>-BI137</f>
        <v>51.933537889908244</v>
      </c>
      <c r="BJ397" s="483">
        <f>-BJ137</f>
        <v>50.977421134583878</v>
      </c>
      <c r="BK397" s="483">
        <f>-BK137</f>
        <v>80.698133696300175</v>
      </c>
      <c r="BL397" s="469">
        <f>SUM(BH397:BK397)</f>
        <v>224.44699841916079</v>
      </c>
      <c r="BM397" s="483">
        <f>-BM137</f>
        <v>37.148866154994032</v>
      </c>
      <c r="BN397" s="483">
        <f>-BN137</f>
        <v>48.762677047018336</v>
      </c>
      <c r="BO397" s="483">
        <f>-BO137</f>
        <v>47.59921678177929</v>
      </c>
      <c r="BP397" s="483">
        <f>-BP137</f>
        <v>78.976880564615115</v>
      </c>
      <c r="BQ397" s="469">
        <f>SUM(BM397:BP397)</f>
        <v>212.48764054840677</v>
      </c>
      <c r="BR397" s="483">
        <f>-BR137</f>
        <v>33.524981871501538</v>
      </c>
      <c r="BS397" s="483">
        <f>-BS137</f>
        <v>45.642172652306421</v>
      </c>
      <c r="BT397" s="483">
        <f>-BT137</f>
        <v>44.262345799311653</v>
      </c>
      <c r="BU397" s="483">
        <f>-BU137</f>
        <v>77.27504914828188</v>
      </c>
      <c r="BV397" s="469">
        <f>SUM(BR397:BU397)</f>
        <v>200.70454947140149</v>
      </c>
      <c r="BW397" s="483">
        <f>-BW137</f>
        <v>32.060319684863096</v>
      </c>
      <c r="BX397" s="483">
        <f>-BX137</f>
        <v>44.772861956146265</v>
      </c>
      <c r="BY397" s="483">
        <f>-BY137</f>
        <v>43.228814161451965</v>
      </c>
      <c r="BZ397" s="483">
        <f>-BZ137</f>
        <v>78.025619720317792</v>
      </c>
      <c r="CA397" s="469">
        <f>SUM(BW397:BZ397)</f>
        <v>198.08761552277912</v>
      </c>
      <c r="CC397" s="29"/>
      <c r="CD397" s="29"/>
      <c r="CE397" s="483"/>
      <c r="CF397" s="483"/>
      <c r="CG397" s="483"/>
      <c r="CH397" s="483"/>
      <c r="CI397" s="483"/>
      <c r="CJ397" s="483"/>
      <c r="CK397" s="483"/>
      <c r="CL397" s="483"/>
      <c r="CM397" s="483"/>
      <c r="CN397" s="483"/>
      <c r="CO397" s="483"/>
      <c r="CP397" s="14"/>
      <c r="CQ397" s="14"/>
      <c r="CR397" s="14"/>
      <c r="CS397" s="14"/>
      <c r="CT397" s="14"/>
      <c r="CU397" s="1961"/>
      <c r="DB397" s="1961"/>
      <c r="DC397" s="1961"/>
      <c r="DD397" s="1961"/>
      <c r="DE397" s="1961"/>
      <c r="DF397" s="1961"/>
      <c r="DG397" s="1961"/>
      <c r="DH397" s="1961"/>
      <c r="DI397" s="657"/>
    </row>
    <row r="398" spans="1:113" ht="12" customHeight="1" x14ac:dyDescent="0.25">
      <c r="A398" s="46" t="s">
        <v>260</v>
      </c>
      <c r="B398" s="892"/>
      <c r="C398" s="110"/>
      <c r="D398" s="897">
        <f>-D114</f>
        <v>-28.119</v>
      </c>
      <c r="E398" s="483"/>
      <c r="F398" s="483"/>
      <c r="G398" s="483"/>
      <c r="H398" s="483"/>
      <c r="I398" s="897">
        <f>SUM(E398:H398)</f>
        <v>0</v>
      </c>
      <c r="J398" s="483">
        <f>-J114</f>
        <v>-7.907</v>
      </c>
      <c r="K398" s="483">
        <f>-K114</f>
        <v>-8.5169999999999995</v>
      </c>
      <c r="L398" s="483">
        <f>-L114</f>
        <v>-9.054000000000002</v>
      </c>
      <c r="M398" s="483">
        <f>-M114</f>
        <v>-9.8389999999999986</v>
      </c>
      <c r="N398" s="897">
        <f>SUM(J398:M398)</f>
        <v>-35.317</v>
      </c>
      <c r="O398" s="483">
        <f>-O114</f>
        <v>-9.1950000000000003</v>
      </c>
      <c r="P398" s="483">
        <f>-P114</f>
        <v>-9.718</v>
      </c>
      <c r="Q398" s="483">
        <f>-Q114</f>
        <v>-9.6209999999999987</v>
      </c>
      <c r="R398" s="483">
        <f>-R114</f>
        <v>-10.044000000000004</v>
      </c>
      <c r="S398" s="897">
        <f>SUM(O398:R398)</f>
        <v>-38.578000000000003</v>
      </c>
      <c r="T398" s="483">
        <f>-T114</f>
        <v>-9.9290000000000003</v>
      </c>
      <c r="U398" s="483">
        <f>-U114</f>
        <v>-9.9439999999999991</v>
      </c>
      <c r="V398" s="483">
        <f>-V114</f>
        <v>-10.035</v>
      </c>
      <c r="W398" s="483">
        <f>-W114</f>
        <v>-10.820000000000004</v>
      </c>
      <c r="X398" s="897">
        <f>SUM(T398:W398)</f>
        <v>-40.728000000000002</v>
      </c>
      <c r="Y398" s="483">
        <f t="shared" ref="Y398:AG398" si="523">-Y114</f>
        <v>-11.305</v>
      </c>
      <c r="Z398" s="483">
        <f t="shared" si="523"/>
        <v>-10.855</v>
      </c>
      <c r="AA398" s="483">
        <f t="shared" si="523"/>
        <v>-10.798</v>
      </c>
      <c r="AB398" s="483">
        <f t="shared" si="523"/>
        <v>-10.869000000000002</v>
      </c>
      <c r="AC398" s="897">
        <f t="shared" si="523"/>
        <v>-43.826999999999998</v>
      </c>
      <c r="AD398" s="483">
        <f t="shared" si="523"/>
        <v>-11.643999999999998</v>
      </c>
      <c r="AE398" s="483">
        <f t="shared" si="523"/>
        <v>-13.09</v>
      </c>
      <c r="AF398" s="483">
        <f t="shared" si="523"/>
        <v>-12.714</v>
      </c>
      <c r="AG398" s="483">
        <f t="shared" si="523"/>
        <v>-13.176000000000004</v>
      </c>
      <c r="AH398" s="897">
        <f>SUM(AD398:AG398)</f>
        <v>-50.624000000000002</v>
      </c>
      <c r="AI398" s="483">
        <f>-AI114</f>
        <v>-14.163</v>
      </c>
      <c r="AJ398" s="483">
        <f>-AJ114</f>
        <v>-15.81</v>
      </c>
      <c r="AK398" s="483">
        <f>-AK114</f>
        <v>-16.745000000000001</v>
      </c>
      <c r="AL398" s="483">
        <f>-AL114</f>
        <v>-19.471</v>
      </c>
      <c r="AM398" s="897">
        <f>SUM(AI398:AL398)</f>
        <v>-66.189000000000007</v>
      </c>
      <c r="AN398" s="483">
        <f>-AN114</f>
        <v>-19.780999999999999</v>
      </c>
      <c r="AO398" s="483">
        <f>-AO114</f>
        <v>-20.722999999999999</v>
      </c>
      <c r="AP398" s="483">
        <f>-AP114</f>
        <v>-21.951000000000001</v>
      </c>
      <c r="AQ398" s="483">
        <f>-AQ114</f>
        <v>-24.046000000000006</v>
      </c>
      <c r="AR398" s="897">
        <f>SUM(AN398:AQ398)</f>
        <v>-86.501000000000005</v>
      </c>
      <c r="AS398" s="483">
        <f>-AS114</f>
        <v>-24.442</v>
      </c>
      <c r="AT398" s="483">
        <f>-AT114</f>
        <v>-28.628</v>
      </c>
      <c r="AU398" s="483">
        <f>-AU114</f>
        <v>-33.500999999999998</v>
      </c>
      <c r="AV398" s="483">
        <f>-AV114</f>
        <v>-34.049000000000007</v>
      </c>
      <c r="AW398" s="897">
        <f>SUM(AS398:AV398)</f>
        <v>-120.62</v>
      </c>
      <c r="AX398" s="483">
        <f>-AX114</f>
        <v>-38.874000000000002</v>
      </c>
      <c r="AY398" s="483">
        <f>-AY114</f>
        <v>-29.457000000000001</v>
      </c>
      <c r="AZ398" s="483">
        <f>-AZ114</f>
        <v>-29.500999999999991</v>
      </c>
      <c r="BA398" s="483">
        <f>-BA114</f>
        <v>-28.368000000000009</v>
      </c>
      <c r="BB398" s="469">
        <f>SUM(AX398:BA398)</f>
        <v>-126.2</v>
      </c>
      <c r="BC398" s="483">
        <f>-BC114</f>
        <v>-33.799999999999997</v>
      </c>
      <c r="BD398" s="483">
        <f>-BD114</f>
        <v>-31.799999999999997</v>
      </c>
      <c r="BE398" s="483">
        <f>-BE114</f>
        <v>-33.800000000000011</v>
      </c>
      <c r="BF398" s="483">
        <f>-BF114</f>
        <v>-36.199999999999989</v>
      </c>
      <c r="BG398" s="469">
        <f>SUM(BC398:BF398)</f>
        <v>-135.6</v>
      </c>
      <c r="BH398" s="483">
        <f>-BH114</f>
        <v>-38.635860000000001</v>
      </c>
      <c r="BI398" s="483">
        <f>-BI114</f>
        <v>-37.769939999999998</v>
      </c>
      <c r="BJ398" s="483">
        <f>-BJ114</f>
        <v>-38.295079999999999</v>
      </c>
      <c r="BK398" s="483">
        <f>-BK114</f>
        <v>-38.739840000000008</v>
      </c>
      <c r="BL398" s="469">
        <f>SUM(BH398:BK398)</f>
        <v>-153.44072</v>
      </c>
      <c r="BM398" s="483">
        <f>-BM114</f>
        <v>-38.5118621875</v>
      </c>
      <c r="BN398" s="483">
        <f>-BN114</f>
        <v>-37.6438471875</v>
      </c>
      <c r="BO398" s="483">
        <f>-BO114</f>
        <v>-38.168594374999998</v>
      </c>
      <c r="BP398" s="483">
        <f>-BP114</f>
        <v>-38.612655000000004</v>
      </c>
      <c r="BQ398" s="469">
        <f>SUM(BM398:BP398)</f>
        <v>-152.93695875</v>
      </c>
      <c r="BR398" s="483">
        <f>-BR114</f>
        <v>-38.355624943750001</v>
      </c>
      <c r="BS398" s="483">
        <f>-BS114</f>
        <v>-37.484970243749999</v>
      </c>
      <c r="BT398" s="483">
        <f>-BT114</f>
        <v>-38.009222487500004</v>
      </c>
      <c r="BU398" s="483">
        <f>-BU114</f>
        <v>-38.452401900000012</v>
      </c>
      <c r="BV398" s="469">
        <f>SUM(BR398:BU398)</f>
        <v>-152.30221957500001</v>
      </c>
      <c r="BW398" s="483">
        <f>-BW114</f>
        <v>-38.738406190937496</v>
      </c>
      <c r="BX398" s="483">
        <f>-BX114</f>
        <v>-37.874218755937505</v>
      </c>
      <c r="BY398" s="483">
        <f>-BY114</f>
        <v>-38.399683611875005</v>
      </c>
      <c r="BZ398" s="483">
        <f>-BZ114</f>
        <v>-38.84502199500001</v>
      </c>
      <c r="CA398" s="469">
        <f>SUM(BW398:BZ398)</f>
        <v>-153.85733055375002</v>
      </c>
      <c r="CC398" s="29"/>
      <c r="CD398" s="29"/>
      <c r="CE398" s="483"/>
      <c r="CF398" s="483"/>
      <c r="CG398" s="483"/>
      <c r="CH398" s="483"/>
      <c r="CI398" s="483"/>
      <c r="CJ398" s="483"/>
      <c r="CK398" s="483"/>
      <c r="CL398" s="483"/>
      <c r="CM398" s="483"/>
      <c r="CN398" s="483"/>
      <c r="CO398" s="483"/>
      <c r="CP398" s="14"/>
      <c r="CQ398" s="14"/>
      <c r="CR398" s="14"/>
      <c r="CS398" s="14"/>
      <c r="CT398" s="14"/>
      <c r="CU398" s="1961"/>
      <c r="DB398" s="1961"/>
      <c r="DC398" s="1961"/>
      <c r="DD398" s="1961"/>
      <c r="DE398" s="1961"/>
      <c r="DF398" s="1961"/>
      <c r="DG398" s="1961"/>
      <c r="DH398" s="1961"/>
      <c r="DI398" s="657"/>
    </row>
    <row r="399" spans="1:113" ht="12" customHeight="1" x14ac:dyDescent="0.25">
      <c r="A399" s="46" t="s">
        <v>261</v>
      </c>
      <c r="B399" s="892"/>
      <c r="C399" s="110"/>
      <c r="D399" s="897">
        <f>D401-SUM(D396:D398)</f>
        <v>72.846999999999994</v>
      </c>
      <c r="E399" s="947"/>
      <c r="F399" s="947"/>
      <c r="G399" s="483"/>
      <c r="H399" s="483"/>
      <c r="I399" s="897">
        <f>I401-SUM(I396:I398)</f>
        <v>14.966000000000008</v>
      </c>
      <c r="J399" s="483">
        <f>J401-SUM(J396:J398)</f>
        <v>-7.00000000000216E-2</v>
      </c>
      <c r="K399" s="483">
        <f>K401-SUM(K396:K398)</f>
        <v>1.4380000000000024</v>
      </c>
      <c r="L399" s="483">
        <f>L401-SUM(L396:L398)</f>
        <v>1.0859999999999985</v>
      </c>
      <c r="M399" s="483">
        <f>M401-SUM(M396:M398)</f>
        <v>-0.63799999999999102</v>
      </c>
      <c r="N399" s="897">
        <f>SUM(J399:M399)</f>
        <v>1.8159999999999883</v>
      </c>
      <c r="O399" s="483">
        <f>O401-SUM(O396:O398)</f>
        <v>5.3199999999999932</v>
      </c>
      <c r="P399" s="483">
        <f>P401-SUM(P396:P398)</f>
        <v>-0.91099999999998715</v>
      </c>
      <c r="Q399" s="483">
        <f>Q401-SUM(Q396:Q398)</f>
        <v>4.4479999999999933</v>
      </c>
      <c r="R399" s="483">
        <f>R401-SUM(R396:R398)</f>
        <v>-2.394999999999996</v>
      </c>
      <c r="S399" s="897">
        <f>SUM(O399:R399)</f>
        <v>6.4620000000000033</v>
      </c>
      <c r="T399" s="483">
        <f>T401-SUM(T396:T398)</f>
        <v>1.5379999999999967</v>
      </c>
      <c r="U399" s="483">
        <f>U401-SUM(U396:U398)</f>
        <v>-0.14700000000000557</v>
      </c>
      <c r="V399" s="483">
        <f>V401-SUM(V396:V398)</f>
        <v>0.71699999999999875</v>
      </c>
      <c r="W399" s="483">
        <f>W401-SUM(W396:W398)</f>
        <v>4.2230000000000132</v>
      </c>
      <c r="X399" s="897">
        <f>SUM(T399:W399)</f>
        <v>6.3310000000000031</v>
      </c>
      <c r="Y399" s="483">
        <f>Y401-SUM(Y396:Y398)</f>
        <v>5.0219999999999914</v>
      </c>
      <c r="Z399" s="483">
        <f>Z401-SUM(Z396:Z398)</f>
        <v>3.203000000000003</v>
      </c>
      <c r="AA399" s="483">
        <f>AA401-SUM(AA396:AA398)</f>
        <v>-0.27299999999999613</v>
      </c>
      <c r="AB399" s="483">
        <f>AB401-SUM(AB396:AB398)</f>
        <v>2.0480000000000018</v>
      </c>
      <c r="AC399" s="897">
        <f>SUM(Y399:AB399)</f>
        <v>10</v>
      </c>
      <c r="AD399" s="483">
        <f>AD401-SUM(AD396:AD398)</f>
        <v>-0.42799999999999727</v>
      </c>
      <c r="AE399" s="483">
        <f>AE401-SUM(AE396:AE398)</f>
        <v>2.9499999999999886</v>
      </c>
      <c r="AF399" s="483">
        <f>AF401-SUM(AF396:AF398)</f>
        <v>4.5900000000000034</v>
      </c>
      <c r="AG399" s="483">
        <f>AG401-SUM(AG396:AG398)</f>
        <v>3.8120000000000118</v>
      </c>
      <c r="AH399" s="897">
        <f>SUM(AD399:AG399)</f>
        <v>10.924000000000007</v>
      </c>
      <c r="AI399" s="483">
        <f>AI401-SUM(AI396:AI398)</f>
        <v>-0.85699999999999932</v>
      </c>
      <c r="AJ399" s="483">
        <f>AJ401-SUM(AJ396:AJ398)</f>
        <v>-0.83099999999998886</v>
      </c>
      <c r="AK399" s="483">
        <f>AK401-SUM(AK396:AK398)</f>
        <v>5.5229999999999961</v>
      </c>
      <c r="AL399" s="483">
        <f>AL401-SUM(AL396:AL398)</f>
        <v>-4.3330000000000268</v>
      </c>
      <c r="AM399" s="897">
        <f>SUM(AI399:AL399)</f>
        <v>-0.49800000000001887</v>
      </c>
      <c r="AN399" s="483">
        <f>AN401-SUM(AN396:AN398)</f>
        <v>1.9950000000000614</v>
      </c>
      <c r="AO399" s="483">
        <f>AO401-SUM(AO396:AO398)</f>
        <v>2.2470000000000141</v>
      </c>
      <c r="AP399" s="483">
        <f>AP401-SUM(AP396:AP398)</f>
        <v>3.1949999999999932</v>
      </c>
      <c r="AQ399" s="483">
        <f>AQ401-SUM(AQ396:AQ398)</f>
        <v>1.146000000000015</v>
      </c>
      <c r="AR399" s="897">
        <f>SUM(AN399:AQ399)</f>
        <v>8.5830000000000837</v>
      </c>
      <c r="AS399" s="483">
        <f>AS401-SUM(AS396:AS398)</f>
        <v>1.2379999999999995</v>
      </c>
      <c r="AT399" s="483">
        <f>AT401-SUM(AT396:AT398)</f>
        <v>75.56</v>
      </c>
      <c r="AU399" s="483">
        <f>AU401-SUM(AU396:AU398)</f>
        <v>-6.6400000000000432</v>
      </c>
      <c r="AV399" s="483">
        <f>AV401-SUM(AV396:AV398)</f>
        <v>0.21900000000005093</v>
      </c>
      <c r="AW399" s="897">
        <f>SUM(AS399:AV399)</f>
        <v>70.37700000000001</v>
      </c>
      <c r="AX399" s="483">
        <f>AX401-SUM(AX396:AX398)</f>
        <v>-68.06800000000004</v>
      </c>
      <c r="AY399" s="483">
        <f>AY401-SUM(AY396:AY398)</f>
        <v>-9.3690000000000282</v>
      </c>
      <c r="AZ399" s="483">
        <f>AZ401-SUM(AZ396:AZ398)</f>
        <v>14.398000000000025</v>
      </c>
      <c r="BA399" s="483">
        <f>BA401-SUM(BA396:BA398)</f>
        <v>-5.1290000000000191</v>
      </c>
      <c r="BB399" s="469">
        <f>SUM(AX399:BA399)</f>
        <v>-68.168000000000063</v>
      </c>
      <c r="BC399" s="483">
        <f>BC401-SUM(BC396:BC398)</f>
        <v>0.19999999999993179</v>
      </c>
      <c r="BD399" s="483">
        <f>BD401-SUM(BD396:BD398)</f>
        <v>16.100000000000023</v>
      </c>
      <c r="BE399" s="483">
        <f>BE401-SUM(BE396:BE398)</f>
        <v>26.800000000000011</v>
      </c>
      <c r="BF399" s="483">
        <f>BF401-SUM(BF396:BF398)</f>
        <v>7</v>
      </c>
      <c r="BG399" s="469">
        <f>SUM(BC399:BF399)</f>
        <v>50.099999999999966</v>
      </c>
      <c r="BH399" s="1987">
        <f>(-BH392*BH138)-BH121</f>
        <v>0</v>
      </c>
      <c r="BI399" s="483">
        <f>(-BI392*BI138)-BI121</f>
        <v>0</v>
      </c>
      <c r="BJ399" s="483">
        <f>(-BJ392*BJ138)-BJ121</f>
        <v>0</v>
      </c>
      <c r="BK399" s="483">
        <f>(-BK392*BK138)-BK121</f>
        <v>0</v>
      </c>
      <c r="BL399" s="469">
        <f>SUM(BH399:BK399)</f>
        <v>0</v>
      </c>
      <c r="BM399" s="483">
        <f>(-BM392*BM138)-BM121</f>
        <v>0</v>
      </c>
      <c r="BN399" s="483">
        <f>(-BN392*BN138)-BN121</f>
        <v>0</v>
      </c>
      <c r="BO399" s="483">
        <f>(-BO392*BO138)-BO121</f>
        <v>0</v>
      </c>
      <c r="BP399" s="483">
        <f>(-BP392*BP138)-BP121</f>
        <v>0</v>
      </c>
      <c r="BQ399" s="469">
        <f>SUM(BM399:BP399)</f>
        <v>0</v>
      </c>
      <c r="BR399" s="483">
        <f>(-BR392*BR138)-BR121</f>
        <v>0</v>
      </c>
      <c r="BS399" s="483">
        <f>(-BS392*BS138)-BS121</f>
        <v>0</v>
      </c>
      <c r="BT399" s="483">
        <f>(-BT392*BT138)-BT121</f>
        <v>0</v>
      </c>
      <c r="BU399" s="483">
        <f>(-BU392*BU138)-BU121</f>
        <v>0</v>
      </c>
      <c r="BV399" s="469">
        <f>SUM(BR399:BU399)</f>
        <v>0</v>
      </c>
      <c r="BW399" s="483">
        <f>(-BW392*BW138)-BW121</f>
        <v>0</v>
      </c>
      <c r="BX399" s="483">
        <f>(-BX392*BX138)-BX121</f>
        <v>0</v>
      </c>
      <c r="BY399" s="483">
        <f>(-BY392*BY138)-BY121</f>
        <v>0</v>
      </c>
      <c r="BZ399" s="483">
        <f>(-BZ392*BZ138)-BZ121</f>
        <v>0</v>
      </c>
      <c r="CA399" s="469">
        <f>SUM(BW399:BZ399)</f>
        <v>0</v>
      </c>
      <c r="CC399" s="29"/>
      <c r="CD399" s="29"/>
      <c r="CE399" s="483"/>
      <c r="CF399" s="483"/>
      <c r="CG399" s="483"/>
      <c r="CH399" s="483"/>
      <c r="CI399" s="483"/>
      <c r="CJ399" s="483"/>
      <c r="CK399" s="483"/>
      <c r="CL399" s="483"/>
      <c r="CM399" s="483"/>
      <c r="CN399" s="483"/>
      <c r="CO399" s="483"/>
      <c r="CP399" s="14"/>
      <c r="CQ399" s="14"/>
      <c r="CR399" s="14"/>
      <c r="CS399" s="14"/>
      <c r="CT399" s="14"/>
      <c r="CU399" s="1961"/>
      <c r="DB399" s="1961"/>
      <c r="DC399" s="1961"/>
      <c r="DD399" s="1961"/>
      <c r="DE399" s="1961"/>
      <c r="DF399" s="1961"/>
      <c r="DG399" s="1961"/>
      <c r="DH399" s="1961"/>
      <c r="DI399" s="657"/>
    </row>
    <row r="400" spans="1:113" ht="5.25" customHeight="1" x14ac:dyDescent="0.25">
      <c r="A400" s="431"/>
      <c r="B400" s="948"/>
      <c r="C400" s="129" t="s">
        <v>60</v>
      </c>
      <c r="D400" s="674" t="s">
        <v>60</v>
      </c>
      <c r="E400" s="130"/>
      <c r="F400" s="675"/>
      <c r="G400" s="675"/>
      <c r="H400" s="675"/>
      <c r="I400" s="129" t="s">
        <v>60</v>
      </c>
      <c r="J400" s="130" t="s">
        <v>60</v>
      </c>
      <c r="K400" s="675" t="s">
        <v>60</v>
      </c>
      <c r="L400" s="675" t="s">
        <v>60</v>
      </c>
      <c r="M400" s="675" t="s">
        <v>60</v>
      </c>
      <c r="N400" s="129" t="s">
        <v>60</v>
      </c>
      <c r="O400" s="130" t="s">
        <v>60</v>
      </c>
      <c r="P400" s="675" t="s">
        <v>60</v>
      </c>
      <c r="Q400" s="675" t="s">
        <v>60</v>
      </c>
      <c r="R400" s="675" t="s">
        <v>60</v>
      </c>
      <c r="S400" s="129" t="s">
        <v>60</v>
      </c>
      <c r="T400" s="130" t="s">
        <v>60</v>
      </c>
      <c r="U400" s="130" t="s">
        <v>60</v>
      </c>
      <c r="V400" s="130" t="s">
        <v>60</v>
      </c>
      <c r="W400" s="130" t="s">
        <v>60</v>
      </c>
      <c r="X400" s="129" t="s">
        <v>60</v>
      </c>
      <c r="Y400" s="130" t="s">
        <v>60</v>
      </c>
      <c r="Z400" s="130" t="s">
        <v>60</v>
      </c>
      <c r="AA400" s="130" t="s">
        <v>60</v>
      </c>
      <c r="AB400" s="130" t="s">
        <v>60</v>
      </c>
      <c r="AC400" s="674" t="s">
        <v>60</v>
      </c>
      <c r="AD400" s="130" t="s">
        <v>60</v>
      </c>
      <c r="AE400" s="130" t="s">
        <v>60</v>
      </c>
      <c r="AF400" s="130" t="s">
        <v>60</v>
      </c>
      <c r="AG400" s="130" t="s">
        <v>60</v>
      </c>
      <c r="AH400" s="674" t="s">
        <v>60</v>
      </c>
      <c r="AI400" s="130" t="s">
        <v>60</v>
      </c>
      <c r="AJ400" s="130" t="s">
        <v>60</v>
      </c>
      <c r="AK400" s="130" t="s">
        <v>60</v>
      </c>
      <c r="AL400" s="130" t="s">
        <v>60</v>
      </c>
      <c r="AM400" s="674" t="s">
        <v>60</v>
      </c>
      <c r="AN400" s="130" t="s">
        <v>60</v>
      </c>
      <c r="AO400" s="130" t="s">
        <v>60</v>
      </c>
      <c r="AP400" s="130" t="s">
        <v>60</v>
      </c>
      <c r="AQ400" s="130" t="s">
        <v>60</v>
      </c>
      <c r="AR400" s="674" t="s">
        <v>60</v>
      </c>
      <c r="AS400" s="130" t="s">
        <v>60</v>
      </c>
      <c r="AT400" s="130" t="s">
        <v>60</v>
      </c>
      <c r="AU400" s="130" t="s">
        <v>60</v>
      </c>
      <c r="AV400" s="675" t="s">
        <v>60</v>
      </c>
      <c r="AW400" s="674" t="s">
        <v>60</v>
      </c>
      <c r="AX400" s="130" t="s">
        <v>60</v>
      </c>
      <c r="AY400" s="130" t="s">
        <v>60</v>
      </c>
      <c r="AZ400" s="130" t="s">
        <v>60</v>
      </c>
      <c r="BA400" s="130" t="s">
        <v>60</v>
      </c>
      <c r="BB400" s="674" t="s">
        <v>60</v>
      </c>
      <c r="BC400" s="130" t="s">
        <v>60</v>
      </c>
      <c r="BD400" s="130" t="s">
        <v>60</v>
      </c>
      <c r="BE400" s="130" t="s">
        <v>60</v>
      </c>
      <c r="BF400" s="130" t="s">
        <v>60</v>
      </c>
      <c r="BG400" s="674" t="s">
        <v>60</v>
      </c>
      <c r="BH400" s="675" t="s">
        <v>60</v>
      </c>
      <c r="BI400" s="130" t="s">
        <v>60</v>
      </c>
      <c r="BJ400" s="130" t="s">
        <v>60</v>
      </c>
      <c r="BK400" s="675" t="s">
        <v>60</v>
      </c>
      <c r="BL400" s="674" t="s">
        <v>60</v>
      </c>
      <c r="BM400" s="675" t="s">
        <v>60</v>
      </c>
      <c r="BN400" s="130" t="s">
        <v>60</v>
      </c>
      <c r="BO400" s="130" t="s">
        <v>60</v>
      </c>
      <c r="BP400" s="675" t="s">
        <v>60</v>
      </c>
      <c r="BQ400" s="674" t="s">
        <v>60</v>
      </c>
      <c r="BR400" s="675" t="s">
        <v>60</v>
      </c>
      <c r="BS400" s="130" t="s">
        <v>60</v>
      </c>
      <c r="BT400" s="130" t="s">
        <v>60</v>
      </c>
      <c r="BU400" s="675" t="s">
        <v>60</v>
      </c>
      <c r="BV400" s="674" t="s">
        <v>60</v>
      </c>
      <c r="BW400" s="675" t="s">
        <v>60</v>
      </c>
      <c r="BX400" s="130" t="s">
        <v>60</v>
      </c>
      <c r="BY400" s="130" t="s">
        <v>60</v>
      </c>
      <c r="BZ400" s="675" t="s">
        <v>60</v>
      </c>
      <c r="CA400" s="674" t="s">
        <v>60</v>
      </c>
      <c r="CC400" s="29"/>
      <c r="CD400" s="29"/>
      <c r="CE400" s="675"/>
      <c r="CF400" s="675"/>
      <c r="CG400" s="675"/>
      <c r="CH400" s="675"/>
      <c r="CI400" s="675"/>
      <c r="CJ400" s="675"/>
      <c r="CK400" s="675"/>
      <c r="CL400" s="675"/>
      <c r="CM400" s="675"/>
      <c r="CN400" s="675"/>
      <c r="CO400" s="675"/>
      <c r="CP400" s="14"/>
      <c r="CQ400" s="14"/>
      <c r="CR400" s="14"/>
      <c r="CS400" s="14"/>
      <c r="CT400" s="14"/>
      <c r="CU400" s="1961"/>
      <c r="DB400" s="1961"/>
      <c r="DC400" s="1961"/>
      <c r="DD400" s="1961"/>
      <c r="DE400" s="1961"/>
      <c r="DF400" s="1961"/>
      <c r="DG400" s="1961"/>
      <c r="DH400" s="1961"/>
      <c r="DI400" s="259"/>
    </row>
    <row r="401" spans="1:113" ht="12" customHeight="1" x14ac:dyDescent="0.25">
      <c r="A401" s="50" t="s">
        <v>262</v>
      </c>
      <c r="B401" s="949"/>
      <c r="C401" s="740">
        <f>C184</f>
        <v>0</v>
      </c>
      <c r="D401" s="740">
        <f>D184</f>
        <v>70.47</v>
      </c>
      <c r="E401" s="947"/>
      <c r="F401" s="482"/>
      <c r="G401" s="482"/>
      <c r="H401" s="482"/>
      <c r="I401" s="740">
        <f>I184</f>
        <v>85.436000000000007</v>
      </c>
      <c r="J401" s="482">
        <f>J184</f>
        <v>87.224999999999994</v>
      </c>
      <c r="K401" s="482">
        <f>K184</f>
        <v>88.19</v>
      </c>
      <c r="L401" s="482">
        <f>L184</f>
        <v>84.734999999999999</v>
      </c>
      <c r="M401" s="482">
        <f>M184</f>
        <v>82.587000000000003</v>
      </c>
      <c r="N401" s="740">
        <f>SUM(N396:N399)</f>
        <v>82.587000000000003</v>
      </c>
      <c r="O401" s="482">
        <f>O184</f>
        <v>87.070999999999998</v>
      </c>
      <c r="P401" s="482">
        <f>P184</f>
        <v>84.278000000000006</v>
      </c>
      <c r="Q401" s="482">
        <f>Q184</f>
        <v>87.228999999999999</v>
      </c>
      <c r="R401" s="482">
        <f>R184</f>
        <v>89.165000000000006</v>
      </c>
      <c r="S401" s="740">
        <f>SUM(S396:S399)</f>
        <v>89.165000000000006</v>
      </c>
      <c r="T401" s="482">
        <f>T184</f>
        <v>88.272000000000006</v>
      </c>
      <c r="U401" s="482">
        <f>U184</f>
        <v>86.253</v>
      </c>
      <c r="V401" s="482">
        <f>V184</f>
        <v>83.570999999999998</v>
      </c>
      <c r="W401" s="482">
        <f>W184</f>
        <v>93.409000000000006</v>
      </c>
      <c r="X401" s="740">
        <f>SUM(X396:X399)</f>
        <v>93.409000000000006</v>
      </c>
      <c r="Y401" s="482">
        <f>Y184</f>
        <v>100.774</v>
      </c>
      <c r="Z401" s="482">
        <f>Z184</f>
        <v>107.645</v>
      </c>
      <c r="AA401" s="482">
        <f>AA184</f>
        <v>110.328</v>
      </c>
      <c r="AB401" s="482">
        <f>AB184</f>
        <v>119.411</v>
      </c>
      <c r="AC401" s="740">
        <f>SUM(AC396:AC399)</f>
        <v>119.411</v>
      </c>
      <c r="AD401" s="482">
        <f>AD184</f>
        <v>124.78100000000001</v>
      </c>
      <c r="AE401" s="482">
        <f>AE184</f>
        <v>133.73099999999999</v>
      </c>
      <c r="AF401" s="482">
        <f>AF184</f>
        <v>144.79900000000001</v>
      </c>
      <c r="AG401" s="482">
        <f>AG184</f>
        <v>154.084</v>
      </c>
      <c r="AH401" s="740">
        <f>SUM(AH396:AH399)</f>
        <v>154.084</v>
      </c>
      <c r="AI401" s="482">
        <f>AI184</f>
        <v>167.12899999999999</v>
      </c>
      <c r="AJ401" s="482">
        <f>AJ184</f>
        <v>185.928</v>
      </c>
      <c r="AK401" s="482">
        <f>AK184</f>
        <v>219.11600000000001</v>
      </c>
      <c r="AL401" s="482">
        <f>AL184</f>
        <v>233.37299999999999</v>
      </c>
      <c r="AM401" s="740">
        <f>SUM(AM396:AM399)</f>
        <v>233.37299999999996</v>
      </c>
      <c r="AN401" s="482">
        <f>AN184</f>
        <v>251.73099999999999</v>
      </c>
      <c r="AO401" s="482">
        <f>AO184</f>
        <v>272.875</v>
      </c>
      <c r="AP401" s="482">
        <f>AP184</f>
        <v>281.34699999999998</v>
      </c>
      <c r="AQ401" s="482">
        <f>AQ184</f>
        <v>302.27300000000002</v>
      </c>
      <c r="AR401" s="740">
        <f>SUM(AR396:AR399)</f>
        <v>302.27300000000002</v>
      </c>
      <c r="AS401" s="482">
        <f>AS184</f>
        <v>303.82900000000001</v>
      </c>
      <c r="AT401" s="482">
        <f>AT184</f>
        <v>386.09300000000002</v>
      </c>
      <c r="AU401" s="482">
        <f>AU184</f>
        <v>391.625</v>
      </c>
      <c r="AV401" s="482">
        <f>AV184</f>
        <v>418.16800000000001</v>
      </c>
      <c r="AW401" s="740">
        <f t="shared" ref="AW401:BG401" si="524">SUM(AW396:AW399)</f>
        <v>418.16800000000006</v>
      </c>
      <c r="AX401" s="482">
        <f>AX184</f>
        <v>341.98899999999998</v>
      </c>
      <c r="AY401" s="482">
        <f>AY184</f>
        <v>334.63099999999997</v>
      </c>
      <c r="AZ401" s="482">
        <f>AZ184</f>
        <v>355.86700000000002</v>
      </c>
      <c r="BA401" s="482">
        <f>BA184</f>
        <v>380.3</v>
      </c>
      <c r="BB401" s="446">
        <f t="shared" si="524"/>
        <v>380.30000000000007</v>
      </c>
      <c r="BC401" s="482">
        <f>BC184</f>
        <v>377.8</v>
      </c>
      <c r="BD401" s="482">
        <f>BD184</f>
        <v>403.5</v>
      </c>
      <c r="BE401" s="482">
        <f>BE184</f>
        <v>437.8</v>
      </c>
      <c r="BF401" s="482">
        <f>BF184</f>
        <v>478.3</v>
      </c>
      <c r="BG401" s="446">
        <f t="shared" si="524"/>
        <v>478.3</v>
      </c>
      <c r="BH401" s="482">
        <f t="shared" ref="BH401:CA401" si="525">SUM(BH396:BH399)</f>
        <v>480.50204569836853</v>
      </c>
      <c r="BI401" s="482">
        <f t="shared" si="525"/>
        <v>494.66564358827679</v>
      </c>
      <c r="BJ401" s="482">
        <f t="shared" si="525"/>
        <v>507.3479847228607</v>
      </c>
      <c r="BK401" s="482">
        <f t="shared" si="525"/>
        <v>549.30627841916089</v>
      </c>
      <c r="BL401" s="446">
        <f t="shared" si="525"/>
        <v>549.30627841916089</v>
      </c>
      <c r="BM401" s="482">
        <f t="shared" si="525"/>
        <v>547.94328238665491</v>
      </c>
      <c r="BN401" s="482">
        <f t="shared" si="525"/>
        <v>559.06211224617323</v>
      </c>
      <c r="BO401" s="482">
        <f t="shared" si="525"/>
        <v>568.49273465295255</v>
      </c>
      <c r="BP401" s="482">
        <f t="shared" si="525"/>
        <v>608.85696021756769</v>
      </c>
      <c r="BQ401" s="446">
        <f t="shared" si="525"/>
        <v>608.85696021756758</v>
      </c>
      <c r="BR401" s="482">
        <f t="shared" si="525"/>
        <v>604.02631714531913</v>
      </c>
      <c r="BS401" s="482">
        <f t="shared" si="525"/>
        <v>612.1835195538755</v>
      </c>
      <c r="BT401" s="482">
        <f t="shared" si="525"/>
        <v>618.43664286568719</v>
      </c>
      <c r="BU401" s="482">
        <f t="shared" si="525"/>
        <v>657.25929011396897</v>
      </c>
      <c r="BV401" s="446">
        <f t="shared" si="525"/>
        <v>657.25929011396909</v>
      </c>
      <c r="BW401" s="482">
        <f t="shared" si="525"/>
        <v>650.58120360789462</v>
      </c>
      <c r="BX401" s="482">
        <f t="shared" si="525"/>
        <v>657.47984680810339</v>
      </c>
      <c r="BY401" s="482">
        <f t="shared" si="525"/>
        <v>662.30897735768031</v>
      </c>
      <c r="BZ401" s="482">
        <f t="shared" si="525"/>
        <v>701.48957508299804</v>
      </c>
      <c r="CA401" s="446">
        <f t="shared" si="525"/>
        <v>701.48957508299827</v>
      </c>
      <c r="CC401" s="29"/>
      <c r="CD401" s="29"/>
      <c r="CE401" s="482"/>
      <c r="CF401" s="482"/>
      <c r="CG401" s="482"/>
      <c r="CH401" s="482"/>
      <c r="CI401" s="482"/>
      <c r="CJ401" s="482"/>
      <c r="CK401" s="482"/>
      <c r="CL401" s="482"/>
      <c r="CM401" s="482"/>
      <c r="CN401" s="482"/>
      <c r="CO401" s="482"/>
      <c r="CP401" s="14"/>
      <c r="CQ401" s="14"/>
      <c r="CR401" s="14"/>
      <c r="CS401" s="14"/>
      <c r="CT401" s="14"/>
      <c r="CU401" s="1961"/>
      <c r="DB401" s="1961"/>
      <c r="DC401" s="1961"/>
      <c r="DD401" s="1961"/>
      <c r="DE401" s="1961"/>
      <c r="DF401" s="1961"/>
      <c r="DG401" s="1961"/>
      <c r="DH401" s="1961"/>
      <c r="DI401" s="640"/>
    </row>
    <row r="402" spans="1:113" ht="5.0999999999999996" customHeight="1" x14ac:dyDescent="0.25">
      <c r="A402" s="50"/>
      <c r="B402" s="892"/>
      <c r="C402" s="110"/>
      <c r="D402" s="110"/>
      <c r="E402" s="29"/>
      <c r="F402" s="29"/>
      <c r="G402" s="29"/>
      <c r="H402" s="29"/>
      <c r="I402" s="110"/>
      <c r="J402" s="29"/>
      <c r="K402" s="29"/>
      <c r="L402" s="29"/>
      <c r="M402" s="29"/>
      <c r="N402" s="110"/>
      <c r="O402" s="29"/>
      <c r="P402" s="29"/>
      <c r="Q402" s="482"/>
      <c r="R402" s="29"/>
      <c r="S402" s="740"/>
      <c r="T402" s="29"/>
      <c r="U402" s="29"/>
      <c r="V402" s="29"/>
      <c r="W402" s="29"/>
      <c r="X402" s="110"/>
      <c r="Y402" s="29"/>
      <c r="Z402" s="29"/>
      <c r="AA402" s="29"/>
      <c r="AB402" s="29"/>
      <c r="AC402" s="110"/>
      <c r="AD402" s="9"/>
      <c r="AE402" s="29"/>
      <c r="AF402" s="29"/>
      <c r="AG402" s="29"/>
      <c r="AH402" s="110"/>
      <c r="AI402" s="29"/>
      <c r="AJ402" s="29"/>
      <c r="AK402" s="29"/>
      <c r="AL402" s="29"/>
      <c r="AM402" s="110"/>
      <c r="AN402" s="29"/>
      <c r="AO402" s="29"/>
      <c r="AP402" s="29"/>
      <c r="AQ402" s="29"/>
      <c r="AR402" s="110"/>
      <c r="AS402" s="29"/>
      <c r="AT402" s="29"/>
      <c r="AU402" s="29"/>
      <c r="AV402" s="29"/>
      <c r="AW402" s="110"/>
      <c r="AX402" s="29"/>
      <c r="AY402" s="29"/>
      <c r="AZ402" s="29"/>
      <c r="BA402" s="29"/>
      <c r="BB402" s="950"/>
      <c r="BC402" s="29"/>
      <c r="BD402" s="29"/>
      <c r="BE402" s="29"/>
      <c r="BF402" s="29"/>
      <c r="BG402" s="950"/>
      <c r="BH402" s="29"/>
      <c r="BI402" s="29"/>
      <c r="BJ402" s="29"/>
      <c r="BK402" s="29"/>
      <c r="BL402" s="950"/>
      <c r="BM402" s="29"/>
      <c r="BN402" s="29"/>
      <c r="BO402" s="29"/>
      <c r="BP402" s="29"/>
      <c r="BQ402" s="950"/>
      <c r="BR402" s="29"/>
      <c r="BS402" s="29"/>
      <c r="BT402" s="29"/>
      <c r="BU402" s="29"/>
      <c r="BV402" s="950"/>
      <c r="BW402" s="29"/>
      <c r="BX402" s="29"/>
      <c r="BY402" s="29"/>
      <c r="BZ402" s="29"/>
      <c r="CA402" s="950"/>
      <c r="CC402" s="29"/>
      <c r="CD402" s="29"/>
      <c r="CE402" s="29"/>
      <c r="CF402" s="29"/>
      <c r="CG402" s="29"/>
      <c r="CH402" s="29"/>
      <c r="CI402" s="29"/>
      <c r="CJ402" s="29"/>
      <c r="CK402" s="29"/>
      <c r="CL402" s="29"/>
      <c r="CM402" s="29"/>
      <c r="CN402" s="29"/>
      <c r="CO402" s="29"/>
      <c r="CP402" s="14"/>
      <c r="CQ402" s="14"/>
      <c r="CR402" s="14"/>
      <c r="CS402" s="14"/>
      <c r="CT402" s="14"/>
      <c r="CU402" s="1961"/>
      <c r="DB402" s="1961"/>
      <c r="DC402" s="1961"/>
      <c r="DD402" s="1961"/>
      <c r="DE402" s="1961"/>
      <c r="DF402" s="1961"/>
      <c r="DG402" s="1961"/>
      <c r="DH402" s="1961"/>
      <c r="DI402" s="9"/>
    </row>
    <row r="403" spans="1:113" ht="12" customHeight="1" x14ac:dyDescent="0.25">
      <c r="A403" s="50" t="s">
        <v>263</v>
      </c>
      <c r="B403" s="892"/>
      <c r="C403" s="110"/>
      <c r="D403" s="110"/>
      <c r="E403" s="29"/>
      <c r="F403" s="29"/>
      <c r="G403" s="29"/>
      <c r="H403" s="29"/>
      <c r="I403" s="110"/>
      <c r="J403" s="29"/>
      <c r="K403" s="29"/>
      <c r="L403" s="29"/>
      <c r="M403" s="29"/>
      <c r="N403" s="110"/>
      <c r="O403" s="29"/>
      <c r="P403" s="29"/>
      <c r="Q403" s="29"/>
      <c r="R403" s="29"/>
      <c r="S403" s="110"/>
      <c r="T403" s="29"/>
      <c r="U403" s="29"/>
      <c r="V403" s="29"/>
      <c r="W403" s="29"/>
      <c r="X403" s="110"/>
      <c r="Y403" s="29"/>
      <c r="Z403" s="29"/>
      <c r="AA403" s="29"/>
      <c r="AB403" s="29"/>
      <c r="AC403" s="110"/>
      <c r="AD403" s="9"/>
      <c r="AE403" s="29"/>
      <c r="AF403" s="29"/>
      <c r="AG403" s="29"/>
      <c r="AH403" s="110"/>
      <c r="AI403" s="29"/>
      <c r="AJ403" s="29"/>
      <c r="AK403" s="29"/>
      <c r="AL403" s="29"/>
      <c r="AM403" s="110"/>
      <c r="AN403" s="29"/>
      <c r="AO403" s="29"/>
      <c r="AP403" s="29"/>
      <c r="AQ403" s="29"/>
      <c r="AR403" s="110"/>
      <c r="AS403" s="29"/>
      <c r="AT403" s="29"/>
      <c r="AU403" s="29"/>
      <c r="AV403" s="29"/>
      <c r="AW403" s="110"/>
      <c r="AX403" s="29"/>
      <c r="AY403" s="29"/>
      <c r="AZ403" s="29"/>
      <c r="BA403" s="29"/>
      <c r="BB403" s="950"/>
      <c r="BC403" s="29"/>
      <c r="BD403" s="29"/>
      <c r="BE403" s="29"/>
      <c r="BF403" s="29"/>
      <c r="BG403" s="950"/>
      <c r="BH403" s="29"/>
      <c r="BI403" s="29"/>
      <c r="BJ403" s="29"/>
      <c r="BK403" s="29"/>
      <c r="BL403" s="950"/>
      <c r="BM403" s="29"/>
      <c r="BN403" s="29"/>
      <c r="BO403" s="29"/>
      <c r="BP403" s="29"/>
      <c r="BQ403" s="950"/>
      <c r="BR403" s="29"/>
      <c r="BS403" s="29"/>
      <c r="BT403" s="29"/>
      <c r="BU403" s="29"/>
      <c r="BV403" s="950"/>
      <c r="BW403" s="29"/>
      <c r="BX403" s="29"/>
      <c r="BY403" s="29"/>
      <c r="BZ403" s="29"/>
      <c r="CA403" s="950"/>
      <c r="CC403" s="29"/>
      <c r="CD403" s="29"/>
      <c r="CE403" s="29"/>
      <c r="CF403" s="29"/>
      <c r="CG403" s="29"/>
      <c r="CH403" s="29"/>
      <c r="CI403" s="29"/>
      <c r="CJ403" s="29"/>
      <c r="CK403" s="29"/>
      <c r="CL403" s="29"/>
      <c r="CM403" s="29"/>
      <c r="CN403" s="29"/>
      <c r="CO403" s="29"/>
      <c r="CP403" s="14"/>
      <c r="CQ403" s="14"/>
      <c r="CR403" s="14"/>
      <c r="CS403" s="14"/>
      <c r="CT403" s="14"/>
      <c r="CU403" s="1961"/>
      <c r="DB403" s="1961"/>
      <c r="DC403" s="1961"/>
      <c r="DD403" s="1961"/>
      <c r="DE403" s="1961"/>
      <c r="DF403" s="1961"/>
      <c r="DG403" s="1961"/>
      <c r="DH403" s="1961"/>
      <c r="DI403" s="9"/>
    </row>
    <row r="404" spans="1:113" ht="12" customHeight="1" x14ac:dyDescent="0.25">
      <c r="A404" s="50" t="s">
        <v>264</v>
      </c>
      <c r="B404" s="892"/>
      <c r="C404" s="110"/>
      <c r="D404" s="740">
        <f>C408</f>
        <v>0</v>
      </c>
      <c r="E404" s="482"/>
      <c r="F404" s="447"/>
      <c r="G404" s="482"/>
      <c r="H404" s="482"/>
      <c r="I404" s="740">
        <f>D408</f>
        <v>139.71799999999999</v>
      </c>
      <c r="J404" s="482">
        <f>I408</f>
        <v>141.16</v>
      </c>
      <c r="K404" s="482">
        <f>J408</f>
        <v>133.119</v>
      </c>
      <c r="L404" s="482">
        <f>K408</f>
        <v>119.214</v>
      </c>
      <c r="M404" s="482">
        <f>L408</f>
        <v>112.17400000000001</v>
      </c>
      <c r="N404" s="740">
        <f>I408</f>
        <v>141.16</v>
      </c>
      <c r="O404" s="482">
        <f>N408</f>
        <v>112.71299999999998</v>
      </c>
      <c r="P404" s="482">
        <f>O408</f>
        <v>128.011</v>
      </c>
      <c r="Q404" s="482">
        <f>P408</f>
        <v>119.547</v>
      </c>
      <c r="R404" s="482">
        <f>Q408</f>
        <v>118.33799999999999</v>
      </c>
      <c r="S404" s="740">
        <f>N408</f>
        <v>112.71299999999998</v>
      </c>
      <c r="T404" s="482">
        <f>S408</f>
        <v>108.52600000000001</v>
      </c>
      <c r="U404" s="482">
        <f>T408</f>
        <v>107.248</v>
      </c>
      <c r="V404" s="482">
        <f>U408</f>
        <v>100.22799999999999</v>
      </c>
      <c r="W404" s="482">
        <f>V408</f>
        <v>94.113</v>
      </c>
      <c r="X404" s="740">
        <f>S408</f>
        <v>108.52600000000001</v>
      </c>
      <c r="Y404" s="482">
        <f>X408</f>
        <v>200.22900000000004</v>
      </c>
      <c r="Z404" s="482">
        <f>Y408</f>
        <v>191.774</v>
      </c>
      <c r="AA404" s="482">
        <f>Z408</f>
        <v>241.33</v>
      </c>
      <c r="AB404" s="482">
        <f>AA408</f>
        <v>232.53299999999999</v>
      </c>
      <c r="AC404" s="740">
        <f>X408</f>
        <v>200.22900000000004</v>
      </c>
      <c r="AD404" s="482">
        <f>AC408</f>
        <v>226.42400000000009</v>
      </c>
      <c r="AE404" s="482">
        <f>AD408</f>
        <v>375.74200000000002</v>
      </c>
      <c r="AF404" s="482">
        <f>AE408</f>
        <v>363.55500000000001</v>
      </c>
      <c r="AG404" s="482">
        <f>AF408</f>
        <v>530.02300000000002</v>
      </c>
      <c r="AH404" s="740">
        <f>AC408</f>
        <v>226.42400000000009</v>
      </c>
      <c r="AI404" s="482">
        <f>AH408</f>
        <v>520.93499999999995</v>
      </c>
      <c r="AJ404" s="482">
        <f>AI408</f>
        <v>503.72800000000001</v>
      </c>
      <c r="AK404" s="482">
        <f>AJ408</f>
        <v>486.53199999999998</v>
      </c>
      <c r="AL404" s="482">
        <f>AK408</f>
        <v>471.13900000000001</v>
      </c>
      <c r="AM404" s="740">
        <f>AH408</f>
        <v>520.93499999999995</v>
      </c>
      <c r="AN404" s="482">
        <f>AM408</f>
        <v>447.61799999999999</v>
      </c>
      <c r="AO404" s="482">
        <f>AN408</f>
        <v>434.96800000000002</v>
      </c>
      <c r="AP404" s="482">
        <f>AO408</f>
        <v>420.74700000000001</v>
      </c>
      <c r="AQ404" s="482">
        <f>AP408</f>
        <v>406.56</v>
      </c>
      <c r="AR404" s="740">
        <f>AM408</f>
        <v>447.61799999999999</v>
      </c>
      <c r="AS404" s="482">
        <f>AR408</f>
        <v>406.476</v>
      </c>
      <c r="AT404" s="482">
        <f>AS408</f>
        <v>392.33499999999998</v>
      </c>
      <c r="AU404" s="482">
        <f>AT408</f>
        <v>1655.5650000000001</v>
      </c>
      <c r="AV404" s="482">
        <f>AU408</f>
        <v>1415.566</v>
      </c>
      <c r="AW404" s="740">
        <f>AR408</f>
        <v>406.476</v>
      </c>
      <c r="AX404" s="482">
        <f>AW408</f>
        <v>1376.7449999999999</v>
      </c>
      <c r="AY404" s="482">
        <f>AX408</f>
        <v>1191.47</v>
      </c>
      <c r="AZ404" s="482">
        <f>AY408</f>
        <v>1104.2619999999999</v>
      </c>
      <c r="BA404" s="482">
        <f>AZ408</f>
        <v>1069.0889999999999</v>
      </c>
      <c r="BB404" s="446">
        <f>AW408</f>
        <v>1376.7449999999999</v>
      </c>
      <c r="BC404" s="482">
        <f>BB408</f>
        <v>1010.8000000000002</v>
      </c>
      <c r="BD404" s="482">
        <f>BC408</f>
        <v>1027.2</v>
      </c>
      <c r="BE404" s="482">
        <f>BD408</f>
        <v>1052</v>
      </c>
      <c r="BF404" s="482">
        <f>BE408</f>
        <v>1256.2</v>
      </c>
      <c r="BG404" s="446">
        <f>BB408</f>
        <v>1010.8000000000002</v>
      </c>
      <c r="BH404" s="482">
        <f>BG408</f>
        <v>1345.3000000000002</v>
      </c>
      <c r="BI404" s="482">
        <f>BH408</f>
        <v>1313.0250000000001</v>
      </c>
      <c r="BJ404" s="482">
        <f>BI408</f>
        <v>1280.75</v>
      </c>
      <c r="BK404" s="482">
        <f>BJ408</f>
        <v>1248.4749999999999</v>
      </c>
      <c r="BL404" s="446">
        <f>BG408</f>
        <v>1345.3000000000002</v>
      </c>
      <c r="BM404" s="482">
        <f>BL408</f>
        <v>1216.2000000000003</v>
      </c>
      <c r="BN404" s="482">
        <f>BM408</f>
        <v>1184.1500000000003</v>
      </c>
      <c r="BO404" s="482">
        <f>BN408</f>
        <v>1152.1000000000004</v>
      </c>
      <c r="BP404" s="482">
        <f>BO408</f>
        <v>1120.0500000000004</v>
      </c>
      <c r="BQ404" s="446">
        <f>BL408</f>
        <v>1216.2000000000003</v>
      </c>
      <c r="BR404" s="482">
        <f>BQ408</f>
        <v>1088.0000000000002</v>
      </c>
      <c r="BS404" s="482">
        <f>BR408</f>
        <v>1056.5000000000002</v>
      </c>
      <c r="BT404" s="482">
        <f>BS408</f>
        <v>1025.0000000000002</v>
      </c>
      <c r="BU404" s="482">
        <f>BT408</f>
        <v>993.50000000000023</v>
      </c>
      <c r="BV404" s="446">
        <f>BQ408</f>
        <v>1088.0000000000002</v>
      </c>
      <c r="BW404" s="482">
        <f>BV408</f>
        <v>962.00000000000023</v>
      </c>
      <c r="BX404" s="482">
        <f>BW408</f>
        <v>933.12500000000023</v>
      </c>
      <c r="BY404" s="482">
        <f>BX408</f>
        <v>904.25000000000023</v>
      </c>
      <c r="BZ404" s="482">
        <f>BY408</f>
        <v>875.37500000000023</v>
      </c>
      <c r="CA404" s="446">
        <f>BV408</f>
        <v>962.00000000000023</v>
      </c>
      <c r="CC404" s="29"/>
      <c r="CD404" s="29"/>
      <c r="CE404" s="482"/>
      <c r="CF404" s="482"/>
      <c r="CG404" s="482"/>
      <c r="CH404" s="482"/>
      <c r="CI404" s="482"/>
      <c r="CJ404" s="482"/>
      <c r="CK404" s="482"/>
      <c r="CL404" s="482"/>
      <c r="CM404" s="482"/>
      <c r="CN404" s="482"/>
      <c r="CO404" s="482"/>
      <c r="CP404" s="14"/>
      <c r="CQ404" s="14"/>
      <c r="CR404" s="14"/>
      <c r="CS404" s="14"/>
      <c r="CT404" s="14"/>
      <c r="CU404" s="1961"/>
      <c r="DB404" s="1961"/>
      <c r="DC404" s="1961"/>
      <c r="DD404" s="1961"/>
      <c r="DE404" s="1961"/>
      <c r="DF404" s="1961"/>
      <c r="DG404" s="1961"/>
      <c r="DH404" s="1961"/>
      <c r="DI404" s="640"/>
    </row>
    <row r="405" spans="1:113" ht="12" customHeight="1" x14ac:dyDescent="0.25">
      <c r="A405" s="46" t="s">
        <v>265</v>
      </c>
      <c r="B405" s="892"/>
      <c r="C405" s="110"/>
      <c r="D405" s="897">
        <f>-D115</f>
        <v>-26.853999999999999</v>
      </c>
      <c r="E405" s="483"/>
      <c r="F405" s="468"/>
      <c r="G405" s="483"/>
      <c r="H405" s="483"/>
      <c r="I405" s="897">
        <f>SUM(E405:H405)</f>
        <v>0</v>
      </c>
      <c r="J405" s="483">
        <f>-J115</f>
        <v>-8.0410000000000004</v>
      </c>
      <c r="K405" s="483">
        <f>-K115</f>
        <v>-6.895999999999999</v>
      </c>
      <c r="L405" s="483">
        <f>-L115</f>
        <v>-7.0410000000000021</v>
      </c>
      <c r="M405" s="483">
        <f>-M115</f>
        <v>-7.5769999999999982</v>
      </c>
      <c r="N405" s="897">
        <f>SUM(J405:M405)</f>
        <v>-29.555</v>
      </c>
      <c r="O405" s="483">
        <f>-O115</f>
        <v>-8.51</v>
      </c>
      <c r="P405" s="483">
        <f>-P115</f>
        <v>-8.4640000000000004</v>
      </c>
      <c r="Q405" s="483">
        <f>-Q115</f>
        <v>-8.0120000000000005</v>
      </c>
      <c r="R405" s="483">
        <f>-R115</f>
        <v>-7.6350000000000016</v>
      </c>
      <c r="S405" s="897">
        <f>SUM(O405:R405)</f>
        <v>-32.621000000000002</v>
      </c>
      <c r="T405" s="483">
        <f>-T115</f>
        <v>-7.3040000000000003</v>
      </c>
      <c r="U405" s="483">
        <f>-U115</f>
        <v>-7.02</v>
      </c>
      <c r="V405" s="483">
        <f>-V115</f>
        <v>-6.1579999999999995</v>
      </c>
      <c r="W405" s="483">
        <f>-W115</f>
        <v>-6.9160000000000004</v>
      </c>
      <c r="X405" s="897">
        <f>SUM(T405:W405)</f>
        <v>-27.398</v>
      </c>
      <c r="Y405" s="483">
        <f t="shared" ref="Y405:AG405" si="526">-Y115</f>
        <v>-8.4550000000000001</v>
      </c>
      <c r="Z405" s="483">
        <f t="shared" si="526"/>
        <v>-8.8769999999999989</v>
      </c>
      <c r="AA405" s="483">
        <f t="shared" si="526"/>
        <v>-8.7970000000000006</v>
      </c>
      <c r="AB405" s="483">
        <f t="shared" si="526"/>
        <v>-8.6630000000000038</v>
      </c>
      <c r="AC405" s="897">
        <f t="shared" si="526"/>
        <v>-34.792000000000002</v>
      </c>
      <c r="AD405" s="483">
        <f t="shared" si="526"/>
        <v>-8.5869999999999997</v>
      </c>
      <c r="AE405" s="483">
        <f t="shared" si="526"/>
        <v>-12.186999999999999</v>
      </c>
      <c r="AF405" s="483">
        <f t="shared" si="526"/>
        <v>-15.442</v>
      </c>
      <c r="AG405" s="483">
        <f t="shared" si="526"/>
        <v>-17.359000000000002</v>
      </c>
      <c r="AH405" s="897">
        <f>SUM(AD405:AG405)</f>
        <v>-53.575000000000003</v>
      </c>
      <c r="AI405" s="483">
        <f>-AI115</f>
        <v>-17.052</v>
      </c>
      <c r="AJ405" s="483">
        <f>-AJ115</f>
        <v>-17.061</v>
      </c>
      <c r="AK405" s="483">
        <f>-AK115</f>
        <v>-15.258000000000001</v>
      </c>
      <c r="AL405" s="483">
        <f>-AL115</f>
        <v>-14.37</v>
      </c>
      <c r="AM405" s="897">
        <f>SUM(AI405:AL405)</f>
        <v>-63.741</v>
      </c>
      <c r="AN405" s="483">
        <f>-AN115</f>
        <v>-14.212</v>
      </c>
      <c r="AO405" s="483">
        <f>-AO115</f>
        <v>-14.221</v>
      </c>
      <c r="AP405" s="483">
        <f>-AP115</f>
        <v>-14.187000000000001</v>
      </c>
      <c r="AQ405" s="483">
        <f>-AQ115</f>
        <v>-14.361999999999995</v>
      </c>
      <c r="AR405" s="897">
        <f>SUM(AN405:AQ405)</f>
        <v>-56.981999999999999</v>
      </c>
      <c r="AS405" s="483">
        <f>-AS115</f>
        <v>-14.141</v>
      </c>
      <c r="AT405" s="483">
        <f>-AT115</f>
        <v>-28.811999999999998</v>
      </c>
      <c r="AU405" s="483">
        <f>-AU115</f>
        <v>-18.542999999999999</v>
      </c>
      <c r="AV405" s="483">
        <f>-AV115</f>
        <v>-33.633000000000003</v>
      </c>
      <c r="AW405" s="897">
        <f>SUM(AS405:AV405)</f>
        <v>-95.128999999999991</v>
      </c>
      <c r="AX405" s="483">
        <f>-AX115</f>
        <v>-29.774999999999999</v>
      </c>
      <c r="AY405" s="483">
        <f>-AY115</f>
        <v>-23.806000000000004</v>
      </c>
      <c r="AZ405" s="483">
        <f>-AZ115</f>
        <v>-22.677999999999997</v>
      </c>
      <c r="BA405" s="483">
        <f>-BA115</f>
        <v>-22.141000000000005</v>
      </c>
      <c r="BB405" s="469">
        <f>SUM(AX405:BA405)</f>
        <v>-98.4</v>
      </c>
      <c r="BC405" s="483">
        <f>-BC115</f>
        <v>-22.3</v>
      </c>
      <c r="BD405" s="483">
        <f>-BD115</f>
        <v>-23.900000000000002</v>
      </c>
      <c r="BE405" s="483">
        <f>-BE115</f>
        <v>-27.399999999999988</v>
      </c>
      <c r="BF405" s="483">
        <f>-BF115</f>
        <v>-28.200000000000003</v>
      </c>
      <c r="BG405" s="469">
        <f>SUM(BC405:BF405)</f>
        <v>-101.8</v>
      </c>
      <c r="BH405" s="483">
        <f>-BH115</f>
        <v>-32.274999999999999</v>
      </c>
      <c r="BI405" s="483">
        <f>-BI115</f>
        <v>-32.274999999999999</v>
      </c>
      <c r="BJ405" s="483">
        <f>-BJ115</f>
        <v>-32.274999999999999</v>
      </c>
      <c r="BK405" s="483">
        <f>-BK115</f>
        <v>-32.274999999999999</v>
      </c>
      <c r="BL405" s="469">
        <f>SUM(BH405:BK405)</f>
        <v>-129.1</v>
      </c>
      <c r="BM405" s="483">
        <f>-BM115</f>
        <v>-32.049999999999997</v>
      </c>
      <c r="BN405" s="483">
        <f>-BN115</f>
        <v>-32.049999999999997</v>
      </c>
      <c r="BO405" s="483">
        <f>-BO115</f>
        <v>-32.049999999999997</v>
      </c>
      <c r="BP405" s="483">
        <f>-BP115</f>
        <v>-32.049999999999997</v>
      </c>
      <c r="BQ405" s="469">
        <f>SUM(BM405:BP405)</f>
        <v>-128.19999999999999</v>
      </c>
      <c r="BR405" s="483">
        <f>-BR115</f>
        <v>-31.5</v>
      </c>
      <c r="BS405" s="483">
        <f>-BS115</f>
        <v>-31.5</v>
      </c>
      <c r="BT405" s="483">
        <f>-BT115</f>
        <v>-31.5</v>
      </c>
      <c r="BU405" s="483">
        <f>-BU115</f>
        <v>-31.5</v>
      </c>
      <c r="BV405" s="469">
        <f>SUM(BR405:BU405)</f>
        <v>-126</v>
      </c>
      <c r="BW405" s="483">
        <f>-BW115</f>
        <v>-28.875</v>
      </c>
      <c r="BX405" s="483">
        <f>-BX115</f>
        <v>-28.875</v>
      </c>
      <c r="BY405" s="483">
        <f>-BY115</f>
        <v>-28.875</v>
      </c>
      <c r="BZ405" s="483">
        <f>-BZ115</f>
        <v>-28.875</v>
      </c>
      <c r="CA405" s="469">
        <f>SUM(BW405:BZ405)</f>
        <v>-115.5</v>
      </c>
      <c r="CC405" s="29"/>
      <c r="CD405" s="29"/>
      <c r="CE405" s="483"/>
      <c r="CF405" s="483"/>
      <c r="CG405" s="483"/>
      <c r="CH405" s="483"/>
      <c r="CI405" s="483"/>
      <c r="CJ405" s="483"/>
      <c r="CK405" s="483"/>
      <c r="CL405" s="483"/>
      <c r="CM405" s="483"/>
      <c r="CN405" s="483"/>
      <c r="CO405" s="483"/>
      <c r="CP405" s="14"/>
      <c r="CQ405" s="14"/>
      <c r="CR405" s="14"/>
      <c r="CS405" s="14"/>
      <c r="CT405" s="14"/>
      <c r="CU405" s="1961"/>
      <c r="DB405" s="1961"/>
      <c r="DC405" s="1961"/>
      <c r="DD405" s="1961"/>
      <c r="DE405" s="1961"/>
      <c r="DF405" s="1961"/>
      <c r="DG405" s="1961"/>
      <c r="DH405" s="1961"/>
      <c r="DI405" s="657"/>
    </row>
    <row r="406" spans="1:113" ht="12" customHeight="1" x14ac:dyDescent="0.25">
      <c r="A406" s="46" t="s">
        <v>266</v>
      </c>
      <c r="B406" s="892"/>
      <c r="C406" s="110"/>
      <c r="D406" s="897">
        <f>D408-SUM(D404:D405)</f>
        <v>166.572</v>
      </c>
      <c r="E406" s="947"/>
      <c r="F406" s="947"/>
      <c r="G406" s="483"/>
      <c r="H406" s="483"/>
      <c r="I406" s="897">
        <f>I408-SUM(I404:I405)</f>
        <v>1.4420000000000073</v>
      </c>
      <c r="J406" s="483">
        <f>J408-SUM(J404:J405)</f>
        <v>0</v>
      </c>
      <c r="K406" s="483">
        <f>K408-SUM(K404:K405)</f>
        <v>-7.0090000000000003</v>
      </c>
      <c r="L406" s="483">
        <f>L408-SUM(L404:L405)</f>
        <v>1.0000000000047748E-3</v>
      </c>
      <c r="M406" s="483">
        <f>M408-SUM(M404:M405)</f>
        <v>8.1159999999999854</v>
      </c>
      <c r="N406" s="897">
        <f>SUM(J406:M406)</f>
        <v>1.1079999999999899</v>
      </c>
      <c r="O406" s="483">
        <f>O408-SUM(O404:O405)</f>
        <v>23.808000000000021</v>
      </c>
      <c r="P406" s="483">
        <f>P408-SUM(P404:P405)</f>
        <v>0</v>
      </c>
      <c r="Q406" s="483">
        <f>Q408-SUM(Q404:Q405)</f>
        <v>6.8029999999999973</v>
      </c>
      <c r="R406" s="483">
        <f>R408-SUM(R404:R405)</f>
        <v>-2.1769999999999925</v>
      </c>
      <c r="S406" s="897">
        <f>SUM(O406:R406)</f>
        <v>28.434000000000026</v>
      </c>
      <c r="T406" s="483">
        <f>T408-SUM(T404:T405)</f>
        <v>6.0259999999999962</v>
      </c>
      <c r="U406" s="483">
        <f>U408-SUM(U404:U405)</f>
        <v>0</v>
      </c>
      <c r="V406" s="483">
        <f>V408-SUM(V404:V405)</f>
        <v>4.3000000000006366E-2</v>
      </c>
      <c r="W406" s="483">
        <f>W408-SUM(W404:W405)</f>
        <v>113.03200000000001</v>
      </c>
      <c r="X406" s="897">
        <f>SUM(T406:W406)</f>
        <v>119.10100000000001</v>
      </c>
      <c r="Y406" s="483">
        <f>Y408-SUM(Y404:Y405)</f>
        <v>0</v>
      </c>
      <c r="Z406" s="483">
        <f>Z408-SUM(Z404:Z405)</f>
        <v>58.433000000000021</v>
      </c>
      <c r="AA406" s="483">
        <f>AA408-SUM(AA404:AA405)</f>
        <v>0</v>
      </c>
      <c r="AB406" s="483">
        <f>AB408-SUM(AB404:AB405)</f>
        <v>2.5540000000000305</v>
      </c>
      <c r="AC406" s="897">
        <f>SUM(Y406:AB406)</f>
        <v>60.987000000000052</v>
      </c>
      <c r="AD406" s="483">
        <f>AD408-SUM(AD404:AD405)</f>
        <v>157.90499999999992</v>
      </c>
      <c r="AE406" s="483">
        <f>AE408-SUM(AE404:AE405)</f>
        <v>0</v>
      </c>
      <c r="AF406" s="483">
        <f>AF408-SUM(AF404:AF405)</f>
        <v>181.91000000000003</v>
      </c>
      <c r="AG406" s="483">
        <f>AG408-SUM(AG404:AG405)</f>
        <v>8.2709999999999582</v>
      </c>
      <c r="AH406" s="897">
        <f>SUM(AD406:AG406)</f>
        <v>348.0859999999999</v>
      </c>
      <c r="AI406" s="483">
        <f>AI408-SUM(AI404:AI405)</f>
        <v>-0.15499999999991587</v>
      </c>
      <c r="AJ406" s="483">
        <f>AJ408-SUM(AJ404:AJ405)</f>
        <v>-0.13500000000004775</v>
      </c>
      <c r="AK406" s="483">
        <f>AK408-SUM(AK404:AK405)</f>
        <v>-0.13499999999999091</v>
      </c>
      <c r="AL406" s="483">
        <f>AL408-SUM(AL404:AL405)</f>
        <v>-9.1510000000000105</v>
      </c>
      <c r="AM406" s="897">
        <f>SUM(AI406:AL406)</f>
        <v>-9.575999999999965</v>
      </c>
      <c r="AN406" s="483">
        <f>AN408-SUM(AN404:AN405)</f>
        <v>1.5620000000000118</v>
      </c>
      <c r="AO406" s="483">
        <f>AO408-SUM(AO404:AO405)</f>
        <v>0</v>
      </c>
      <c r="AP406" s="483">
        <f>AP408-SUM(AP404:AP405)</f>
        <v>0</v>
      </c>
      <c r="AQ406" s="483">
        <f>AQ408-SUM(AQ404:AQ405)</f>
        <v>14.27800000000002</v>
      </c>
      <c r="AR406" s="897">
        <f>SUM(AN406:AQ406)</f>
        <v>15.840000000000032</v>
      </c>
      <c r="AS406" s="483">
        <f>AS408-SUM(AS404:AS405)</f>
        <v>0</v>
      </c>
      <c r="AT406" s="483">
        <f>AT408-SUM(AT404:AT405)</f>
        <v>1292.0420000000001</v>
      </c>
      <c r="AU406" s="483">
        <f>AU408-SUM(AU404:AU405)</f>
        <v>-221.45600000000013</v>
      </c>
      <c r="AV406" s="483">
        <f>AV408-SUM(AV404:AV405)</f>
        <v>-5.1880000000001019</v>
      </c>
      <c r="AW406" s="897">
        <f>SUM(AS406:AV406)</f>
        <v>1065.3979999999999</v>
      </c>
      <c r="AX406" s="483">
        <f>AX408-SUM(AX404:AX405)</f>
        <v>-155.49999999999977</v>
      </c>
      <c r="AY406" s="483">
        <f>AY408-SUM(AY404:AY405)</f>
        <v>-63.402000000000044</v>
      </c>
      <c r="AZ406" s="483">
        <f>AZ408-SUM(AZ404:AZ405)</f>
        <v>-12.494999999999891</v>
      </c>
      <c r="BA406" s="483">
        <f>BA408-SUM(BA404:BA405)</f>
        <v>-36.147999999999911</v>
      </c>
      <c r="BB406" s="469">
        <f>SUM(AX406:BA406)</f>
        <v>-267.54499999999962</v>
      </c>
      <c r="BC406" s="483">
        <f>BC408-SUM(BC404:BC405)</f>
        <v>38.699999999999818</v>
      </c>
      <c r="BD406" s="483">
        <f>BD408-SUM(BD404:BD405)</f>
        <v>48.699999999999932</v>
      </c>
      <c r="BE406" s="483">
        <f>BE408-SUM(BE404:BE405)</f>
        <v>231.60000000000014</v>
      </c>
      <c r="BF406" s="483">
        <f>BF408-SUM(BF404:BF405)</f>
        <v>117.29999999999995</v>
      </c>
      <c r="BG406" s="469">
        <f>SUM(BC406:BF406)</f>
        <v>436.29999999999984</v>
      </c>
      <c r="BH406" s="1988">
        <f>-BH393*BH138</f>
        <v>0</v>
      </c>
      <c r="BI406" s="483">
        <f>-BI393*BI138</f>
        <v>0</v>
      </c>
      <c r="BJ406" s="483">
        <f>-BJ393*BJ138</f>
        <v>0</v>
      </c>
      <c r="BK406" s="657">
        <f>-BK393*BK138</f>
        <v>0</v>
      </c>
      <c r="BL406" s="469">
        <f>SUM(BH406:BK406)</f>
        <v>0</v>
      </c>
      <c r="BM406" s="657">
        <f>-BM393*BM138</f>
        <v>0</v>
      </c>
      <c r="BN406" s="483">
        <f>-BN393*BN138</f>
        <v>0</v>
      </c>
      <c r="BO406" s="483">
        <f>-BO393*BO138</f>
        <v>0</v>
      </c>
      <c r="BP406" s="657">
        <f>-BP393*BP138</f>
        <v>0</v>
      </c>
      <c r="BQ406" s="469">
        <f>SUM(BM406:BP406)</f>
        <v>0</v>
      </c>
      <c r="BR406" s="657">
        <f>-BR393*BR138</f>
        <v>0</v>
      </c>
      <c r="BS406" s="483">
        <f>-BS393*BS138</f>
        <v>0</v>
      </c>
      <c r="BT406" s="483">
        <f>-BT393*BT138</f>
        <v>0</v>
      </c>
      <c r="BU406" s="657">
        <f>-BU393*BU138</f>
        <v>0</v>
      </c>
      <c r="BV406" s="469">
        <f>SUM(BR406:BU406)</f>
        <v>0</v>
      </c>
      <c r="BW406" s="657">
        <f>-BW393*BW138</f>
        <v>0</v>
      </c>
      <c r="BX406" s="483">
        <f>-BX393*BX138</f>
        <v>0</v>
      </c>
      <c r="BY406" s="483">
        <f>-BY393*BY138</f>
        <v>0</v>
      </c>
      <c r="BZ406" s="657">
        <f>-BZ393*BZ138</f>
        <v>0</v>
      </c>
      <c r="CA406" s="469">
        <f>SUM(BW406:BZ406)</f>
        <v>0</v>
      </c>
      <c r="CC406" s="29"/>
      <c r="CD406" s="29"/>
      <c r="CE406" s="483"/>
      <c r="CF406" s="483"/>
      <c r="CG406" s="483"/>
      <c r="CH406" s="483"/>
      <c r="CI406" s="483"/>
      <c r="CJ406" s="483"/>
      <c r="CK406" s="483"/>
      <c r="CL406" s="483"/>
      <c r="CM406" s="483"/>
      <c r="CN406" s="483"/>
      <c r="CO406" s="483"/>
      <c r="CP406" s="14"/>
      <c r="CQ406" s="14"/>
      <c r="CR406" s="14"/>
      <c r="CS406" s="14"/>
      <c r="CT406" s="14"/>
      <c r="CU406" s="1961"/>
      <c r="DB406" s="1961"/>
      <c r="DC406" s="1961"/>
      <c r="DD406" s="1961"/>
      <c r="DE406" s="1961"/>
      <c r="DF406" s="1961"/>
      <c r="DG406" s="1961"/>
      <c r="DH406" s="1961"/>
      <c r="DI406" s="657"/>
    </row>
    <row r="407" spans="1:113" ht="5.25" customHeight="1" x14ac:dyDescent="0.25">
      <c r="A407" s="431"/>
      <c r="B407" s="948"/>
      <c r="C407" s="129" t="s">
        <v>60</v>
      </c>
      <c r="D407" s="674" t="s">
        <v>60</v>
      </c>
      <c r="E407" s="130"/>
      <c r="F407" s="675"/>
      <c r="G407" s="675"/>
      <c r="H407" s="675"/>
      <c r="I407" s="129" t="s">
        <v>60</v>
      </c>
      <c r="J407" s="130" t="s">
        <v>60</v>
      </c>
      <c r="K407" s="675" t="s">
        <v>60</v>
      </c>
      <c r="L407" s="675" t="s">
        <v>60</v>
      </c>
      <c r="M407" s="675" t="s">
        <v>60</v>
      </c>
      <c r="N407" s="129" t="s">
        <v>60</v>
      </c>
      <c r="O407" s="130" t="s">
        <v>60</v>
      </c>
      <c r="P407" s="130" t="s">
        <v>60</v>
      </c>
      <c r="Q407" s="675" t="s">
        <v>60</v>
      </c>
      <c r="R407" s="675" t="s">
        <v>60</v>
      </c>
      <c r="S407" s="129" t="s">
        <v>60</v>
      </c>
      <c r="T407" s="130" t="s">
        <v>60</v>
      </c>
      <c r="U407" s="130" t="s">
        <v>60</v>
      </c>
      <c r="V407" s="130" t="s">
        <v>60</v>
      </c>
      <c r="W407" s="130" t="s">
        <v>60</v>
      </c>
      <c r="X407" s="129" t="s">
        <v>60</v>
      </c>
      <c r="Y407" s="130" t="s">
        <v>60</v>
      </c>
      <c r="Z407" s="130" t="s">
        <v>60</v>
      </c>
      <c r="AA407" s="130" t="s">
        <v>60</v>
      </c>
      <c r="AB407" s="130" t="s">
        <v>60</v>
      </c>
      <c r="AC407" s="674" t="s">
        <v>60</v>
      </c>
      <c r="AD407" s="130" t="s">
        <v>60</v>
      </c>
      <c r="AE407" s="130" t="s">
        <v>60</v>
      </c>
      <c r="AF407" s="130" t="s">
        <v>60</v>
      </c>
      <c r="AG407" s="130" t="s">
        <v>60</v>
      </c>
      <c r="AH407" s="674" t="s">
        <v>60</v>
      </c>
      <c r="AI407" s="130" t="s">
        <v>60</v>
      </c>
      <c r="AJ407" s="130" t="s">
        <v>60</v>
      </c>
      <c r="AK407" s="130" t="s">
        <v>60</v>
      </c>
      <c r="AL407" s="130" t="s">
        <v>60</v>
      </c>
      <c r="AM407" s="674" t="s">
        <v>60</v>
      </c>
      <c r="AN407" s="130" t="s">
        <v>60</v>
      </c>
      <c r="AO407" s="130" t="s">
        <v>60</v>
      </c>
      <c r="AP407" s="130" t="s">
        <v>60</v>
      </c>
      <c r="AQ407" s="130" t="s">
        <v>60</v>
      </c>
      <c r="AR407" s="674" t="s">
        <v>60</v>
      </c>
      <c r="AS407" s="130" t="s">
        <v>60</v>
      </c>
      <c r="AT407" s="130" t="s">
        <v>60</v>
      </c>
      <c r="AU407" s="130" t="s">
        <v>60</v>
      </c>
      <c r="AV407" s="130" t="s">
        <v>60</v>
      </c>
      <c r="AW407" s="674" t="s">
        <v>60</v>
      </c>
      <c r="AX407" s="130" t="s">
        <v>60</v>
      </c>
      <c r="AY407" s="130" t="s">
        <v>60</v>
      </c>
      <c r="AZ407" s="130" t="s">
        <v>60</v>
      </c>
      <c r="BA407" s="130" t="s">
        <v>60</v>
      </c>
      <c r="BB407" s="674" t="s">
        <v>60</v>
      </c>
      <c r="BC407" s="130" t="s">
        <v>60</v>
      </c>
      <c r="BD407" s="130" t="s">
        <v>60</v>
      </c>
      <c r="BE407" s="130" t="s">
        <v>60</v>
      </c>
      <c r="BF407" s="130" t="s">
        <v>60</v>
      </c>
      <c r="BG407" s="674" t="s">
        <v>60</v>
      </c>
      <c r="BH407" s="130" t="s">
        <v>60</v>
      </c>
      <c r="BI407" s="130" t="s">
        <v>60</v>
      </c>
      <c r="BJ407" s="130" t="s">
        <v>60</v>
      </c>
      <c r="BK407" s="130" t="s">
        <v>60</v>
      </c>
      <c r="BL407" s="674" t="s">
        <v>60</v>
      </c>
      <c r="BM407" s="130" t="s">
        <v>60</v>
      </c>
      <c r="BN407" s="130" t="s">
        <v>60</v>
      </c>
      <c r="BO407" s="130" t="s">
        <v>60</v>
      </c>
      <c r="BP407" s="130" t="s">
        <v>60</v>
      </c>
      <c r="BQ407" s="674" t="s">
        <v>60</v>
      </c>
      <c r="BR407" s="130" t="s">
        <v>60</v>
      </c>
      <c r="BS407" s="130" t="s">
        <v>60</v>
      </c>
      <c r="BT407" s="130" t="s">
        <v>60</v>
      </c>
      <c r="BU407" s="130" t="s">
        <v>60</v>
      </c>
      <c r="BV407" s="674" t="s">
        <v>60</v>
      </c>
      <c r="BW407" s="130" t="s">
        <v>60</v>
      </c>
      <c r="BX407" s="130" t="s">
        <v>60</v>
      </c>
      <c r="BY407" s="130" t="s">
        <v>60</v>
      </c>
      <c r="BZ407" s="130" t="s">
        <v>60</v>
      </c>
      <c r="CA407" s="674" t="s">
        <v>60</v>
      </c>
      <c r="CC407" s="29"/>
      <c r="CD407" s="29"/>
      <c r="CE407" s="675"/>
      <c r="CF407" s="675"/>
      <c r="CG407" s="675"/>
      <c r="CH407" s="675"/>
      <c r="CI407" s="675"/>
      <c r="CJ407" s="675"/>
      <c r="CK407" s="675"/>
      <c r="CL407" s="675"/>
      <c r="CM407" s="675"/>
      <c r="CN407" s="675"/>
      <c r="CO407" s="675"/>
      <c r="CP407" s="14"/>
      <c r="CQ407" s="14"/>
      <c r="CR407" s="14"/>
      <c r="CS407" s="14"/>
      <c r="CT407" s="14"/>
      <c r="CU407" s="1961"/>
      <c r="DB407" s="1961"/>
      <c r="DC407" s="1961"/>
      <c r="DD407" s="1961"/>
      <c r="DE407" s="1961"/>
      <c r="DF407" s="1961"/>
      <c r="DG407" s="1961"/>
      <c r="DH407" s="1961"/>
      <c r="DI407" s="259"/>
    </row>
    <row r="408" spans="1:113" ht="12" customHeight="1" x14ac:dyDescent="0.25">
      <c r="A408" s="50" t="s">
        <v>267</v>
      </c>
      <c r="B408" s="949"/>
      <c r="C408" s="740">
        <f>C186</f>
        <v>0</v>
      </c>
      <c r="D408" s="740">
        <f>D186</f>
        <v>139.71799999999999</v>
      </c>
      <c r="E408" s="947"/>
      <c r="F408" s="447"/>
      <c r="G408" s="482"/>
      <c r="H408" s="482"/>
      <c r="I408" s="740">
        <f>I186</f>
        <v>141.16</v>
      </c>
      <c r="J408" s="482">
        <f>J186</f>
        <v>133.119</v>
      </c>
      <c r="K408" s="482">
        <f>K186</f>
        <v>119.214</v>
      </c>
      <c r="L408" s="482">
        <f>L186</f>
        <v>112.17400000000001</v>
      </c>
      <c r="M408" s="482">
        <f>M186</f>
        <v>112.71299999999999</v>
      </c>
      <c r="N408" s="740">
        <f>SUM(N404:N406)</f>
        <v>112.71299999999998</v>
      </c>
      <c r="O408" s="482">
        <f>O186</f>
        <v>128.011</v>
      </c>
      <c r="P408" s="482">
        <f>P186</f>
        <v>119.547</v>
      </c>
      <c r="Q408" s="482">
        <f>Q186</f>
        <v>118.33799999999999</v>
      </c>
      <c r="R408" s="482">
        <f>R186</f>
        <v>108.526</v>
      </c>
      <c r="S408" s="740">
        <f>SUM(S404:S406)</f>
        <v>108.52600000000001</v>
      </c>
      <c r="T408" s="482">
        <f>T186</f>
        <v>107.248</v>
      </c>
      <c r="U408" s="482">
        <f>U186</f>
        <v>100.22799999999999</v>
      </c>
      <c r="V408" s="482">
        <f>V186</f>
        <v>94.113</v>
      </c>
      <c r="W408" s="482">
        <f>W186</f>
        <v>200.22900000000001</v>
      </c>
      <c r="X408" s="740">
        <f>SUM(X404:X406)</f>
        <v>200.22900000000004</v>
      </c>
      <c r="Y408" s="482">
        <f>Y186</f>
        <v>191.774</v>
      </c>
      <c r="Z408" s="482">
        <f>Z186</f>
        <v>241.33</v>
      </c>
      <c r="AA408" s="482">
        <f>AA186</f>
        <v>232.53299999999999</v>
      </c>
      <c r="AB408" s="482">
        <f>AB186</f>
        <v>226.42400000000001</v>
      </c>
      <c r="AC408" s="740">
        <f>SUM(AC404:AC406)</f>
        <v>226.42400000000009</v>
      </c>
      <c r="AD408" s="482">
        <f>AD186</f>
        <v>375.74200000000002</v>
      </c>
      <c r="AE408" s="482">
        <f>AE186</f>
        <v>363.55500000000001</v>
      </c>
      <c r="AF408" s="482">
        <f>AF186</f>
        <v>530.02300000000002</v>
      </c>
      <c r="AG408" s="482">
        <f>AG186</f>
        <v>520.93499999999995</v>
      </c>
      <c r="AH408" s="740">
        <f>SUM(AH404:AH406)</f>
        <v>520.93499999999995</v>
      </c>
      <c r="AI408" s="482">
        <f>AI186</f>
        <v>503.72800000000001</v>
      </c>
      <c r="AJ408" s="482">
        <f>AJ186</f>
        <v>486.53199999999998</v>
      </c>
      <c r="AK408" s="482">
        <f>AK186</f>
        <v>471.13900000000001</v>
      </c>
      <c r="AL408" s="482">
        <f>AL186</f>
        <v>447.61799999999999</v>
      </c>
      <c r="AM408" s="740">
        <f>SUM(AM404:AM406)</f>
        <v>447.61799999999999</v>
      </c>
      <c r="AN408" s="482">
        <f>AN186</f>
        <v>434.96800000000002</v>
      </c>
      <c r="AO408" s="482">
        <f>AO186</f>
        <v>420.74700000000001</v>
      </c>
      <c r="AP408" s="482">
        <f>AP186</f>
        <v>406.56</v>
      </c>
      <c r="AQ408" s="482">
        <f>AQ186</f>
        <v>406.476</v>
      </c>
      <c r="AR408" s="740">
        <f>SUM(AR404:AR406)</f>
        <v>406.476</v>
      </c>
      <c r="AS408" s="482">
        <f>AS186</f>
        <v>392.33499999999998</v>
      </c>
      <c r="AT408" s="482">
        <f>AT186</f>
        <v>1655.5650000000001</v>
      </c>
      <c r="AU408" s="482">
        <f>AU186</f>
        <v>1415.566</v>
      </c>
      <c r="AV408" s="482">
        <f>AV186</f>
        <v>1376.7449999999999</v>
      </c>
      <c r="AW408" s="740">
        <f t="shared" ref="AW408:BG408" si="527">SUM(AW404:AW406)</f>
        <v>1376.7449999999999</v>
      </c>
      <c r="AX408" s="482">
        <f>AX186</f>
        <v>1191.47</v>
      </c>
      <c r="AY408" s="482">
        <f>AY186</f>
        <v>1104.2619999999999</v>
      </c>
      <c r="AZ408" s="482">
        <f>AZ186</f>
        <v>1069.0889999999999</v>
      </c>
      <c r="BA408" s="482">
        <f>BA186</f>
        <v>1010.8</v>
      </c>
      <c r="BB408" s="446">
        <f t="shared" si="527"/>
        <v>1010.8000000000002</v>
      </c>
      <c r="BC408" s="482">
        <f>BC186</f>
        <v>1027.2</v>
      </c>
      <c r="BD408" s="482">
        <f>BD186</f>
        <v>1052</v>
      </c>
      <c r="BE408" s="482">
        <f>BE186</f>
        <v>1256.2</v>
      </c>
      <c r="BF408" s="482">
        <f>BF186</f>
        <v>1345.3</v>
      </c>
      <c r="BG408" s="446">
        <f t="shared" si="527"/>
        <v>1345.3000000000002</v>
      </c>
      <c r="BH408" s="482">
        <f t="shared" ref="BH408:CA408" si="528">SUM(BH404:BH406)</f>
        <v>1313.0250000000001</v>
      </c>
      <c r="BI408" s="482">
        <f t="shared" si="528"/>
        <v>1280.75</v>
      </c>
      <c r="BJ408" s="482">
        <f t="shared" si="528"/>
        <v>1248.4749999999999</v>
      </c>
      <c r="BK408" s="482">
        <f t="shared" si="528"/>
        <v>1216.1999999999998</v>
      </c>
      <c r="BL408" s="446">
        <f t="shared" si="528"/>
        <v>1216.2000000000003</v>
      </c>
      <c r="BM408" s="482">
        <f t="shared" si="528"/>
        <v>1184.1500000000003</v>
      </c>
      <c r="BN408" s="482">
        <f t="shared" si="528"/>
        <v>1152.1000000000004</v>
      </c>
      <c r="BO408" s="482">
        <f t="shared" si="528"/>
        <v>1120.0500000000004</v>
      </c>
      <c r="BP408" s="482">
        <f t="shared" si="528"/>
        <v>1088.0000000000005</v>
      </c>
      <c r="BQ408" s="446">
        <f t="shared" si="528"/>
        <v>1088.0000000000002</v>
      </c>
      <c r="BR408" s="482">
        <f t="shared" si="528"/>
        <v>1056.5000000000002</v>
      </c>
      <c r="BS408" s="482">
        <f t="shared" si="528"/>
        <v>1025.0000000000002</v>
      </c>
      <c r="BT408" s="482">
        <f t="shared" si="528"/>
        <v>993.50000000000023</v>
      </c>
      <c r="BU408" s="482">
        <f t="shared" si="528"/>
        <v>962.00000000000023</v>
      </c>
      <c r="BV408" s="446">
        <f t="shared" si="528"/>
        <v>962.00000000000023</v>
      </c>
      <c r="BW408" s="482">
        <f t="shared" si="528"/>
        <v>933.12500000000023</v>
      </c>
      <c r="BX408" s="482">
        <f t="shared" si="528"/>
        <v>904.25000000000023</v>
      </c>
      <c r="BY408" s="482">
        <f t="shared" si="528"/>
        <v>875.37500000000023</v>
      </c>
      <c r="BZ408" s="482">
        <f t="shared" si="528"/>
        <v>846.50000000000023</v>
      </c>
      <c r="CA408" s="446">
        <f t="shared" si="528"/>
        <v>846.50000000000023</v>
      </c>
      <c r="CC408" s="29"/>
      <c r="CD408" s="29"/>
      <c r="CE408" s="482"/>
      <c r="CF408" s="482"/>
      <c r="CG408" s="482"/>
      <c r="CH408" s="482"/>
      <c r="CI408" s="482"/>
      <c r="CJ408" s="482"/>
      <c r="CK408" s="482"/>
      <c r="CL408" s="482"/>
      <c r="CM408" s="482"/>
      <c r="CN408" s="482"/>
      <c r="CO408" s="482"/>
      <c r="CP408" s="14"/>
      <c r="CQ408" s="14"/>
      <c r="CR408" s="14"/>
      <c r="CS408" s="14"/>
      <c r="CT408" s="14"/>
      <c r="CU408" s="1961"/>
      <c r="DB408" s="1961"/>
      <c r="DC408" s="1961"/>
      <c r="DD408" s="1961"/>
      <c r="DE408" s="1961"/>
      <c r="DF408" s="1961"/>
      <c r="DG408" s="1961"/>
      <c r="DH408" s="1961"/>
      <c r="DI408" s="640"/>
    </row>
    <row r="409" spans="1:113" ht="5.0999999999999996" customHeight="1" x14ac:dyDescent="0.25">
      <c r="A409" s="50"/>
      <c r="B409" s="892"/>
      <c r="C409" s="110"/>
      <c r="D409" s="110"/>
      <c r="E409" s="29"/>
      <c r="F409" s="403"/>
      <c r="G409" s="29"/>
      <c r="H409" s="29"/>
      <c r="I409" s="110"/>
      <c r="J409" s="937"/>
      <c r="K409" s="29"/>
      <c r="L409" s="29"/>
      <c r="M409" s="29"/>
      <c r="N409" s="110"/>
      <c r="O409" s="29"/>
      <c r="P409" s="29"/>
      <c r="Q409" s="29"/>
      <c r="R409" s="29"/>
      <c r="S409" s="110"/>
      <c r="T409" s="29"/>
      <c r="U409" s="29"/>
      <c r="V409" s="29"/>
      <c r="W409" s="29"/>
      <c r="X409" s="110"/>
      <c r="Y409" s="29"/>
      <c r="Z409" s="29"/>
      <c r="AA409" s="29"/>
      <c r="AB409" s="29"/>
      <c r="AC409" s="110"/>
      <c r="AD409" s="29"/>
      <c r="AE409" s="29"/>
      <c r="AF409" s="29"/>
      <c r="AG409" s="29"/>
      <c r="AH409" s="110"/>
      <c r="AI409" s="29"/>
      <c r="AJ409" s="29"/>
      <c r="AK409" s="29"/>
      <c r="AL409" s="29"/>
      <c r="AM409" s="110"/>
      <c r="AN409" s="29"/>
      <c r="AO409" s="29"/>
      <c r="AP409" s="29"/>
      <c r="AQ409" s="29"/>
      <c r="AR409" s="110"/>
      <c r="AS409" s="29"/>
      <c r="AT409" s="29"/>
      <c r="AU409" s="29"/>
      <c r="AV409" s="29"/>
      <c r="AW409" s="110"/>
      <c r="AX409" s="29"/>
      <c r="AY409" s="29"/>
      <c r="AZ409" s="29"/>
      <c r="BA409" s="29"/>
      <c r="BB409" s="950"/>
      <c r="BC409" s="29"/>
      <c r="BD409" s="29"/>
      <c r="BE409" s="29"/>
      <c r="BF409" s="29"/>
      <c r="BG409" s="950"/>
      <c r="BH409" s="29"/>
      <c r="BI409" s="29"/>
      <c r="BJ409" s="29"/>
      <c r="BK409" s="29"/>
      <c r="BL409" s="950"/>
      <c r="BM409" s="29"/>
      <c r="BN409" s="29"/>
      <c r="BO409" s="29"/>
      <c r="BP409" s="29"/>
      <c r="BQ409" s="950"/>
      <c r="BR409" s="29"/>
      <c r="BS409" s="29"/>
      <c r="BT409" s="29"/>
      <c r="BU409" s="29"/>
      <c r="BV409" s="950"/>
      <c r="BW409" s="29"/>
      <c r="BX409" s="29"/>
      <c r="BY409" s="29"/>
      <c r="BZ409" s="29"/>
      <c r="CA409" s="950"/>
      <c r="CC409" s="29"/>
      <c r="CD409" s="29"/>
      <c r="CE409" s="29"/>
      <c r="CF409" s="29"/>
      <c r="CG409" s="29"/>
      <c r="CH409" s="29"/>
      <c r="CI409" s="29"/>
      <c r="CJ409" s="29"/>
      <c r="CK409" s="29"/>
      <c r="CL409" s="29"/>
      <c r="CM409" s="29"/>
      <c r="CN409" s="29"/>
      <c r="CO409" s="29"/>
      <c r="CP409" s="14"/>
      <c r="CQ409" s="14"/>
      <c r="CR409" s="14"/>
      <c r="CS409" s="14"/>
      <c r="CT409" s="14"/>
      <c r="CU409" s="1961"/>
      <c r="DB409" s="1961"/>
      <c r="DC409" s="1961"/>
      <c r="DD409" s="1961"/>
      <c r="DE409" s="1961"/>
      <c r="DF409" s="1961"/>
      <c r="DG409" s="1961"/>
      <c r="DH409" s="1961"/>
      <c r="DI409" s="9"/>
    </row>
    <row r="410" spans="1:113" ht="12" customHeight="1" x14ac:dyDescent="0.25">
      <c r="A410" s="50" t="s">
        <v>268</v>
      </c>
      <c r="B410" s="892"/>
      <c r="C410" s="110"/>
      <c r="D410" s="110"/>
      <c r="E410" s="29"/>
      <c r="F410" s="403"/>
      <c r="G410" s="29"/>
      <c r="H410" s="29"/>
      <c r="I410" s="110"/>
      <c r="J410" s="29"/>
      <c r="K410" s="29"/>
      <c r="L410" s="29"/>
      <c r="M410" s="29"/>
      <c r="N410" s="110"/>
      <c r="O410" s="29"/>
      <c r="P410" s="29"/>
      <c r="Q410" s="29"/>
      <c r="R410" s="29"/>
      <c r="S410" s="110"/>
      <c r="T410" s="29"/>
      <c r="U410" s="29"/>
      <c r="V410" s="29"/>
      <c r="W410" s="29"/>
      <c r="X410" s="110"/>
      <c r="Y410" s="29"/>
      <c r="Z410" s="29"/>
      <c r="AA410" s="29"/>
      <c r="AB410" s="29"/>
      <c r="AC410" s="110"/>
      <c r="AD410" s="29"/>
      <c r="AE410" s="29"/>
      <c r="AF410" s="29"/>
      <c r="AG410" s="29"/>
      <c r="AH410" s="110"/>
      <c r="AI410" s="480"/>
      <c r="AJ410" s="480"/>
      <c r="AK410" s="29"/>
      <c r="AL410" s="29"/>
      <c r="AM410" s="110"/>
      <c r="AN410" s="480"/>
      <c r="AO410" s="480"/>
      <c r="AP410" s="480"/>
      <c r="AQ410" s="480"/>
      <c r="AR410" s="110"/>
      <c r="AS410" s="480"/>
      <c r="AT410" s="480"/>
      <c r="AU410" s="480"/>
      <c r="AV410" s="480"/>
      <c r="AW410" s="110"/>
      <c r="AX410" s="480"/>
      <c r="AY410" s="480"/>
      <c r="AZ410" s="480"/>
      <c r="BA410" s="480"/>
      <c r="BB410" s="950"/>
      <c r="BC410" s="480"/>
      <c r="BD410" s="480"/>
      <c r="BE410" s="480"/>
      <c r="BF410" s="480"/>
      <c r="BG410" s="950"/>
      <c r="BH410" s="480"/>
      <c r="BI410" s="480"/>
      <c r="BJ410" s="480"/>
      <c r="BK410" s="480"/>
      <c r="BL410" s="950"/>
      <c r="BM410" s="480"/>
      <c r="BN410" s="480"/>
      <c r="BO410" s="480"/>
      <c r="BP410" s="480"/>
      <c r="BQ410" s="950"/>
      <c r="BR410" s="480"/>
      <c r="BS410" s="480"/>
      <c r="BT410" s="480"/>
      <c r="BU410" s="480"/>
      <c r="BV410" s="950"/>
      <c r="BW410" s="480"/>
      <c r="BX410" s="480"/>
      <c r="BY410" s="480"/>
      <c r="BZ410" s="480"/>
      <c r="CA410" s="950"/>
      <c r="CC410" s="29"/>
      <c r="CD410" s="29"/>
      <c r="CE410" s="29"/>
      <c r="CF410" s="29"/>
      <c r="CG410" s="29"/>
      <c r="CH410" s="29"/>
      <c r="CI410" s="29"/>
      <c r="CJ410" s="29"/>
      <c r="CK410" s="29"/>
      <c r="CL410" s="29"/>
      <c r="CM410" s="29"/>
      <c r="CN410" s="29"/>
      <c r="CO410" s="29"/>
      <c r="CP410" s="14"/>
      <c r="CQ410" s="14"/>
      <c r="CR410" s="14"/>
      <c r="CS410" s="14"/>
      <c r="CT410" s="14"/>
      <c r="CU410" s="1961"/>
      <c r="DB410" s="1961"/>
      <c r="DC410" s="1961"/>
      <c r="DD410" s="1961"/>
      <c r="DE410" s="1961"/>
      <c r="DF410" s="1961"/>
      <c r="DG410" s="1961"/>
      <c r="DH410" s="1961"/>
      <c r="DI410" s="9"/>
    </row>
    <row r="411" spans="1:113" ht="12" customHeight="1" x14ac:dyDescent="0.25">
      <c r="A411" s="50" t="s">
        <v>269</v>
      </c>
      <c r="B411" s="892"/>
      <c r="C411" s="110"/>
      <c r="D411" s="740">
        <f>C415</f>
        <v>0</v>
      </c>
      <c r="E411" s="482"/>
      <c r="F411" s="447"/>
      <c r="G411" s="482"/>
      <c r="H411" s="482"/>
      <c r="I411" s="740">
        <f>D415</f>
        <v>224.68</v>
      </c>
      <c r="J411" s="482">
        <f>I415</f>
        <v>339.89100000000002</v>
      </c>
      <c r="K411" s="482">
        <f>J415</f>
        <v>346.73200000000003</v>
      </c>
      <c r="L411" s="482">
        <f>K415</f>
        <v>362.35399999999998</v>
      </c>
      <c r="M411" s="482">
        <f>L415</f>
        <v>366.25400000000002</v>
      </c>
      <c r="N411" s="740">
        <f>I415</f>
        <v>339.89100000000002</v>
      </c>
      <c r="O411" s="482">
        <f>N415</f>
        <v>447.37200000000001</v>
      </c>
      <c r="P411" s="482">
        <f>O415</f>
        <v>487.00299999999999</v>
      </c>
      <c r="Q411" s="482">
        <f>P415</f>
        <v>487.21899999999999</v>
      </c>
      <c r="R411" s="482">
        <f>Q415</f>
        <v>489.245</v>
      </c>
      <c r="S411" s="740">
        <f>N415</f>
        <v>447.37200000000001</v>
      </c>
      <c r="T411" s="482">
        <f>S415</f>
        <v>490.82900000000001</v>
      </c>
      <c r="U411" s="482">
        <f>T415</f>
        <v>494.28300000000002</v>
      </c>
      <c r="V411" s="482">
        <f>U415</f>
        <v>501.99599999999998</v>
      </c>
      <c r="W411" s="482">
        <f>V415</f>
        <v>503.24</v>
      </c>
      <c r="X411" s="740">
        <f>S415</f>
        <v>490.82900000000001</v>
      </c>
      <c r="Y411" s="482">
        <f>X415</f>
        <v>632.66800000000001</v>
      </c>
      <c r="Z411" s="482">
        <f>Y415</f>
        <v>632.66800000000001</v>
      </c>
      <c r="AA411" s="482">
        <f>Z415</f>
        <v>712.56100000000004</v>
      </c>
      <c r="AB411" s="482">
        <f>AA415</f>
        <v>712.56100000000004</v>
      </c>
      <c r="AC411" s="740">
        <f>X415</f>
        <v>632.66800000000001</v>
      </c>
      <c r="AD411" s="482">
        <f>AC415</f>
        <v>709.94399999999996</v>
      </c>
      <c r="AE411" s="482">
        <f>AD415</f>
        <v>933.298</v>
      </c>
      <c r="AF411" s="482">
        <f>AE415</f>
        <v>934.76199999999994</v>
      </c>
      <c r="AG411" s="482">
        <f>AF415</f>
        <v>1220.384</v>
      </c>
      <c r="AH411" s="740">
        <f>AC415</f>
        <v>709.94399999999996</v>
      </c>
      <c r="AI411" s="482">
        <f>AH415</f>
        <v>1247.4590000000001</v>
      </c>
      <c r="AJ411" s="482">
        <f>AI415</f>
        <v>1248.261</v>
      </c>
      <c r="AK411" s="482">
        <f>AJ415</f>
        <v>1249.271</v>
      </c>
      <c r="AL411" s="482">
        <f>AK415</f>
        <v>1250.8879999999999</v>
      </c>
      <c r="AM411" s="740">
        <f>AH415</f>
        <v>1247.4590000000001</v>
      </c>
      <c r="AN411" s="482">
        <f>AM415</f>
        <v>1181.681</v>
      </c>
      <c r="AO411" s="482">
        <f>AN415</f>
        <v>1184.374</v>
      </c>
      <c r="AP411" s="482">
        <f>AO415</f>
        <v>1184.374</v>
      </c>
      <c r="AQ411" s="482">
        <f>AP415</f>
        <v>1184.374</v>
      </c>
      <c r="AR411" s="740">
        <f>AM415</f>
        <v>1181.681</v>
      </c>
      <c r="AS411" s="482">
        <f>AR415</f>
        <v>1207.146</v>
      </c>
      <c r="AT411" s="482">
        <f>AS415</f>
        <v>1207.144</v>
      </c>
      <c r="AU411" s="482">
        <f>AT415</f>
        <v>3057.6419999999998</v>
      </c>
      <c r="AV411" s="482">
        <f>AU415</f>
        <v>3119.4850000000001</v>
      </c>
      <c r="AW411" s="740">
        <f>AR415</f>
        <v>1207.146</v>
      </c>
      <c r="AX411" s="482">
        <f>AW415</f>
        <v>3134.826</v>
      </c>
      <c r="AY411" s="482">
        <f>AX415</f>
        <v>2703.9140000000002</v>
      </c>
      <c r="AZ411" s="482">
        <f>AY415</f>
        <v>2629.9409999999998</v>
      </c>
      <c r="BA411" s="482">
        <f>AZ415</f>
        <v>2632.1779999999999</v>
      </c>
      <c r="BB411" s="446">
        <f>AW415</f>
        <v>3134.826</v>
      </c>
      <c r="BC411" s="482">
        <f>BB415</f>
        <v>2578.1</v>
      </c>
      <c r="BD411" s="482">
        <f>BC415</f>
        <v>2653.3</v>
      </c>
      <c r="BE411" s="482">
        <f>BD415</f>
        <v>2733.8</v>
      </c>
      <c r="BF411" s="482">
        <f>BE415</f>
        <v>3188.8</v>
      </c>
      <c r="BG411" s="446">
        <f>BB415</f>
        <v>2578.1</v>
      </c>
      <c r="BH411" s="482">
        <f>BG415</f>
        <v>3368.7</v>
      </c>
      <c r="BI411" s="482">
        <f>BH415</f>
        <v>3368.7</v>
      </c>
      <c r="BJ411" s="482">
        <f>BI415</f>
        <v>3368.7</v>
      </c>
      <c r="BK411" s="482">
        <f>BJ415</f>
        <v>3368.7</v>
      </c>
      <c r="BL411" s="446">
        <f>BG415</f>
        <v>3368.7</v>
      </c>
      <c r="BM411" s="482">
        <f>BL415</f>
        <v>3368.7</v>
      </c>
      <c r="BN411" s="482">
        <f>BM415</f>
        <v>3368.7</v>
      </c>
      <c r="BO411" s="482">
        <f>BN415</f>
        <v>3368.7</v>
      </c>
      <c r="BP411" s="482">
        <f>BO415</f>
        <v>3368.7</v>
      </c>
      <c r="BQ411" s="446">
        <f>BL415</f>
        <v>3368.7</v>
      </c>
      <c r="BR411" s="482">
        <f>BQ415</f>
        <v>3368.7</v>
      </c>
      <c r="BS411" s="482">
        <f>BR415</f>
        <v>3368.7</v>
      </c>
      <c r="BT411" s="482">
        <f>BS415</f>
        <v>3368.7</v>
      </c>
      <c r="BU411" s="482">
        <f>BT415</f>
        <v>3368.7</v>
      </c>
      <c r="BV411" s="446">
        <f>BQ415</f>
        <v>3368.7</v>
      </c>
      <c r="BW411" s="482">
        <f>BV415</f>
        <v>3368.7</v>
      </c>
      <c r="BX411" s="482">
        <f>BW415</f>
        <v>3368.7</v>
      </c>
      <c r="BY411" s="482">
        <f>BX415</f>
        <v>3368.7</v>
      </c>
      <c r="BZ411" s="482">
        <f>BY415</f>
        <v>3368.7</v>
      </c>
      <c r="CA411" s="446">
        <f>BV415</f>
        <v>3368.7</v>
      </c>
      <c r="CC411" s="29"/>
      <c r="CD411" s="29"/>
      <c r="CE411" s="482"/>
      <c r="CF411" s="482"/>
      <c r="CG411" s="482"/>
      <c r="CH411" s="482"/>
      <c r="CI411" s="482"/>
      <c r="CJ411" s="482"/>
      <c r="CK411" s="482"/>
      <c r="CL411" s="482"/>
      <c r="CM411" s="482"/>
      <c r="CN411" s="482"/>
      <c r="CO411" s="482"/>
      <c r="CP411" s="14"/>
      <c r="CQ411" s="14"/>
      <c r="CR411" s="14"/>
      <c r="CS411" s="14"/>
      <c r="CT411" s="14"/>
      <c r="CU411" s="1961"/>
      <c r="DB411" s="1961"/>
      <c r="DC411" s="1961"/>
      <c r="DD411" s="1961"/>
      <c r="DE411" s="1961"/>
      <c r="DF411" s="1961"/>
      <c r="DG411" s="1961"/>
      <c r="DH411" s="1961"/>
      <c r="DI411" s="640"/>
    </row>
    <row r="412" spans="1:113" ht="12" customHeight="1" x14ac:dyDescent="0.25">
      <c r="A412" s="46" t="s">
        <v>130</v>
      </c>
      <c r="B412" s="892"/>
      <c r="C412" s="110"/>
      <c r="D412" s="897">
        <f>-D123</f>
        <v>0</v>
      </c>
      <c r="E412" s="483"/>
      <c r="F412" s="483"/>
      <c r="G412" s="483"/>
      <c r="H412" s="483"/>
      <c r="I412" s="897">
        <f>-I123</f>
        <v>-1.744</v>
      </c>
      <c r="J412" s="483">
        <f>-J123</f>
        <v>0</v>
      </c>
      <c r="K412" s="483">
        <f>-K123</f>
        <v>0</v>
      </c>
      <c r="L412" s="483">
        <f>-L123</f>
        <v>0</v>
      </c>
      <c r="M412" s="483">
        <f>-M123</f>
        <v>0</v>
      </c>
      <c r="N412" s="897">
        <f>SUM(J412:M412)</f>
        <v>0</v>
      </c>
      <c r="O412" s="483">
        <f>-O123</f>
        <v>0</v>
      </c>
      <c r="P412" s="483">
        <f>-P123</f>
        <v>0</v>
      </c>
      <c r="Q412" s="483">
        <f>-Q123</f>
        <v>0</v>
      </c>
      <c r="R412" s="483">
        <f>-R123</f>
        <v>0</v>
      </c>
      <c r="S412" s="897">
        <f>SUM(O412:R412)</f>
        <v>0</v>
      </c>
      <c r="T412" s="483">
        <f>-T123</f>
        <v>0</v>
      </c>
      <c r="U412" s="483">
        <f>-U123</f>
        <v>0</v>
      </c>
      <c r="V412" s="483">
        <f>-V123</f>
        <v>0</v>
      </c>
      <c r="W412" s="483">
        <f>-W123</f>
        <v>0</v>
      </c>
      <c r="X412" s="897">
        <f>SUM(T412:W412)</f>
        <v>0</v>
      </c>
      <c r="Y412" s="483">
        <f t="shared" ref="Y412:AG412" si="529">-Y123</f>
        <v>0</v>
      </c>
      <c r="Z412" s="483">
        <f t="shared" si="529"/>
        <v>0</v>
      </c>
      <c r="AA412" s="483">
        <f t="shared" si="529"/>
        <v>0</v>
      </c>
      <c r="AB412" s="483">
        <f t="shared" si="529"/>
        <v>0</v>
      </c>
      <c r="AC412" s="897">
        <f t="shared" si="529"/>
        <v>0</v>
      </c>
      <c r="AD412" s="483">
        <f t="shared" si="529"/>
        <v>0</v>
      </c>
      <c r="AE412" s="483">
        <f t="shared" si="529"/>
        <v>0</v>
      </c>
      <c r="AF412" s="483">
        <f t="shared" si="529"/>
        <v>0</v>
      </c>
      <c r="AG412" s="483">
        <f t="shared" si="529"/>
        <v>0</v>
      </c>
      <c r="AH412" s="897">
        <f>SUM(AD412:AG412)</f>
        <v>0</v>
      </c>
      <c r="AI412" s="483">
        <f>-AI123</f>
        <v>0</v>
      </c>
      <c r="AJ412" s="483">
        <f>-AJ123</f>
        <v>0</v>
      </c>
      <c r="AK412" s="483">
        <f>-AK123</f>
        <v>0</v>
      </c>
      <c r="AL412" s="483">
        <f>-AL123</f>
        <v>0</v>
      </c>
      <c r="AM412" s="897">
        <f>SUM(AI412:AL412)</f>
        <v>0</v>
      </c>
      <c r="AN412" s="483">
        <f>-AN123</f>
        <v>0</v>
      </c>
      <c r="AO412" s="483">
        <f>-AO123</f>
        <v>0</v>
      </c>
      <c r="AP412" s="483">
        <f>-AP123</f>
        <v>0</v>
      </c>
      <c r="AQ412" s="483">
        <f>-AQ123</f>
        <v>0</v>
      </c>
      <c r="AR412" s="897">
        <f>SUM(AN412:AQ412)</f>
        <v>0</v>
      </c>
      <c r="AS412" s="483">
        <f>-AS123</f>
        <v>0</v>
      </c>
      <c r="AT412" s="483">
        <f>-AT123</f>
        <v>0</v>
      </c>
      <c r="AU412" s="483">
        <f>-AU123</f>
        <v>0</v>
      </c>
      <c r="AV412" s="483">
        <f>-AV123</f>
        <v>0</v>
      </c>
      <c r="AW412" s="897">
        <f>SUM(AS412:AV412)</f>
        <v>0</v>
      </c>
      <c r="AX412" s="483">
        <f>-AX123</f>
        <v>0</v>
      </c>
      <c r="AY412" s="483">
        <f>-AY123</f>
        <v>0</v>
      </c>
      <c r="AZ412" s="483">
        <f>-AZ123</f>
        <v>0</v>
      </c>
      <c r="BA412" s="483">
        <f>-BA123</f>
        <v>0</v>
      </c>
      <c r="BB412" s="469">
        <f>SUM(AX412:BA412)</f>
        <v>0</v>
      </c>
      <c r="BC412" s="483">
        <f>-BC123</f>
        <v>0</v>
      </c>
      <c r="BD412" s="483">
        <f>-BD123</f>
        <v>0</v>
      </c>
      <c r="BE412" s="483">
        <f>-BE123</f>
        <v>0</v>
      </c>
      <c r="BF412" s="483">
        <f>-BF123</f>
        <v>0</v>
      </c>
      <c r="BG412" s="469">
        <f>SUM(BC412:BF412)</f>
        <v>0</v>
      </c>
      <c r="BH412" s="483">
        <f>-BH123</f>
        <v>0</v>
      </c>
      <c r="BI412" s="483">
        <f>-BI123</f>
        <v>0</v>
      </c>
      <c r="BJ412" s="483">
        <f>-BJ123</f>
        <v>0</v>
      </c>
      <c r="BK412" s="483">
        <f>-BK123</f>
        <v>0</v>
      </c>
      <c r="BL412" s="469">
        <f>SUM(BH412:BK412)</f>
        <v>0</v>
      </c>
      <c r="BM412" s="483">
        <f>-BM123</f>
        <v>0</v>
      </c>
      <c r="BN412" s="483">
        <f>-BN123</f>
        <v>0</v>
      </c>
      <c r="BO412" s="483">
        <f>-BO123</f>
        <v>0</v>
      </c>
      <c r="BP412" s="483">
        <f>-BP123</f>
        <v>0</v>
      </c>
      <c r="BQ412" s="469">
        <f>SUM(BM412:BP412)</f>
        <v>0</v>
      </c>
      <c r="BR412" s="483">
        <f>-BR123</f>
        <v>0</v>
      </c>
      <c r="BS412" s="483">
        <f>-BS123</f>
        <v>0</v>
      </c>
      <c r="BT412" s="483">
        <f>-BT123</f>
        <v>0</v>
      </c>
      <c r="BU412" s="483">
        <f>-BU123</f>
        <v>0</v>
      </c>
      <c r="BV412" s="469">
        <f>SUM(BR412:BU412)</f>
        <v>0</v>
      </c>
      <c r="BW412" s="483">
        <f>-BW123</f>
        <v>0</v>
      </c>
      <c r="BX412" s="483">
        <f>-BX123</f>
        <v>0</v>
      </c>
      <c r="BY412" s="483">
        <f>-BY123</f>
        <v>0</v>
      </c>
      <c r="BZ412" s="483">
        <f>-BZ123</f>
        <v>0</v>
      </c>
      <c r="CA412" s="469">
        <f>SUM(BW412:BZ412)</f>
        <v>0</v>
      </c>
      <c r="CC412" s="29"/>
      <c r="CD412" s="29"/>
      <c r="CE412" s="483"/>
      <c r="CF412" s="483"/>
      <c r="CG412" s="483"/>
      <c r="CH412" s="483"/>
      <c r="CI412" s="483"/>
      <c r="CJ412" s="483"/>
      <c r="CK412" s="483"/>
      <c r="CL412" s="483"/>
      <c r="CM412" s="483"/>
      <c r="CN412" s="483"/>
      <c r="CO412" s="483"/>
      <c r="CP412" s="14"/>
      <c r="CQ412" s="14"/>
      <c r="CR412" s="14"/>
      <c r="CS412" s="14"/>
      <c r="CT412" s="14"/>
      <c r="CU412" s="1961"/>
      <c r="DB412" s="1961"/>
      <c r="DC412" s="1961"/>
      <c r="DD412" s="1961"/>
      <c r="DE412" s="1961"/>
      <c r="DF412" s="1961"/>
      <c r="DG412" s="1961"/>
      <c r="DH412" s="1961"/>
      <c r="DI412" s="657"/>
    </row>
    <row r="413" spans="1:113" ht="12" customHeight="1" x14ac:dyDescent="0.25">
      <c r="A413" s="46" t="s">
        <v>266</v>
      </c>
      <c r="B413" s="892"/>
      <c r="C413" s="110"/>
      <c r="D413" s="897">
        <f>D415-SUM(D411:D412)</f>
        <v>224.68</v>
      </c>
      <c r="E413" s="947"/>
      <c r="F413" s="947"/>
      <c r="G413" s="483"/>
      <c r="H413" s="483"/>
      <c r="I413" s="897">
        <f t="shared" ref="I413:AK413" si="530">I415-SUM(I411:I412)</f>
        <v>116.95500000000001</v>
      </c>
      <c r="J413" s="483">
        <f t="shared" si="530"/>
        <v>6.8410000000000082</v>
      </c>
      <c r="K413" s="483">
        <f t="shared" si="530"/>
        <v>15.621999999999957</v>
      </c>
      <c r="L413" s="483">
        <f t="shared" si="530"/>
        <v>3.9000000000000341</v>
      </c>
      <c r="M413" s="483">
        <f t="shared" si="530"/>
        <v>81.117999999999995</v>
      </c>
      <c r="N413" s="897">
        <f>SUM(J413:M413)</f>
        <v>107.48099999999999</v>
      </c>
      <c r="O413" s="483">
        <f t="shared" si="530"/>
        <v>39.630999999999972</v>
      </c>
      <c r="P413" s="483">
        <f t="shared" si="530"/>
        <v>0.21600000000000819</v>
      </c>
      <c r="Q413" s="483">
        <f t="shared" si="530"/>
        <v>2.0260000000000105</v>
      </c>
      <c r="R413" s="483">
        <f t="shared" si="530"/>
        <v>1.5840000000000032</v>
      </c>
      <c r="S413" s="897">
        <f>SUM(O413:R413)</f>
        <v>43.456999999999994</v>
      </c>
      <c r="T413" s="483">
        <f t="shared" si="530"/>
        <v>3.4540000000000077</v>
      </c>
      <c r="U413" s="483">
        <f t="shared" si="530"/>
        <v>7.7129999999999654</v>
      </c>
      <c r="V413" s="483">
        <f t="shared" si="530"/>
        <v>1.2440000000000282</v>
      </c>
      <c r="W413" s="483">
        <f t="shared" si="530"/>
        <v>129.428</v>
      </c>
      <c r="X413" s="897">
        <f>SUM(T413:W413)</f>
        <v>141.839</v>
      </c>
      <c r="Y413" s="483">
        <f t="shared" si="530"/>
        <v>0</v>
      </c>
      <c r="Z413" s="483">
        <f t="shared" si="530"/>
        <v>79.893000000000029</v>
      </c>
      <c r="AA413" s="483">
        <f t="shared" si="530"/>
        <v>0</v>
      </c>
      <c r="AB413" s="483">
        <f t="shared" si="530"/>
        <v>-2.6170000000000755</v>
      </c>
      <c r="AC413" s="897">
        <f>SUM(Y413:AB413)</f>
        <v>77.275999999999954</v>
      </c>
      <c r="AD413" s="483">
        <f t="shared" si="530"/>
        <v>223.35400000000004</v>
      </c>
      <c r="AE413" s="483">
        <f t="shared" si="530"/>
        <v>1.4639999999999418</v>
      </c>
      <c r="AF413" s="483">
        <f t="shared" si="530"/>
        <v>285.62200000000007</v>
      </c>
      <c r="AG413" s="483">
        <f t="shared" si="530"/>
        <v>27.075000000000045</v>
      </c>
      <c r="AH413" s="897">
        <f>SUM(AD413:AG413)</f>
        <v>537.5150000000001</v>
      </c>
      <c r="AI413" s="483">
        <f t="shared" si="530"/>
        <v>0.80199999999990723</v>
      </c>
      <c r="AJ413" s="483">
        <f t="shared" si="530"/>
        <v>1.0099999999999909</v>
      </c>
      <c r="AK413" s="483">
        <f t="shared" si="530"/>
        <v>1.6169999999999618</v>
      </c>
      <c r="AL413" s="483">
        <f>AL415-SUM(AL411:AL412)</f>
        <v>-69.20699999999988</v>
      </c>
      <c r="AM413" s="897">
        <f>SUM(AI413:AL413)</f>
        <v>-65.77800000000002</v>
      </c>
      <c r="AN413" s="483">
        <f>AN415-SUM(AN411:AN412)</f>
        <v>2.6929999999999836</v>
      </c>
      <c r="AO413" s="483">
        <f>AO415-SUM(AO411:AO412)</f>
        <v>0</v>
      </c>
      <c r="AP413" s="483">
        <f>AP415-SUM(AP411:AP412)</f>
        <v>0</v>
      </c>
      <c r="AQ413" s="483">
        <f>AQ415-SUM(AQ411:AQ412)</f>
        <v>22.771999999999935</v>
      </c>
      <c r="AR413" s="897">
        <f>SUM(AN413:AQ413)</f>
        <v>25.464999999999918</v>
      </c>
      <c r="AS413" s="483">
        <f>AS415-SUM(AS411:AS412)</f>
        <v>-1.9999999999527063E-3</v>
      </c>
      <c r="AT413" s="483">
        <f>AT415-SUM(AT411:AT412)</f>
        <v>1850.4979999999998</v>
      </c>
      <c r="AU413" s="483">
        <f>AU415-SUM(AU411:AU412)</f>
        <v>61.843000000000302</v>
      </c>
      <c r="AV413" s="483">
        <f>AV415-SUM(AV411:AV412)</f>
        <v>15.340999999999894</v>
      </c>
      <c r="AW413" s="897">
        <f>SUM(AS413:AV413)</f>
        <v>1927.68</v>
      </c>
      <c r="AX413" s="483">
        <f>AX415-SUM(AX411:AX412)</f>
        <v>-430.91199999999981</v>
      </c>
      <c r="AY413" s="483">
        <f>AY415-SUM(AY411:AY412)</f>
        <v>-73.973000000000411</v>
      </c>
      <c r="AZ413" s="483">
        <f>AZ415-SUM(AZ411:AZ412)</f>
        <v>2.23700000000008</v>
      </c>
      <c r="BA413" s="483">
        <f>BA415-SUM(BA411:BA412)</f>
        <v>-54.077999999999975</v>
      </c>
      <c r="BB413" s="469">
        <f>SUM(AX413:BA413)</f>
        <v>-556.72600000000011</v>
      </c>
      <c r="BC413" s="483">
        <f>BC415-SUM(BC411:BC412)</f>
        <v>75.200000000000273</v>
      </c>
      <c r="BD413" s="483">
        <f>BD415-SUM(BD411:BD412)</f>
        <v>80.5</v>
      </c>
      <c r="BE413" s="483">
        <f>BE415-SUM(BE411:BE412)</f>
        <v>455</v>
      </c>
      <c r="BF413" s="483">
        <f>BF415-SUM(BF411:BF412)</f>
        <v>179.89999999999964</v>
      </c>
      <c r="BG413" s="469">
        <f>SUM(BC413:BF413)</f>
        <v>790.59999999999991</v>
      </c>
      <c r="BH413" s="1987">
        <f>-BH391*BH138</f>
        <v>0</v>
      </c>
      <c r="BI413" s="483">
        <f>-BI391*BI138</f>
        <v>0</v>
      </c>
      <c r="BJ413" s="483">
        <f>-BJ391*BJ138</f>
        <v>0</v>
      </c>
      <c r="BK413" s="483">
        <f>-BK391*BK138</f>
        <v>0</v>
      </c>
      <c r="BL413" s="469">
        <f>SUM(BH413:BK413)</f>
        <v>0</v>
      </c>
      <c r="BM413" s="483">
        <f>-BM391*BM138</f>
        <v>0</v>
      </c>
      <c r="BN413" s="483">
        <f>-BN391*BN138</f>
        <v>0</v>
      </c>
      <c r="BO413" s="483">
        <f>-BO391*BO138</f>
        <v>0</v>
      </c>
      <c r="BP413" s="483">
        <f>-BP391*BP138</f>
        <v>0</v>
      </c>
      <c r="BQ413" s="469">
        <f>SUM(BM413:BP413)</f>
        <v>0</v>
      </c>
      <c r="BR413" s="483">
        <f>-BR391*BR138</f>
        <v>0</v>
      </c>
      <c r="BS413" s="483">
        <f>-BS391*BS138</f>
        <v>0</v>
      </c>
      <c r="BT413" s="483">
        <f>-BT391*BT138</f>
        <v>0</v>
      </c>
      <c r="BU413" s="483">
        <f>-BU391*BU138</f>
        <v>0</v>
      </c>
      <c r="BV413" s="469">
        <f>SUM(BR413:BU413)</f>
        <v>0</v>
      </c>
      <c r="BW413" s="483">
        <f>-BW391*BW138</f>
        <v>0</v>
      </c>
      <c r="BX413" s="483">
        <f>-BX391*BX138</f>
        <v>0</v>
      </c>
      <c r="BY413" s="483">
        <f>-BY391*BY138</f>
        <v>0</v>
      </c>
      <c r="BZ413" s="483">
        <f>-BZ391*BZ138</f>
        <v>0</v>
      </c>
      <c r="CA413" s="469">
        <f>SUM(BW413:BZ413)</f>
        <v>0</v>
      </c>
      <c r="CC413" s="29"/>
      <c r="CD413" s="29"/>
      <c r="CE413" s="483"/>
      <c r="CF413" s="483"/>
      <c r="CG413" s="483"/>
      <c r="CH413" s="483"/>
      <c r="CI413" s="483"/>
      <c r="CJ413" s="483"/>
      <c r="CK413" s="483"/>
      <c r="CL413" s="483"/>
      <c r="CM413" s="483"/>
      <c r="CN413" s="483"/>
      <c r="CO413" s="483"/>
      <c r="CP413" s="14"/>
      <c r="CQ413" s="14"/>
      <c r="CR413" s="14"/>
      <c r="CS413" s="14"/>
      <c r="CT413" s="14"/>
      <c r="CU413" s="1961"/>
      <c r="DB413" s="1961"/>
      <c r="DC413" s="1961"/>
      <c r="DD413" s="1961"/>
      <c r="DE413" s="1961"/>
      <c r="DF413" s="1961"/>
      <c r="DG413" s="1961"/>
      <c r="DH413" s="1961"/>
      <c r="DI413" s="657"/>
    </row>
    <row r="414" spans="1:113" ht="5.25" customHeight="1" x14ac:dyDescent="0.25">
      <c r="A414" s="431"/>
      <c r="B414" s="948"/>
      <c r="C414" s="129" t="s">
        <v>60</v>
      </c>
      <c r="D414" s="674" t="s">
        <v>60</v>
      </c>
      <c r="E414" s="130"/>
      <c r="F414" s="675"/>
      <c r="G414" s="675"/>
      <c r="H414" s="675"/>
      <c r="I414" s="674" t="s">
        <v>60</v>
      </c>
      <c r="J414" s="130" t="s">
        <v>60</v>
      </c>
      <c r="K414" s="675" t="s">
        <v>60</v>
      </c>
      <c r="L414" s="675" t="s">
        <v>60</v>
      </c>
      <c r="M414" s="675" t="s">
        <v>60</v>
      </c>
      <c r="N414" s="129" t="s">
        <v>60</v>
      </c>
      <c r="O414" s="130" t="s">
        <v>60</v>
      </c>
      <c r="P414" s="130" t="s">
        <v>60</v>
      </c>
      <c r="Q414" s="130" t="s">
        <v>60</v>
      </c>
      <c r="R414" s="675" t="s">
        <v>60</v>
      </c>
      <c r="S414" s="129" t="s">
        <v>60</v>
      </c>
      <c r="T414" s="130" t="s">
        <v>60</v>
      </c>
      <c r="U414" s="130" t="s">
        <v>60</v>
      </c>
      <c r="V414" s="130" t="s">
        <v>60</v>
      </c>
      <c r="W414" s="130" t="s">
        <v>60</v>
      </c>
      <c r="X414" s="129" t="s">
        <v>60</v>
      </c>
      <c r="Y414" s="130" t="s">
        <v>60</v>
      </c>
      <c r="Z414" s="130" t="s">
        <v>60</v>
      </c>
      <c r="AA414" s="130" t="s">
        <v>60</v>
      </c>
      <c r="AB414" s="130" t="s">
        <v>60</v>
      </c>
      <c r="AC414" s="674" t="s">
        <v>60</v>
      </c>
      <c r="AD414" s="130" t="s">
        <v>60</v>
      </c>
      <c r="AE414" s="130" t="s">
        <v>60</v>
      </c>
      <c r="AF414" s="130" t="s">
        <v>60</v>
      </c>
      <c r="AG414" s="130" t="s">
        <v>60</v>
      </c>
      <c r="AH414" s="674" t="s">
        <v>60</v>
      </c>
      <c r="AI414" s="130" t="s">
        <v>60</v>
      </c>
      <c r="AJ414" s="130" t="s">
        <v>60</v>
      </c>
      <c r="AK414" s="130" t="s">
        <v>60</v>
      </c>
      <c r="AL414" s="130" t="s">
        <v>60</v>
      </c>
      <c r="AM414" s="674" t="s">
        <v>60</v>
      </c>
      <c r="AN414" s="130" t="s">
        <v>60</v>
      </c>
      <c r="AO414" s="130" t="s">
        <v>60</v>
      </c>
      <c r="AP414" s="130" t="s">
        <v>60</v>
      </c>
      <c r="AQ414" s="130" t="s">
        <v>60</v>
      </c>
      <c r="AR414" s="674" t="s">
        <v>60</v>
      </c>
      <c r="AS414" s="130" t="s">
        <v>60</v>
      </c>
      <c r="AT414" s="130" t="s">
        <v>60</v>
      </c>
      <c r="AU414" s="130" t="s">
        <v>60</v>
      </c>
      <c r="AV414" s="675" t="s">
        <v>60</v>
      </c>
      <c r="AW414" s="674" t="s">
        <v>60</v>
      </c>
      <c r="AX414" s="130" t="s">
        <v>60</v>
      </c>
      <c r="AY414" s="130" t="s">
        <v>60</v>
      </c>
      <c r="AZ414" s="130" t="s">
        <v>60</v>
      </c>
      <c r="BA414" s="130" t="s">
        <v>60</v>
      </c>
      <c r="BB414" s="674" t="s">
        <v>60</v>
      </c>
      <c r="BC414" s="130" t="s">
        <v>60</v>
      </c>
      <c r="BD414" s="130" t="s">
        <v>60</v>
      </c>
      <c r="BE414" s="130" t="s">
        <v>60</v>
      </c>
      <c r="BF414" s="130" t="s">
        <v>60</v>
      </c>
      <c r="BG414" s="674" t="s">
        <v>60</v>
      </c>
      <c r="BH414" s="675" t="s">
        <v>60</v>
      </c>
      <c r="BI414" s="130" t="s">
        <v>60</v>
      </c>
      <c r="BJ414" s="130" t="s">
        <v>60</v>
      </c>
      <c r="BK414" s="675" t="s">
        <v>60</v>
      </c>
      <c r="BL414" s="674" t="s">
        <v>60</v>
      </c>
      <c r="BM414" s="675" t="s">
        <v>60</v>
      </c>
      <c r="BN414" s="130" t="s">
        <v>60</v>
      </c>
      <c r="BO414" s="130" t="s">
        <v>60</v>
      </c>
      <c r="BP414" s="675" t="s">
        <v>60</v>
      </c>
      <c r="BQ414" s="674" t="s">
        <v>60</v>
      </c>
      <c r="BR414" s="675" t="s">
        <v>60</v>
      </c>
      <c r="BS414" s="130" t="s">
        <v>60</v>
      </c>
      <c r="BT414" s="130" t="s">
        <v>60</v>
      </c>
      <c r="BU414" s="675" t="s">
        <v>60</v>
      </c>
      <c r="BV414" s="674" t="s">
        <v>60</v>
      </c>
      <c r="BW414" s="675" t="s">
        <v>60</v>
      </c>
      <c r="BX414" s="130" t="s">
        <v>60</v>
      </c>
      <c r="BY414" s="130" t="s">
        <v>60</v>
      </c>
      <c r="BZ414" s="675" t="s">
        <v>60</v>
      </c>
      <c r="CA414" s="674" t="s">
        <v>60</v>
      </c>
      <c r="CC414" s="29"/>
      <c r="CD414" s="29"/>
      <c r="CE414" s="675"/>
      <c r="CF414" s="675"/>
      <c r="CG414" s="675"/>
      <c r="CH414" s="675"/>
      <c r="CI414" s="675"/>
      <c r="CJ414" s="675"/>
      <c r="CK414" s="675"/>
      <c r="CL414" s="675"/>
      <c r="CM414" s="675"/>
      <c r="CN414" s="675"/>
      <c r="CO414" s="675"/>
      <c r="CP414" s="14"/>
      <c r="CQ414" s="14"/>
      <c r="CR414" s="14"/>
      <c r="CS414" s="14"/>
      <c r="CT414" s="14"/>
      <c r="CU414" s="1961"/>
      <c r="DB414" s="1961"/>
      <c r="DC414" s="1961"/>
      <c r="DD414" s="1961"/>
      <c r="DE414" s="1961"/>
      <c r="DF414" s="1961"/>
      <c r="DG414" s="1961"/>
      <c r="DH414" s="1961"/>
      <c r="DI414" s="259"/>
    </row>
    <row r="415" spans="1:113" ht="12" customHeight="1" x14ac:dyDescent="0.25">
      <c r="A415" s="50" t="s">
        <v>270</v>
      </c>
      <c r="B415" s="949"/>
      <c r="C415" s="740">
        <f>C185</f>
        <v>0</v>
      </c>
      <c r="D415" s="740">
        <f>D185</f>
        <v>224.68</v>
      </c>
      <c r="E415" s="947"/>
      <c r="F415" s="482"/>
      <c r="G415" s="482"/>
      <c r="H415" s="482"/>
      <c r="I415" s="740">
        <f>I185</f>
        <v>339.89100000000002</v>
      </c>
      <c r="J415" s="482">
        <f>J185</f>
        <v>346.73200000000003</v>
      </c>
      <c r="K415" s="482">
        <f>K185</f>
        <v>362.35399999999998</v>
      </c>
      <c r="L415" s="482">
        <f>L185</f>
        <v>366.25400000000002</v>
      </c>
      <c r="M415" s="482">
        <f>M185</f>
        <v>447.37200000000001</v>
      </c>
      <c r="N415" s="740">
        <f>SUM(N411:N413)</f>
        <v>447.37200000000001</v>
      </c>
      <c r="O415" s="482">
        <f>O185</f>
        <v>487.00299999999999</v>
      </c>
      <c r="P415" s="482">
        <f>P185</f>
        <v>487.21899999999999</v>
      </c>
      <c r="Q415" s="482">
        <f>Q185</f>
        <v>489.245</v>
      </c>
      <c r="R415" s="482">
        <f>R185</f>
        <v>490.82900000000001</v>
      </c>
      <c r="S415" s="740">
        <f>SUM(S411:S413)</f>
        <v>490.82900000000001</v>
      </c>
      <c r="T415" s="482">
        <f>T185</f>
        <v>494.28300000000002</v>
      </c>
      <c r="U415" s="482">
        <f>U185</f>
        <v>501.99599999999998</v>
      </c>
      <c r="V415" s="482">
        <f>V185</f>
        <v>503.24</v>
      </c>
      <c r="W415" s="482">
        <f>W185</f>
        <v>632.66800000000001</v>
      </c>
      <c r="X415" s="740">
        <f>SUM(X411:X413)</f>
        <v>632.66800000000001</v>
      </c>
      <c r="Y415" s="482">
        <f>Y185</f>
        <v>632.66800000000001</v>
      </c>
      <c r="Z415" s="482">
        <f>Z185</f>
        <v>712.56100000000004</v>
      </c>
      <c r="AA415" s="482">
        <f>AA185</f>
        <v>712.56100000000004</v>
      </c>
      <c r="AB415" s="482">
        <f>AB185</f>
        <v>709.94399999999996</v>
      </c>
      <c r="AC415" s="740">
        <f>SUM(AC411:AC413)</f>
        <v>709.94399999999996</v>
      </c>
      <c r="AD415" s="482">
        <f>AD185</f>
        <v>933.298</v>
      </c>
      <c r="AE415" s="482">
        <f>AE185</f>
        <v>934.76199999999994</v>
      </c>
      <c r="AF415" s="482">
        <f>AF185</f>
        <v>1220.384</v>
      </c>
      <c r="AG415" s="482">
        <f>AG185</f>
        <v>1247.4590000000001</v>
      </c>
      <c r="AH415" s="740">
        <f>SUM(AH411:AH413)</f>
        <v>1247.4590000000001</v>
      </c>
      <c r="AI415" s="482">
        <f>AI185</f>
        <v>1248.261</v>
      </c>
      <c r="AJ415" s="482">
        <f>AJ185</f>
        <v>1249.271</v>
      </c>
      <c r="AK415" s="482">
        <f>AK185</f>
        <v>1250.8879999999999</v>
      </c>
      <c r="AL415" s="482">
        <f>AL185</f>
        <v>1181.681</v>
      </c>
      <c r="AM415" s="740">
        <f>SUM(AM411:AM413)</f>
        <v>1181.681</v>
      </c>
      <c r="AN415" s="482">
        <f>AN185</f>
        <v>1184.374</v>
      </c>
      <c r="AO415" s="482">
        <f>AO185</f>
        <v>1184.374</v>
      </c>
      <c r="AP415" s="482">
        <f>AP185</f>
        <v>1184.374</v>
      </c>
      <c r="AQ415" s="482">
        <f>AQ185</f>
        <v>1207.146</v>
      </c>
      <c r="AR415" s="740">
        <f>SUM(AR411:AR413)</f>
        <v>1207.146</v>
      </c>
      <c r="AS415" s="482">
        <f>AS185</f>
        <v>1207.144</v>
      </c>
      <c r="AT415" s="482">
        <f>AT185</f>
        <v>3057.6419999999998</v>
      </c>
      <c r="AU415" s="482">
        <f>AU185</f>
        <v>3119.4850000000001</v>
      </c>
      <c r="AV415" s="482">
        <f>AV185</f>
        <v>3134.826</v>
      </c>
      <c r="AW415" s="740">
        <f t="shared" ref="AW415:BG415" si="531">SUM(AW411:AW413)</f>
        <v>3134.826</v>
      </c>
      <c r="AX415" s="482">
        <f>AX185</f>
        <v>2703.9140000000002</v>
      </c>
      <c r="AY415" s="482">
        <f>AY185</f>
        <v>2629.9409999999998</v>
      </c>
      <c r="AZ415" s="482">
        <f>AZ185</f>
        <v>2632.1779999999999</v>
      </c>
      <c r="BA415" s="482">
        <f>BA185</f>
        <v>2578.1</v>
      </c>
      <c r="BB415" s="446">
        <f t="shared" si="531"/>
        <v>2578.1</v>
      </c>
      <c r="BC415" s="482">
        <f>BC185</f>
        <v>2653.3</v>
      </c>
      <c r="BD415" s="482">
        <f>BD185</f>
        <v>2733.8</v>
      </c>
      <c r="BE415" s="482">
        <f>BE185</f>
        <v>3188.8</v>
      </c>
      <c r="BF415" s="482">
        <f>BF185</f>
        <v>3368.7</v>
      </c>
      <c r="BG415" s="446">
        <f t="shared" si="531"/>
        <v>3368.7</v>
      </c>
      <c r="BH415" s="1989">
        <f t="shared" ref="BH415:CA415" si="532">SUM(BH411:BH413)</f>
        <v>3368.7</v>
      </c>
      <c r="BI415" s="482">
        <f t="shared" si="532"/>
        <v>3368.7</v>
      </c>
      <c r="BJ415" s="482">
        <f t="shared" si="532"/>
        <v>3368.7</v>
      </c>
      <c r="BK415" s="482">
        <f t="shared" si="532"/>
        <v>3368.7</v>
      </c>
      <c r="BL415" s="446">
        <f t="shared" si="532"/>
        <v>3368.7</v>
      </c>
      <c r="BM415" s="482">
        <f t="shared" si="532"/>
        <v>3368.7</v>
      </c>
      <c r="BN415" s="482">
        <f t="shared" si="532"/>
        <v>3368.7</v>
      </c>
      <c r="BO415" s="482">
        <f t="shared" si="532"/>
        <v>3368.7</v>
      </c>
      <c r="BP415" s="482">
        <f t="shared" si="532"/>
        <v>3368.7</v>
      </c>
      <c r="BQ415" s="446">
        <f t="shared" si="532"/>
        <v>3368.7</v>
      </c>
      <c r="BR415" s="482">
        <f t="shared" si="532"/>
        <v>3368.7</v>
      </c>
      <c r="BS415" s="482">
        <f t="shared" si="532"/>
        <v>3368.7</v>
      </c>
      <c r="BT415" s="482">
        <f t="shared" si="532"/>
        <v>3368.7</v>
      </c>
      <c r="BU415" s="482">
        <f t="shared" si="532"/>
        <v>3368.7</v>
      </c>
      <c r="BV415" s="446">
        <f t="shared" si="532"/>
        <v>3368.7</v>
      </c>
      <c r="BW415" s="482">
        <f t="shared" si="532"/>
        <v>3368.7</v>
      </c>
      <c r="BX415" s="482">
        <f t="shared" si="532"/>
        <v>3368.7</v>
      </c>
      <c r="BY415" s="482">
        <f t="shared" si="532"/>
        <v>3368.7</v>
      </c>
      <c r="BZ415" s="482">
        <f t="shared" si="532"/>
        <v>3368.7</v>
      </c>
      <c r="CA415" s="446">
        <f t="shared" si="532"/>
        <v>3368.7</v>
      </c>
      <c r="CC415" s="29"/>
      <c r="CD415" s="29"/>
      <c r="CE415" s="482"/>
      <c r="CF415" s="482"/>
      <c r="CG415" s="482"/>
      <c r="CH415" s="482"/>
      <c r="CI415" s="482"/>
      <c r="CJ415" s="482"/>
      <c r="CK415" s="482"/>
      <c r="CL415" s="482"/>
      <c r="CM415" s="482"/>
      <c r="CN415" s="482"/>
      <c r="CO415" s="482"/>
      <c r="CP415" s="14"/>
      <c r="CQ415" s="14"/>
      <c r="CR415" s="14"/>
      <c r="CS415" s="14"/>
      <c r="CT415" s="14"/>
      <c r="CU415" s="1961"/>
      <c r="DB415" s="1961"/>
      <c r="DC415" s="1961"/>
      <c r="DD415" s="1961"/>
      <c r="DE415" s="1961"/>
      <c r="DF415" s="1961"/>
      <c r="DG415" s="1961"/>
      <c r="DH415" s="1961"/>
      <c r="DI415" s="640"/>
    </row>
    <row r="416" spans="1:113" ht="15.75" thickBot="1" x14ac:dyDescent="0.3">
      <c r="A416" s="922"/>
      <c r="B416" s="885"/>
      <c r="C416" s="886"/>
      <c r="D416" s="886"/>
      <c r="E416" s="884"/>
      <c r="F416" s="884"/>
      <c r="G416" s="884"/>
      <c r="H416" s="884"/>
      <c r="I416" s="886"/>
      <c r="J416" s="884"/>
      <c r="K416" s="884"/>
      <c r="L416" s="884"/>
      <c r="M416" s="884"/>
      <c r="N416" s="886"/>
      <c r="O416" s="884"/>
      <c r="P416" s="884"/>
      <c r="Q416" s="884"/>
      <c r="R416" s="884"/>
      <c r="S416" s="886"/>
      <c r="T416" s="884"/>
      <c r="U416" s="884"/>
      <c r="V416" s="884"/>
      <c r="W416" s="884"/>
      <c r="X416" s="886"/>
      <c r="Y416" s="884"/>
      <c r="Z416" s="884"/>
      <c r="AA416" s="884"/>
      <c r="AB416" s="884"/>
      <c r="AC416" s="886"/>
      <c r="AD416" s="884"/>
      <c r="AE416" s="884"/>
      <c r="AF416" s="884"/>
      <c r="AG416" s="884"/>
      <c r="AH416" s="886"/>
      <c r="AI416" s="884"/>
      <c r="AJ416" s="884"/>
      <c r="AK416" s="884"/>
      <c r="AL416" s="884"/>
      <c r="AM416" s="886"/>
      <c r="AN416" s="884"/>
      <c r="AO416" s="884"/>
      <c r="AP416" s="884"/>
      <c r="AQ416" s="884"/>
      <c r="AR416" s="886"/>
      <c r="AS416" s="884"/>
      <c r="AT416" s="884"/>
      <c r="AU416" s="884"/>
      <c r="AV416" s="884"/>
      <c r="AW416" s="941"/>
      <c r="AX416" s="884"/>
      <c r="AY416" s="884"/>
      <c r="AZ416" s="884"/>
      <c r="BA416" s="884"/>
      <c r="BB416" s="942"/>
      <c r="BC416" s="884"/>
      <c r="BD416" s="884"/>
      <c r="BE416" s="884"/>
      <c r="BF416" s="884"/>
      <c r="BG416" s="942"/>
      <c r="BH416" s="884"/>
      <c r="BI416" s="884"/>
      <c r="BJ416" s="884"/>
      <c r="BK416" s="884"/>
      <c r="BL416" s="942"/>
      <c r="BM416" s="884"/>
      <c r="BN416" s="884"/>
      <c r="BO416" s="884"/>
      <c r="BP416" s="884"/>
      <c r="BQ416" s="942"/>
      <c r="BR416" s="884"/>
      <c r="BS416" s="884"/>
      <c r="BT416" s="884"/>
      <c r="BU416" s="884"/>
      <c r="BV416" s="942"/>
      <c r="BW416" s="884"/>
      <c r="BX416" s="884"/>
      <c r="BY416" s="884"/>
      <c r="BZ416" s="884"/>
      <c r="CA416" s="942"/>
      <c r="CC416" s="29"/>
      <c r="CD416" s="29"/>
      <c r="CE416" s="29"/>
      <c r="CF416" s="29"/>
      <c r="CG416" s="29"/>
      <c r="CH416" s="29"/>
      <c r="CI416" s="29"/>
      <c r="CJ416" s="29"/>
      <c r="CK416" s="29"/>
      <c r="CL416" s="29"/>
      <c r="CM416" s="29"/>
      <c r="CN416" s="29"/>
      <c r="CO416" s="29"/>
      <c r="CP416" s="188"/>
      <c r="CQ416" s="188"/>
      <c r="CR416" s="188"/>
      <c r="CS416" s="188"/>
      <c r="CT416" s="188"/>
      <c r="CU416" s="188"/>
      <c r="DB416" s="1961"/>
      <c r="DC416" s="1961"/>
      <c r="DD416" s="1961"/>
      <c r="DE416" s="1961"/>
      <c r="DF416" s="1961"/>
      <c r="DG416" s="1961"/>
      <c r="DH416" s="1961"/>
      <c r="DI416" s="9"/>
    </row>
    <row r="417" spans="1:113" x14ac:dyDescent="0.25">
      <c r="A417" s="46"/>
      <c r="B417" s="892"/>
      <c r="C417" s="110"/>
      <c r="D417" s="455"/>
      <c r="E417" s="29"/>
      <c r="F417" s="29"/>
      <c r="G417" s="29"/>
      <c r="H417" s="29"/>
      <c r="I417" s="110"/>
      <c r="J417" s="29"/>
      <c r="K417" s="29"/>
      <c r="L417" s="29"/>
      <c r="M417" s="29"/>
      <c r="N417" s="110"/>
      <c r="O417" s="29"/>
      <c r="P417" s="485"/>
      <c r="Q417" s="951"/>
      <c r="R417" s="29"/>
      <c r="S417" s="110"/>
      <c r="T417" s="29"/>
      <c r="U417" s="29"/>
      <c r="V417" s="29"/>
      <c r="W417" s="29"/>
      <c r="X417" s="110"/>
      <c r="Y417" s="29"/>
      <c r="Z417" s="29"/>
      <c r="AA417" s="29"/>
      <c r="AB417" s="29"/>
      <c r="AC417" s="110"/>
      <c r="AD417" s="29"/>
      <c r="AE417" s="29"/>
      <c r="AF417" s="29"/>
      <c r="AG417" s="29"/>
      <c r="AH417" s="110"/>
      <c r="AI417" s="29"/>
      <c r="AJ417" s="29"/>
      <c r="AK417" s="29"/>
      <c r="AL417" s="29"/>
      <c r="AM417" s="110"/>
      <c r="AN417" s="29"/>
      <c r="AO417" s="29"/>
      <c r="AP417" s="29"/>
      <c r="AQ417" s="29"/>
      <c r="AR417" s="110"/>
      <c r="AS417" s="29"/>
      <c r="AT417" s="29"/>
      <c r="AU417" s="29"/>
      <c r="AV417" s="29"/>
      <c r="AW417" s="634"/>
      <c r="AX417" s="29"/>
      <c r="AY417" s="29"/>
      <c r="AZ417" s="29"/>
      <c r="BA417" s="29"/>
      <c r="BB417" s="635"/>
      <c r="BC417" s="29"/>
      <c r="BD417" s="29"/>
      <c r="BE417" s="29"/>
      <c r="BF417" s="29"/>
      <c r="BG417" s="635"/>
      <c r="BH417" s="29"/>
      <c r="BI417" s="29"/>
      <c r="BJ417" s="29"/>
      <c r="BK417" s="29"/>
      <c r="BL417" s="635"/>
      <c r="BM417" s="29"/>
      <c r="BN417" s="29"/>
      <c r="BO417" s="29"/>
      <c r="BP417" s="29"/>
      <c r="BQ417" s="635"/>
      <c r="BR417" s="29"/>
      <c r="BS417" s="29"/>
      <c r="BT417" s="29"/>
      <c r="BU417" s="29"/>
      <c r="BV417" s="635"/>
      <c r="BW417" s="29"/>
      <c r="BX417" s="29"/>
      <c r="BY417" s="29"/>
      <c r="BZ417" s="29"/>
      <c r="CA417" s="635"/>
      <c r="CC417" s="29"/>
      <c r="CD417" s="29"/>
      <c r="CE417" s="29"/>
      <c r="CF417" s="29"/>
      <c r="CG417" s="29"/>
      <c r="CH417" s="29"/>
      <c r="CI417" s="29"/>
      <c r="CJ417" s="29"/>
      <c r="CK417" s="29"/>
      <c r="CL417" s="29"/>
      <c r="CM417" s="29"/>
      <c r="CN417" s="29"/>
      <c r="CO417" s="29"/>
      <c r="CP417" s="188"/>
      <c r="CQ417" s="188"/>
      <c r="CR417" s="188"/>
      <c r="CS417" s="188"/>
      <c r="CT417" s="188"/>
      <c r="CU417" s="188"/>
      <c r="DB417" s="1961"/>
      <c r="DC417" s="1961"/>
      <c r="DD417" s="1961"/>
      <c r="DE417" s="1961"/>
      <c r="DF417" s="1961"/>
      <c r="DG417" s="1961"/>
      <c r="DH417" s="1961"/>
      <c r="DI417" s="9"/>
    </row>
    <row r="418" spans="1:113" ht="12" customHeight="1" x14ac:dyDescent="0.25">
      <c r="A418" s="952" t="s">
        <v>74</v>
      </c>
      <c r="B418" s="949"/>
      <c r="C418" s="740">
        <f t="shared" ref="C418:H418" si="533">C45</f>
        <v>2.919</v>
      </c>
      <c r="D418" s="482">
        <f t="shared" si="533"/>
        <v>6.585</v>
      </c>
      <c r="E418" s="953">
        <f t="shared" si="533"/>
        <v>2.1</v>
      </c>
      <c r="F418" s="482">
        <f t="shared" si="533"/>
        <v>2.2920000000000003</v>
      </c>
      <c r="G418" s="482">
        <f t="shared" si="533"/>
        <v>1.5609999999999999</v>
      </c>
      <c r="H418" s="482">
        <f t="shared" si="533"/>
        <v>2.4889999999999999</v>
      </c>
      <c r="I418" s="740">
        <f>SUM(E418:H418)</f>
        <v>8.4420000000000002</v>
      </c>
      <c r="J418" s="482">
        <f>J45</f>
        <v>0.81599999999999995</v>
      </c>
      <c r="K418" s="482">
        <f>K45</f>
        <v>0.80100000000000005</v>
      </c>
      <c r="L418" s="482">
        <f>L45</f>
        <v>0.3879999999999999</v>
      </c>
      <c r="M418" s="482">
        <f>M45</f>
        <v>0.2280000000000002</v>
      </c>
      <c r="N418" s="740">
        <f>SUM(J418:M418)</f>
        <v>2.2330000000000001</v>
      </c>
      <c r="O418" s="482">
        <f>O45</f>
        <v>4.2999999999999997E-2</v>
      </c>
      <c r="P418" s="482">
        <f>P45</f>
        <v>4.9000000000000002E-2</v>
      </c>
      <c r="Q418" s="482">
        <f>Q45</f>
        <v>2.9000000000000001E-2</v>
      </c>
      <c r="R418" s="482">
        <f>R45</f>
        <v>7.400000000000001E-2</v>
      </c>
      <c r="S418" s="639">
        <f>SUM(O418:R418)</f>
        <v>0.19500000000000001</v>
      </c>
      <c r="T418" s="482">
        <f>T45</f>
        <v>3.2000000000000001E-2</v>
      </c>
      <c r="U418" s="482">
        <f>U45</f>
        <v>9.1999999999999998E-2</v>
      </c>
      <c r="V418" s="482">
        <f>V45</f>
        <v>5.8999999999999997E-2</v>
      </c>
      <c r="W418" s="482">
        <f>W45</f>
        <v>0.122</v>
      </c>
      <c r="X418" s="639">
        <f>SUM(T418:W418)</f>
        <v>0.30499999999999999</v>
      </c>
      <c r="Y418" s="482">
        <f>Y45</f>
        <v>0.01</v>
      </c>
      <c r="Z418" s="482">
        <f>Z45</f>
        <v>-0.01</v>
      </c>
      <c r="AA418" s="482">
        <f>AA45</f>
        <v>9.9000000000000005E-2</v>
      </c>
      <c r="AB418" s="482">
        <f>AB45</f>
        <v>0.10199999999999999</v>
      </c>
      <c r="AC418" s="639">
        <v>0.19830390016957261</v>
      </c>
      <c r="AD418" s="482">
        <f>AD45</f>
        <v>0.105</v>
      </c>
      <c r="AE418" s="482">
        <f>AE45</f>
        <v>0.156</v>
      </c>
      <c r="AF418" s="482">
        <f>AF45</f>
        <v>0.13600000000000001</v>
      </c>
      <c r="AG418" s="482">
        <f>AG45</f>
        <v>6.3E-2</v>
      </c>
      <c r="AH418" s="639">
        <v>0.74221002951493653</v>
      </c>
      <c r="AI418" s="482">
        <f>AI45</f>
        <v>4.3999999999999997E-2</v>
      </c>
      <c r="AJ418" s="482">
        <f>AJ45</f>
        <v>0.04</v>
      </c>
      <c r="AK418" s="482">
        <f>AK45</f>
        <v>0.22500000000000001</v>
      </c>
      <c r="AL418" s="482">
        <f>AL45</f>
        <v>0.39900000000000002</v>
      </c>
      <c r="AM418" s="639">
        <f>SUM(AI418:AL418)</f>
        <v>0.70799999999999996</v>
      </c>
      <c r="AN418" s="482">
        <f>AN45</f>
        <v>0.02</v>
      </c>
      <c r="AO418" s="482">
        <f>AO45</f>
        <v>7.3999999999999996E-2</v>
      </c>
      <c r="AP418" s="482">
        <f>AP45</f>
        <v>-0.28499999999999998</v>
      </c>
      <c r="AQ418" s="482">
        <f>AQ45</f>
        <v>0.23400000000000001</v>
      </c>
      <c r="AR418" s="639">
        <f>SUM(AN418:AQ418)</f>
        <v>4.3000000000000038E-2</v>
      </c>
      <c r="AS418" s="482">
        <f>AS45</f>
        <v>-0.53800000000000003</v>
      </c>
      <c r="AT418" s="482">
        <f>AT45</f>
        <v>-0.221</v>
      </c>
      <c r="AU418" s="482">
        <f>AU45</f>
        <v>0</v>
      </c>
      <c r="AV418" s="482">
        <f>AV45</f>
        <v>-0.15</v>
      </c>
      <c r="AW418" s="740">
        <f>SUM(AS418:AV418)</f>
        <v>-0.90900000000000003</v>
      </c>
      <c r="AX418" s="482">
        <f>AX45</f>
        <v>4.3999999999999997E-2</v>
      </c>
      <c r="AY418" s="482">
        <f>AY45</f>
        <v>0</v>
      </c>
      <c r="AZ418" s="482">
        <f>AZ45</f>
        <v>2.1240000000000001</v>
      </c>
      <c r="BA418" s="482">
        <f>BA45</f>
        <v>3.1</v>
      </c>
      <c r="BB418" s="446">
        <f>SUM(AX418:BA418)</f>
        <v>5.2680000000000007</v>
      </c>
      <c r="BC418" s="482">
        <f>BC45</f>
        <v>1.9</v>
      </c>
      <c r="BD418" s="482">
        <f>BD45</f>
        <v>3.4</v>
      </c>
      <c r="BE418" s="482">
        <f>BE45</f>
        <v>2.6</v>
      </c>
      <c r="BF418" s="482">
        <f>BF45</f>
        <v>1.3</v>
      </c>
      <c r="BG418" s="446">
        <f>SUM(BC418:BF418)</f>
        <v>9.2000000000000011</v>
      </c>
      <c r="BH418" s="482">
        <f>(BH421/4)*BG419</f>
        <v>1.3017816517282019</v>
      </c>
      <c r="BI418" s="482">
        <f>(BI421/4)*BH419</f>
        <v>3.355070757812924</v>
      </c>
      <c r="BJ418" s="482">
        <f>(BJ421/4)*BI419</f>
        <v>3.3433208864024859</v>
      </c>
      <c r="BK418" s="482">
        <f>(BK421/4)*BJ419</f>
        <v>3.1192168261521678</v>
      </c>
      <c r="BL418" s="446">
        <f>SUM(BH418:BK418)</f>
        <v>11.11939012209578</v>
      </c>
      <c r="BM418" s="482">
        <f>(BM421/4)*BL419</f>
        <v>2.4606640121220158</v>
      </c>
      <c r="BN418" s="482">
        <f>(BN421/4)*BM419</f>
        <v>4.3858649533676219</v>
      </c>
      <c r="BO418" s="482">
        <f>(BO421/4)*BN419</f>
        <v>4.1285553759837779</v>
      </c>
      <c r="BP418" s="482">
        <f>(BP421/4)*BO419</f>
        <v>3.6436800716739057</v>
      </c>
      <c r="BQ418" s="446">
        <f>SUM(BM418:BP418)</f>
        <v>14.618764413147321</v>
      </c>
      <c r="BR418" s="482">
        <f>(BR421/4)*BQ419</f>
        <v>2.7015057791129218</v>
      </c>
      <c r="BS418" s="482">
        <f>(BS421/4)*BR419</f>
        <v>4.6676959960901945</v>
      </c>
      <c r="BT418" s="482">
        <f>(BT421/4)*BS419</f>
        <v>4.3287482994807025</v>
      </c>
      <c r="BU418" s="482">
        <f>(BU421/4)*BT419</f>
        <v>3.7486581288288612</v>
      </c>
      <c r="BV418" s="446">
        <f>SUM(BR418:BU418)</f>
        <v>15.44660820351268</v>
      </c>
      <c r="BW418" s="482">
        <f>(BW421/4)*BV419</f>
        <v>2.6882510389841512</v>
      </c>
      <c r="BX418" s="482">
        <f>(BX421/4)*BW419</f>
        <v>4.908552608192962</v>
      </c>
      <c r="BY418" s="482">
        <f>(BY421/4)*BX419</f>
        <v>4.694534563382887</v>
      </c>
      <c r="BZ418" s="482">
        <f>(BZ421/4)*BY419</f>
        <v>4.2258026533543989</v>
      </c>
      <c r="CA418" s="446">
        <f>SUM(BW418:BZ418)</f>
        <v>16.517140863914399</v>
      </c>
      <c r="CC418" s="29"/>
      <c r="CD418" s="29"/>
      <c r="CE418" s="640"/>
      <c r="CF418" s="640"/>
      <c r="CG418" s="640"/>
      <c r="CH418" s="640"/>
      <c r="CI418" s="640"/>
      <c r="CJ418" s="640"/>
      <c r="CK418" s="640"/>
      <c r="CL418" s="640"/>
      <c r="CM418" s="640"/>
      <c r="CN418" s="640"/>
      <c r="CO418" s="640"/>
      <c r="CP418" s="188"/>
      <c r="CQ418" s="188"/>
      <c r="CR418" s="188"/>
      <c r="CS418" s="188"/>
      <c r="CT418" s="188"/>
      <c r="CU418" s="188"/>
      <c r="DB418" s="1961"/>
      <c r="DC418" s="1961"/>
      <c r="DD418" s="1961"/>
      <c r="DE418" s="1961"/>
      <c r="DF418" s="1961"/>
      <c r="DG418" s="1961"/>
      <c r="DH418" s="1961"/>
      <c r="DI418" s="640"/>
    </row>
    <row r="419" spans="1:113" ht="12" customHeight="1" x14ac:dyDescent="0.25">
      <c r="A419" s="954" t="s">
        <v>271</v>
      </c>
      <c r="B419" s="955"/>
      <c r="C419" s="956">
        <f>C173+C174</f>
        <v>42.822000000000074</v>
      </c>
      <c r="D419" s="734">
        <f>D173+D174</f>
        <v>106.40900000000002</v>
      </c>
      <c r="E419" s="957">
        <f>IF(ISERROR(E173+E174),"NM",(E173+E174))</f>
        <v>125.87800000000003</v>
      </c>
      <c r="F419" s="734">
        <f>F173+F174</f>
        <v>39.826000000000036</v>
      </c>
      <c r="G419" s="734">
        <f>G173+G174</f>
        <v>40.729000000000028</v>
      </c>
      <c r="H419" s="734">
        <f>H173+H174</f>
        <v>52.399000000000072</v>
      </c>
      <c r="I419" s="956">
        <f>I173+I174</f>
        <v>52.399000000000036</v>
      </c>
      <c r="J419" s="734">
        <f t="shared" ref="J419:AW419" si="534">J173+J174</f>
        <v>32.561000000000007</v>
      </c>
      <c r="K419" s="734">
        <f t="shared" si="534"/>
        <v>57.26900000000002</v>
      </c>
      <c r="L419" s="734">
        <f t="shared" si="534"/>
        <v>56.923000000000023</v>
      </c>
      <c r="M419" s="734">
        <f t="shared" si="534"/>
        <v>38.299000000000021</v>
      </c>
      <c r="N419" s="956">
        <f t="shared" si="534"/>
        <v>38.299000000000056</v>
      </c>
      <c r="O419" s="734">
        <f t="shared" si="534"/>
        <v>49.785000000000068</v>
      </c>
      <c r="P419" s="734">
        <f t="shared" si="534"/>
        <v>50.985000000000085</v>
      </c>
      <c r="Q419" s="734">
        <f t="shared" si="534"/>
        <v>65.912000000000106</v>
      </c>
      <c r="R419" s="734">
        <f t="shared" si="534"/>
        <v>76.972000000000122</v>
      </c>
      <c r="S419" s="956">
        <f t="shared" si="534"/>
        <v>76.972000000000122</v>
      </c>
      <c r="T419" s="734">
        <f t="shared" si="534"/>
        <v>136.5380000000001</v>
      </c>
      <c r="U419" s="734">
        <f t="shared" si="534"/>
        <v>111.89400000000012</v>
      </c>
      <c r="V419" s="734">
        <f t="shared" si="534"/>
        <v>112.60500000000015</v>
      </c>
      <c r="W419" s="734">
        <f t="shared" si="534"/>
        <v>60.627000000000187</v>
      </c>
      <c r="X419" s="956">
        <f t="shared" si="534"/>
        <v>60.62700000000001</v>
      </c>
      <c r="Y419" s="734">
        <f t="shared" si="534"/>
        <v>106.84100000000007</v>
      </c>
      <c r="Z419" s="734">
        <f t="shared" si="534"/>
        <v>57.32100000000014</v>
      </c>
      <c r="AA419" s="734">
        <f t="shared" si="534"/>
        <v>57.67400000000017</v>
      </c>
      <c r="AB419" s="734">
        <f t="shared" si="534"/>
        <v>196.6690000000001</v>
      </c>
      <c r="AC419" s="956">
        <f t="shared" si="534"/>
        <v>196.66899999999995</v>
      </c>
      <c r="AD419" s="734">
        <f t="shared" si="534"/>
        <v>119.89799999999997</v>
      </c>
      <c r="AE419" s="734">
        <f t="shared" si="534"/>
        <v>101.97999999999995</v>
      </c>
      <c r="AF419" s="734">
        <f>AF173+AF174</f>
        <v>102.66499999999994</v>
      </c>
      <c r="AG419" s="734">
        <f t="shared" si="534"/>
        <v>94.70199999999987</v>
      </c>
      <c r="AH419" s="956">
        <f t="shared" si="534"/>
        <v>94.701999999999913</v>
      </c>
      <c r="AI419" s="734">
        <f t="shared" si="534"/>
        <v>272.49899999999991</v>
      </c>
      <c r="AJ419" s="734">
        <f t="shared" si="534"/>
        <v>175.71699999999987</v>
      </c>
      <c r="AK419" s="734">
        <f t="shared" si="534"/>
        <v>182.49899999999988</v>
      </c>
      <c r="AL419" s="734">
        <f t="shared" si="534"/>
        <v>169.7299999999999</v>
      </c>
      <c r="AM419" s="956">
        <f t="shared" si="534"/>
        <v>169.71199999999999</v>
      </c>
      <c r="AN419" s="734">
        <f t="shared" si="534"/>
        <v>431.29400000000004</v>
      </c>
      <c r="AO419" s="734">
        <f t="shared" si="534"/>
        <v>423.28500000000008</v>
      </c>
      <c r="AP419" s="734">
        <f t="shared" si="534"/>
        <v>436.22000000000014</v>
      </c>
      <c r="AQ419" s="734">
        <f t="shared" si="534"/>
        <v>43.160000000000039</v>
      </c>
      <c r="AR419" s="956">
        <f t="shared" si="534"/>
        <v>43.160000000000039</v>
      </c>
      <c r="AS419" s="734">
        <f t="shared" si="534"/>
        <v>156.702</v>
      </c>
      <c r="AT419" s="734">
        <f>AT173+AT174</f>
        <v>149.2189999999996</v>
      </c>
      <c r="AU419" s="734">
        <f t="shared" si="534"/>
        <v>172.45499999999964</v>
      </c>
      <c r="AV419" s="734">
        <f t="shared" si="534"/>
        <v>141.94499999999951</v>
      </c>
      <c r="AW419" s="958">
        <f t="shared" si="534"/>
        <v>141.94499999999957</v>
      </c>
      <c r="AX419" s="734">
        <f>AX173+AX174</f>
        <v>135.31099999999958</v>
      </c>
      <c r="AY419" s="734">
        <f t="shared" ref="AY419:BG419" si="535">AY173+AY174</f>
        <v>199.7949999999995</v>
      </c>
      <c r="AZ419" s="734">
        <f t="shared" si="535"/>
        <v>168.26499999999967</v>
      </c>
      <c r="BA419" s="734">
        <f>BA173+BA174</f>
        <v>138.5319999999995</v>
      </c>
      <c r="BB419" s="959">
        <f t="shared" si="535"/>
        <v>138.53199999999933</v>
      </c>
      <c r="BC419" s="734">
        <f>BC173+BC174</f>
        <v>158.63199999999927</v>
      </c>
      <c r="BD419" s="734">
        <f>BD173+BD174</f>
        <v>144.33199999999931</v>
      </c>
      <c r="BE419" s="734">
        <f>BE173+BE174</f>
        <v>145.73199999999935</v>
      </c>
      <c r="BF419" s="734">
        <f>BF173+BF174</f>
        <v>146.13199999999932</v>
      </c>
      <c r="BG419" s="959">
        <f t="shared" si="535"/>
        <v>146.13199999999932</v>
      </c>
      <c r="BH419" s="734">
        <f t="shared" ref="BH419:CA419" si="536">BH173+BH174</f>
        <v>376.62475833011803</v>
      </c>
      <c r="BI419" s="734">
        <f t="shared" si="536"/>
        <v>375.30577199575799</v>
      </c>
      <c r="BJ419" s="734">
        <f t="shared" si="536"/>
        <v>350.1488845184893</v>
      </c>
      <c r="BK419" s="734">
        <f t="shared" si="536"/>
        <v>276.22278508999108</v>
      </c>
      <c r="BL419" s="959">
        <f t="shared" si="536"/>
        <v>276.22278508999108</v>
      </c>
      <c r="BM419" s="734">
        <f t="shared" si="536"/>
        <v>492.33695721141612</v>
      </c>
      <c r="BN419" s="734">
        <f t="shared" si="536"/>
        <v>463.45257163697073</v>
      </c>
      <c r="BO419" s="734">
        <f t="shared" si="536"/>
        <v>409.02270786116463</v>
      </c>
      <c r="BP419" s="734">
        <f t="shared" si="536"/>
        <v>303.25857027500393</v>
      </c>
      <c r="BQ419" s="959">
        <f t="shared" si="536"/>
        <v>303.25857027500393</v>
      </c>
      <c r="BR419" s="734">
        <f t="shared" si="536"/>
        <v>523.97400930879326</v>
      </c>
      <c r="BS419" s="734">
        <f t="shared" si="536"/>
        <v>485.9253052613962</v>
      </c>
      <c r="BT419" s="734">
        <f t="shared" si="536"/>
        <v>420.80706004326993</v>
      </c>
      <c r="BU419" s="734">
        <f t="shared" si="536"/>
        <v>301.77065432387195</v>
      </c>
      <c r="BV419" s="959">
        <f t="shared" si="536"/>
        <v>301.77065432387184</v>
      </c>
      <c r="BW419" s="734">
        <f t="shared" si="536"/>
        <v>551.01146093754778</v>
      </c>
      <c r="BX419" s="734">
        <f t="shared" si="536"/>
        <v>526.98678300276026</v>
      </c>
      <c r="BY419" s="734">
        <f t="shared" si="536"/>
        <v>474.36910216100875</v>
      </c>
      <c r="BZ419" s="734">
        <f t="shared" si="536"/>
        <v>365.22569825884517</v>
      </c>
      <c r="CA419" s="959">
        <f t="shared" si="536"/>
        <v>365.22569825884528</v>
      </c>
      <c r="CC419" s="960"/>
      <c r="CD419" s="960"/>
      <c r="CE419" s="734"/>
      <c r="CF419" s="734"/>
      <c r="CG419" s="734"/>
      <c r="CH419" s="734"/>
      <c r="CI419" s="734"/>
      <c r="CJ419" s="734"/>
      <c r="CK419" s="734"/>
      <c r="CL419" s="734"/>
      <c r="CM419" s="734"/>
      <c r="CN419" s="734"/>
      <c r="CO419" s="734"/>
      <c r="CP419" s="188"/>
      <c r="CQ419" s="188"/>
      <c r="CR419" s="188"/>
      <c r="CS419" s="188"/>
      <c r="CT419" s="188"/>
      <c r="CU419" s="188"/>
      <c r="DB419" s="1961"/>
      <c r="DC419" s="1961"/>
      <c r="DD419" s="1961"/>
      <c r="DE419" s="1961"/>
      <c r="DF419" s="1961"/>
      <c r="DG419" s="1961"/>
      <c r="DH419" s="1961"/>
      <c r="DI419" s="961"/>
    </row>
    <row r="420" spans="1:113" ht="12" customHeight="1" x14ac:dyDescent="0.25">
      <c r="A420" s="962" t="s">
        <v>272</v>
      </c>
      <c r="B420" s="963"/>
      <c r="C420" s="144">
        <f>AVERAGE(C419)</f>
        <v>42.822000000000074</v>
      </c>
      <c r="D420" s="143">
        <f>AVERAGE(C419:D419)</f>
        <v>74.615500000000054</v>
      </c>
      <c r="E420" s="964">
        <f>AVERAGE(D419:E419)</f>
        <v>116.14350000000002</v>
      </c>
      <c r="F420" s="143">
        <f>AVERAGE(E419:F419)</f>
        <v>82.852000000000032</v>
      </c>
      <c r="G420" s="143">
        <f>AVERAGE(F419:G419)</f>
        <v>40.277500000000032</v>
      </c>
      <c r="H420" s="143">
        <f>AVERAGE(G419:H419)</f>
        <v>46.56400000000005</v>
      </c>
      <c r="I420" s="144">
        <f>AVERAGE(E420:H420)</f>
        <v>71.459250000000026</v>
      </c>
      <c r="J420" s="143">
        <f>AVERAGE(I419:J419)</f>
        <v>42.480000000000018</v>
      </c>
      <c r="K420" s="143">
        <f>AVERAGE(J419:K419)</f>
        <v>44.915000000000013</v>
      </c>
      <c r="L420" s="143">
        <f>AVERAGE(K419:L419)</f>
        <v>57.096000000000018</v>
      </c>
      <c r="M420" s="143">
        <f>AVERAGE(L419:M419)</f>
        <v>47.611000000000018</v>
      </c>
      <c r="N420" s="144">
        <f>AVERAGE(J420:M420)</f>
        <v>48.025500000000015</v>
      </c>
      <c r="O420" s="143">
        <f>AVERAGE(N419:O419)</f>
        <v>44.042000000000058</v>
      </c>
      <c r="P420" s="143">
        <f>AVERAGE(O419:P419)</f>
        <v>50.385000000000076</v>
      </c>
      <c r="Q420" s="143">
        <f>AVERAGE(P419:Q419)</f>
        <v>58.448500000000095</v>
      </c>
      <c r="R420" s="143">
        <f>AVERAGE(Q419:R419)</f>
        <v>71.442000000000121</v>
      </c>
      <c r="S420" s="144">
        <f>AVERAGE(O420:R420)</f>
        <v>56.079375000000084</v>
      </c>
      <c r="T420" s="143">
        <f>AVERAGE(S419:T419)</f>
        <v>106.75500000000011</v>
      </c>
      <c r="U420" s="143">
        <f>AVERAGE(T419:U419)</f>
        <v>124.21600000000011</v>
      </c>
      <c r="V420" s="143">
        <f>AVERAGE(U419:V419)</f>
        <v>112.24950000000013</v>
      </c>
      <c r="W420" s="143">
        <f>AVERAGE(V419:W419)</f>
        <v>86.61600000000017</v>
      </c>
      <c r="X420" s="144">
        <f>AVERAGE(T420:W420)</f>
        <v>107.45912500000013</v>
      </c>
      <c r="Y420" s="143">
        <f>AVERAGE(X419:Y419)</f>
        <v>83.734000000000037</v>
      </c>
      <c r="Z420" s="143">
        <f>AVERAGE(Y419:Z419)</f>
        <v>82.081000000000103</v>
      </c>
      <c r="AA420" s="143">
        <f>AVERAGE(Z419:AA419)</f>
        <v>57.497500000000159</v>
      </c>
      <c r="AB420" s="143">
        <f>AVERAGE(AA419:AB419)</f>
        <v>127.17150000000014</v>
      </c>
      <c r="AC420" s="720">
        <f>AVERAGE(Y419:AB419)</f>
        <v>104.62625000000011</v>
      </c>
      <c r="AD420" s="143">
        <f>AVERAGE(AC419:AD419)</f>
        <v>158.28349999999995</v>
      </c>
      <c r="AE420" s="143">
        <f>AVERAGE(AD419:AE419)</f>
        <v>110.93899999999996</v>
      </c>
      <c r="AF420" s="143">
        <f>AVERAGE(AE419:AF419)</f>
        <v>102.32249999999993</v>
      </c>
      <c r="AG420" s="143">
        <f>AVERAGE(AF419:AG419)</f>
        <v>98.683499999999896</v>
      </c>
      <c r="AH420" s="720">
        <f>AVERAGE(AD419:AG419)</f>
        <v>104.81124999999994</v>
      </c>
      <c r="AI420" s="143">
        <f>AVERAGE(AH419:AI419)</f>
        <v>183.6004999999999</v>
      </c>
      <c r="AJ420" s="143">
        <f>AVERAGE(AI419:AJ419)</f>
        <v>224.10799999999989</v>
      </c>
      <c r="AK420" s="143">
        <f>AVERAGE(AJ419:AK419)</f>
        <v>179.10799999999989</v>
      </c>
      <c r="AL420" s="143">
        <f>AVERAGE(AK419:AL419)</f>
        <v>176.11449999999991</v>
      </c>
      <c r="AM420" s="720">
        <f>AVERAGE(AI419:AL419)</f>
        <v>200.1112499999999</v>
      </c>
      <c r="AN420" s="143">
        <f>AVERAGE(AM419:AN419)</f>
        <v>300.50300000000004</v>
      </c>
      <c r="AO420" s="143">
        <f>AVERAGE(AN419:AO419)</f>
        <v>427.28950000000009</v>
      </c>
      <c r="AP420" s="143">
        <f>AVERAGE(AO419:AP419)</f>
        <v>429.75250000000011</v>
      </c>
      <c r="AQ420" s="143">
        <f>AVERAGE(AP419:AQ419)</f>
        <v>239.69000000000008</v>
      </c>
      <c r="AR420" s="720">
        <f>AVERAGE(AN419:AQ419)</f>
        <v>333.48975000000013</v>
      </c>
      <c r="AS420" s="143">
        <f>AVERAGE(AR419:AS419)</f>
        <v>99.931000000000012</v>
      </c>
      <c r="AT420" s="143">
        <f>AVERAGE(AS419:AT419)</f>
        <v>152.9604999999998</v>
      </c>
      <c r="AU420" s="143">
        <f>AVERAGE(AT419:AU419)</f>
        <v>160.83699999999962</v>
      </c>
      <c r="AV420" s="143">
        <f>AVERAGE(AU419:AV419)</f>
        <v>157.19999999999959</v>
      </c>
      <c r="AW420" s="145">
        <f>AVERAGE(AS419:AV419)</f>
        <v>155.08024999999969</v>
      </c>
      <c r="AX420" s="143">
        <f>AVERAGE(AW419:AX419)</f>
        <v>138.62799999999959</v>
      </c>
      <c r="AY420" s="143">
        <f>AVERAGE(AX419:AY419)</f>
        <v>167.55299999999954</v>
      </c>
      <c r="AZ420" s="143">
        <f>AVERAGE(AY419:AZ419)</f>
        <v>184.02999999999957</v>
      </c>
      <c r="BA420" s="143">
        <f>AVERAGE(AZ419:BA419)</f>
        <v>153.39849999999959</v>
      </c>
      <c r="BB420" s="148">
        <f>AVERAGE(AX419:BA419)</f>
        <v>160.47574999999955</v>
      </c>
      <c r="BC420" s="143">
        <f>AVERAGE(BB419:BC419)</f>
        <v>148.58199999999931</v>
      </c>
      <c r="BD420" s="143">
        <f>AVERAGE(BC419:BD419)</f>
        <v>151.48199999999929</v>
      </c>
      <c r="BE420" s="143">
        <f>AVERAGE(BD419:BE419)</f>
        <v>145.03199999999933</v>
      </c>
      <c r="BF420" s="143">
        <f>AVERAGE(BE419:BF419)</f>
        <v>145.93199999999933</v>
      </c>
      <c r="BG420" s="148">
        <f>AVERAGE(BC419:BF419)</f>
        <v>148.70699999999931</v>
      </c>
      <c r="BH420" s="143">
        <f>AVERAGE(BG419:BH419)</f>
        <v>261.37837916505867</v>
      </c>
      <c r="BI420" s="143">
        <f>AVERAGE(BH419:BI419)</f>
        <v>375.96526516293801</v>
      </c>
      <c r="BJ420" s="143">
        <f>AVERAGE(BI419:BJ419)</f>
        <v>362.72732825712365</v>
      </c>
      <c r="BK420" s="143">
        <f>AVERAGE(BJ419:BK419)</f>
        <v>313.18583480424019</v>
      </c>
      <c r="BL420" s="148">
        <f>AVERAGE(BH419:BK419)</f>
        <v>344.5755499835891</v>
      </c>
      <c r="BM420" s="143">
        <f>AVERAGE(BL419:BM419)</f>
        <v>384.27987115070357</v>
      </c>
      <c r="BN420" s="143">
        <f>AVERAGE(BM419:BN419)</f>
        <v>477.89476442419345</v>
      </c>
      <c r="BO420" s="143">
        <f>AVERAGE(BN419:BO419)</f>
        <v>436.23763974906768</v>
      </c>
      <c r="BP420" s="143">
        <f>AVERAGE(BO419:BP419)</f>
        <v>356.14063906808428</v>
      </c>
      <c r="BQ420" s="148">
        <f>AVERAGE(BM419:BP419)</f>
        <v>417.01770174613887</v>
      </c>
      <c r="BR420" s="143">
        <f>AVERAGE(BQ419:BR419)</f>
        <v>413.61628979189857</v>
      </c>
      <c r="BS420" s="143">
        <f>AVERAGE(BR419:BS419)</f>
        <v>504.94965728509476</v>
      </c>
      <c r="BT420" s="143">
        <f>AVERAGE(BS419:BT419)</f>
        <v>453.36618265233307</v>
      </c>
      <c r="BU420" s="143">
        <f>AVERAGE(BT419:BU419)</f>
        <v>361.28885718357094</v>
      </c>
      <c r="BV420" s="148">
        <f>AVERAGE(BR419:BU419)</f>
        <v>433.11925723433285</v>
      </c>
      <c r="BW420" s="143">
        <f>AVERAGE(BV419:BW419)</f>
        <v>426.39105763070984</v>
      </c>
      <c r="BX420" s="143">
        <f>AVERAGE(BW419:BX419)</f>
        <v>538.99912197015396</v>
      </c>
      <c r="BY420" s="143">
        <f>AVERAGE(BX419:BY419)</f>
        <v>500.67794258188451</v>
      </c>
      <c r="BZ420" s="143">
        <f>AVERAGE(BY419:BZ419)</f>
        <v>419.79740020992699</v>
      </c>
      <c r="CA420" s="148">
        <f>AVERAGE(BW419:BZ419)</f>
        <v>479.39826109004048</v>
      </c>
      <c r="CC420" s="143"/>
      <c r="CD420" s="143"/>
      <c r="CE420" s="143"/>
      <c r="CF420" s="143"/>
      <c r="CG420" s="143"/>
      <c r="CH420" s="143"/>
      <c r="CI420" s="143"/>
      <c r="CJ420" s="143"/>
      <c r="CK420" s="143"/>
      <c r="CL420" s="143"/>
      <c r="CM420" s="143"/>
      <c r="CN420" s="143"/>
      <c r="CO420" s="143"/>
      <c r="CP420" s="188"/>
      <c r="CQ420" s="188"/>
      <c r="CR420" s="188"/>
      <c r="CS420" s="188"/>
      <c r="CT420" s="188"/>
      <c r="CU420" s="188"/>
      <c r="DB420" s="1961"/>
      <c r="DC420" s="1961"/>
      <c r="DD420" s="1961"/>
      <c r="DE420" s="1961"/>
      <c r="DF420" s="1961"/>
      <c r="DG420" s="1961"/>
      <c r="DH420" s="1961"/>
      <c r="DI420" s="147"/>
    </row>
    <row r="421" spans="1:113" ht="12" customHeight="1" x14ac:dyDescent="0.25">
      <c r="A421" s="965" t="s">
        <v>273</v>
      </c>
      <c r="B421" s="902"/>
      <c r="C421" s="91">
        <f>IF(ISERROR(C418/C420),"NM",(C418/C420))</f>
        <v>6.8165896034748374E-2</v>
      </c>
      <c r="D421" s="90">
        <f>IF(ISERROR(D418/D420),"NM",(D418/D420))</f>
        <v>8.8252440846740901E-2</v>
      </c>
      <c r="E421" s="745">
        <f>IF(ISERROR(E418/(E420/4)),"NM",(E418/(E420/4)))</f>
        <v>7.232432292810187E-2</v>
      </c>
      <c r="F421" s="90">
        <f>IF(ISERROR(F418/(F420/4)),"NM",(F418/(F420/4)))</f>
        <v>0.11065514411239315</v>
      </c>
      <c r="G421" s="90">
        <f>IF(ISERROR(G418/(G420/4)),"NM",(G418/(G420/4)))</f>
        <v>0.15502451741046477</v>
      </c>
      <c r="H421" s="90">
        <f>IF(ISERROR(H418/(H420/4)),"NM",(H418/(H420/4)))</f>
        <v>0.21381324628468321</v>
      </c>
      <c r="I421" s="91">
        <f>IF(ISERROR(I418/I420),"NM",(I418/I420))</f>
        <v>0.11813726004680986</v>
      </c>
      <c r="J421" s="90">
        <f>IF(ISERROR(J418/(J420/4)),"NM",(J418/(J420/4)))</f>
        <v>7.6836158192090359E-2</v>
      </c>
      <c r="K421" s="90">
        <f>IF(ISERROR(K418/(K420/4)),"NM",(K418/(K420/4)))</f>
        <v>7.1334743404207937E-2</v>
      </c>
      <c r="L421" s="90">
        <f>IF(ISERROR(L418/(L420/4)),"NM",(L418/(L420/4)))</f>
        <v>2.7182289477371429E-2</v>
      </c>
      <c r="M421" s="90">
        <f>IF(ISERROR(M418/(M420/4)),"NM",(M418/(M420/4)))</f>
        <v>1.9155237235092739E-2</v>
      </c>
      <c r="N421" s="91">
        <f>IF(ISERROR(N418/N420),"NM",(N418/N420))</f>
        <v>4.6496132263068563E-2</v>
      </c>
      <c r="O421" s="90">
        <f>IF(ISERROR(O418/(O420/4)),"NM",(O418/(O420/4)))</f>
        <v>3.9053630625312148E-3</v>
      </c>
      <c r="P421" s="90">
        <f>IF(ISERROR(P418/(P420/4)),"NM",(P418/(P420/4)))</f>
        <v>3.8900466408653312E-3</v>
      </c>
      <c r="Q421" s="90">
        <f>IF(ISERROR(Q418/(Q420/4)),"NM",(Q418/(Q420/4)))</f>
        <v>1.9846531561973331E-3</v>
      </c>
      <c r="R421" s="90">
        <f>IF(ISERROR(R418/(R420/4)),"NM",(R418/(R420/4)))</f>
        <v>4.1432210744379991E-3</v>
      </c>
      <c r="S421" s="91">
        <f>IF(ISERROR(S418/S420),"NM",(S418/S420))</f>
        <v>3.4772142164565798E-3</v>
      </c>
      <c r="T421" s="90">
        <f>IF(ISERROR(T418/(T420/4)),"NM",(T418/(T420/4)))</f>
        <v>1.1990070722682766E-3</v>
      </c>
      <c r="U421" s="90">
        <f>IF(ISERROR(U418/(U420/4)),"NM",(U418/(U420/4)))</f>
        <v>2.9625813099761677E-3</v>
      </c>
      <c r="V421" s="90">
        <f>IF(ISERROR(V418/(V420/4)),"NM",(V418/(V420/4)))</f>
        <v>2.1024592537160496E-3</v>
      </c>
      <c r="W421" s="90">
        <f>IF(ISERROR(W418/(W420/4)),"NM",(W418/(W420/4)))</f>
        <v>5.6340629906714585E-3</v>
      </c>
      <c r="X421" s="91">
        <f>IF(ISERROR(X418/X420),"NM",(X418/X420))</f>
        <v>2.838288512027244E-3</v>
      </c>
      <c r="Y421" s="90">
        <f>IF(ISERROR(Y418/(Y420/4)),"NM",(Y418/(Y420/4)))</f>
        <v>4.7770320299997594E-4</v>
      </c>
      <c r="Z421" s="90">
        <f>IF(ISERROR(Z418/(Z420/4)),"NM",(Z418/(Z420/4)))</f>
        <v>-4.8732349752074109E-4</v>
      </c>
      <c r="AA421" s="90">
        <f>IF(ISERROR(AA418/(AA420/4)),"NM",(AA418/(AA420/4)))</f>
        <v>6.8872559676507487E-3</v>
      </c>
      <c r="AB421" s="90">
        <f>IF(ISERROR(AB418/(AB420/4)),"NM",(AB418/(AB420/4)))</f>
        <v>3.2082660029959507E-3</v>
      </c>
      <c r="AC421" s="91">
        <f>IF(ISERROR(AC418/AC420),"NM",(AC418/AC420))</f>
        <v>1.8953551347732753E-3</v>
      </c>
      <c r="AD421" s="90">
        <f>IF(ISERROR(AD418/(AD420/4)),"NM",(AD418/(AD420/4)))</f>
        <v>2.6534667226842984E-3</v>
      </c>
      <c r="AE421" s="90">
        <f>IF(ISERROR(AE418/(AE420/4)),"NM",(AE418/(AE420/4)))</f>
        <v>5.6247126799412305E-3</v>
      </c>
      <c r="AF421" s="90">
        <f>IF(ISERROR(AF418/(AF420/4)),"NM",(AF418/(AF420/4)))</f>
        <v>5.3165237362261513E-3</v>
      </c>
      <c r="AG421" s="90">
        <f>IF(ISERROR(AG418/(AG420/4)),"NM",(AG418/(AG420/4)))</f>
        <v>2.5536183860523825E-3</v>
      </c>
      <c r="AH421" s="91">
        <f>IF(ISERROR(AH418/AH420),"NM",(AH418/AH420))</f>
        <v>7.0813966011753215E-3</v>
      </c>
      <c r="AI421" s="90">
        <f>IF(ISERROR(AI418/(AI420/4)),"NM",(AI418/(AI420/4)))</f>
        <v>9.5860305391325237E-4</v>
      </c>
      <c r="AJ421" s="90">
        <f>IF(ISERROR(AJ418/(AJ420/4)),"NM",(AJ418/(AJ420/4)))</f>
        <v>7.1394149249469038E-4</v>
      </c>
      <c r="AK421" s="90">
        <f>IF(ISERROR(AK418/(AK420/4)),"NM",(AK418/(AK420/4)))</f>
        <v>5.0249011769435232E-3</v>
      </c>
      <c r="AL421" s="90">
        <f>IF(ISERROR(AL418/(AL420/4)),"NM",(AL418/(AL420/4)))</f>
        <v>9.0622861831365451E-3</v>
      </c>
      <c r="AM421" s="91">
        <f>IF(ISERROR(AM418/AM420),"NM",(AM418/AM420))</f>
        <v>3.5380319697168464E-3</v>
      </c>
      <c r="AN421" s="90">
        <f>IF(ISERROR(AN418/(AN420/4)),"NM",(AN418/(AN420/4)))</f>
        <v>2.6622030395703202E-4</v>
      </c>
      <c r="AO421" s="90">
        <f>IF(ISERROR(AO418/(AO420/4)),"NM",(AO418/(AO420/4)))</f>
        <v>6.9273876376554986E-4</v>
      </c>
      <c r="AP421" s="90">
        <f>IF(ISERROR(AP418/(AP420/4)),"NM",(AP418/(AP420/4)))</f>
        <v>-2.6526896294960462E-3</v>
      </c>
      <c r="AQ421" s="90">
        <f>IF(ISERROR(AQ418/(AQ420/4)),"NM",(AQ418/(AQ420/4)))</f>
        <v>3.9050440151862814E-3</v>
      </c>
      <c r="AR421" s="91">
        <f>IF(ISERROR(AR418/AR420),"NM",(AR418/AR420))</f>
        <v>1.2893949514190472E-4</v>
      </c>
      <c r="AS421" s="90">
        <f>IF(ISERROR(AS418/(AS420/4)),"NM",(AS418/(AS420/4)))</f>
        <v>-2.1534859052746394E-2</v>
      </c>
      <c r="AT421" s="90">
        <f>IF(ISERROR(AT418/(AT420/4)),"NM",(AT418/(AT420/4)))</f>
        <v>-5.7792698114872872E-3</v>
      </c>
      <c r="AU421" s="90">
        <f>IF(ISERROR(AU418/(AU420/4)),"NM",(AU418/(AU420/4)))</f>
        <v>0</v>
      </c>
      <c r="AV421" s="90">
        <f>IF(ISERROR(AV418/(AV420/4)),"NM",(AV418/(AV420/4)))</f>
        <v>-3.8167938931297808E-3</v>
      </c>
      <c r="AW421" s="91">
        <f>IF(ISERROR(AW418/AW420),"NM",(AW418/AW420))</f>
        <v>-5.8614813943103769E-3</v>
      </c>
      <c r="AX421" s="90">
        <f>IF(ISERROR(AX418/(AX420/4)),"NM",(AX418/(AX420/4)))</f>
        <v>1.2695847880659066E-3</v>
      </c>
      <c r="AY421" s="90">
        <f>IF(ISERROR(AY418/(AY420/4)),"NM",(AY418/(AY420/4)))</f>
        <v>0</v>
      </c>
      <c r="AZ421" s="90">
        <f>IF(ISERROR(AZ418/(AZ420/4)),"NM",(AZ418/(AZ420/4)))</f>
        <v>4.6166385915340002E-2</v>
      </c>
      <c r="BA421" s="90">
        <f>IF(ISERROR(BA418/(BA420/4)),"NM",(BA418/(BA420/4)))</f>
        <v>8.0835210253033987E-2</v>
      </c>
      <c r="BB421" s="747">
        <f>IF(ISERROR(BB418/BB420),"NM",(BB418/BB420))</f>
        <v>3.2827389808117523E-2</v>
      </c>
      <c r="BC421" s="90">
        <f>IF(ISERROR(BC418/(BC420/4)),"NM",(BC418/(BC420/4)))</f>
        <v>5.1150206619913818E-2</v>
      </c>
      <c r="BD421" s="90">
        <f>IF(ISERROR(BD418/(BD420/4)),"NM",(BD418/(BD420/4)))</f>
        <v>8.9779643786060806E-2</v>
      </c>
      <c r="BE421" s="90">
        <f>IF(ISERROR(BE418/(BE420/4)),"NM",(BE418/(BE420/4)))</f>
        <v>7.1708312648243483E-2</v>
      </c>
      <c r="BF421" s="90">
        <f>IF(ISERROR(BF418/(BF420/4)),"NM",(BF418/(BF420/4)))</f>
        <v>3.5633034564043688E-2</v>
      </c>
      <c r="BG421" s="1923">
        <f>IF(ISERROR(BG418/BG420),"NM",(BG418/BG420))</f>
        <v>6.1866623629015738E-2</v>
      </c>
      <c r="BH421" s="1924">
        <f>BF421</f>
        <v>3.5633034564043688E-2</v>
      </c>
      <c r="BI421" s="1924">
        <f>BH421</f>
        <v>3.5633034564043688E-2</v>
      </c>
      <c r="BJ421" s="1924">
        <f>BI421</f>
        <v>3.5633034564043688E-2</v>
      </c>
      <c r="BK421" s="1924">
        <f>BJ421</f>
        <v>3.5633034564043688E-2</v>
      </c>
      <c r="BL421" s="1923">
        <f>IF(ISERROR(BL418/BL420),"NM",(BL418/BL420))</f>
        <v>3.226981752659281E-2</v>
      </c>
      <c r="BM421" s="1924">
        <f>BK421</f>
        <v>3.5633034564043688E-2</v>
      </c>
      <c r="BN421" s="1924">
        <f>BM421</f>
        <v>3.5633034564043688E-2</v>
      </c>
      <c r="BO421" s="1924">
        <f>BN421</f>
        <v>3.5633034564043688E-2</v>
      </c>
      <c r="BP421" s="1924">
        <f>BO421</f>
        <v>3.5633034564043688E-2</v>
      </c>
      <c r="BQ421" s="1923">
        <f>IF(ISERROR(BQ418/BQ420),"NM",(BQ418/BQ420))</f>
        <v>3.505550088625866E-2</v>
      </c>
      <c r="BR421" s="1924">
        <f>BP421</f>
        <v>3.5633034564043688E-2</v>
      </c>
      <c r="BS421" s="1924">
        <f>BR421</f>
        <v>3.5633034564043688E-2</v>
      </c>
      <c r="BT421" s="1924">
        <f>BS421</f>
        <v>3.5633034564043688E-2</v>
      </c>
      <c r="BU421" s="1924">
        <f>BT421</f>
        <v>3.5633034564043688E-2</v>
      </c>
      <c r="BV421" s="1923">
        <f>IF(ISERROR(BV418/BV420),"NM",(BV418/BV420))</f>
        <v>3.5663637544417745E-2</v>
      </c>
      <c r="BW421" s="1924">
        <f>BU421</f>
        <v>3.5633034564043688E-2</v>
      </c>
      <c r="BX421" s="1924">
        <f>BW421</f>
        <v>3.5633034564043688E-2</v>
      </c>
      <c r="BY421" s="1924">
        <f>BX421</f>
        <v>3.5633034564043688E-2</v>
      </c>
      <c r="BZ421" s="1924">
        <f>BY421</f>
        <v>3.5633034564043688E-2</v>
      </c>
      <c r="CA421" s="1923">
        <f>IF(ISERROR(CA418/CA420),"NM",(CA418/CA420))</f>
        <v>3.4453902328219238E-2</v>
      </c>
      <c r="CC421" s="29"/>
      <c r="CD421" s="29"/>
      <c r="CE421" s="706"/>
      <c r="CF421" s="706"/>
      <c r="CG421" s="706"/>
      <c r="CH421" s="706"/>
      <c r="CI421" s="706"/>
      <c r="CJ421" s="706"/>
      <c r="CK421" s="706"/>
      <c r="CL421" s="706"/>
      <c r="CM421" s="706"/>
      <c r="CN421" s="706"/>
      <c r="CO421" s="706"/>
      <c r="CP421" s="188"/>
      <c r="CQ421" s="188"/>
      <c r="CR421" s="188"/>
      <c r="CS421" s="188"/>
      <c r="CT421" s="188"/>
      <c r="CU421" s="188"/>
      <c r="DB421" s="1961"/>
      <c r="DC421" s="1961"/>
      <c r="DD421" s="1961"/>
      <c r="DE421" s="1961"/>
      <c r="DF421" s="1961"/>
      <c r="DG421" s="1961"/>
      <c r="DH421" s="1961"/>
      <c r="DI421" s="90"/>
    </row>
    <row r="422" spans="1:113" ht="5.0999999999999996" customHeight="1" x14ac:dyDescent="0.25">
      <c r="A422" s="966"/>
      <c r="B422" s="967"/>
      <c r="C422" s="968"/>
      <c r="D422" s="968"/>
      <c r="E422" s="969"/>
      <c r="F422" s="969"/>
      <c r="G422" s="969"/>
      <c r="H422" s="970"/>
      <c r="I422" s="968"/>
      <c r="J422" s="969"/>
      <c r="K422" s="969"/>
      <c r="L422" s="969"/>
      <c r="M422" s="970"/>
      <c r="N422" s="968"/>
      <c r="O422" s="969"/>
      <c r="P422" s="969"/>
      <c r="Q422" s="969"/>
      <c r="R422" s="969"/>
      <c r="S422" s="968"/>
      <c r="T422" s="969"/>
      <c r="U422" s="969"/>
      <c r="V422" s="969"/>
      <c r="W422" s="969"/>
      <c r="X422" s="968"/>
      <c r="Y422" s="969"/>
      <c r="Z422" s="970"/>
      <c r="AA422" s="970"/>
      <c r="AB422" s="970"/>
      <c r="AC422" s="968"/>
      <c r="AD422" s="969"/>
      <c r="AE422" s="970"/>
      <c r="AF422" s="970"/>
      <c r="AG422" s="970"/>
      <c r="AH422" s="968"/>
      <c r="AI422" s="970"/>
      <c r="AJ422" s="970"/>
      <c r="AK422" s="970"/>
      <c r="AL422" s="970"/>
      <c r="AM422" s="968"/>
      <c r="AN422" s="970"/>
      <c r="AO422" s="970"/>
      <c r="AP422" s="970"/>
      <c r="AQ422" s="970"/>
      <c r="AR422" s="968"/>
      <c r="AS422" s="970"/>
      <c r="AT422" s="970"/>
      <c r="AU422" s="970"/>
      <c r="AV422" s="970"/>
      <c r="AW422" s="971"/>
      <c r="AX422" s="970"/>
      <c r="AY422" s="970"/>
      <c r="AZ422" s="970"/>
      <c r="BA422" s="970"/>
      <c r="BB422" s="972"/>
      <c r="BC422" s="970"/>
      <c r="BD422" s="970"/>
      <c r="BE422" s="970"/>
      <c r="BF422" s="970"/>
      <c r="BG422" s="974">
        <f t="shared" ref="BG422:CA422" si="537">-BG423</f>
        <v>-119.30000000000001</v>
      </c>
      <c r="BH422" s="973">
        <f t="shared" si="537"/>
        <v>-33.156837500000002</v>
      </c>
      <c r="BI422" s="973">
        <f t="shared" si="537"/>
        <v>-33.156837500000002</v>
      </c>
      <c r="BJ422" s="973">
        <f t="shared" si="537"/>
        <v>-33.156837500000002</v>
      </c>
      <c r="BK422" s="973">
        <f t="shared" si="537"/>
        <v>-33.156837500000002</v>
      </c>
      <c r="BL422" s="974">
        <f t="shared" si="537"/>
        <v>-132.62735000000001</v>
      </c>
      <c r="BM422" s="973">
        <f t="shared" si="537"/>
        <v>-33.156837500000002</v>
      </c>
      <c r="BN422" s="973">
        <f t="shared" si="537"/>
        <v>-33.156837500000002</v>
      </c>
      <c r="BO422" s="973">
        <f t="shared" si="537"/>
        <v>-33.156837500000002</v>
      </c>
      <c r="BP422" s="973">
        <f t="shared" si="537"/>
        <v>-33.156837500000002</v>
      </c>
      <c r="BQ422" s="974">
        <f t="shared" si="537"/>
        <v>-132.62735000000001</v>
      </c>
      <c r="BR422" s="973">
        <f t="shared" si="537"/>
        <v>-33.156837500000002</v>
      </c>
      <c r="BS422" s="973">
        <f t="shared" si="537"/>
        <v>-33.156837500000002</v>
      </c>
      <c r="BT422" s="973">
        <f t="shared" si="537"/>
        <v>-33.156837500000002</v>
      </c>
      <c r="BU422" s="973">
        <f t="shared" si="537"/>
        <v>-33.156837500000002</v>
      </c>
      <c r="BV422" s="974">
        <f t="shared" si="537"/>
        <v>-132.62735000000001</v>
      </c>
      <c r="BW422" s="973">
        <f t="shared" si="537"/>
        <v>-33.156837500000002</v>
      </c>
      <c r="BX422" s="973">
        <f t="shared" si="537"/>
        <v>-33.156837500000002</v>
      </c>
      <c r="BY422" s="973">
        <f t="shared" si="537"/>
        <v>-33.156837500000002</v>
      </c>
      <c r="BZ422" s="973">
        <f t="shared" si="537"/>
        <v>-33.156837500000002</v>
      </c>
      <c r="CA422" s="974">
        <f t="shared" si="537"/>
        <v>-132.62735000000001</v>
      </c>
      <c r="CC422" s="29"/>
      <c r="CD422" s="29"/>
      <c r="CE422" s="970"/>
      <c r="CF422" s="970"/>
      <c r="CG422" s="970"/>
      <c r="CH422" s="970"/>
      <c r="CI422" s="970"/>
      <c r="CJ422" s="970"/>
      <c r="CK422" s="970"/>
      <c r="CL422" s="970"/>
      <c r="CM422" s="970"/>
      <c r="CN422" s="970"/>
      <c r="CO422" s="970"/>
      <c r="CP422" s="188"/>
      <c r="CQ422" s="188"/>
      <c r="CR422" s="188"/>
      <c r="CS422" s="188"/>
      <c r="CT422" s="188"/>
      <c r="CU422" s="188"/>
      <c r="DB422" s="1961"/>
      <c r="DC422" s="1961"/>
      <c r="DD422" s="1961"/>
      <c r="DE422" s="1961"/>
      <c r="DF422" s="1961"/>
      <c r="DG422" s="1961"/>
      <c r="DH422" s="1961"/>
      <c r="DI422" s="1961"/>
    </row>
    <row r="423" spans="1:113" ht="12" customHeight="1" x14ac:dyDescent="0.25">
      <c r="A423" s="975" t="s">
        <v>274</v>
      </c>
      <c r="B423" s="976"/>
      <c r="C423" s="224">
        <f t="shared" ref="C423:H423" si="538">-C46</f>
        <v>10.265000000000001</v>
      </c>
      <c r="D423" s="224">
        <f t="shared" si="538"/>
        <v>16.667999999999999</v>
      </c>
      <c r="E423" s="226">
        <f t="shared" si="538"/>
        <v>5.7729999999999997</v>
      </c>
      <c r="F423" s="226">
        <f t="shared" si="538"/>
        <v>5.7010000000000005</v>
      </c>
      <c r="G423" s="226">
        <f t="shared" si="538"/>
        <v>5.5779999999999994</v>
      </c>
      <c r="H423" s="226">
        <f t="shared" si="538"/>
        <v>5.8760000000000012</v>
      </c>
      <c r="I423" s="224">
        <f>SUM(E423:H423)</f>
        <v>22.928000000000001</v>
      </c>
      <c r="J423" s="226">
        <f>-J46</f>
        <v>6.3259999999999996</v>
      </c>
      <c r="K423" s="226">
        <f>-K46</f>
        <v>7.8470000000000004</v>
      </c>
      <c r="L423" s="226">
        <f>-L46</f>
        <v>8.3929999999999989</v>
      </c>
      <c r="M423" s="226">
        <f>-M46</f>
        <v>8.75</v>
      </c>
      <c r="N423" s="224">
        <f>SUM(J423:M423)</f>
        <v>31.315999999999999</v>
      </c>
      <c r="O423" s="226">
        <f>-O46</f>
        <v>8.1539999999999999</v>
      </c>
      <c r="P423" s="226">
        <f>-P46</f>
        <v>8.5229999999999997</v>
      </c>
      <c r="Q423" s="226">
        <f>-Q46</f>
        <v>9.4489999999999998</v>
      </c>
      <c r="R423" s="226">
        <f>-R46</f>
        <v>9.1390000000000029</v>
      </c>
      <c r="S423" s="224">
        <f>SUM(O423:R423)</f>
        <v>35.265000000000001</v>
      </c>
      <c r="T423" s="226">
        <f>-T46</f>
        <v>8.4659999999999993</v>
      </c>
      <c r="U423" s="226">
        <f>-U46</f>
        <v>8.4450000000000003</v>
      </c>
      <c r="V423" s="226">
        <f>-V46</f>
        <v>8.484</v>
      </c>
      <c r="W423" s="226">
        <f>-W46</f>
        <v>9.2690000000000001</v>
      </c>
      <c r="X423" s="224">
        <f>SUM(T423:W423)</f>
        <v>34.664000000000001</v>
      </c>
      <c r="Y423" s="226">
        <f>-Y46</f>
        <v>9.6150000000000002</v>
      </c>
      <c r="Z423" s="226">
        <f>-Z46</f>
        <v>14.885</v>
      </c>
      <c r="AA423" s="226">
        <f>-AA46</f>
        <v>14.593</v>
      </c>
      <c r="AB423" s="226">
        <f>-AB46</f>
        <v>14.754</v>
      </c>
      <c r="AC423" s="639">
        <f>SUM(Y423:AB423)</f>
        <v>53.847000000000001</v>
      </c>
      <c r="AD423" s="226">
        <f>-AD46</f>
        <v>16.385000000000002</v>
      </c>
      <c r="AE423" s="226">
        <f>-AE46</f>
        <v>17.376999999999999</v>
      </c>
      <c r="AF423" s="226">
        <f>-AF46</f>
        <v>18.132999999999999</v>
      </c>
      <c r="AG423" s="226">
        <f>-AG46</f>
        <v>20.613</v>
      </c>
      <c r="AH423" s="639">
        <f>SUM(AD423:AG423)</f>
        <v>72.507999999999996</v>
      </c>
      <c r="AI423" s="226">
        <f>-AI46</f>
        <v>20.09</v>
      </c>
      <c r="AJ423" s="226">
        <f>-AJ46</f>
        <v>19.704000000000001</v>
      </c>
      <c r="AK423" s="226">
        <f>-AK46</f>
        <v>18.692</v>
      </c>
      <c r="AL423" s="226">
        <f>-AL46</f>
        <v>17.649999999999999</v>
      </c>
      <c r="AM423" s="639">
        <f>'Debt and Int'!R104</f>
        <v>76.131260837500008</v>
      </c>
      <c r="AN423" s="970">
        <f t="shared" ref="AN423:AZ423" si="539">(AN46)*-1</f>
        <v>17.439</v>
      </c>
      <c r="AO423" s="970">
        <f t="shared" si="539"/>
        <v>17.459</v>
      </c>
      <c r="AP423" s="970">
        <f t="shared" si="539"/>
        <v>17.498000000000001</v>
      </c>
      <c r="AQ423" s="970">
        <f t="shared" si="539"/>
        <v>17.588000000000001</v>
      </c>
      <c r="AR423" s="968">
        <f t="shared" si="539"/>
        <v>69.984000000000009</v>
      </c>
      <c r="AS423" s="970">
        <f t="shared" si="539"/>
        <v>18.262</v>
      </c>
      <c r="AT423" s="970">
        <f t="shared" si="539"/>
        <v>37.661999999999999</v>
      </c>
      <c r="AU423" s="970">
        <f t="shared" si="539"/>
        <v>33.003</v>
      </c>
      <c r="AV423" s="970">
        <f t="shared" si="539"/>
        <v>32.389000000000003</v>
      </c>
      <c r="AW423" s="968">
        <f t="shared" si="539"/>
        <v>121.316</v>
      </c>
      <c r="AX423" s="970">
        <f t="shared" si="539"/>
        <v>32.031999999999996</v>
      </c>
      <c r="AY423" s="970">
        <f t="shared" si="539"/>
        <v>31.434999999999999</v>
      </c>
      <c r="AZ423" s="970">
        <f t="shared" si="539"/>
        <v>28.15</v>
      </c>
      <c r="BA423" s="970">
        <f>(BA46)*-1</f>
        <v>28.4</v>
      </c>
      <c r="BB423" s="642">
        <f>SUM(AX423:BA423)</f>
        <v>120.017</v>
      </c>
      <c r="BC423" s="970">
        <f>(BC46)*-1</f>
        <v>28.4</v>
      </c>
      <c r="BD423" s="970">
        <f>(BD46)*-1</f>
        <v>28.5</v>
      </c>
      <c r="BE423" s="970">
        <f>(BE46)*-1</f>
        <v>30.3</v>
      </c>
      <c r="BF423" s="970">
        <f>(BF46)*-1</f>
        <v>32.1</v>
      </c>
      <c r="BG423" s="642">
        <f>SUM(BC423:BF423)</f>
        <v>119.30000000000001</v>
      </c>
      <c r="BH423" s="546">
        <f>'Debt and Int'!AM104</f>
        <v>33.156837500000002</v>
      </c>
      <c r="BI423" s="546">
        <f>'Debt and Int'!AN104</f>
        <v>33.156837500000002</v>
      </c>
      <c r="BJ423" s="546">
        <f>'Debt and Int'!AO104</f>
        <v>33.156837500000002</v>
      </c>
      <c r="BK423" s="546">
        <f>'Debt and Int'!AP104</f>
        <v>33.156837500000002</v>
      </c>
      <c r="BL423" s="642">
        <f>SUM(BH423:BK423)</f>
        <v>132.62735000000001</v>
      </c>
      <c r="BM423" s="546">
        <f>'Debt and Int'!AR104</f>
        <v>33.156837500000002</v>
      </c>
      <c r="BN423" s="546">
        <f>'Debt and Int'!AS104</f>
        <v>33.156837500000002</v>
      </c>
      <c r="BO423" s="546">
        <f>'Debt and Int'!AT104</f>
        <v>33.156837500000002</v>
      </c>
      <c r="BP423" s="546">
        <f>'Debt and Int'!AU104</f>
        <v>33.156837500000002</v>
      </c>
      <c r="BQ423" s="642">
        <f>SUM(BM423:BP423)</f>
        <v>132.62735000000001</v>
      </c>
      <c r="BR423" s="546">
        <f>'Debt and Int'!AW104</f>
        <v>33.156837500000002</v>
      </c>
      <c r="BS423" s="546">
        <f>'Debt and Int'!AX104</f>
        <v>33.156837500000002</v>
      </c>
      <c r="BT423" s="546">
        <f>'Debt and Int'!AY104</f>
        <v>33.156837500000002</v>
      </c>
      <c r="BU423" s="546">
        <f>'Debt and Int'!AZ104</f>
        <v>33.156837500000002</v>
      </c>
      <c r="BV423" s="642">
        <f>SUM(BR423:BU423)</f>
        <v>132.62735000000001</v>
      </c>
      <c r="BW423" s="546">
        <f>'Debt and Int'!BB104</f>
        <v>33.156837500000002</v>
      </c>
      <c r="BX423" s="546">
        <f>'Debt and Int'!BC104</f>
        <v>33.156837500000002</v>
      </c>
      <c r="BY423" s="546">
        <f>'Debt and Int'!BD104</f>
        <v>33.156837500000002</v>
      </c>
      <c r="BZ423" s="546">
        <f>'Debt and Int'!BE104</f>
        <v>33.156837500000002</v>
      </c>
      <c r="CA423" s="642">
        <f>SUM(BW423:BZ423)</f>
        <v>132.62735000000001</v>
      </c>
      <c r="CC423" s="226"/>
      <c r="CD423" s="226"/>
      <c r="CE423" s="640"/>
      <c r="CF423" s="640"/>
      <c r="CG423" s="640"/>
      <c r="CH423" s="640"/>
      <c r="CI423" s="640"/>
      <c r="CJ423" s="640"/>
      <c r="CK423" s="640"/>
      <c r="CL423" s="640"/>
      <c r="CM423" s="640"/>
      <c r="CN423" s="640"/>
      <c r="CO423" s="640"/>
      <c r="CP423" s="188"/>
      <c r="CQ423" s="188"/>
      <c r="CR423" s="188"/>
      <c r="CS423" s="188"/>
      <c r="CT423" s="188"/>
      <c r="CU423" s="188"/>
      <c r="DB423" s="1961"/>
      <c r="DC423" s="1961"/>
      <c r="DD423" s="1961"/>
      <c r="DE423" s="1961"/>
      <c r="DF423" s="1961"/>
      <c r="DG423" s="1961"/>
      <c r="DH423" s="1961"/>
      <c r="DI423" s="1961"/>
    </row>
    <row r="424" spans="1:113" ht="12" customHeight="1" x14ac:dyDescent="0.25">
      <c r="A424" s="954" t="s">
        <v>275</v>
      </c>
      <c r="B424" s="955"/>
      <c r="C424" s="956">
        <f t="shared" ref="C424:BG424" si="540">C198+C206</f>
        <v>0</v>
      </c>
      <c r="D424" s="956">
        <f t="shared" si="540"/>
        <v>448.69799999999998</v>
      </c>
      <c r="E424" s="734">
        <f t="shared" si="540"/>
        <v>0</v>
      </c>
      <c r="F424" s="734">
        <f t="shared" si="540"/>
        <v>0</v>
      </c>
      <c r="G424" s="734">
        <f t="shared" si="540"/>
        <v>0</v>
      </c>
      <c r="H424" s="734">
        <f t="shared" si="540"/>
        <v>438.33</v>
      </c>
      <c r="I424" s="956">
        <f t="shared" si="540"/>
        <v>438.33</v>
      </c>
      <c r="J424" s="734">
        <f t="shared" si="540"/>
        <v>517.01400000000001</v>
      </c>
      <c r="K424" s="734">
        <f t="shared" si="540"/>
        <v>642.18200000000002</v>
      </c>
      <c r="L424" s="734">
        <f t="shared" si="540"/>
        <v>595.68200000000002</v>
      </c>
      <c r="M424" s="734">
        <f t="shared" si="540"/>
        <v>669.75400000000002</v>
      </c>
      <c r="N424" s="956">
        <f t="shared" si="540"/>
        <v>669.75400000000002</v>
      </c>
      <c r="O424" s="734">
        <f t="shared" si="540"/>
        <v>639.08699999999999</v>
      </c>
      <c r="P424" s="734">
        <f t="shared" si="540"/>
        <v>689.06600000000003</v>
      </c>
      <c r="Q424" s="734">
        <f t="shared" si="540"/>
        <v>659.42200000000003</v>
      </c>
      <c r="R424" s="734">
        <f t="shared" si="540"/>
        <v>594.16899999999998</v>
      </c>
      <c r="S424" s="956">
        <f t="shared" si="540"/>
        <v>594.16899999999998</v>
      </c>
      <c r="T424" s="734">
        <f t="shared" si="540"/>
        <v>531.79899999999998</v>
      </c>
      <c r="U424" s="734">
        <f t="shared" si="540"/>
        <v>530.702</v>
      </c>
      <c r="V424" s="734">
        <f t="shared" si="540"/>
        <v>530.20399999999995</v>
      </c>
      <c r="W424" s="734">
        <f t="shared" si="540"/>
        <v>839.54300000000001</v>
      </c>
      <c r="X424" s="956">
        <f t="shared" si="540"/>
        <v>839.54300000000001</v>
      </c>
      <c r="Y424" s="734">
        <f t="shared" si="540"/>
        <v>830.51700000000005</v>
      </c>
      <c r="Z424" s="734">
        <f t="shared" si="540"/>
        <v>1025.162</v>
      </c>
      <c r="AA424" s="734">
        <f t="shared" si="540"/>
        <v>1019.25</v>
      </c>
      <c r="AB424" s="734">
        <f t="shared" si="540"/>
        <v>1105.8860000000002</v>
      </c>
      <c r="AC424" s="956">
        <f t="shared" si="540"/>
        <v>1105.8860000000002</v>
      </c>
      <c r="AD424" s="734">
        <f t="shared" si="540"/>
        <v>1229.7630000000001</v>
      </c>
      <c r="AE424" s="734">
        <f t="shared" si="540"/>
        <v>1256.1779999999999</v>
      </c>
      <c r="AF424" s="734">
        <f t="shared" si="540"/>
        <v>1567.4769999999999</v>
      </c>
      <c r="AG424" s="734">
        <f t="shared" si="540"/>
        <v>1461.425</v>
      </c>
      <c r="AH424" s="956">
        <f t="shared" si="540"/>
        <v>1461.425</v>
      </c>
      <c r="AI424" s="734">
        <f t="shared" si="540"/>
        <v>1450.4460000000001</v>
      </c>
      <c r="AJ424" s="734">
        <f t="shared" si="540"/>
        <v>1404.7800000000002</v>
      </c>
      <c r="AK424" s="734">
        <f>AK198+AK206</f>
        <v>1310.6290000000001</v>
      </c>
      <c r="AL424" s="734">
        <f>AL198+AL206</f>
        <v>1275.8870000000002</v>
      </c>
      <c r="AM424" s="956">
        <f t="shared" si="540"/>
        <v>1275.8870000000002</v>
      </c>
      <c r="AN424" s="734">
        <f t="shared" si="540"/>
        <v>1275.309</v>
      </c>
      <c r="AO424" s="734">
        <f t="shared" si="540"/>
        <v>1275.4259999999999</v>
      </c>
      <c r="AP424" s="734">
        <f t="shared" si="540"/>
        <v>1276.6599999999999</v>
      </c>
      <c r="AQ424" s="734">
        <f t="shared" si="540"/>
        <v>1436.932</v>
      </c>
      <c r="AR424" s="956">
        <f t="shared" si="540"/>
        <v>1436.932</v>
      </c>
      <c r="AS424" s="734">
        <f>AS198+AS206</f>
        <v>1306.2359999999999</v>
      </c>
      <c r="AT424" s="734">
        <f>AT198+AT206</f>
        <v>3319.6610000000001</v>
      </c>
      <c r="AU424" s="734">
        <f t="shared" si="540"/>
        <v>3198.3649999999998</v>
      </c>
      <c r="AV424" s="734">
        <f t="shared" si="540"/>
        <v>3167.9900000000002</v>
      </c>
      <c r="AW424" s="958">
        <f t="shared" si="540"/>
        <v>3167.9900000000002</v>
      </c>
      <c r="AX424" s="734">
        <f t="shared" si="540"/>
        <v>2981.0219999999999</v>
      </c>
      <c r="AY424" s="734">
        <f t="shared" si="540"/>
        <v>2275.288</v>
      </c>
      <c r="AZ424" s="734">
        <f t="shared" si="540"/>
        <v>2286.3420000000001</v>
      </c>
      <c r="BA424" s="734">
        <f>BA198+BA206</f>
        <v>2387</v>
      </c>
      <c r="BB424" s="959">
        <f t="shared" si="540"/>
        <v>2387</v>
      </c>
      <c r="BC424" s="734">
        <f>BC198+BC206</f>
        <v>2287.6</v>
      </c>
      <c r="BD424" s="734">
        <f>BD198+BD206</f>
        <v>2403.4</v>
      </c>
      <c r="BE424" s="734">
        <f>BE198+BE206</f>
        <v>2881.7000000000003</v>
      </c>
      <c r="BF424" s="734">
        <f>BF198+BF206</f>
        <v>3008.8</v>
      </c>
      <c r="BG424" s="959">
        <f t="shared" si="540"/>
        <v>3008.8</v>
      </c>
      <c r="BH424" s="734">
        <f t="shared" ref="BH424:CA424" si="541">BH198+BH206</f>
        <v>3008.8</v>
      </c>
      <c r="BI424" s="734">
        <f t="shared" si="541"/>
        <v>3008.8</v>
      </c>
      <c r="BJ424" s="734">
        <f t="shared" si="541"/>
        <v>3008.8</v>
      </c>
      <c r="BK424" s="734">
        <f t="shared" si="541"/>
        <v>3008.8</v>
      </c>
      <c r="BL424" s="959">
        <f t="shared" si="541"/>
        <v>3008.8</v>
      </c>
      <c r="BM424" s="734">
        <f t="shared" si="541"/>
        <v>3008.8</v>
      </c>
      <c r="BN424" s="734">
        <f t="shared" si="541"/>
        <v>3008.8</v>
      </c>
      <c r="BO424" s="734">
        <f t="shared" si="541"/>
        <v>3008.8</v>
      </c>
      <c r="BP424" s="734">
        <f t="shared" si="541"/>
        <v>3008.8</v>
      </c>
      <c r="BQ424" s="959">
        <f t="shared" si="541"/>
        <v>3008.8</v>
      </c>
      <c r="BR424" s="734">
        <f t="shared" si="541"/>
        <v>3008.8</v>
      </c>
      <c r="BS424" s="734">
        <f t="shared" si="541"/>
        <v>3008.8</v>
      </c>
      <c r="BT424" s="734">
        <f t="shared" si="541"/>
        <v>3008.8</v>
      </c>
      <c r="BU424" s="734">
        <f t="shared" si="541"/>
        <v>3008.8</v>
      </c>
      <c r="BV424" s="959">
        <f t="shared" si="541"/>
        <v>3008.8</v>
      </c>
      <c r="BW424" s="734">
        <f t="shared" si="541"/>
        <v>3008.8</v>
      </c>
      <c r="BX424" s="734">
        <f t="shared" si="541"/>
        <v>3008.8</v>
      </c>
      <c r="BY424" s="734">
        <f t="shared" si="541"/>
        <v>3008.8</v>
      </c>
      <c r="BZ424" s="734">
        <f t="shared" si="541"/>
        <v>3008.8</v>
      </c>
      <c r="CA424" s="959">
        <f t="shared" si="541"/>
        <v>3008.8</v>
      </c>
      <c r="CC424" s="143"/>
      <c r="CD424" s="143"/>
      <c r="CE424" s="734"/>
      <c r="CF424" s="734"/>
      <c r="CG424" s="734"/>
      <c r="CH424" s="734"/>
      <c r="CI424" s="734"/>
      <c r="CJ424" s="734"/>
      <c r="CK424" s="734"/>
      <c r="CL424" s="734"/>
      <c r="CM424" s="734"/>
      <c r="CN424" s="734"/>
      <c r="CO424" s="734"/>
      <c r="CP424" s="188"/>
      <c r="CQ424" s="188"/>
      <c r="CR424" s="188"/>
      <c r="CS424" s="188"/>
      <c r="CT424" s="188"/>
      <c r="CU424" s="188"/>
      <c r="DB424" s="1961"/>
      <c r="DC424" s="1961"/>
      <c r="DD424" s="1961"/>
      <c r="DE424" s="1961"/>
      <c r="DF424" s="1961"/>
      <c r="DG424" s="1961"/>
      <c r="DH424" s="1961"/>
      <c r="DI424" s="961"/>
    </row>
    <row r="425" spans="1:113" ht="12" customHeight="1" x14ac:dyDescent="0.25">
      <c r="A425" s="966" t="s">
        <v>276</v>
      </c>
      <c r="B425" s="963"/>
      <c r="C425" s="144">
        <f>AVERAGE(C424)</f>
        <v>0</v>
      </c>
      <c r="D425" s="144">
        <f>AVERAGE(C424:D424)</f>
        <v>224.34899999999999</v>
      </c>
      <c r="E425" s="120">
        <f>AVERAGE(D424:E424)</f>
        <v>224.34899999999999</v>
      </c>
      <c r="F425" s="120">
        <f>AVERAGE(E424:F424)</f>
        <v>0</v>
      </c>
      <c r="G425" s="120">
        <f>AVERAGE(F424:G424)</f>
        <v>0</v>
      </c>
      <c r="H425" s="120">
        <f>AVERAGE(G424:H424)</f>
        <v>219.16499999999999</v>
      </c>
      <c r="I425" s="144">
        <f>I424</f>
        <v>438.33</v>
      </c>
      <c r="J425" s="120">
        <f t="shared" ref="J425:Y425" si="542">AVERAGE(I424:J424)</f>
        <v>477.67200000000003</v>
      </c>
      <c r="K425" s="120">
        <f t="shared" si="542"/>
        <v>579.59799999999996</v>
      </c>
      <c r="L425" s="120">
        <f t="shared" si="542"/>
        <v>618.93200000000002</v>
      </c>
      <c r="M425" s="120">
        <f t="shared" si="542"/>
        <v>632.71800000000007</v>
      </c>
      <c r="N425" s="144">
        <f>AVERAGE(J425:M425)</f>
        <v>577.23</v>
      </c>
      <c r="O425" s="120">
        <f t="shared" si="542"/>
        <v>654.42049999999995</v>
      </c>
      <c r="P425" s="120">
        <f t="shared" si="542"/>
        <v>664.07650000000001</v>
      </c>
      <c r="Q425" s="120">
        <f t="shared" si="542"/>
        <v>674.24400000000003</v>
      </c>
      <c r="R425" s="120">
        <f t="shared" si="542"/>
        <v>626.79549999999995</v>
      </c>
      <c r="S425" s="144">
        <f>AVERAGE(O425:R425)</f>
        <v>654.88412500000004</v>
      </c>
      <c r="T425" s="120">
        <f t="shared" si="542"/>
        <v>562.98399999999992</v>
      </c>
      <c r="U425" s="120">
        <f t="shared" si="542"/>
        <v>531.25049999999999</v>
      </c>
      <c r="V425" s="120">
        <f t="shared" si="542"/>
        <v>530.45299999999997</v>
      </c>
      <c r="W425" s="120">
        <f t="shared" si="542"/>
        <v>684.87349999999992</v>
      </c>
      <c r="X425" s="144">
        <f>AVERAGE(T425:W425)</f>
        <v>577.39024999999992</v>
      </c>
      <c r="Y425" s="120">
        <f t="shared" si="542"/>
        <v>835.03</v>
      </c>
      <c r="Z425" s="120">
        <f>AVERAGE(Y424:Z424)</f>
        <v>927.83950000000004</v>
      </c>
      <c r="AA425" s="120">
        <f>AVERAGE(Z424:AA424)</f>
        <v>1022.206</v>
      </c>
      <c r="AB425" s="120">
        <f>AVERAGE(AA424:AB424)</f>
        <v>1062.5680000000002</v>
      </c>
      <c r="AC425" s="144">
        <f>AVERAGE(X424:AC424)</f>
        <v>987.70733333333339</v>
      </c>
      <c r="AD425" s="120">
        <f>AVERAGE(AC424:AD424)</f>
        <v>1167.8245000000002</v>
      </c>
      <c r="AE425" s="120">
        <f>AVERAGE(AD424:AE424)</f>
        <v>1242.9704999999999</v>
      </c>
      <c r="AF425" s="120">
        <f>AVERAGE(AE424:AF424)</f>
        <v>1411.8274999999999</v>
      </c>
      <c r="AG425" s="120">
        <f>AVERAGE(AF424:AG424)</f>
        <v>1514.451</v>
      </c>
      <c r="AH425" s="144">
        <f>AVERAGE(AC424:AH424)</f>
        <v>1347.0256666666667</v>
      </c>
      <c r="AI425" s="120">
        <f>AVERAGE(AH424:AI424)</f>
        <v>1455.9355</v>
      </c>
      <c r="AJ425" s="120">
        <f>AVERAGE(AI424:AJ424)</f>
        <v>1427.6130000000003</v>
      </c>
      <c r="AK425" s="120">
        <f>AVERAGE(AJ424:AK424)</f>
        <v>1357.7045000000003</v>
      </c>
      <c r="AL425" s="120">
        <f>AVERAGE(AK424:AL424)</f>
        <v>1293.2580000000003</v>
      </c>
      <c r="AM425" s="144">
        <f>AVERAGE(AH424:AM424)</f>
        <v>1363.1756666666668</v>
      </c>
      <c r="AN425" s="120">
        <f>AVERAGE(AM424:AN424)</f>
        <v>1275.598</v>
      </c>
      <c r="AO425" s="120">
        <f>AVERAGE(AN424:AO424)</f>
        <v>1275.3674999999998</v>
      </c>
      <c r="AP425" s="120">
        <f>AVERAGE(AO424:AP424)</f>
        <v>1276.0429999999999</v>
      </c>
      <c r="AQ425" s="120">
        <f>AVERAGE(AP424:AQ424)</f>
        <v>1356.7959999999998</v>
      </c>
      <c r="AR425" s="144">
        <f>AVERAGE(AM424:AR424)</f>
        <v>1329.5243333333331</v>
      </c>
      <c r="AS425" s="120">
        <f>AVERAGE(AR424:AS424)</f>
        <v>1371.5839999999998</v>
      </c>
      <c r="AT425" s="120">
        <f>AVERAGE(AS424:AT424)</f>
        <v>2312.9485</v>
      </c>
      <c r="AU425" s="120">
        <f>AVERAGE(AP424:AU424)</f>
        <v>1995.7976666666664</v>
      </c>
      <c r="AV425" s="120">
        <f>AVERAGE(AQ424:AV424)</f>
        <v>2311.0193333333332</v>
      </c>
      <c r="AW425" s="122">
        <f>AVERAGE(AW424,AR424)</f>
        <v>2302.4610000000002</v>
      </c>
      <c r="AX425" s="120">
        <f>AVERAGE(AW424:AX424)</f>
        <v>3074.5060000000003</v>
      </c>
      <c r="AY425" s="120">
        <f>AVERAGE(AT424:AY424)</f>
        <v>3018.386</v>
      </c>
      <c r="AZ425" s="120">
        <f>AVERAGE(AU424:AZ424)</f>
        <v>2846.1661666666664</v>
      </c>
      <c r="BA425" s="120">
        <f>AVERAGE(AV424:BA424)</f>
        <v>2710.9386666666669</v>
      </c>
      <c r="BB425" s="216">
        <f>AVERAGE(AW424:BB424)</f>
        <v>2580.7736666666669</v>
      </c>
      <c r="BC425" s="120">
        <f>AVERAGE(BB424:BC424)</f>
        <v>2337.3000000000002</v>
      </c>
      <c r="BD425" s="120">
        <f>AVERAGE(BC424:BD424)</f>
        <v>2345.5</v>
      </c>
      <c r="BE425" s="120">
        <f>AVERAGE(BD424:BE424)</f>
        <v>2642.55</v>
      </c>
      <c r="BF425" s="120">
        <f>AVERAGE(BE424:BF424)</f>
        <v>2945.25</v>
      </c>
      <c r="BG425" s="216">
        <f t="shared" ref="BG425:CA425" si="543">AVERAGE(BB424:BG424)</f>
        <v>2662.8833333333332</v>
      </c>
      <c r="BH425" s="120">
        <f t="shared" si="543"/>
        <v>2766.5166666666664</v>
      </c>
      <c r="BI425" s="120">
        <f t="shared" si="543"/>
        <v>2886.7166666666667</v>
      </c>
      <c r="BJ425" s="120">
        <f t="shared" si="543"/>
        <v>2987.6166666666663</v>
      </c>
      <c r="BK425" s="120">
        <f t="shared" si="543"/>
        <v>3008.7999999999997</v>
      </c>
      <c r="BL425" s="216">
        <f t="shared" si="543"/>
        <v>3008.7999999999997</v>
      </c>
      <c r="BM425" s="120">
        <f t="shared" si="543"/>
        <v>3008.7999999999997</v>
      </c>
      <c r="BN425" s="120">
        <f t="shared" si="543"/>
        <v>3008.7999999999997</v>
      </c>
      <c r="BO425" s="120">
        <f t="shared" si="543"/>
        <v>3008.7999999999997</v>
      </c>
      <c r="BP425" s="120">
        <f t="shared" si="543"/>
        <v>3008.7999999999997</v>
      </c>
      <c r="BQ425" s="216">
        <f t="shared" si="543"/>
        <v>3008.7999999999997</v>
      </c>
      <c r="BR425" s="120">
        <f t="shared" si="543"/>
        <v>3008.7999999999997</v>
      </c>
      <c r="BS425" s="120">
        <f t="shared" si="543"/>
        <v>3008.7999999999997</v>
      </c>
      <c r="BT425" s="120">
        <f t="shared" si="543"/>
        <v>3008.7999999999997</v>
      </c>
      <c r="BU425" s="120">
        <f t="shared" si="543"/>
        <v>3008.7999999999997</v>
      </c>
      <c r="BV425" s="216">
        <f t="shared" si="543"/>
        <v>3008.7999999999997</v>
      </c>
      <c r="BW425" s="120">
        <f t="shared" si="543"/>
        <v>3008.7999999999997</v>
      </c>
      <c r="BX425" s="120">
        <f t="shared" si="543"/>
        <v>3008.7999999999997</v>
      </c>
      <c r="BY425" s="120">
        <f t="shared" si="543"/>
        <v>3008.7999999999997</v>
      </c>
      <c r="BZ425" s="120">
        <f t="shared" si="543"/>
        <v>3008.7999999999997</v>
      </c>
      <c r="CA425" s="216">
        <f t="shared" si="543"/>
        <v>3008.7999999999997</v>
      </c>
      <c r="CC425" s="29"/>
      <c r="CD425" s="29"/>
      <c r="CE425" s="120"/>
      <c r="CF425" s="120"/>
      <c r="CG425" s="120"/>
      <c r="CH425" s="120"/>
      <c r="CI425" s="120"/>
      <c r="CJ425" s="120"/>
      <c r="CK425" s="120"/>
      <c r="CL425" s="120"/>
      <c r="CM425" s="120"/>
      <c r="CN425" s="120"/>
      <c r="CO425" s="120"/>
      <c r="CP425" s="188"/>
      <c r="CQ425" s="188"/>
      <c r="CR425" s="188"/>
      <c r="CS425" s="188"/>
      <c r="CT425" s="188"/>
      <c r="CU425" s="188"/>
      <c r="DB425" s="1961"/>
      <c r="DC425" s="1961"/>
      <c r="DD425" s="1961"/>
      <c r="DE425" s="1961"/>
      <c r="DF425" s="1961"/>
      <c r="DG425" s="1961"/>
      <c r="DH425" s="1961"/>
      <c r="DI425" s="126"/>
    </row>
    <row r="426" spans="1:113" ht="12" customHeight="1" x14ac:dyDescent="0.25">
      <c r="A426" s="977" t="s">
        <v>277</v>
      </c>
      <c r="B426" s="978"/>
      <c r="C426" s="747" t="str">
        <f>IF(ISERROR(C423/C425),"NM",(C423/C425))</f>
        <v>NM</v>
      </c>
      <c r="D426" s="747">
        <f>IF(ISERROR(D423/D425),"NM",(D423/D425))</f>
        <v>7.4294960084511183E-2</v>
      </c>
      <c r="E426" s="802">
        <f>IF(ISERROR(E423/(E425/4)),"NM",(E423/(E425/4)))</f>
        <v>0.10292891878278931</v>
      </c>
      <c r="F426" s="802" t="str">
        <f>IF(ISERROR(F423/(F425/4)),"NM",(F423/(F425/4)))</f>
        <v>NM</v>
      </c>
      <c r="G426" s="802" t="str">
        <f>IF(ISERROR(G423/(G425/4)),"NM",(G423/(G425/4)))</f>
        <v>NM</v>
      </c>
      <c r="H426" s="90">
        <f>IF(ISERROR(H423/(H425/4)),"NM",(H423/(H425/4)))</f>
        <v>0.10724340109050262</v>
      </c>
      <c r="I426" s="91">
        <f>IF(ISERROR(I423/I425),"NM",(I423/I425))</f>
        <v>5.2307622111194767E-2</v>
      </c>
      <c r="J426" s="90">
        <f t="shared" ref="J426:V426" si="544">IF(ISERROR(J423/(J425/4)),"NM",(J423/(J425/4)))</f>
        <v>5.2973588571237164E-2</v>
      </c>
      <c r="K426" s="90">
        <f t="shared" si="544"/>
        <v>5.415477624146392E-2</v>
      </c>
      <c r="L426" s="90">
        <f t="shared" si="544"/>
        <v>5.4241823011251633E-2</v>
      </c>
      <c r="M426" s="90">
        <f t="shared" si="544"/>
        <v>5.5316902632768464E-2</v>
      </c>
      <c r="N426" s="91">
        <f>IF(ISERROR(N423/N425),"NM",(N423/N425))</f>
        <v>5.4252204493875925E-2</v>
      </c>
      <c r="O426" s="90">
        <f t="shared" si="544"/>
        <v>4.9839514501761488E-2</v>
      </c>
      <c r="P426" s="90">
        <f t="shared" si="544"/>
        <v>5.1337458862043751E-2</v>
      </c>
      <c r="Q426" s="90">
        <f t="shared" si="544"/>
        <v>5.6056857754759402E-2</v>
      </c>
      <c r="R426" s="90">
        <f t="shared" si="544"/>
        <v>5.8322052407842773E-2</v>
      </c>
      <c r="S426" s="91">
        <f>IF(ISERROR(S423/S425),"NM",(S423/S425))</f>
        <v>5.3849221035858826E-2</v>
      </c>
      <c r="T426" s="90">
        <f t="shared" si="544"/>
        <v>6.0150910150199653E-2</v>
      </c>
      <c r="U426" s="90">
        <f t="shared" si="544"/>
        <v>6.358582250746117E-2</v>
      </c>
      <c r="V426" s="90">
        <f t="shared" si="544"/>
        <v>6.3975507726414971E-2</v>
      </c>
      <c r="W426" s="92">
        <f>IF(ISERROR(W423/(W425/4)),"NM",(W423/(W425/4)))</f>
        <v>5.4135544739283975E-2</v>
      </c>
      <c r="X426" s="91">
        <f>IF(ISERROR(X423/X425),"NM",(X423/X425))</f>
        <v>6.0035651797029833E-2</v>
      </c>
      <c r="Y426" s="90">
        <f>IF(ISERROR(Y423/(Y425/4)),"NM",(Y423/(Y425/4)))</f>
        <v>4.605822545297774E-2</v>
      </c>
      <c r="Z426" s="90">
        <f>IF(ISERROR(Z423/(Z425/4)),"NM",(Z423/(Z425/4)))</f>
        <v>6.4170581226602227E-2</v>
      </c>
      <c r="AA426" s="90">
        <f>IF(ISERROR(AA423/(AA425/4)),"NM",(AA423/(AA425/4)))</f>
        <v>5.7103949693114692E-2</v>
      </c>
      <c r="AB426" s="92">
        <f>IF(ISERROR(AB423/(AB425/4)),"NM",(AB423/(AB425/4)))</f>
        <v>5.5540915969613226E-2</v>
      </c>
      <c r="AC426" s="91">
        <f>IF(ISERROR(AC423/AC425),"NM",(AC423/AC425))</f>
        <v>5.4517161291367681E-2</v>
      </c>
      <c r="AD426" s="90">
        <f>IF(ISERROR(AD423/(AD425/4)),"NM",(AD423/(AD425/4)))</f>
        <v>5.6121446330334737E-2</v>
      </c>
      <c r="AE426" s="90">
        <f>IF(ISERROR(AE423/(AE425/4)),"NM",(AE423/(AE425/4)))</f>
        <v>5.5920876641883298E-2</v>
      </c>
      <c r="AF426" s="90">
        <f>IF(ISERROR(AF423/(AF425/4)),"NM",(AF423/(AF425/4)))</f>
        <v>5.1374548236239909E-2</v>
      </c>
      <c r="AG426" s="90">
        <f>IF(ISERROR(AG423/(AG425/4)),"NM",(AG423/(AG425/4)))</f>
        <v>5.4443491403815637E-2</v>
      </c>
      <c r="AH426" s="91">
        <f>IF(ISERROR(AH423/AH425),"NM",(AH423/AH425))</f>
        <v>5.3828224505496923E-2</v>
      </c>
      <c r="AI426" s="90">
        <f>IF(ISERROR(AI423/(AI425/4)),"NM",(AI423/(AI425/4)))</f>
        <v>5.5194752789529476E-2</v>
      </c>
      <c r="AJ426" s="90">
        <f>IF(ISERROR(AJ423/(AJ425/4)),"NM",(AJ423/(AJ425/4)))</f>
        <v>5.5208239207684424E-2</v>
      </c>
      <c r="AK426" s="90">
        <f>IF(ISERROR(AK423/(AK425/4)),"NM",(AK423/(AK425/4)))</f>
        <v>5.506942048140813E-2</v>
      </c>
      <c r="AL426" s="90">
        <f>IF(ISERROR(AL423/(AL425/4)),"NM",(AL423/(AL425/4)))</f>
        <v>5.4590808639884678E-2</v>
      </c>
      <c r="AM426" s="91">
        <f>IF(ISERROR(AM423/(AM425)),"NM",(AM423/(AM425)))</f>
        <v>5.5848459372563136E-2</v>
      </c>
      <c r="AN426" s="90">
        <f>IF(ISERROR(AN423/(AN425/4)),"NM",(AN423/(AN425/4)))</f>
        <v>5.4684939926215002E-2</v>
      </c>
      <c r="AO426" s="90">
        <f>IF(ISERROR(AO423/(AO425/4)),"NM",(AO423/(AO425/4)))</f>
        <v>5.4757550274724745E-2</v>
      </c>
      <c r="AP426" s="90">
        <f>IF(ISERROR(AP423/(AP425/4)),"NM",(AP423/(AP425/4)))</f>
        <v>5.4850816155881901E-2</v>
      </c>
      <c r="AQ426" s="90">
        <f>IF(ISERROR(AQ423/(AQ425/4)),"NM",(AQ423/(AQ425/4)))</f>
        <v>5.185156795863196E-2</v>
      </c>
      <c r="AR426" s="91">
        <f>IF(ISERROR(AR423/(AR425)),"NM",(AR423/(AR425)))</f>
        <v>5.2638374676858134E-2</v>
      </c>
      <c r="AS426" s="90">
        <f>IF(ISERROR(AS423/(AS425/4)),"NM",(AS423/(AS425/4)))</f>
        <v>5.3258130745182222E-2</v>
      </c>
      <c r="AT426" s="90">
        <f>IF(ISERROR(AT423/(AT425/4)),"NM",(AT423/(AT425/4)))</f>
        <v>6.5132448906666099E-2</v>
      </c>
      <c r="AU426" s="90">
        <f>IF(ISERROR(AU423/(AU425/4)),"NM",(AU423/(AU425/4)))</f>
        <v>6.6144981630569435E-2</v>
      </c>
      <c r="AV426" s="90">
        <f>IF(ISERROR(AV423/(AV425/4)),"NM",(AV423/(AV425/4)))</f>
        <v>5.6060110848632751E-2</v>
      </c>
      <c r="AW426" s="91">
        <f>IF(ISERROR(AW423/(AW425)),"NM",(AW423/(AW425)))</f>
        <v>5.2689708967926054E-2</v>
      </c>
      <c r="AX426" s="90">
        <f>IF(ISERROR(AX423/(AX425/4)),"NM",(AX423/(AX425/4)))</f>
        <v>4.1674337275646872E-2</v>
      </c>
      <c r="AY426" s="90">
        <f>IF(ISERROR(AY423/(AY425/4)),"NM",(AY423/(AY425/4)))</f>
        <v>4.1658025182995148E-2</v>
      </c>
      <c r="AZ426" s="90">
        <f>IF(ISERROR(AZ423/(AZ425/4)),"NM",(AZ423/(AZ425/4)))</f>
        <v>3.9561990905075409E-2</v>
      </c>
      <c r="BA426" s="90">
        <f>IF(ISERROR(BA423/(BA425/4)),"NM",(BA423/(BA425/4)))</f>
        <v>4.1904304732825623E-2</v>
      </c>
      <c r="BB426" s="747">
        <f>IF(ISERROR(BB423/(BB425)),"NM",(BB423/(BB425)))</f>
        <v>4.6504271781033099E-2</v>
      </c>
      <c r="BC426" s="90">
        <f>IF(ISERROR(BC423/(BC425/4)),"NM",(BC423/(BC425/4)))</f>
        <v>4.8603089034355874E-2</v>
      </c>
      <c r="BD426" s="90">
        <f>IF(ISERROR(BD423/(BD425/4)),"NM",(BD423/(BD425/4)))</f>
        <v>4.8603709230441272E-2</v>
      </c>
      <c r="BE426" s="90">
        <f>IF(ISERROR(BE423/(BE425/4)),"NM",(BE423/(BE425/4)))</f>
        <v>4.5864789691774988E-2</v>
      </c>
      <c r="BF426" s="90">
        <f>IF(ISERROR(BF423/(BF425/4)),"NM",(BF423/(BF425/4)))</f>
        <v>4.3595620066208304E-2</v>
      </c>
      <c r="BG426" s="747">
        <f>IF(ISERROR(BG423/(BG425)),"NM",(BG423/(BG425)))</f>
        <v>4.4801061506011659E-2</v>
      </c>
      <c r="BH426" s="90">
        <f>IF(ISERROR(BH423/(BH425/4)),"NM",(BH423/(BH425/4)))</f>
        <v>4.7940195552770938E-2</v>
      </c>
      <c r="BI426" s="90">
        <f>IF(ISERROR(BI423/(BI425/4)),"NM",(BI423/(BI425/4)))</f>
        <v>4.594401367181862E-2</v>
      </c>
      <c r="BJ426" s="90">
        <f>IF(ISERROR(BJ423/(BJ425/4)),"NM",(BJ423/(BJ425/4)))</f>
        <v>4.4392358457410318E-2</v>
      </c>
      <c r="BK426" s="90">
        <f>IF(ISERROR(BK423/(BK425/4)),"NM",(BK423/(BK425/4)))</f>
        <v>4.4079815873437921E-2</v>
      </c>
      <c r="BL426" s="747">
        <f>IF(ISERROR(BL423/(BL425)),"NM",(BL423/(BL425)))</f>
        <v>4.4079815873437921E-2</v>
      </c>
      <c r="BM426" s="90">
        <f>IF(ISERROR(BM423/(BM425/4)),"NM",(BM423/(BM425/4)))</f>
        <v>4.4079815873437921E-2</v>
      </c>
      <c r="BN426" s="90">
        <f>IF(ISERROR(BN423/(BN425/4)),"NM",(BN423/(BN425/4)))</f>
        <v>4.4079815873437921E-2</v>
      </c>
      <c r="BO426" s="90">
        <f>IF(ISERROR(BO423/(BO425/4)),"NM",(BO423/(BO425/4)))</f>
        <v>4.4079815873437921E-2</v>
      </c>
      <c r="BP426" s="90">
        <f>IF(ISERROR(BP423/(BP425/4)),"NM",(BP423/(BP425/4)))</f>
        <v>4.4079815873437921E-2</v>
      </c>
      <c r="BQ426" s="747">
        <f>IF(ISERROR(BQ423/(BQ425)),"NM",(BQ423/(BQ425)))</f>
        <v>4.4079815873437921E-2</v>
      </c>
      <c r="BR426" s="90">
        <f>IF(ISERROR(BR423/(BR425/4)),"NM",(BR423/(BR425/4)))</f>
        <v>4.4079815873437921E-2</v>
      </c>
      <c r="BS426" s="90">
        <f>IF(ISERROR(BS423/(BS425/4)),"NM",(BS423/(BS425/4)))</f>
        <v>4.4079815873437921E-2</v>
      </c>
      <c r="BT426" s="90">
        <f>IF(ISERROR(BT423/(BT425/4)),"NM",(BT423/(BT425/4)))</f>
        <v>4.4079815873437921E-2</v>
      </c>
      <c r="BU426" s="90">
        <f>IF(ISERROR(BU423/(BU425/4)),"NM",(BU423/(BU425/4)))</f>
        <v>4.4079815873437921E-2</v>
      </c>
      <c r="BV426" s="747">
        <f>IF(ISERROR(BV423/(BV425)),"NM",(BV423/(BV425)))</f>
        <v>4.4079815873437921E-2</v>
      </c>
      <c r="BW426" s="90">
        <f>IF(ISERROR(BW423/(BW425/4)),"NM",(BW423/(BW425/4)))</f>
        <v>4.4079815873437921E-2</v>
      </c>
      <c r="BX426" s="90">
        <f>IF(ISERROR(BX423/(BX425/4)),"NM",(BX423/(BX425/4)))</f>
        <v>4.4079815873437921E-2</v>
      </c>
      <c r="BY426" s="90">
        <f>IF(ISERROR(BY423/(BY425/4)),"NM",(BY423/(BY425/4)))</f>
        <v>4.4079815873437921E-2</v>
      </c>
      <c r="BZ426" s="90">
        <f>IF(ISERROR(BZ423/(BZ425/4)),"NM",(BZ423/(BZ425/4)))</f>
        <v>4.4079815873437921E-2</v>
      </c>
      <c r="CA426" s="747">
        <f>IF(ISERROR(CA423/(CA425)),"NM",(CA423/(CA425)))</f>
        <v>4.4079815873437921E-2</v>
      </c>
      <c r="CC426" s="92"/>
      <c r="CD426" s="92"/>
      <c r="CE426" s="706"/>
      <c r="CF426" s="706"/>
      <c r="CG426" s="706"/>
      <c r="CH426" s="706"/>
      <c r="CI426" s="706"/>
      <c r="CJ426" s="706"/>
      <c r="CK426" s="706"/>
      <c r="CL426" s="706"/>
      <c r="CM426" s="706"/>
      <c r="CN426" s="706"/>
      <c r="CO426" s="706"/>
      <c r="CP426" s="188"/>
      <c r="CQ426" s="188"/>
      <c r="CR426" s="188"/>
      <c r="CS426" s="188"/>
      <c r="CT426" s="188"/>
      <c r="CU426" s="188"/>
      <c r="DB426" s="1961"/>
      <c r="DC426" s="1961"/>
      <c r="DD426" s="1961"/>
      <c r="DE426" s="1961"/>
      <c r="DF426" s="1961"/>
      <c r="DG426" s="1961"/>
      <c r="DH426" s="1961"/>
      <c r="DI426" s="90"/>
    </row>
    <row r="427" spans="1:113" ht="15.75" thickBot="1" x14ac:dyDescent="0.3">
      <c r="A427" s="979"/>
      <c r="B427" s="885"/>
      <c r="C427" s="886"/>
      <c r="D427" s="886"/>
      <c r="E427" s="884"/>
      <c r="F427" s="884"/>
      <c r="G427" s="884"/>
      <c r="H427" s="884"/>
      <c r="I427" s="886"/>
      <c r="J427" s="884"/>
      <c r="K427" s="884"/>
      <c r="L427" s="884"/>
      <c r="M427" s="884"/>
      <c r="N427" s="886"/>
      <c r="O427" s="884"/>
      <c r="P427" s="884"/>
      <c r="Q427" s="884"/>
      <c r="R427" s="884"/>
      <c r="S427" s="886"/>
      <c r="T427" s="884"/>
      <c r="U427" s="884"/>
      <c r="V427" s="884"/>
      <c r="W427" s="980"/>
      <c r="X427" s="886"/>
      <c r="Y427" s="980"/>
      <c r="Z427" s="884"/>
      <c r="AA427" s="884"/>
      <c r="AB427" s="884"/>
      <c r="AC427" s="886"/>
      <c r="AD427" s="980"/>
      <c r="AE427" s="884"/>
      <c r="AF427" s="884"/>
      <c r="AG427" s="884"/>
      <c r="AH427" s="886"/>
      <c r="AI427" s="884"/>
      <c r="AJ427" s="884"/>
      <c r="AK427" s="884"/>
      <c r="AL427" s="884"/>
      <c r="AM427" s="981"/>
      <c r="AN427" s="884"/>
      <c r="AO427" s="884"/>
      <c r="AP427" s="884"/>
      <c r="AQ427" s="884"/>
      <c r="AR427" s="981"/>
      <c r="AS427" s="884"/>
      <c r="AT427" s="884"/>
      <c r="AU427" s="884"/>
      <c r="AV427" s="884"/>
      <c r="AW427" s="941"/>
      <c r="AX427" s="982">
        <f>AX423*-1</f>
        <v>-32.031999999999996</v>
      </c>
      <c r="AY427" s="982">
        <f t="shared" ref="AY427:BG427" si="545">AY423*-1</f>
        <v>-31.434999999999999</v>
      </c>
      <c r="AZ427" s="982">
        <f t="shared" si="545"/>
        <v>-28.15</v>
      </c>
      <c r="BA427" s="982">
        <f>BA423*-1</f>
        <v>-28.4</v>
      </c>
      <c r="BB427" s="983">
        <f t="shared" si="545"/>
        <v>-120.017</v>
      </c>
      <c r="BC427" s="982">
        <f t="shared" si="545"/>
        <v>-28.4</v>
      </c>
      <c r="BD427" s="982">
        <f t="shared" si="545"/>
        <v>-28.5</v>
      </c>
      <c r="BE427" s="982">
        <f t="shared" si="545"/>
        <v>-30.3</v>
      </c>
      <c r="BF427" s="982">
        <f t="shared" si="545"/>
        <v>-32.1</v>
      </c>
      <c r="BG427" s="983">
        <f t="shared" si="545"/>
        <v>-119.30000000000001</v>
      </c>
      <c r="BH427" s="982">
        <f t="shared" ref="BH427:CA427" si="546">BH423*-1</f>
        <v>-33.156837500000002</v>
      </c>
      <c r="BI427" s="982">
        <f t="shared" si="546"/>
        <v>-33.156837500000002</v>
      </c>
      <c r="BJ427" s="982">
        <f t="shared" si="546"/>
        <v>-33.156837500000002</v>
      </c>
      <c r="BK427" s="982">
        <f t="shared" si="546"/>
        <v>-33.156837500000002</v>
      </c>
      <c r="BL427" s="983">
        <f t="shared" si="546"/>
        <v>-132.62735000000001</v>
      </c>
      <c r="BM427" s="982">
        <f t="shared" si="546"/>
        <v>-33.156837500000002</v>
      </c>
      <c r="BN427" s="982">
        <f t="shared" si="546"/>
        <v>-33.156837500000002</v>
      </c>
      <c r="BO427" s="982">
        <f t="shared" si="546"/>
        <v>-33.156837500000002</v>
      </c>
      <c r="BP427" s="982">
        <f t="shared" si="546"/>
        <v>-33.156837500000002</v>
      </c>
      <c r="BQ427" s="983">
        <f t="shared" si="546"/>
        <v>-132.62735000000001</v>
      </c>
      <c r="BR427" s="982">
        <f t="shared" si="546"/>
        <v>-33.156837500000002</v>
      </c>
      <c r="BS427" s="982">
        <f t="shared" si="546"/>
        <v>-33.156837500000002</v>
      </c>
      <c r="BT427" s="982">
        <f t="shared" si="546"/>
        <v>-33.156837500000002</v>
      </c>
      <c r="BU427" s="982">
        <f t="shared" si="546"/>
        <v>-33.156837500000002</v>
      </c>
      <c r="BV427" s="983">
        <f t="shared" si="546"/>
        <v>-132.62735000000001</v>
      </c>
      <c r="BW427" s="982">
        <f t="shared" si="546"/>
        <v>-33.156837500000002</v>
      </c>
      <c r="BX427" s="982">
        <f t="shared" si="546"/>
        <v>-33.156837500000002</v>
      </c>
      <c r="BY427" s="982">
        <f t="shared" si="546"/>
        <v>-33.156837500000002</v>
      </c>
      <c r="BZ427" s="982">
        <f t="shared" si="546"/>
        <v>-33.156837500000002</v>
      </c>
      <c r="CA427" s="983">
        <f t="shared" si="546"/>
        <v>-132.62735000000001</v>
      </c>
      <c r="CC427" s="29"/>
      <c r="CD427" s="29"/>
      <c r="CE427" s="29"/>
      <c r="CF427" s="29"/>
      <c r="CG427" s="29"/>
      <c r="CH427" s="29"/>
      <c r="CI427" s="29"/>
      <c r="CJ427" s="29"/>
      <c r="CK427" s="29"/>
      <c r="CL427" s="29"/>
      <c r="CM427" s="29"/>
      <c r="CN427" s="29"/>
      <c r="CO427" s="29"/>
      <c r="CP427" s="188"/>
      <c r="CQ427" s="188"/>
      <c r="CR427" s="188"/>
      <c r="CS427" s="188"/>
      <c r="CT427" s="188"/>
      <c r="CU427" s="188"/>
      <c r="DB427" s="1961"/>
      <c r="DC427" s="1961"/>
      <c r="DD427" s="1961"/>
      <c r="DE427" s="1961"/>
      <c r="DF427" s="1961"/>
      <c r="DG427" s="1961"/>
      <c r="DH427" s="1961"/>
      <c r="DI427" s="9"/>
    </row>
    <row r="428" spans="1:113" x14ac:dyDescent="0.25">
      <c r="A428" s="966"/>
      <c r="B428" s="892"/>
      <c r="C428" s="110"/>
      <c r="D428" s="110"/>
      <c r="E428" s="29"/>
      <c r="F428" s="29"/>
      <c r="G428" s="29"/>
      <c r="H428" s="29"/>
      <c r="I428" s="110"/>
      <c r="J428" s="29"/>
      <c r="K428" s="29"/>
      <c r="L428" s="29"/>
      <c r="M428" s="29"/>
      <c r="N428" s="110"/>
      <c r="O428" s="29"/>
      <c r="P428" s="29"/>
      <c r="Q428" s="29"/>
      <c r="R428" s="29"/>
      <c r="S428" s="110"/>
      <c r="T428" s="29"/>
      <c r="U428" s="29"/>
      <c r="V428" s="29"/>
      <c r="W428" s="29"/>
      <c r="X428" s="110"/>
      <c r="Y428" s="29"/>
      <c r="Z428" s="29"/>
      <c r="AA428" s="29"/>
      <c r="AB428" s="29"/>
      <c r="AC428" s="110"/>
      <c r="AD428" s="29"/>
      <c r="AE428" s="29"/>
      <c r="AF428" s="29"/>
      <c r="AG428" s="29"/>
      <c r="AH428" s="110"/>
      <c r="AI428" s="29"/>
      <c r="AJ428" s="29"/>
      <c r="AK428" s="29"/>
      <c r="AL428" s="29"/>
      <c r="AM428" s="110"/>
      <c r="AN428" s="29"/>
      <c r="AO428" s="29"/>
      <c r="AP428" s="29"/>
      <c r="AQ428" s="29"/>
      <c r="AR428" s="110"/>
      <c r="AS428" s="29"/>
      <c r="AT428" s="29"/>
      <c r="AU428" s="29"/>
      <c r="AV428" s="29"/>
      <c r="AW428" s="634"/>
      <c r="AX428" s="29"/>
      <c r="AY428" s="29"/>
      <c r="AZ428" s="29"/>
      <c r="BA428" s="29"/>
      <c r="BB428" s="635"/>
      <c r="BC428" s="29"/>
      <c r="BD428" s="29"/>
      <c r="BE428" s="29"/>
      <c r="BF428" s="29"/>
      <c r="BG428" s="635"/>
      <c r="BH428" s="29"/>
      <c r="BI428" s="29"/>
      <c r="BJ428" s="29"/>
      <c r="BK428" s="29"/>
      <c r="BL428" s="635"/>
      <c r="BM428" s="29"/>
      <c r="BN428" s="29"/>
      <c r="BO428" s="29"/>
      <c r="BP428" s="29"/>
      <c r="BQ428" s="635"/>
      <c r="BR428" s="29"/>
      <c r="BS428" s="29"/>
      <c r="BT428" s="29"/>
      <c r="BU428" s="29"/>
      <c r="BV428" s="635"/>
      <c r="BW428" s="29"/>
      <c r="BX428" s="29"/>
      <c r="BY428" s="29"/>
      <c r="BZ428" s="29"/>
      <c r="CA428" s="635"/>
      <c r="CC428" s="29"/>
      <c r="CD428" s="29"/>
      <c r="CE428" s="29"/>
      <c r="CF428" s="29"/>
      <c r="CG428" s="29"/>
      <c r="CH428" s="29"/>
      <c r="CI428" s="29"/>
      <c r="CJ428" s="29"/>
      <c r="CK428" s="29"/>
      <c r="CL428" s="29"/>
      <c r="CM428" s="29"/>
      <c r="CN428" s="29"/>
      <c r="CO428" s="29"/>
      <c r="CP428" s="188"/>
      <c r="CQ428" s="188"/>
      <c r="CR428" s="188"/>
      <c r="CS428" s="188"/>
      <c r="CT428" s="188"/>
      <c r="CU428" s="188"/>
      <c r="DB428" s="1961"/>
      <c r="DC428" s="1961"/>
      <c r="DD428" s="1961"/>
      <c r="DE428" s="1961"/>
      <c r="DF428" s="1961"/>
      <c r="DG428" s="1961"/>
      <c r="DH428" s="1961"/>
      <c r="DI428" s="9"/>
    </row>
    <row r="429" spans="1:113" ht="12" customHeight="1" x14ac:dyDescent="0.25">
      <c r="A429" s="984" t="s">
        <v>278</v>
      </c>
      <c r="B429" s="892"/>
      <c r="C429" s="110"/>
      <c r="D429" s="110"/>
      <c r="E429" s="29"/>
      <c r="F429" s="29"/>
      <c r="G429" s="29"/>
      <c r="H429" s="29"/>
      <c r="I429" s="110"/>
      <c r="J429" s="29"/>
      <c r="K429" s="29"/>
      <c r="L429" s="29"/>
      <c r="M429" s="29"/>
      <c r="N429" s="110"/>
      <c r="O429" s="29"/>
      <c r="P429" s="29"/>
      <c r="Q429" s="29"/>
      <c r="R429" s="29"/>
      <c r="S429" s="110"/>
      <c r="T429" s="29"/>
      <c r="U429" s="29"/>
      <c r="V429" s="29"/>
      <c r="W429" s="29"/>
      <c r="X429" s="110"/>
      <c r="Y429" s="29"/>
      <c r="Z429" s="29"/>
      <c r="AA429" s="29"/>
      <c r="AB429" s="29"/>
      <c r="AC429" s="110"/>
      <c r="AD429" s="29"/>
      <c r="AE429" s="29"/>
      <c r="AF429" s="29"/>
      <c r="AG429" s="29"/>
      <c r="AH429" s="110"/>
      <c r="AI429" s="29"/>
      <c r="AJ429" s="29"/>
      <c r="AK429" s="29"/>
      <c r="AL429" s="29"/>
      <c r="AM429" s="110"/>
      <c r="AN429" s="29"/>
      <c r="AO429" s="29"/>
      <c r="AP429" s="29"/>
      <c r="AQ429" s="29"/>
      <c r="AR429" s="110"/>
      <c r="AS429" s="29"/>
      <c r="AT429" s="29"/>
      <c r="AU429" s="29"/>
      <c r="AV429" s="29"/>
      <c r="AW429" s="634"/>
      <c r="AX429" s="29"/>
      <c r="AY429" s="29"/>
      <c r="AZ429" s="29"/>
      <c r="BA429" s="29"/>
      <c r="BB429" s="635"/>
      <c r="BC429" s="29"/>
      <c r="BD429" s="29"/>
      <c r="BE429" s="29"/>
      <c r="BF429" s="29"/>
      <c r="BG429" s="635"/>
      <c r="BH429" s="29"/>
      <c r="BI429" s="29"/>
      <c r="BJ429" s="29"/>
      <c r="BK429" s="29"/>
      <c r="BL429" s="635"/>
      <c r="BM429" s="29"/>
      <c r="BN429" s="29"/>
      <c r="BO429" s="29"/>
      <c r="BP429" s="29"/>
      <c r="BQ429" s="635"/>
      <c r="BR429" s="29"/>
      <c r="BS429" s="29"/>
      <c r="BT429" s="29"/>
      <c r="BU429" s="29"/>
      <c r="BV429" s="635"/>
      <c r="BW429" s="29"/>
      <c r="BX429" s="29"/>
      <c r="BY429" s="29"/>
      <c r="BZ429" s="29"/>
      <c r="CA429" s="635"/>
      <c r="CC429" s="29"/>
      <c r="CD429" s="29"/>
      <c r="CE429" s="29"/>
      <c r="CF429" s="29"/>
      <c r="CG429" s="29"/>
      <c r="CH429" s="29"/>
      <c r="CI429" s="29"/>
      <c r="CJ429" s="29"/>
      <c r="CK429" s="29"/>
      <c r="CL429" s="29"/>
      <c r="CM429" s="29"/>
      <c r="CN429" s="29"/>
      <c r="CO429" s="29"/>
      <c r="CP429" s="188"/>
      <c r="CQ429" s="188"/>
      <c r="CR429" s="188"/>
      <c r="CS429" s="188"/>
      <c r="CT429" s="188"/>
      <c r="CU429" s="188"/>
      <c r="DB429" s="1961"/>
      <c r="DC429" s="1961"/>
      <c r="DD429" s="1961"/>
      <c r="DE429" s="1961"/>
      <c r="DF429" s="1961"/>
      <c r="DG429" s="1961"/>
      <c r="DH429" s="1961"/>
      <c r="DI429" s="9"/>
    </row>
    <row r="430" spans="1:113" ht="12" customHeight="1" x14ac:dyDescent="0.25">
      <c r="A430" s="483" t="s">
        <v>279</v>
      </c>
      <c r="B430" s="949"/>
      <c r="C430" s="985" t="s">
        <v>280</v>
      </c>
      <c r="D430" s="642" t="str">
        <f>C434</f>
        <v>NA</v>
      </c>
      <c r="E430" s="619" t="str">
        <f>D434</f>
        <v>NA</v>
      </c>
      <c r="F430" s="619">
        <f>E434</f>
        <v>0</v>
      </c>
      <c r="G430" s="619">
        <f>F434</f>
        <v>0</v>
      </c>
      <c r="H430" s="986">
        <f>G434</f>
        <v>0</v>
      </c>
      <c r="I430" s="986" t="str">
        <f>D434</f>
        <v>NA</v>
      </c>
      <c r="J430" s="619" t="str">
        <f>I434</f>
        <v>NA</v>
      </c>
      <c r="K430" s="619">
        <f>J434</f>
        <v>0</v>
      </c>
      <c r="L430" s="619">
        <f>K434</f>
        <v>0</v>
      </c>
      <c r="M430" s="619">
        <f>L434</f>
        <v>0</v>
      </c>
      <c r="N430" s="642" t="str">
        <f>I434</f>
        <v>NA</v>
      </c>
      <c r="O430" s="619">
        <f>N434</f>
        <v>16.585000000000001</v>
      </c>
      <c r="P430" s="619">
        <f>O434</f>
        <v>0</v>
      </c>
      <c r="Q430" s="619">
        <f>P434</f>
        <v>0</v>
      </c>
      <c r="R430" s="619">
        <f>Q434</f>
        <v>0</v>
      </c>
      <c r="S430" s="639">
        <f>N434</f>
        <v>16.585000000000001</v>
      </c>
      <c r="T430" s="619">
        <f>S434</f>
        <v>75.099999999999994</v>
      </c>
      <c r="U430" s="619">
        <f>T434</f>
        <v>0</v>
      </c>
      <c r="V430" s="619">
        <f>U434</f>
        <v>0</v>
      </c>
      <c r="W430" s="619">
        <f>V434</f>
        <v>0</v>
      </c>
      <c r="X430" s="639">
        <f>S434</f>
        <v>75.099999999999994</v>
      </c>
      <c r="Y430" s="619">
        <f>X434</f>
        <v>60.8</v>
      </c>
      <c r="Z430" s="938">
        <f>Y434</f>
        <v>0</v>
      </c>
      <c r="AA430" s="938">
        <f>Z434</f>
        <v>0</v>
      </c>
      <c r="AB430" s="938">
        <f>AA434</f>
        <v>0</v>
      </c>
      <c r="AC430" s="740">
        <f>X434</f>
        <v>60.8</v>
      </c>
      <c r="AD430" s="619">
        <f>AC434</f>
        <v>0</v>
      </c>
      <c r="AE430" s="938">
        <f>AD434</f>
        <v>0</v>
      </c>
      <c r="AF430" s="938">
        <f>AE434</f>
        <v>0</v>
      </c>
      <c r="AG430" s="938">
        <f>AF434</f>
        <v>0</v>
      </c>
      <c r="AH430" s="740">
        <f>AC434</f>
        <v>0</v>
      </c>
      <c r="AI430" s="938">
        <f>AH434</f>
        <v>0</v>
      </c>
      <c r="AJ430" s="938">
        <f>AI434</f>
        <v>0</v>
      </c>
      <c r="AK430" s="938">
        <f>AJ434</f>
        <v>0</v>
      </c>
      <c r="AL430" s="938">
        <f>AK434</f>
        <v>0</v>
      </c>
      <c r="AM430" s="740">
        <f>AH434</f>
        <v>0</v>
      </c>
      <c r="AN430" s="938">
        <f>AM434</f>
        <v>0</v>
      </c>
      <c r="AO430" s="938">
        <f>AN434</f>
        <v>0</v>
      </c>
      <c r="AP430" s="938">
        <f>AO434</f>
        <v>0</v>
      </c>
      <c r="AQ430" s="938">
        <f>AP434</f>
        <v>0</v>
      </c>
      <c r="AR430" s="740">
        <f>AM434</f>
        <v>0</v>
      </c>
      <c r="AS430" s="938">
        <f>AR434</f>
        <v>0</v>
      </c>
      <c r="AT430" s="938">
        <f>AS434</f>
        <v>0</v>
      </c>
      <c r="AU430" s="938">
        <f>AT434</f>
        <v>0</v>
      </c>
      <c r="AV430" s="938">
        <f>AU434</f>
        <v>0</v>
      </c>
      <c r="AW430" s="652">
        <f>AR434</f>
        <v>0</v>
      </c>
      <c r="AX430" s="938">
        <f>AW434</f>
        <v>0</v>
      </c>
      <c r="AY430" s="938">
        <f>AX434</f>
        <v>0</v>
      </c>
      <c r="AZ430" s="938">
        <f>AY434</f>
        <v>0</v>
      </c>
      <c r="BA430" s="938">
        <f>AZ434</f>
        <v>0</v>
      </c>
      <c r="BB430" s="653">
        <f>AW434</f>
        <v>0</v>
      </c>
      <c r="BC430" s="938">
        <f>BB434</f>
        <v>0</v>
      </c>
      <c r="BD430" s="938">
        <f>BC434</f>
        <v>0</v>
      </c>
      <c r="BE430" s="938">
        <f>BD434</f>
        <v>0</v>
      </c>
      <c r="BF430" s="938">
        <f>BE434</f>
        <v>0</v>
      </c>
      <c r="BG430" s="653">
        <f>BB434</f>
        <v>0</v>
      </c>
      <c r="BH430" s="938">
        <f>BG434</f>
        <v>0</v>
      </c>
      <c r="BI430" s="938">
        <f>BH434</f>
        <v>0</v>
      </c>
      <c r="BJ430" s="938">
        <f>BI434</f>
        <v>0</v>
      </c>
      <c r="BK430" s="938">
        <f>BJ434</f>
        <v>0</v>
      </c>
      <c r="BL430" s="653">
        <f>BG434</f>
        <v>0</v>
      </c>
      <c r="BM430" s="938">
        <f>BL434</f>
        <v>0</v>
      </c>
      <c r="BN430" s="938">
        <f>BM434</f>
        <v>0</v>
      </c>
      <c r="BO430" s="938">
        <f>BN434</f>
        <v>0</v>
      </c>
      <c r="BP430" s="938">
        <f>BO434</f>
        <v>0</v>
      </c>
      <c r="BQ430" s="653">
        <f>BL434</f>
        <v>0</v>
      </c>
      <c r="BR430" s="938">
        <f>BQ434</f>
        <v>0</v>
      </c>
      <c r="BS430" s="938">
        <f>BR434</f>
        <v>0</v>
      </c>
      <c r="BT430" s="938">
        <f>BS434</f>
        <v>0</v>
      </c>
      <c r="BU430" s="938">
        <f>BT434</f>
        <v>0</v>
      </c>
      <c r="BV430" s="653">
        <f>BQ434</f>
        <v>0</v>
      </c>
      <c r="BW430" s="938">
        <f>BV434</f>
        <v>0</v>
      </c>
      <c r="BX430" s="938">
        <f>BW434</f>
        <v>0</v>
      </c>
      <c r="BY430" s="938">
        <f>BX434</f>
        <v>0</v>
      </c>
      <c r="BZ430" s="938">
        <f>BY434</f>
        <v>0</v>
      </c>
      <c r="CA430" s="653">
        <f>BV434</f>
        <v>0</v>
      </c>
      <c r="CC430" s="29"/>
      <c r="CD430" s="29"/>
      <c r="CE430" s="619"/>
      <c r="CF430" s="619"/>
      <c r="CG430" s="619"/>
      <c r="CH430" s="619"/>
      <c r="CI430" s="619"/>
      <c r="CJ430" s="619"/>
      <c r="CK430" s="619"/>
      <c r="CL430" s="619"/>
      <c r="CM430" s="619"/>
      <c r="CN430" s="619"/>
      <c r="CO430" s="619"/>
      <c r="CP430" s="188"/>
      <c r="CQ430" s="188"/>
      <c r="CR430" s="188"/>
      <c r="CS430" s="188"/>
      <c r="CT430" s="188"/>
      <c r="CU430" s="188"/>
      <c r="DB430" s="1961"/>
      <c r="DC430" s="1961"/>
      <c r="DD430" s="1961"/>
      <c r="DE430" s="1961"/>
      <c r="DF430" s="1961"/>
      <c r="DG430" s="1961"/>
      <c r="DH430" s="1961"/>
      <c r="DI430" s="1961"/>
    </row>
    <row r="431" spans="1:113" ht="12" customHeight="1" x14ac:dyDescent="0.25">
      <c r="A431" s="987" t="s">
        <v>281</v>
      </c>
      <c r="B431" s="899"/>
      <c r="C431" s="216">
        <f t="shared" ref="C431:H431" si="547">-IF(C22&lt;0,C22,0)</f>
        <v>0</v>
      </c>
      <c r="D431" s="216">
        <f t="shared" si="547"/>
        <v>0</v>
      </c>
      <c r="E431" s="988">
        <f t="shared" si="547"/>
        <v>0</v>
      </c>
      <c r="F431" s="988">
        <f t="shared" si="547"/>
        <v>0</v>
      </c>
      <c r="G431" s="988">
        <f t="shared" si="547"/>
        <v>0</v>
      </c>
      <c r="H431" s="989">
        <f t="shared" si="547"/>
        <v>0</v>
      </c>
      <c r="I431" s="989">
        <f>SUM(E431:H431)</f>
        <v>0</v>
      </c>
      <c r="J431" s="988">
        <f>-IF(J22&lt;0,J22,0)</f>
        <v>0</v>
      </c>
      <c r="K431" s="988">
        <f>-IF(K22&lt;0,K22,0)</f>
        <v>0</v>
      </c>
      <c r="L431" s="988">
        <f>-IF(L22&lt;0,L22,0)</f>
        <v>0</v>
      </c>
      <c r="M431" s="988">
        <f>-IF(M22&lt;0,M22,0)</f>
        <v>0</v>
      </c>
      <c r="N431" s="216">
        <f>SUM(J431:M431)</f>
        <v>0</v>
      </c>
      <c r="O431" s="988">
        <f>-IF(O22&lt;0,O22,0)</f>
        <v>0</v>
      </c>
      <c r="P431" s="988">
        <f>-IF(P22&lt;0,P22,0)</f>
        <v>0</v>
      </c>
      <c r="Q431" s="988">
        <f>-IF(Q22&lt;0,Q22,0)</f>
        <v>0</v>
      </c>
      <c r="R431" s="988">
        <f>-IF(R22&lt;0,R22,0)</f>
        <v>0</v>
      </c>
      <c r="S431" s="216">
        <f>SUM(O431:R431)</f>
        <v>0</v>
      </c>
      <c r="T431" s="988">
        <f>-IF(T22&lt;0,T22,0)</f>
        <v>0</v>
      </c>
      <c r="U431" s="988">
        <f>-IF(U22&lt;0,U22,0)</f>
        <v>0</v>
      </c>
      <c r="V431" s="988">
        <f>-IF(V22&lt;0,V22,0)</f>
        <v>0</v>
      </c>
      <c r="W431" s="988">
        <f>-IF(W22&lt;0,W22,0)</f>
        <v>0</v>
      </c>
      <c r="X431" s="216">
        <f>SUM(T431:W431)</f>
        <v>0</v>
      </c>
      <c r="Y431" s="988">
        <f t="shared" ref="Y431:AW431" si="548">-IF(Y22&lt;0,Y22,0)</f>
        <v>0</v>
      </c>
      <c r="Z431" s="988">
        <f t="shared" si="548"/>
        <v>0</v>
      </c>
      <c r="AA431" s="988">
        <f t="shared" si="548"/>
        <v>0</v>
      </c>
      <c r="AB431" s="988">
        <f t="shared" si="548"/>
        <v>0</v>
      </c>
      <c r="AC431" s="216">
        <f t="shared" si="548"/>
        <v>0</v>
      </c>
      <c r="AD431" s="988">
        <f t="shared" si="548"/>
        <v>0</v>
      </c>
      <c r="AE431" s="988">
        <f t="shared" si="548"/>
        <v>0</v>
      </c>
      <c r="AF431" s="988">
        <f t="shared" si="548"/>
        <v>0</v>
      </c>
      <c r="AG431" s="988">
        <f t="shared" si="548"/>
        <v>0</v>
      </c>
      <c r="AH431" s="216">
        <f t="shared" si="548"/>
        <v>0</v>
      </c>
      <c r="AI431" s="988">
        <f t="shared" si="548"/>
        <v>0</v>
      </c>
      <c r="AJ431" s="988">
        <f t="shared" si="548"/>
        <v>0</v>
      </c>
      <c r="AK431" s="988">
        <f t="shared" si="548"/>
        <v>0</v>
      </c>
      <c r="AL431" s="988">
        <f t="shared" si="548"/>
        <v>0</v>
      </c>
      <c r="AM431" s="216">
        <f t="shared" si="548"/>
        <v>0</v>
      </c>
      <c r="AN431" s="988">
        <f t="shared" si="548"/>
        <v>0</v>
      </c>
      <c r="AO431" s="988">
        <f t="shared" si="548"/>
        <v>0</v>
      </c>
      <c r="AP431" s="988">
        <f t="shared" si="548"/>
        <v>0</v>
      </c>
      <c r="AQ431" s="988">
        <f t="shared" si="548"/>
        <v>0</v>
      </c>
      <c r="AR431" s="216">
        <f t="shared" si="548"/>
        <v>0</v>
      </c>
      <c r="AS431" s="988">
        <f t="shared" si="548"/>
        <v>0</v>
      </c>
      <c r="AT431" s="988">
        <f>-IF(AT22&lt;0,AT22,0)</f>
        <v>0</v>
      </c>
      <c r="AU431" s="988">
        <f>-IF(AU22&lt;0,AU22,0)</f>
        <v>0</v>
      </c>
      <c r="AV431" s="988">
        <f t="shared" si="548"/>
        <v>0</v>
      </c>
      <c r="AW431" s="216">
        <f t="shared" si="548"/>
        <v>0</v>
      </c>
      <c r="AX431" s="988">
        <f>-IF(AX22&lt;0,AX22,0)</f>
        <v>0</v>
      </c>
      <c r="AY431" s="988">
        <f t="shared" ref="AY431:BG431" si="549">-IF(AY22&lt;0,AY22,0)</f>
        <v>0</v>
      </c>
      <c r="AZ431" s="988">
        <f t="shared" si="549"/>
        <v>0</v>
      </c>
      <c r="BA431" s="988">
        <f>-IF(BA22&lt;0,BA22,0)</f>
        <v>0</v>
      </c>
      <c r="BB431" s="216">
        <f t="shared" si="549"/>
        <v>0</v>
      </c>
      <c r="BC431" s="988">
        <f>-IF(BC22&lt;0,BC22,0)</f>
        <v>0</v>
      </c>
      <c r="BD431" s="988">
        <f t="shared" si="549"/>
        <v>0</v>
      </c>
      <c r="BE431" s="988">
        <f t="shared" ref="BE431" si="550">-IF(BE22&lt;0,BE22,0)</f>
        <v>0</v>
      </c>
      <c r="BF431" s="988">
        <f t="shared" si="549"/>
        <v>0</v>
      </c>
      <c r="BG431" s="216">
        <f t="shared" si="549"/>
        <v>0</v>
      </c>
      <c r="BH431" s="988">
        <f t="shared" ref="BH431:CA431" si="551">-IF(BH22&lt;0,BH22,0)</f>
        <v>0</v>
      </c>
      <c r="BI431" s="988">
        <f t="shared" si="551"/>
        <v>0</v>
      </c>
      <c r="BJ431" s="988">
        <f t="shared" si="551"/>
        <v>0</v>
      </c>
      <c r="BK431" s="988">
        <f t="shared" si="551"/>
        <v>0</v>
      </c>
      <c r="BL431" s="216">
        <f t="shared" si="551"/>
        <v>0</v>
      </c>
      <c r="BM431" s="988">
        <f t="shared" si="551"/>
        <v>0</v>
      </c>
      <c r="BN431" s="988">
        <f t="shared" si="551"/>
        <v>0</v>
      </c>
      <c r="BO431" s="988">
        <f t="shared" si="551"/>
        <v>0</v>
      </c>
      <c r="BP431" s="988">
        <f t="shared" si="551"/>
        <v>0</v>
      </c>
      <c r="BQ431" s="216">
        <f t="shared" si="551"/>
        <v>0</v>
      </c>
      <c r="BR431" s="988">
        <f t="shared" si="551"/>
        <v>0</v>
      </c>
      <c r="BS431" s="988">
        <f t="shared" si="551"/>
        <v>0</v>
      </c>
      <c r="BT431" s="988">
        <f t="shared" si="551"/>
        <v>0</v>
      </c>
      <c r="BU431" s="988">
        <f t="shared" si="551"/>
        <v>0</v>
      </c>
      <c r="BV431" s="216">
        <f t="shared" si="551"/>
        <v>0</v>
      </c>
      <c r="BW431" s="988">
        <f t="shared" si="551"/>
        <v>0</v>
      </c>
      <c r="BX431" s="988">
        <f t="shared" si="551"/>
        <v>0</v>
      </c>
      <c r="BY431" s="988">
        <f t="shared" si="551"/>
        <v>0</v>
      </c>
      <c r="BZ431" s="988">
        <f t="shared" si="551"/>
        <v>0</v>
      </c>
      <c r="CA431" s="216">
        <f t="shared" si="551"/>
        <v>0</v>
      </c>
      <c r="CC431" s="29"/>
      <c r="CD431" s="29"/>
      <c r="CE431" s="988"/>
      <c r="CF431" s="988"/>
      <c r="CG431" s="988"/>
      <c r="CH431" s="988"/>
      <c r="CI431" s="988"/>
      <c r="CJ431" s="988"/>
      <c r="CK431" s="988"/>
      <c r="CL431" s="988"/>
      <c r="CM431" s="988"/>
      <c r="CN431" s="988"/>
      <c r="CO431" s="988"/>
      <c r="CP431" s="188"/>
      <c r="CQ431" s="188"/>
      <c r="CR431" s="188"/>
      <c r="CS431" s="188"/>
      <c r="CT431" s="188"/>
      <c r="CU431" s="188"/>
      <c r="DB431" s="1961"/>
      <c r="DC431" s="1961"/>
      <c r="DD431" s="1961"/>
      <c r="DE431" s="1961"/>
      <c r="DF431" s="1961"/>
      <c r="DG431" s="1961"/>
      <c r="DH431" s="1961"/>
      <c r="DI431" s="988"/>
    </row>
    <row r="432" spans="1:113" ht="12" customHeight="1" x14ac:dyDescent="0.25">
      <c r="A432" s="987" t="s">
        <v>282</v>
      </c>
      <c r="B432" s="899"/>
      <c r="C432" s="216">
        <f t="shared" ref="C432:H432" si="552">-IF(C22&gt;0,MINA(C22,C430),0)</f>
        <v>0</v>
      </c>
      <c r="D432" s="216">
        <f t="shared" si="552"/>
        <v>0</v>
      </c>
      <c r="E432" s="988">
        <f t="shared" si="552"/>
        <v>0</v>
      </c>
      <c r="F432" s="988">
        <f t="shared" si="552"/>
        <v>0</v>
      </c>
      <c r="G432" s="988">
        <f t="shared" si="552"/>
        <v>0</v>
      </c>
      <c r="H432" s="989">
        <f t="shared" si="552"/>
        <v>0</v>
      </c>
      <c r="I432" s="989">
        <f>SUM(E432:H432)</f>
        <v>0</v>
      </c>
      <c r="J432" s="988">
        <f>-IF(J22&gt;0,MINA(J22,J430),0)</f>
        <v>0</v>
      </c>
      <c r="K432" s="988">
        <f>-IF(K22&gt;0,MINA(K22,K430),0)</f>
        <v>0</v>
      </c>
      <c r="L432" s="988">
        <f>-IF(L22&gt;0,MINA(L22,L430),0)</f>
        <v>0</v>
      </c>
      <c r="M432" s="988">
        <f>-IF(M22&gt;0,MINA(M22,M430),0)</f>
        <v>0</v>
      </c>
      <c r="N432" s="216">
        <f>SUM(J432:M432)</f>
        <v>0</v>
      </c>
      <c r="O432" s="988">
        <f>-IF(O22&gt;0,MINA(O22,O430),0)</f>
        <v>-16.585000000000001</v>
      </c>
      <c r="P432" s="988">
        <f>-IF(P22&gt;0,MINA(P22,P430),0)</f>
        <v>0</v>
      </c>
      <c r="Q432" s="988">
        <f>-IF(Q22&gt;0,MINA(Q22,Q430),0)</f>
        <v>0</v>
      </c>
      <c r="R432" s="988">
        <f>-IF(R22&gt;0,MINA(R22,R430),0)</f>
        <v>0</v>
      </c>
      <c r="S432" s="216">
        <f>SUM(O432:R432)</f>
        <v>-16.585000000000001</v>
      </c>
      <c r="T432" s="988">
        <f>-IF(T22&gt;0,MINA(T22,T430),0)</f>
        <v>-75.099999999999994</v>
      </c>
      <c r="U432" s="988">
        <f>-IF(U22&gt;0,MINA(U22,U430),0)</f>
        <v>0</v>
      </c>
      <c r="V432" s="988">
        <f>-IF(V22&gt;0,MINA(V22,V430),0)</f>
        <v>0</v>
      </c>
      <c r="W432" s="988">
        <f>-IF(W22&gt;0,MINA(W22,W430),0)</f>
        <v>0</v>
      </c>
      <c r="X432" s="216">
        <f>SUM(T432:W432)</f>
        <v>-75.099999999999994</v>
      </c>
      <c r="Y432" s="988">
        <f t="shared" ref="Y432:AW432" si="553">-IF(Y22&gt;0,MINA(Y22,Y430),0)</f>
        <v>-60.8</v>
      </c>
      <c r="Z432" s="988">
        <f t="shared" si="553"/>
        <v>0</v>
      </c>
      <c r="AA432" s="988">
        <f t="shared" si="553"/>
        <v>0</v>
      </c>
      <c r="AB432" s="988">
        <f t="shared" si="553"/>
        <v>0</v>
      </c>
      <c r="AC432" s="216">
        <f t="shared" si="553"/>
        <v>-60.8</v>
      </c>
      <c r="AD432" s="988">
        <f t="shared" si="553"/>
        <v>0</v>
      </c>
      <c r="AE432" s="988">
        <f t="shared" si="553"/>
        <v>0</v>
      </c>
      <c r="AF432" s="988">
        <f t="shared" si="553"/>
        <v>0</v>
      </c>
      <c r="AG432" s="988">
        <f t="shared" si="553"/>
        <v>0</v>
      </c>
      <c r="AH432" s="216">
        <f t="shared" si="553"/>
        <v>0</v>
      </c>
      <c r="AI432" s="988">
        <f t="shared" si="553"/>
        <v>0</v>
      </c>
      <c r="AJ432" s="988">
        <f t="shared" si="553"/>
        <v>0</v>
      </c>
      <c r="AK432" s="988">
        <f t="shared" si="553"/>
        <v>0</v>
      </c>
      <c r="AL432" s="988">
        <f t="shared" si="553"/>
        <v>0</v>
      </c>
      <c r="AM432" s="216">
        <f t="shared" si="553"/>
        <v>0</v>
      </c>
      <c r="AN432" s="988">
        <f t="shared" si="553"/>
        <v>0</v>
      </c>
      <c r="AO432" s="988">
        <f t="shared" si="553"/>
        <v>0</v>
      </c>
      <c r="AP432" s="988">
        <f t="shared" si="553"/>
        <v>0</v>
      </c>
      <c r="AQ432" s="988">
        <f t="shared" si="553"/>
        <v>0</v>
      </c>
      <c r="AR432" s="216">
        <f t="shared" si="553"/>
        <v>0</v>
      </c>
      <c r="AS432" s="988">
        <f t="shared" si="553"/>
        <v>0</v>
      </c>
      <c r="AT432" s="988">
        <f>-IF(AT22&gt;0,MINA(AT22,AT430),0)</f>
        <v>0</v>
      </c>
      <c r="AU432" s="988">
        <f>-IF(AU22&gt;0,MINA(AU22,AU430),0)</f>
        <v>0</v>
      </c>
      <c r="AV432" s="988">
        <f t="shared" si="553"/>
        <v>0</v>
      </c>
      <c r="AW432" s="216">
        <f t="shared" si="553"/>
        <v>0</v>
      </c>
      <c r="AX432" s="988">
        <f>-IF(AX22&gt;0,MINA(AX22,AX430),0)</f>
        <v>0</v>
      </c>
      <c r="AY432" s="988">
        <f t="shared" ref="AY432:BG432" si="554">-IF(AY22&gt;0,MINA(AY22,AY430),0)</f>
        <v>0</v>
      </c>
      <c r="AZ432" s="988">
        <f t="shared" si="554"/>
        <v>0</v>
      </c>
      <c r="BA432" s="988">
        <f>-IF(BA22&gt;0,MINA(BA22,BA430),0)</f>
        <v>0</v>
      </c>
      <c r="BB432" s="216">
        <f t="shared" si="554"/>
        <v>0</v>
      </c>
      <c r="BC432" s="988">
        <f>-IF(BC22&gt;0,MINA(BC22,BC430),0)</f>
        <v>0</v>
      </c>
      <c r="BD432" s="988">
        <f t="shared" si="554"/>
        <v>0</v>
      </c>
      <c r="BE432" s="988">
        <f t="shared" ref="BE432" si="555">-IF(BE22&gt;0,MINA(BE22,BE430),0)</f>
        <v>0</v>
      </c>
      <c r="BF432" s="988">
        <f t="shared" si="554"/>
        <v>0</v>
      </c>
      <c r="BG432" s="216">
        <f t="shared" si="554"/>
        <v>0</v>
      </c>
      <c r="BH432" s="988">
        <f t="shared" ref="BH432:CA432" si="556">-IF(BH22&gt;0,MINA(BH22,BH430),0)</f>
        <v>0</v>
      </c>
      <c r="BI432" s="988">
        <f t="shared" si="556"/>
        <v>0</v>
      </c>
      <c r="BJ432" s="988">
        <f t="shared" si="556"/>
        <v>0</v>
      </c>
      <c r="BK432" s="988">
        <f t="shared" si="556"/>
        <v>0</v>
      </c>
      <c r="BL432" s="216">
        <f t="shared" si="556"/>
        <v>0</v>
      </c>
      <c r="BM432" s="988">
        <f t="shared" si="556"/>
        <v>0</v>
      </c>
      <c r="BN432" s="988">
        <f t="shared" si="556"/>
        <v>0</v>
      </c>
      <c r="BO432" s="988">
        <f t="shared" si="556"/>
        <v>0</v>
      </c>
      <c r="BP432" s="988">
        <f t="shared" si="556"/>
        <v>0</v>
      </c>
      <c r="BQ432" s="216">
        <f t="shared" si="556"/>
        <v>0</v>
      </c>
      <c r="BR432" s="988">
        <f t="shared" si="556"/>
        <v>0</v>
      </c>
      <c r="BS432" s="988">
        <f t="shared" si="556"/>
        <v>0</v>
      </c>
      <c r="BT432" s="988">
        <f t="shared" si="556"/>
        <v>0</v>
      </c>
      <c r="BU432" s="988">
        <f t="shared" si="556"/>
        <v>0</v>
      </c>
      <c r="BV432" s="216">
        <f t="shared" si="556"/>
        <v>0</v>
      </c>
      <c r="BW432" s="988">
        <f t="shared" si="556"/>
        <v>0</v>
      </c>
      <c r="BX432" s="988">
        <f t="shared" si="556"/>
        <v>0</v>
      </c>
      <c r="BY432" s="988">
        <f t="shared" si="556"/>
        <v>0</v>
      </c>
      <c r="BZ432" s="988">
        <f t="shared" si="556"/>
        <v>0</v>
      </c>
      <c r="CA432" s="216">
        <f t="shared" si="556"/>
        <v>0</v>
      </c>
      <c r="CC432" s="29"/>
      <c r="CD432" s="29"/>
      <c r="CE432" s="988"/>
      <c r="CF432" s="988"/>
      <c r="CG432" s="988"/>
      <c r="CH432" s="988"/>
      <c r="CI432" s="988"/>
      <c r="CJ432" s="988"/>
      <c r="CK432" s="988"/>
      <c r="CL432" s="988"/>
      <c r="CM432" s="988"/>
      <c r="CN432" s="988"/>
      <c r="CO432" s="988"/>
      <c r="CP432" s="188"/>
      <c r="CQ432" s="188"/>
      <c r="CR432" s="188"/>
      <c r="CS432" s="188"/>
      <c r="CT432" s="188"/>
      <c r="CU432" s="188"/>
      <c r="DB432" s="1961"/>
      <c r="DC432" s="1961"/>
      <c r="DD432" s="1961"/>
      <c r="DE432" s="1961"/>
      <c r="DF432" s="1961"/>
      <c r="DG432" s="1961"/>
      <c r="DH432" s="1961"/>
      <c r="DI432" s="988"/>
    </row>
    <row r="433" spans="1:113" ht="5.25" customHeight="1" x14ac:dyDescent="0.25">
      <c r="A433" s="990"/>
      <c r="B433" s="948"/>
      <c r="C433" s="216" t="s">
        <v>283</v>
      </c>
      <c r="D433" s="216" t="s">
        <v>283</v>
      </c>
      <c r="E433" s="988" t="s">
        <v>283</v>
      </c>
      <c r="F433" s="988" t="s">
        <v>283</v>
      </c>
      <c r="G433" s="988" t="s">
        <v>283</v>
      </c>
      <c r="H433" s="988" t="s">
        <v>284</v>
      </c>
      <c r="I433" s="216" t="s">
        <v>283</v>
      </c>
      <c r="J433" s="991" t="s">
        <v>283</v>
      </c>
      <c r="K433" s="988" t="s">
        <v>283</v>
      </c>
      <c r="L433" s="988" t="s">
        <v>283</v>
      </c>
      <c r="M433" s="988" t="s">
        <v>284</v>
      </c>
      <c r="N433" s="216" t="s">
        <v>283</v>
      </c>
      <c r="O433" s="988" t="s">
        <v>284</v>
      </c>
      <c r="P433" s="988" t="s">
        <v>284</v>
      </c>
      <c r="Q433" s="988" t="s">
        <v>284</v>
      </c>
      <c r="R433" s="988" t="s">
        <v>284</v>
      </c>
      <c r="S433" s="216" t="s">
        <v>283</v>
      </c>
      <c r="T433" s="988" t="s">
        <v>284</v>
      </c>
      <c r="U433" s="988" t="s">
        <v>284</v>
      </c>
      <c r="V433" s="988" t="s">
        <v>284</v>
      </c>
      <c r="W433" s="988" t="s">
        <v>284</v>
      </c>
      <c r="X433" s="216" t="s">
        <v>283</v>
      </c>
      <c r="Y433" s="988" t="s">
        <v>284</v>
      </c>
      <c r="Z433" s="988" t="s">
        <v>284</v>
      </c>
      <c r="AA433" s="988" t="s">
        <v>284</v>
      </c>
      <c r="AB433" s="988" t="s">
        <v>284</v>
      </c>
      <c r="AC433" s="216" t="s">
        <v>283</v>
      </c>
      <c r="AD433" s="988" t="s">
        <v>284</v>
      </c>
      <c r="AE433" s="988" t="s">
        <v>284</v>
      </c>
      <c r="AF433" s="988" t="s">
        <v>284</v>
      </c>
      <c r="AG433" s="988" t="s">
        <v>284</v>
      </c>
      <c r="AH433" s="216" t="s">
        <v>283</v>
      </c>
      <c r="AI433" s="988" t="s">
        <v>284</v>
      </c>
      <c r="AJ433" s="988" t="s">
        <v>284</v>
      </c>
      <c r="AK433" s="988" t="s">
        <v>284</v>
      </c>
      <c r="AL433" s="988" t="s">
        <v>284</v>
      </c>
      <c r="AM433" s="216" t="s">
        <v>283</v>
      </c>
      <c r="AN433" s="988" t="s">
        <v>284</v>
      </c>
      <c r="AO433" s="988" t="s">
        <v>284</v>
      </c>
      <c r="AP433" s="988" t="s">
        <v>284</v>
      </c>
      <c r="AQ433" s="988" t="s">
        <v>284</v>
      </c>
      <c r="AR433" s="216" t="s">
        <v>283</v>
      </c>
      <c r="AS433" s="988" t="s">
        <v>284</v>
      </c>
      <c r="AT433" s="988" t="s">
        <v>284</v>
      </c>
      <c r="AU433" s="988" t="s">
        <v>284</v>
      </c>
      <c r="AV433" s="988" t="s">
        <v>284</v>
      </c>
      <c r="AW433" s="216" t="s">
        <v>283</v>
      </c>
      <c r="AX433" s="988" t="s">
        <v>284</v>
      </c>
      <c r="AY433" s="988" t="s">
        <v>284</v>
      </c>
      <c r="AZ433" s="988" t="s">
        <v>284</v>
      </c>
      <c r="BA433" s="988" t="s">
        <v>284</v>
      </c>
      <c r="BB433" s="216" t="s">
        <v>283</v>
      </c>
      <c r="BC433" s="988" t="s">
        <v>284</v>
      </c>
      <c r="BD433" s="988" t="s">
        <v>284</v>
      </c>
      <c r="BE433" s="988" t="s">
        <v>284</v>
      </c>
      <c r="BF433" s="988" t="s">
        <v>284</v>
      </c>
      <c r="BG433" s="216" t="s">
        <v>283</v>
      </c>
      <c r="BH433" s="988" t="s">
        <v>284</v>
      </c>
      <c r="BI433" s="988" t="s">
        <v>284</v>
      </c>
      <c r="BJ433" s="988" t="s">
        <v>284</v>
      </c>
      <c r="BK433" s="988" t="s">
        <v>284</v>
      </c>
      <c r="BL433" s="216" t="s">
        <v>283</v>
      </c>
      <c r="BM433" s="988" t="s">
        <v>284</v>
      </c>
      <c r="BN433" s="988" t="s">
        <v>284</v>
      </c>
      <c r="BO433" s="988" t="s">
        <v>284</v>
      </c>
      <c r="BP433" s="988" t="s">
        <v>284</v>
      </c>
      <c r="BQ433" s="216" t="s">
        <v>283</v>
      </c>
      <c r="BR433" s="988" t="s">
        <v>284</v>
      </c>
      <c r="BS433" s="988" t="s">
        <v>284</v>
      </c>
      <c r="BT433" s="988" t="s">
        <v>284</v>
      </c>
      <c r="BU433" s="988" t="s">
        <v>284</v>
      </c>
      <c r="BV433" s="216" t="s">
        <v>283</v>
      </c>
      <c r="BW433" s="988" t="s">
        <v>284</v>
      </c>
      <c r="BX433" s="988" t="s">
        <v>284</v>
      </c>
      <c r="BY433" s="988" t="s">
        <v>284</v>
      </c>
      <c r="BZ433" s="988" t="s">
        <v>284</v>
      </c>
      <c r="CA433" s="216" t="s">
        <v>283</v>
      </c>
      <c r="CC433" s="29"/>
      <c r="CD433" s="29"/>
      <c r="CE433" s="988"/>
      <c r="CF433" s="988"/>
      <c r="CG433" s="988"/>
      <c r="CH433" s="988"/>
      <c r="CI433" s="988"/>
      <c r="CJ433" s="988"/>
      <c r="CK433" s="988"/>
      <c r="CL433" s="988"/>
      <c r="CM433" s="988"/>
      <c r="CN433" s="988"/>
      <c r="CO433" s="988"/>
      <c r="CP433" s="188"/>
      <c r="CQ433" s="188"/>
      <c r="CR433" s="188"/>
      <c r="CS433" s="188"/>
      <c r="CT433" s="188"/>
      <c r="CU433" s="188"/>
      <c r="DB433" s="1961"/>
      <c r="DC433" s="1961"/>
      <c r="DD433" s="1961"/>
      <c r="DE433" s="1961"/>
      <c r="DF433" s="1961"/>
      <c r="DG433" s="1961"/>
      <c r="DH433" s="1961"/>
      <c r="DI433" s="988"/>
    </row>
    <row r="434" spans="1:113" ht="12" customHeight="1" x14ac:dyDescent="0.25">
      <c r="A434" s="483" t="s">
        <v>285</v>
      </c>
      <c r="B434" s="935"/>
      <c r="C434" s="992" t="s">
        <v>280</v>
      </c>
      <c r="D434" s="992" t="s">
        <v>280</v>
      </c>
      <c r="E434" s="619">
        <f>SUM(E430:E432)</f>
        <v>0</v>
      </c>
      <c r="F434" s="619">
        <f>SUM(F430:F432)</f>
        <v>0</v>
      </c>
      <c r="G434" s="619">
        <f>SUM(G430:G432)</f>
        <v>0</v>
      </c>
      <c r="H434" s="619">
        <f>SUM(H430:H432)</f>
        <v>0</v>
      </c>
      <c r="I434" s="992" t="s">
        <v>280</v>
      </c>
      <c r="J434" s="619">
        <f>SUM(J430:J432)</f>
        <v>0</v>
      </c>
      <c r="K434" s="619">
        <f>SUM(K430:K432)</f>
        <v>0</v>
      </c>
      <c r="L434" s="619">
        <f>SUM(L430:L432)</f>
        <v>0</v>
      </c>
      <c r="M434" s="619">
        <f>SUM(M430:M432)</f>
        <v>0</v>
      </c>
      <c r="N434" s="992">
        <v>16.585000000000001</v>
      </c>
      <c r="O434" s="619">
        <f t="shared" ref="O434:V434" si="557">SUM(O430:O432)</f>
        <v>0</v>
      </c>
      <c r="P434" s="619">
        <f t="shared" si="557"/>
        <v>0</v>
      </c>
      <c r="Q434" s="619">
        <f t="shared" si="557"/>
        <v>0</v>
      </c>
      <c r="R434" s="619">
        <f>SUM(R430:R432)</f>
        <v>0</v>
      </c>
      <c r="S434" s="663">
        <v>75.099999999999994</v>
      </c>
      <c r="T434" s="619">
        <f t="shared" si="557"/>
        <v>0</v>
      </c>
      <c r="U434" s="619">
        <f t="shared" si="557"/>
        <v>0</v>
      </c>
      <c r="V434" s="619">
        <f t="shared" si="557"/>
        <v>0</v>
      </c>
      <c r="W434" s="619">
        <f>SUM(W430:W432)</f>
        <v>0</v>
      </c>
      <c r="X434" s="992">
        <v>60.8</v>
      </c>
      <c r="Y434" s="619">
        <f t="shared" ref="Y434:AW434" si="558">SUM(Y430:Y432)</f>
        <v>0</v>
      </c>
      <c r="Z434" s="619">
        <f t="shared" si="558"/>
        <v>0</v>
      </c>
      <c r="AA434" s="619">
        <f t="shared" si="558"/>
        <v>0</v>
      </c>
      <c r="AB434" s="619">
        <f t="shared" si="558"/>
        <v>0</v>
      </c>
      <c r="AC434" s="642">
        <f t="shared" si="558"/>
        <v>0</v>
      </c>
      <c r="AD434" s="619">
        <f t="shared" si="558"/>
        <v>0</v>
      </c>
      <c r="AE434" s="619">
        <f t="shared" si="558"/>
        <v>0</v>
      </c>
      <c r="AF434" s="619">
        <f t="shared" si="558"/>
        <v>0</v>
      </c>
      <c r="AG434" s="619">
        <f t="shared" si="558"/>
        <v>0</v>
      </c>
      <c r="AH434" s="642">
        <f t="shared" si="558"/>
        <v>0</v>
      </c>
      <c r="AI434" s="619">
        <f t="shared" si="558"/>
        <v>0</v>
      </c>
      <c r="AJ434" s="619">
        <f t="shared" si="558"/>
        <v>0</v>
      </c>
      <c r="AK434" s="619">
        <f t="shared" si="558"/>
        <v>0</v>
      </c>
      <c r="AL434" s="619">
        <f t="shared" si="558"/>
        <v>0</v>
      </c>
      <c r="AM434" s="642">
        <f t="shared" si="558"/>
        <v>0</v>
      </c>
      <c r="AN434" s="619">
        <f t="shared" si="558"/>
        <v>0</v>
      </c>
      <c r="AO434" s="619">
        <f t="shared" si="558"/>
        <v>0</v>
      </c>
      <c r="AP434" s="619">
        <f t="shared" si="558"/>
        <v>0</v>
      </c>
      <c r="AQ434" s="619">
        <f t="shared" si="558"/>
        <v>0</v>
      </c>
      <c r="AR434" s="642">
        <f t="shared" si="558"/>
        <v>0</v>
      </c>
      <c r="AS434" s="619">
        <f t="shared" si="558"/>
        <v>0</v>
      </c>
      <c r="AT434" s="619">
        <f>SUM(AT430:AT432)</f>
        <v>0</v>
      </c>
      <c r="AU434" s="619">
        <f>SUM(AU430:AU432)</f>
        <v>0</v>
      </c>
      <c r="AV434" s="619">
        <f t="shared" si="558"/>
        <v>0</v>
      </c>
      <c r="AW434" s="642">
        <f t="shared" si="558"/>
        <v>0</v>
      </c>
      <c r="AX434" s="619">
        <f>SUM(AX430:AX432)</f>
        <v>0</v>
      </c>
      <c r="AY434" s="619">
        <f t="shared" ref="AY434:BG434" si="559">SUM(AY430:AY432)</f>
        <v>0</v>
      </c>
      <c r="AZ434" s="619">
        <f t="shared" si="559"/>
        <v>0</v>
      </c>
      <c r="BA434" s="619">
        <f>SUM(BA430:BA432)</f>
        <v>0</v>
      </c>
      <c r="BB434" s="642">
        <f t="shared" si="559"/>
        <v>0</v>
      </c>
      <c r="BC434" s="619">
        <f>SUM(BC430:BC432)</f>
        <v>0</v>
      </c>
      <c r="BD434" s="619">
        <f t="shared" si="559"/>
        <v>0</v>
      </c>
      <c r="BE434" s="619">
        <f t="shared" ref="BE434" si="560">SUM(BE430:BE432)</f>
        <v>0</v>
      </c>
      <c r="BF434" s="619">
        <f t="shared" si="559"/>
        <v>0</v>
      </c>
      <c r="BG434" s="642">
        <f t="shared" si="559"/>
        <v>0</v>
      </c>
      <c r="BH434" s="619">
        <f t="shared" ref="BH434:CA434" si="561">SUM(BH430:BH432)</f>
        <v>0</v>
      </c>
      <c r="BI434" s="619">
        <f t="shared" si="561"/>
        <v>0</v>
      </c>
      <c r="BJ434" s="619">
        <f t="shared" si="561"/>
        <v>0</v>
      </c>
      <c r="BK434" s="619">
        <f t="shared" si="561"/>
        <v>0</v>
      </c>
      <c r="BL434" s="642">
        <f t="shared" si="561"/>
        <v>0</v>
      </c>
      <c r="BM434" s="619">
        <f t="shared" si="561"/>
        <v>0</v>
      </c>
      <c r="BN434" s="619">
        <f t="shared" si="561"/>
        <v>0</v>
      </c>
      <c r="BO434" s="619">
        <f t="shared" si="561"/>
        <v>0</v>
      </c>
      <c r="BP434" s="619">
        <f t="shared" si="561"/>
        <v>0</v>
      </c>
      <c r="BQ434" s="642">
        <f t="shared" si="561"/>
        <v>0</v>
      </c>
      <c r="BR434" s="619">
        <f t="shared" si="561"/>
        <v>0</v>
      </c>
      <c r="BS434" s="619">
        <f t="shared" si="561"/>
        <v>0</v>
      </c>
      <c r="BT434" s="619">
        <f t="shared" si="561"/>
        <v>0</v>
      </c>
      <c r="BU434" s="619">
        <f t="shared" si="561"/>
        <v>0</v>
      </c>
      <c r="BV434" s="642">
        <f t="shared" si="561"/>
        <v>0</v>
      </c>
      <c r="BW434" s="619">
        <f t="shared" si="561"/>
        <v>0</v>
      </c>
      <c r="BX434" s="619">
        <f t="shared" si="561"/>
        <v>0</v>
      </c>
      <c r="BY434" s="619">
        <f t="shared" si="561"/>
        <v>0</v>
      </c>
      <c r="BZ434" s="619">
        <f t="shared" si="561"/>
        <v>0</v>
      </c>
      <c r="CA434" s="642">
        <f t="shared" si="561"/>
        <v>0</v>
      </c>
      <c r="CC434" s="29"/>
      <c r="CD434" s="29"/>
      <c r="CE434" s="619"/>
      <c r="CF434" s="619"/>
      <c r="CG434" s="619"/>
      <c r="CH434" s="619"/>
      <c r="CI434" s="619"/>
      <c r="CJ434" s="619"/>
      <c r="CK434" s="619"/>
      <c r="CL434" s="619"/>
      <c r="CM434" s="619"/>
      <c r="CN434" s="619"/>
      <c r="CO434" s="619"/>
      <c r="CP434" s="188"/>
      <c r="CQ434" s="188"/>
      <c r="CR434" s="188"/>
      <c r="CS434" s="188"/>
      <c r="CT434" s="188"/>
      <c r="CU434" s="188"/>
      <c r="DB434" s="1961"/>
      <c r="DC434" s="1961"/>
      <c r="DD434" s="1961"/>
      <c r="DE434" s="1961"/>
      <c r="DF434" s="1961"/>
      <c r="DG434" s="1961"/>
      <c r="DH434" s="1961"/>
      <c r="DI434" s="619"/>
    </row>
    <row r="435" spans="1:113" x14ac:dyDescent="0.25">
      <c r="A435" s="483"/>
      <c r="B435" s="892"/>
      <c r="C435" s="110"/>
      <c r="D435" s="110"/>
      <c r="E435" s="29"/>
      <c r="F435" s="29"/>
      <c r="G435" s="29"/>
      <c r="H435" s="29"/>
      <c r="I435" s="110"/>
      <c r="J435" s="29"/>
      <c r="K435" s="29"/>
      <c r="L435" s="29"/>
      <c r="M435" s="29"/>
      <c r="N435" s="110"/>
      <c r="O435" s="29"/>
      <c r="P435" s="29"/>
      <c r="Q435" s="29"/>
      <c r="R435" s="29"/>
      <c r="S435" s="110"/>
      <c r="T435" s="29"/>
      <c r="U435" s="29"/>
      <c r="V435" s="29"/>
      <c r="W435" s="29"/>
      <c r="X435" s="110"/>
      <c r="Y435" s="29"/>
      <c r="Z435" s="29"/>
      <c r="AA435" s="29"/>
      <c r="AB435" s="29"/>
      <c r="AC435" s="110"/>
      <c r="AD435" s="29"/>
      <c r="AE435" s="29"/>
      <c r="AF435" s="29"/>
      <c r="AG435" s="29"/>
      <c r="AH435" s="110"/>
      <c r="AI435" s="29"/>
      <c r="AJ435" s="29"/>
      <c r="AK435" s="29"/>
      <c r="AL435" s="29"/>
      <c r="AM435" s="110"/>
      <c r="AN435" s="29"/>
      <c r="AO435" s="29"/>
      <c r="AP435" s="29"/>
      <c r="AQ435" s="29"/>
      <c r="AR435" s="110"/>
      <c r="AS435" s="29"/>
      <c r="AT435" s="29"/>
      <c r="AU435" s="29"/>
      <c r="AV435" s="29"/>
      <c r="AW435" s="634"/>
      <c r="AX435" s="29"/>
      <c r="AY435" s="29"/>
      <c r="AZ435" s="29"/>
      <c r="BA435" s="29"/>
      <c r="BB435" s="635"/>
      <c r="BC435" s="29"/>
      <c r="BD435" s="29"/>
      <c r="BE435" s="29"/>
      <c r="BF435" s="29"/>
      <c r="BG435" s="635"/>
      <c r="BH435" s="29"/>
      <c r="BI435" s="29"/>
      <c r="BJ435" s="29"/>
      <c r="BK435" s="29"/>
      <c r="BL435" s="635"/>
      <c r="BM435" s="29"/>
      <c r="BN435" s="29"/>
      <c r="BO435" s="29"/>
      <c r="BP435" s="29"/>
      <c r="BQ435" s="635"/>
      <c r="BR435" s="29"/>
      <c r="BS435" s="29"/>
      <c r="BT435" s="29"/>
      <c r="BU435" s="29"/>
      <c r="BV435" s="635"/>
      <c r="BW435" s="29"/>
      <c r="BX435" s="29"/>
      <c r="BY435" s="29"/>
      <c r="BZ435" s="29"/>
      <c r="CA435" s="635"/>
      <c r="CC435" s="29"/>
      <c r="CD435" s="29"/>
      <c r="CE435" s="29"/>
      <c r="CF435" s="29"/>
      <c r="CG435" s="29"/>
      <c r="CH435" s="29"/>
      <c r="CI435" s="29"/>
      <c r="CJ435" s="29"/>
      <c r="CK435" s="29"/>
      <c r="CL435" s="29"/>
      <c r="CM435" s="29"/>
      <c r="CN435" s="29"/>
      <c r="CO435" s="29"/>
      <c r="CP435" s="188"/>
      <c r="CQ435" s="188"/>
      <c r="CR435" s="188"/>
      <c r="CS435" s="188"/>
      <c r="CT435" s="188"/>
      <c r="CU435" s="188"/>
      <c r="DB435" s="1961"/>
      <c r="DC435" s="1961"/>
      <c r="DD435" s="1961"/>
      <c r="DE435" s="1961"/>
      <c r="DF435" s="1961"/>
      <c r="DG435" s="1961"/>
      <c r="DH435" s="1961"/>
      <c r="DI435" s="9"/>
    </row>
    <row r="436" spans="1:113" ht="12" customHeight="1" x14ac:dyDescent="0.25">
      <c r="A436" s="46" t="s">
        <v>286</v>
      </c>
      <c r="B436" s="859"/>
      <c r="C436" s="993">
        <f>C63</f>
        <v>0</v>
      </c>
      <c r="D436" s="993">
        <f>D63</f>
        <v>214.67200000000003</v>
      </c>
      <c r="E436" s="994">
        <f>E63</f>
        <v>0</v>
      </c>
      <c r="F436" s="215">
        <f>F63</f>
        <v>0</v>
      </c>
      <c r="G436" s="215">
        <f t="shared" ref="G436:M436" si="562">G63</f>
        <v>0</v>
      </c>
      <c r="H436" s="215">
        <f t="shared" si="562"/>
        <v>201.82389999999998</v>
      </c>
      <c r="I436" s="144">
        <f t="shared" si="562"/>
        <v>201.82389999999998</v>
      </c>
      <c r="J436" s="215">
        <f>J63</f>
        <v>0</v>
      </c>
      <c r="K436" s="215">
        <f t="shared" si="562"/>
        <v>190.51299999999998</v>
      </c>
      <c r="L436" s="215">
        <f t="shared" si="562"/>
        <v>187.57929999999999</v>
      </c>
      <c r="M436" s="215">
        <f t="shared" si="562"/>
        <v>180.49404999999999</v>
      </c>
      <c r="N436" s="144">
        <f>N63</f>
        <v>180.49404999999999</v>
      </c>
      <c r="O436" s="215">
        <f>O63</f>
        <v>178.86324999999999</v>
      </c>
      <c r="P436" s="215">
        <f>P63</f>
        <v>178.19650000000001</v>
      </c>
      <c r="Q436" s="215">
        <f>Q63</f>
        <v>172.79640000000001</v>
      </c>
      <c r="R436" s="215">
        <f>R63</f>
        <v>180.611445</v>
      </c>
      <c r="S436" s="144">
        <f>R436</f>
        <v>180.611445</v>
      </c>
      <c r="T436" s="995">
        <f>T63</f>
        <v>180.611445</v>
      </c>
      <c r="U436" s="995">
        <f>U63</f>
        <v>178.96950199999998</v>
      </c>
      <c r="V436" s="995">
        <f>V63</f>
        <v>179.64200399999999</v>
      </c>
      <c r="W436" s="995">
        <f>W63</f>
        <v>170.10385600000001</v>
      </c>
      <c r="X436" s="144">
        <f>W436</f>
        <v>170.10385600000001</v>
      </c>
      <c r="Y436" s="995">
        <f>Y63</f>
        <v>167.328631</v>
      </c>
      <c r="Z436" s="995">
        <f>Z63</f>
        <v>164.81430500000002</v>
      </c>
      <c r="AA436" s="995">
        <f>AA63</f>
        <v>163.540097</v>
      </c>
      <c r="AB436" s="995">
        <f>AB63</f>
        <v>164.79105899999999</v>
      </c>
      <c r="AC436" s="144">
        <f>AB436</f>
        <v>164.79105899999999</v>
      </c>
      <c r="AD436" s="995">
        <f>AD63</f>
        <v>166.06601000000001</v>
      </c>
      <c r="AE436" s="995">
        <f>AE63</f>
        <v>165.83355700000001</v>
      </c>
      <c r="AF436" s="995">
        <f>AF63</f>
        <v>166.79852399999999</v>
      </c>
      <c r="AG436" s="120">
        <f>AG63</f>
        <v>166.79852399999999</v>
      </c>
      <c r="AH436" s="144">
        <f>AG436</f>
        <v>166.79852399999999</v>
      </c>
      <c r="AI436" s="120">
        <f>AI63</f>
        <v>168.39530199999999</v>
      </c>
      <c r="AJ436" s="120">
        <f>AJ63</f>
        <v>167.91544500000001</v>
      </c>
      <c r="AK436" s="120">
        <f>AK63</f>
        <v>168.22059100000001</v>
      </c>
      <c r="AL436" s="120">
        <f>AL63</f>
        <v>167.45792700000001</v>
      </c>
      <c r="AM436" s="144">
        <f>+AH436+AM437</f>
        <v>167.45792700000001</v>
      </c>
      <c r="AN436" s="120">
        <f>AN63</f>
        <v>166.531114</v>
      </c>
      <c r="AO436" s="120">
        <f>+AN436+AO437</f>
        <v>166.08392972809065</v>
      </c>
      <c r="AP436" s="120">
        <f>+AO436+AP437</f>
        <v>165.19817176220715</v>
      </c>
      <c r="AQ436" s="120">
        <f>+AP436+AQ437</f>
        <v>155.96166902996671</v>
      </c>
      <c r="AR436" s="144">
        <f>+AM436+AR437</f>
        <v>155.96166902996671</v>
      </c>
      <c r="AS436" s="120">
        <f>AS63</f>
        <v>158.46589499999999</v>
      </c>
      <c r="AT436" s="120">
        <f>AT63</f>
        <v>168.48674</v>
      </c>
      <c r="AU436" s="120">
        <f>AU63</f>
        <v>169.10400300000001</v>
      </c>
      <c r="AV436" s="120">
        <f>+AU436+AV437</f>
        <v>168.93610497710719</v>
      </c>
      <c r="AW436" s="122">
        <f>+AR436+AW437</f>
        <v>168.93610497710719</v>
      </c>
      <c r="AX436" s="120">
        <f>AX63</f>
        <v>167.575019</v>
      </c>
      <c r="AY436" s="120">
        <f>+AX436+AY437</f>
        <v>167.71807524074987</v>
      </c>
      <c r="AZ436" s="120">
        <f>+AY436+AZ437</f>
        <v>167.1040865596475</v>
      </c>
      <c r="BA436" s="120">
        <f>+AZ436+BA437</f>
        <v>165.43157208385594</v>
      </c>
      <c r="BB436" s="216">
        <f>+AW436+BB437</f>
        <v>165.43157208385597</v>
      </c>
      <c r="BC436" s="120">
        <f>BC63</f>
        <v>167.575019</v>
      </c>
      <c r="BD436" s="120">
        <f>+BC436+BD437</f>
        <v>165.77461601315633</v>
      </c>
      <c r="BE436" s="120">
        <f>+BD436+BE437</f>
        <v>165.69648162200355</v>
      </c>
      <c r="BF436" s="120">
        <f>+BE436+BF437</f>
        <v>165.78918995533687</v>
      </c>
      <c r="BG436" s="216">
        <f>+BB436+BG437</f>
        <v>165.78918995533689</v>
      </c>
      <c r="BH436" s="120">
        <f>+BG436+BH437</f>
        <v>164.44853681865729</v>
      </c>
      <c r="BI436" s="120">
        <f>+BH436+BI437</f>
        <v>163.13390306660142</v>
      </c>
      <c r="BJ436" s="120">
        <f>+BI436+BJ437</f>
        <v>161.84478371517477</v>
      </c>
      <c r="BK436" s="120">
        <f>+BJ436+BK437</f>
        <v>160.58068358110793</v>
      </c>
      <c r="BL436" s="216">
        <f>+BG436+BL437</f>
        <v>160.58068358110791</v>
      </c>
      <c r="BM436" s="120">
        <f>+BL436+BM437</f>
        <v>158.92792826182279</v>
      </c>
      <c r="BN436" s="120">
        <f>+BM436+BN437</f>
        <v>157.30724960365518</v>
      </c>
      <c r="BO436" s="120">
        <f>+BN436+BO437</f>
        <v>155.71802506304016</v>
      </c>
      <c r="BP436" s="120">
        <f>+BO436+BP437</f>
        <v>154.15964417873295</v>
      </c>
      <c r="BQ436" s="216">
        <f>+BL436+BQ437</f>
        <v>154.15964417873295</v>
      </c>
      <c r="BR436" s="120">
        <f>+BQ436+BR437</f>
        <v>152.41320321711291</v>
      </c>
      <c r="BS436" s="120">
        <f>+BR436+BS437</f>
        <v>150.70065716675649</v>
      </c>
      <c r="BT436" s="120">
        <f>+BS436+BT437</f>
        <v>149.02134819551546</v>
      </c>
      <c r="BU436" s="120">
        <f>+BT436+BU437</f>
        <v>147.37463123844225</v>
      </c>
      <c r="BV436" s="216">
        <f>+BQ436+BV437</f>
        <v>147.37463123844225</v>
      </c>
      <c r="BW436" s="120">
        <f>+BV436+BW437</f>
        <v>145.75987375000435</v>
      </c>
      <c r="BX436" s="120">
        <f>+BW436+BX437</f>
        <v>144.17645546110748</v>
      </c>
      <c r="BY436" s="120">
        <f>+BX436+BY437</f>
        <v>142.6237681408347</v>
      </c>
      <c r="BZ436" s="120">
        <f>+BY436+BZ437</f>
        <v>141.10121536280946</v>
      </c>
      <c r="CA436" s="216">
        <f>+BV436+CA437</f>
        <v>141.10121536280943</v>
      </c>
      <c r="CC436" s="19"/>
      <c r="CD436" s="19"/>
      <c r="CE436" s="120"/>
      <c r="CF436" s="120"/>
      <c r="CG436" s="120"/>
      <c r="CH436" s="120"/>
      <c r="CI436" s="120"/>
      <c r="CJ436" s="120"/>
      <c r="CK436" s="120"/>
      <c r="CL436" s="120"/>
      <c r="CM436" s="120"/>
      <c r="CN436" s="120"/>
      <c r="CO436" s="120"/>
      <c r="CP436" s="188"/>
      <c r="CQ436" s="188"/>
      <c r="CR436" s="188"/>
      <c r="CS436" s="188"/>
      <c r="CT436" s="188"/>
      <c r="CU436" s="188"/>
      <c r="DB436" s="1961"/>
      <c r="DC436" s="1961"/>
      <c r="DD436" s="1961"/>
      <c r="DE436" s="1961"/>
      <c r="DF436" s="1961"/>
      <c r="DG436" s="1961"/>
      <c r="DH436" s="1961"/>
      <c r="DI436" s="126"/>
    </row>
    <row r="437" spans="1:113" ht="12" customHeight="1" x14ac:dyDescent="0.25">
      <c r="A437" s="954" t="s">
        <v>287</v>
      </c>
      <c r="B437" s="996"/>
      <c r="C437" s="720"/>
      <c r="D437" s="720">
        <f>IF(ISERROR(D436-C436),"NM",(D436-C436))</f>
        <v>214.67200000000003</v>
      </c>
      <c r="E437" s="24">
        <f>IF(ISERROR(E436-D436),"NM",(E436-D436))</f>
        <v>-214.67200000000003</v>
      </c>
      <c r="F437" s="24">
        <f>IF(ISERROR(F436-E436),"NM",(F436-E436))</f>
        <v>0</v>
      </c>
      <c r="G437" s="24">
        <f>IF(ISERROR(G436-F436),"NM",(G436-F436))</f>
        <v>0</v>
      </c>
      <c r="H437" s="24">
        <f>IF(ISERROR(H436-G436),"NM",(H436-G436))</f>
        <v>201.82389999999998</v>
      </c>
      <c r="I437" s="720">
        <f>IF(ISERROR(I436-D436),"NM",(I436-D436))</f>
        <v>-12.848100000000045</v>
      </c>
      <c r="J437" s="24">
        <f>IF(ISERROR(J436-I436),"NM",(J436-I436))</f>
        <v>-201.82389999999998</v>
      </c>
      <c r="K437" s="24">
        <f>IF(ISERROR(K436-J436),"NM",(K436-J436))</f>
        <v>190.51299999999998</v>
      </c>
      <c r="L437" s="24">
        <f>IF(ISERROR(L436-K436),"NM",(L436-K436))</f>
        <v>-2.9336999999999875</v>
      </c>
      <c r="M437" s="120">
        <f>IF(ISERROR(M436-L436),"NM",(M436-L436))</f>
        <v>-7.085250000000002</v>
      </c>
      <c r="N437" s="720">
        <f>IF(ISERROR(N436-I436),"NM",(N436-I436))</f>
        <v>-21.329849999999993</v>
      </c>
      <c r="O437" s="24">
        <f>IF(ISERROR(O436-N436),"NM",(O436-N436))</f>
        <v>-1.6307999999999936</v>
      </c>
      <c r="P437" s="24">
        <f>IF(ISERROR(P436-O436),"NM",(P436-O436))</f>
        <v>-0.66674999999997908</v>
      </c>
      <c r="Q437" s="24">
        <f>IF(ISERROR(Q436-P436),"NM",(Q436-P436))</f>
        <v>-5.400100000000009</v>
      </c>
      <c r="R437" s="24">
        <f>IF(ISERROR(R436-Q436),"NM",(R436-Q436))</f>
        <v>7.8150449999999978</v>
      </c>
      <c r="S437" s="997">
        <f>IF(ISERROR(S436-N436),"NM",(S436-N436))</f>
        <v>0.11739500000001613</v>
      </c>
      <c r="T437" s="24">
        <f>IF(ISERROR(T436-S436),"NM",(T436-S436))</f>
        <v>0</v>
      </c>
      <c r="U437" s="24">
        <f>IF(ISERROR(U436-T436),"NM",(U436-T436))</f>
        <v>-1.6419430000000261</v>
      </c>
      <c r="V437" s="24">
        <f>IF(ISERROR(V436-U436),"NM",(V436-U436))</f>
        <v>0.67250200000000859</v>
      </c>
      <c r="W437" s="120">
        <f>IF(ISERROR(W436-V436),"NM",(W436-V436))</f>
        <v>-9.5381479999999783</v>
      </c>
      <c r="X437" s="144">
        <f>IF(ISERROR(X436-S436),"NM",(X436-S436))</f>
        <v>-10.507588999999996</v>
      </c>
      <c r="Y437" s="24">
        <f>IF(ISERROR(Y436-X436),"NM",(Y436-X436))</f>
        <v>-2.775225000000006</v>
      </c>
      <c r="Z437" s="24">
        <f>IF(ISERROR(Z436-Y436),"NM",(Z436-Y436))</f>
        <v>-2.5143259999999827</v>
      </c>
      <c r="AA437" s="24">
        <f>IF(ISERROR(AA436-Z436),"NM",(AA436-Z436))</f>
        <v>-1.2742080000000158</v>
      </c>
      <c r="AB437" s="24">
        <f>IF(ISERROR(AB436-AA436),"NM",(AB436-AA436))</f>
        <v>1.250961999999987</v>
      </c>
      <c r="AC437" s="144">
        <f>IF(ISERROR(AC436-X436),"NM",(AC436-X436))</f>
        <v>-5.3127970000000175</v>
      </c>
      <c r="AD437" s="24">
        <f>IF(ISERROR(AD436-AC436),"NM",(AD436-AC436))</f>
        <v>1.2749510000000157</v>
      </c>
      <c r="AE437" s="24">
        <f>IF(ISERROR(AE436-AD436),"NM",(AE436-AD436))</f>
        <v>-0.23245299999999247</v>
      </c>
      <c r="AF437" s="24">
        <f>IF(ISERROR(AF436-AE436),"NM",(AF436-AE436))</f>
        <v>0.96496699999997304</v>
      </c>
      <c r="AG437" s="120">
        <f>IF(ISERROR(AG436-AF436),"NM",(AG436-AF436))</f>
        <v>0</v>
      </c>
      <c r="AH437" s="144">
        <f>IF(ISERROR(AH436-AC436),"NM",(AH436-AC436))</f>
        <v>2.0074649999999963</v>
      </c>
      <c r="AI437" s="120">
        <f>IF(ISERROR(AI436-AH436),"NM",(AI436-AH436))</f>
        <v>1.5967780000000005</v>
      </c>
      <c r="AJ437" s="120">
        <f>IF(ISERROR(AJ436-AI436),"NM",(AJ436-AI436))</f>
        <v>-0.47985699999998133</v>
      </c>
      <c r="AK437" s="120">
        <f>IF(ISERROR(AK436-AJ436),"NM",(AK436-AJ436))</f>
        <v>0.30514600000000769</v>
      </c>
      <c r="AL437" s="120">
        <f>IF(ISERROR(AL436-AK436),"NM",(AL436-AK436))</f>
        <v>-0.7626640000000009</v>
      </c>
      <c r="AM437" s="144">
        <f>SUM(AI437:AL437)</f>
        <v>0.65940300000002594</v>
      </c>
      <c r="AN437" s="120">
        <f>IF(ISERROR(AN436-AM436),"NM",(AN436-AM436))</f>
        <v>-0.92681300000000988</v>
      </c>
      <c r="AO437" s="120">
        <f>(AO150+AO151+AO153)/AO438</f>
        <v>-0.44718427190936361</v>
      </c>
      <c r="AP437" s="120">
        <f>(AP150+AP151+AP153)/AP438</f>
        <v>-0.88575796588348865</v>
      </c>
      <c r="AQ437" s="120">
        <f>(AQ150+AQ151+AQ153)/AQ438</f>
        <v>-9.2365027322404387</v>
      </c>
      <c r="AR437" s="144">
        <f>SUM(AN437:AQ437)</f>
        <v>-11.496257970033302</v>
      </c>
      <c r="AS437" s="120">
        <f>IF(ISERROR(AS436-AR436),"NM",(AS436-AR436))</f>
        <v>2.504225970033275</v>
      </c>
      <c r="AT437" s="120">
        <f>IF(ISERROR(AT436-AS436),"NM",(AT436-AS436))</f>
        <v>10.020845000000008</v>
      </c>
      <c r="AU437" s="120">
        <f>IF(ISERROR(AU436-AT436),"NM",(AU436-AT436))</f>
        <v>0.61726300000000833</v>
      </c>
      <c r="AV437" s="120">
        <f>(AV150+AV151+AV153)/AV438</f>
        <v>-0.16789802289281996</v>
      </c>
      <c r="AW437" s="144">
        <f>SUM(AS437:AV437)</f>
        <v>12.974435947140472</v>
      </c>
      <c r="AX437" s="120">
        <f>IF(ISERROR(AX436-AW436),"NM",(AX436-AW436))</f>
        <v>-1.3610859771071944</v>
      </c>
      <c r="AY437" s="120">
        <f>(AY150+AY151+AY153)/AY438</f>
        <v>0.14305624074987666</v>
      </c>
      <c r="AZ437" s="120">
        <f>(AZ150+AZ151+AZ153)/AZ438</f>
        <v>-0.61398868110236204</v>
      </c>
      <c r="BA437" s="120">
        <f>(BA150+BA151+BA153)/BA438</f>
        <v>-1.6725144757915491</v>
      </c>
      <c r="BB437" s="998">
        <f>SUM(AX437:BA437)</f>
        <v>-3.5045328932512287</v>
      </c>
      <c r="BC437" s="120">
        <f>IF(ISERROR(BC436-BB436),"NM",(BC436-BB436))</f>
        <v>2.143446916144029</v>
      </c>
      <c r="BD437" s="120">
        <f>(BD150+BD151+BD153)/BD438</f>
        <v>-1.8004029868436648</v>
      </c>
      <c r="BE437" s="120">
        <f>(BE150+BE151+BE153)/BE438</f>
        <v>-7.8134391152782534E-2</v>
      </c>
      <c r="BF437" s="120">
        <f>(BF150+BF151+BF153)/BF438</f>
        <v>9.2708333333333101E-2</v>
      </c>
      <c r="BG437" s="998">
        <f>SUM(BC437:BF437)</f>
        <v>0.35761787148091478</v>
      </c>
      <c r="BH437" s="120">
        <f>(BH150+BH151+BH153)/BH438</f>
        <v>-1.3406531366796177</v>
      </c>
      <c r="BI437" s="120">
        <f>(BI150+BI151+BI153)/BI438</f>
        <v>-1.3146337520558793</v>
      </c>
      <c r="BJ437" s="120">
        <f>(BJ150+BJ151+BJ153)/BJ438</f>
        <v>-1.2891193514266399</v>
      </c>
      <c r="BK437" s="120">
        <f>(BK150+BK151+BK153)/BK438</f>
        <v>-1.2641001340668483</v>
      </c>
      <c r="BL437" s="998">
        <f>SUM(BH437:BK437)</f>
        <v>-5.2085063742289854</v>
      </c>
      <c r="BM437" s="120">
        <f>(BM150+BM151+BM153)/BM438</f>
        <v>-1.6527553192851214</v>
      </c>
      <c r="BN437" s="120">
        <f>(BN150+BN151+BN153)/BN438</f>
        <v>-1.620678658167604</v>
      </c>
      <c r="BO437" s="120">
        <f>(BO150+BO151+BO153)/BO438</f>
        <v>-1.5892245406150305</v>
      </c>
      <c r="BP437" s="120">
        <f>(BP150+BP151+BP153)/BP438</f>
        <v>-1.5583808843072111</v>
      </c>
      <c r="BQ437" s="998">
        <f>SUM(BM437:BP437)</f>
        <v>-6.4210394023749675</v>
      </c>
      <c r="BR437" s="120">
        <f>(BR150+BR151+BR153)/BR438</f>
        <v>-1.7464409616200254</v>
      </c>
      <c r="BS437" s="120">
        <f>(BS150+BS151+BS153)/BS438</f>
        <v>-1.7125460503564103</v>
      </c>
      <c r="BT437" s="120">
        <f>(BT150+BT151+BT153)/BT438</f>
        <v>-1.6793089712410418</v>
      </c>
      <c r="BU437" s="120">
        <f>(BU150+BU151+BU153)/BU438</f>
        <v>-1.6467169570732065</v>
      </c>
      <c r="BV437" s="998">
        <f>SUM(BR437:BU437)</f>
        <v>-6.7850129402906845</v>
      </c>
      <c r="BW437" s="120">
        <f>(BW150+BW151+BW153)/BW438</f>
        <v>-1.6147574884379132</v>
      </c>
      <c r="BX437" s="120">
        <f>(BX150+BX151+BX153)/BX438</f>
        <v>-1.5834182888968702</v>
      </c>
      <c r="BY437" s="120">
        <f>(BY150+BY151+BY153)/BY438</f>
        <v>-1.5526873202727949</v>
      </c>
      <c r="BZ437" s="120">
        <f>(BZ150+BZ151+BZ153)/BZ438</f>
        <v>-1.522552778025247</v>
      </c>
      <c r="CA437" s="998">
        <f>SUM(BW437:BZ437)</f>
        <v>-6.2734158756328249</v>
      </c>
      <c r="CC437" s="143"/>
      <c r="CD437" s="143"/>
      <c r="CE437" s="685"/>
      <c r="CF437" s="685"/>
      <c r="CG437" s="685"/>
      <c r="CH437" s="685"/>
      <c r="CI437" s="685"/>
      <c r="CJ437" s="685"/>
      <c r="CK437" s="685"/>
      <c r="CL437" s="685"/>
      <c r="CM437" s="685"/>
      <c r="CN437" s="685"/>
      <c r="CO437" s="685"/>
      <c r="CP437" s="188"/>
      <c r="CQ437" s="188"/>
      <c r="CR437" s="188"/>
      <c r="CS437" s="188"/>
      <c r="CT437" s="188"/>
      <c r="CU437" s="188"/>
      <c r="DB437" s="1961"/>
      <c r="DC437" s="1961"/>
      <c r="DD437" s="1961"/>
      <c r="DE437" s="1961"/>
      <c r="DF437" s="1961"/>
      <c r="DG437" s="1961"/>
      <c r="DH437" s="1961"/>
      <c r="DI437" s="126"/>
    </row>
    <row r="438" spans="1:113" ht="12" customHeight="1" x14ac:dyDescent="0.25">
      <c r="A438" s="954" t="s">
        <v>288</v>
      </c>
      <c r="B438" s="999"/>
      <c r="C438" s="463"/>
      <c r="D438" s="463"/>
      <c r="E438" s="464"/>
      <c r="F438" s="464"/>
      <c r="G438" s="464"/>
      <c r="H438" s="1000"/>
      <c r="I438" s="463"/>
      <c r="J438" s="464"/>
      <c r="K438" s="464"/>
      <c r="L438" s="464"/>
      <c r="M438" s="464"/>
      <c r="N438" s="463"/>
      <c r="O438" s="1001"/>
      <c r="P438" s="891"/>
      <c r="Q438" s="464"/>
      <c r="R438" s="1001">
        <v>28.5</v>
      </c>
      <c r="S438" s="463">
        <f>R438</f>
        <v>28.5</v>
      </c>
      <c r="T438" s="1000">
        <v>28.2</v>
      </c>
      <c r="U438" s="1000">
        <v>29.9</v>
      </c>
      <c r="V438" s="1000">
        <v>27.56</v>
      </c>
      <c r="W438" s="1002">
        <v>27.51</v>
      </c>
      <c r="X438" s="1003">
        <v>28.09</v>
      </c>
      <c r="Y438" s="1000">
        <f>(703963*34.04+580455*32.82+959164*31.67)/2243582</f>
        <v>32.711154528784775</v>
      </c>
      <c r="Z438" s="1000">
        <v>33.74</v>
      </c>
      <c r="AA438" s="1000">
        <v>34.770000000000003</v>
      </c>
      <c r="AB438" s="1000">
        <v>40.130000000000003</v>
      </c>
      <c r="AC438" s="463">
        <f>AB438</f>
        <v>40.130000000000003</v>
      </c>
      <c r="AD438" s="1001">
        <v>46.97</v>
      </c>
      <c r="AE438" s="1000">
        <v>49.26</v>
      </c>
      <c r="AF438" s="1000">
        <v>47.61</v>
      </c>
      <c r="AG438" s="1000">
        <v>53.9</v>
      </c>
      <c r="AH438" s="463">
        <f>AG438</f>
        <v>53.9</v>
      </c>
      <c r="AI438" s="1000">
        <v>60</v>
      </c>
      <c r="AJ438" s="1000">
        <v>60.94</v>
      </c>
      <c r="AK438" s="1000">
        <v>61.17</v>
      </c>
      <c r="AL438" s="1000">
        <f>+AK438*(1+DCF_Rev!$F$2)^(1/4)</f>
        <v>62.265167563290667</v>
      </c>
      <c r="AM438" s="463">
        <f>+AH438*(1+DCF_Rev!$F$2)</f>
        <v>57.864937436407189</v>
      </c>
      <c r="AN438" s="1000">
        <v>58</v>
      </c>
      <c r="AO438" s="1000">
        <v>60.02</v>
      </c>
      <c r="AP438" s="1000">
        <v>62.14</v>
      </c>
      <c r="AQ438" s="1000">
        <v>64.05</v>
      </c>
      <c r="AR438" s="463">
        <f>+AQ438</f>
        <v>64.05</v>
      </c>
      <c r="AS438" s="1000">
        <v>71.400000000000006</v>
      </c>
      <c r="AT438" s="1000">
        <v>72.760000000000005</v>
      </c>
      <c r="AU438" s="1000">
        <v>73.91</v>
      </c>
      <c r="AV438" s="1000">
        <v>76.88</v>
      </c>
      <c r="AW438" s="1004">
        <f>AV438</f>
        <v>76.88</v>
      </c>
      <c r="AX438" s="1000">
        <v>79.92</v>
      </c>
      <c r="AY438" s="1000">
        <v>81.08</v>
      </c>
      <c r="AZ438" s="1000">
        <v>81.28</v>
      </c>
      <c r="BA438" s="1000">
        <v>81.17</v>
      </c>
      <c r="BB438" s="1005">
        <f>BA438</f>
        <v>81.17</v>
      </c>
      <c r="BC438" s="1876">
        <v>81.14</v>
      </c>
      <c r="BD438" s="1876">
        <v>84.37</v>
      </c>
      <c r="BE438" s="1876">
        <v>83.19</v>
      </c>
      <c r="BF438" s="1876">
        <v>96</v>
      </c>
      <c r="BG438" s="1005">
        <f>BF438</f>
        <v>96</v>
      </c>
      <c r="BH438" s="464">
        <f>+BG438*(1+DCF_Rev!$E$49)^(1/4)</f>
        <v>97.900043202125772</v>
      </c>
      <c r="BI438" s="464">
        <f>+BH438*(1+DCF_Rev!$E$49)^(1/4)</f>
        <v>99.837692281021802</v>
      </c>
      <c r="BJ438" s="464">
        <f>+BI438*(1+DCF_Rev!$E$49)^(1/4)</f>
        <v>101.81369153658932</v>
      </c>
      <c r="BK438" s="464">
        <f>+BJ438*(1+DCF_Rev!$E$49)^(1/4)</f>
        <v>103.82880000000002</v>
      </c>
      <c r="BL438" s="1005">
        <f>BK438</f>
        <v>103.82880000000002</v>
      </c>
      <c r="BM438" s="464">
        <f>+BL438*(1+DCF_Rev!$E$49)^(1/4)</f>
        <v>105.88379172525916</v>
      </c>
      <c r="BN438" s="464">
        <f>+BM438*(1+DCF_Rev!$E$49)^(1/4)</f>
        <v>107.97945608653916</v>
      </c>
      <c r="BO438" s="464">
        <f>+BN438*(1+DCF_Rev!$E$49)^(1/4)</f>
        <v>110.11659808139819</v>
      </c>
      <c r="BP438" s="464">
        <f>+BO438*(1+DCF_Rev!$E$49)^(1/4)</f>
        <v>112.29603864000003</v>
      </c>
      <c r="BQ438" s="1005">
        <f>BP438</f>
        <v>112.29603864000003</v>
      </c>
      <c r="BR438" s="464">
        <f>+BQ438*(1+DCF_Rev!$E$49)^(1/4)</f>
        <v>114.51861494045406</v>
      </c>
      <c r="BS438" s="464">
        <f>+BR438*(1+DCF_Rev!$E$49)^(1/4)</f>
        <v>116.78518073039645</v>
      </c>
      <c r="BT438" s="464">
        <f>+BS438*(1+DCF_Rev!$E$49)^(1/4)</f>
        <v>119.09660665493624</v>
      </c>
      <c r="BU438" s="464">
        <f>+BT438*(1+DCF_Rev!$E$49)^(1/4)</f>
        <v>121.45378059109207</v>
      </c>
      <c r="BV438" s="1005">
        <f>BU438</f>
        <v>121.45378059109207</v>
      </c>
      <c r="BW438" s="464">
        <f>+BV438*(1+DCF_Rev!$E$49)^(1/4)</f>
        <v>123.85760798884812</v>
      </c>
      <c r="BX438" s="464">
        <f>+BW438*(1+DCF_Rev!$E$49)^(1/4)</f>
        <v>126.30901221896031</v>
      </c>
      <c r="BY438" s="464">
        <f>+BX438*(1+DCF_Rev!$E$49)^(1/4)</f>
        <v>128.80893492764633</v>
      </c>
      <c r="BZ438" s="464">
        <f>+BY438*(1+DCF_Rev!$E$49)^(1/4)</f>
        <v>131.35833639829568</v>
      </c>
      <c r="CA438" s="1005">
        <f>BZ438</f>
        <v>131.35833639829568</v>
      </c>
      <c r="CC438" s="143"/>
      <c r="CD438" s="143"/>
      <c r="CE438" s="464"/>
      <c r="CF438" s="464"/>
      <c r="CG438" s="464"/>
      <c r="CH438" s="464"/>
      <c r="CI438" s="464"/>
      <c r="CJ438" s="464"/>
      <c r="CK438" s="464"/>
      <c r="CL438" s="464"/>
      <c r="CM438" s="464"/>
      <c r="CN438" s="464"/>
      <c r="CO438" s="464"/>
      <c r="CP438" s="188"/>
      <c r="CQ438" s="188"/>
      <c r="CR438" s="188"/>
      <c r="CS438" s="188"/>
      <c r="CT438" s="188"/>
      <c r="CU438" s="188"/>
      <c r="DB438" s="1961"/>
      <c r="DC438" s="1961"/>
      <c r="DD438" s="1961"/>
      <c r="DE438" s="1961"/>
      <c r="DF438" s="1961"/>
      <c r="DG438" s="1961"/>
      <c r="DH438" s="1961"/>
      <c r="DI438" s="891"/>
    </row>
    <row r="439" spans="1:113" ht="5.0999999999999996" customHeight="1" x14ac:dyDescent="0.25">
      <c r="A439" s="46"/>
      <c r="B439" s="1006"/>
      <c r="C439" s="1007"/>
      <c r="D439" s="1007"/>
      <c r="E439" s="19"/>
      <c r="F439" s="19"/>
      <c r="G439" s="19"/>
      <c r="H439" s="1008"/>
      <c r="I439" s="1007"/>
      <c r="J439" s="19"/>
      <c r="K439" s="19"/>
      <c r="L439" s="19"/>
      <c r="M439" s="19"/>
      <c r="N439" s="1007"/>
      <c r="O439" s="19"/>
      <c r="P439" s="19"/>
      <c r="Q439" s="19"/>
      <c r="R439" s="19"/>
      <c r="S439" s="1007"/>
      <c r="T439" s="19"/>
      <c r="U439" s="19"/>
      <c r="V439" s="19"/>
      <c r="W439" s="19"/>
      <c r="X439" s="1007"/>
      <c r="Y439" s="19"/>
      <c r="Z439" s="19"/>
      <c r="AA439" s="19"/>
      <c r="AB439" s="19"/>
      <c r="AC439" s="1009"/>
      <c r="AD439" s="19"/>
      <c r="AE439" s="19"/>
      <c r="AF439" s="19"/>
      <c r="AG439" s="19"/>
      <c r="AH439" s="1009"/>
      <c r="AI439" s="19"/>
      <c r="AJ439" s="19"/>
      <c r="AK439" s="19"/>
      <c r="AL439" s="19"/>
      <c r="AM439" s="1009"/>
      <c r="AN439" s="19"/>
      <c r="AO439" s="19"/>
      <c r="AP439" s="19"/>
      <c r="AQ439" s="483"/>
      <c r="AR439" s="1009"/>
      <c r="AS439" s="19"/>
      <c r="AT439" s="19"/>
      <c r="AU439" s="483"/>
      <c r="AV439" s="19"/>
      <c r="AW439" s="1010"/>
      <c r="AX439" s="483"/>
      <c r="AY439" s="483"/>
      <c r="AZ439" s="483"/>
      <c r="BA439" s="19"/>
      <c r="BB439" s="1011"/>
      <c r="BC439" s="483"/>
      <c r="BD439" s="483"/>
      <c r="BE439" s="483"/>
      <c r="BF439" s="19"/>
      <c r="BG439" s="1011"/>
      <c r="BH439" s="19"/>
      <c r="BI439" s="483"/>
      <c r="BJ439" s="483"/>
      <c r="BK439" s="19"/>
      <c r="BL439" s="1011"/>
      <c r="BM439" s="19"/>
      <c r="BN439" s="483"/>
      <c r="BO439" s="483"/>
      <c r="BP439" s="19"/>
      <c r="BQ439" s="1011"/>
      <c r="BR439" s="19"/>
      <c r="BS439" s="483"/>
      <c r="BT439" s="483"/>
      <c r="BU439" s="19"/>
      <c r="BV439" s="1011"/>
      <c r="BW439" s="19"/>
      <c r="BX439" s="483"/>
      <c r="BY439" s="483"/>
      <c r="BZ439" s="19"/>
      <c r="CA439" s="1011"/>
      <c r="CC439" s="19"/>
      <c r="CD439" s="19"/>
      <c r="CE439" s="19"/>
      <c r="CF439" s="19"/>
      <c r="CG439" s="19"/>
      <c r="CH439" s="19"/>
      <c r="CI439" s="19"/>
      <c r="CJ439" s="19"/>
      <c r="CK439" s="19"/>
      <c r="CL439" s="19"/>
      <c r="CM439" s="19"/>
      <c r="CN439" s="19"/>
      <c r="CO439" s="19"/>
      <c r="CP439" s="188"/>
      <c r="CQ439" s="188"/>
      <c r="CR439" s="188"/>
      <c r="CS439" s="188"/>
      <c r="CT439" s="188"/>
      <c r="CU439" s="188"/>
      <c r="DB439" s="1961"/>
      <c r="DC439" s="1961"/>
      <c r="DD439" s="1961"/>
      <c r="DE439" s="1961"/>
      <c r="DF439" s="1961"/>
      <c r="DG439" s="1961"/>
      <c r="DH439" s="1961"/>
      <c r="DI439" s="1961"/>
    </row>
    <row r="440" spans="1:113" x14ac:dyDescent="0.25">
      <c r="A440" s="1012" t="s">
        <v>289</v>
      </c>
      <c r="B440" s="1013"/>
      <c r="C440" s="1014">
        <v>0</v>
      </c>
      <c r="D440" s="1014">
        <v>0</v>
      </c>
      <c r="E440" s="1015">
        <v>0</v>
      </c>
      <c r="F440" s="1015">
        <v>0</v>
      </c>
      <c r="G440" s="1015">
        <v>0</v>
      </c>
      <c r="H440" s="1015">
        <v>0</v>
      </c>
      <c r="I440" s="1014">
        <v>0</v>
      </c>
      <c r="J440" s="1015">
        <v>0</v>
      </c>
      <c r="K440" s="1015">
        <v>0</v>
      </c>
      <c r="L440" s="1015">
        <v>0</v>
      </c>
      <c r="M440" s="1015">
        <v>0</v>
      </c>
      <c r="N440" s="1014">
        <v>0</v>
      </c>
      <c r="O440" s="1015">
        <v>0</v>
      </c>
      <c r="P440" s="1015">
        <v>0</v>
      </c>
      <c r="Q440" s="1015">
        <v>0</v>
      </c>
      <c r="R440" s="1015">
        <v>0</v>
      </c>
      <c r="S440" s="1014">
        <v>0</v>
      </c>
      <c r="T440" s="1015">
        <v>0</v>
      </c>
      <c r="U440" s="1015">
        <v>0</v>
      </c>
      <c r="V440" s="1015">
        <v>0</v>
      </c>
      <c r="W440" s="1015">
        <v>0</v>
      </c>
      <c r="X440" s="1014">
        <v>0</v>
      </c>
      <c r="Y440" s="1015"/>
      <c r="Z440" s="1015"/>
      <c r="AA440" s="1015"/>
      <c r="AB440" s="1015"/>
      <c r="AC440" s="1014">
        <v>0</v>
      </c>
      <c r="AD440" s="1015"/>
      <c r="AE440" s="1015"/>
      <c r="AF440" s="1015"/>
      <c r="AG440" s="1015"/>
      <c r="AH440" s="1014">
        <v>0</v>
      </c>
      <c r="AI440" s="1015"/>
      <c r="AJ440" s="1015"/>
      <c r="AK440" s="1015"/>
      <c r="AL440" s="1015"/>
      <c r="AM440" s="1014">
        <v>0</v>
      </c>
      <c r="AN440" s="1015">
        <v>0</v>
      </c>
      <c r="AO440" s="1015">
        <v>0</v>
      </c>
      <c r="AP440" s="1015">
        <v>0</v>
      </c>
      <c r="AQ440" s="1015">
        <v>0</v>
      </c>
      <c r="AR440" s="1014">
        <v>0</v>
      </c>
      <c r="AS440" s="1015">
        <v>0</v>
      </c>
      <c r="AT440" s="1015">
        <v>0</v>
      </c>
      <c r="AU440" s="1015">
        <v>0</v>
      </c>
      <c r="AV440" s="1015">
        <v>0</v>
      </c>
      <c r="AW440" s="1016">
        <v>0</v>
      </c>
      <c r="AX440" s="1015">
        <v>0</v>
      </c>
      <c r="AY440" s="1015">
        <v>0</v>
      </c>
      <c r="AZ440" s="1015">
        <v>0</v>
      </c>
      <c r="BA440" s="1015">
        <v>0</v>
      </c>
      <c r="BB440" s="1016">
        <v>0</v>
      </c>
      <c r="BC440" s="1015">
        <v>0</v>
      </c>
      <c r="BD440" s="1015">
        <v>0</v>
      </c>
      <c r="BE440" s="1015">
        <v>0</v>
      </c>
      <c r="BF440" s="1015">
        <v>0</v>
      </c>
      <c r="BG440" s="1016">
        <v>0</v>
      </c>
      <c r="BH440" s="1015">
        <v>0</v>
      </c>
      <c r="BI440" s="1015">
        <v>0</v>
      </c>
      <c r="BJ440" s="1015">
        <v>0</v>
      </c>
      <c r="BK440" s="1015">
        <v>0</v>
      </c>
      <c r="BL440" s="1016">
        <v>0</v>
      </c>
      <c r="BM440" s="1015">
        <v>0</v>
      </c>
      <c r="BN440" s="1015">
        <v>0</v>
      </c>
      <c r="BO440" s="1015">
        <v>0</v>
      </c>
      <c r="BP440" s="1015">
        <v>0</v>
      </c>
      <c r="BQ440" s="1016">
        <v>0</v>
      </c>
      <c r="BR440" s="1015">
        <v>0</v>
      </c>
      <c r="BS440" s="1015">
        <v>0</v>
      </c>
      <c r="BT440" s="1015">
        <v>0</v>
      </c>
      <c r="BU440" s="1015">
        <v>0</v>
      </c>
      <c r="BV440" s="1016">
        <v>0</v>
      </c>
      <c r="BW440" s="1015">
        <v>0</v>
      </c>
      <c r="BX440" s="1015">
        <v>0</v>
      </c>
      <c r="BY440" s="1015">
        <v>0</v>
      </c>
      <c r="BZ440" s="1015">
        <v>0</v>
      </c>
      <c r="CA440" s="1016">
        <v>0</v>
      </c>
      <c r="CC440" s="19"/>
      <c r="CD440" s="19"/>
      <c r="CE440" s="1015"/>
      <c r="CF440" s="1015"/>
      <c r="CG440" s="1015"/>
      <c r="CH440" s="1015"/>
      <c r="CI440" s="1015"/>
      <c r="CJ440" s="1015"/>
      <c r="CK440" s="1015"/>
      <c r="CL440" s="1015"/>
      <c r="CM440" s="1015"/>
      <c r="CN440" s="1015"/>
      <c r="CO440" s="1015"/>
      <c r="CP440" s="188"/>
      <c r="CQ440" s="188"/>
      <c r="CR440" s="188"/>
      <c r="CS440" s="188"/>
      <c r="CT440" s="188"/>
      <c r="CU440" s="188"/>
      <c r="DB440" s="1961"/>
      <c r="DC440" s="1961"/>
      <c r="DD440" s="1961"/>
      <c r="DE440" s="1961"/>
      <c r="DF440" s="1961"/>
      <c r="DG440" s="1961"/>
      <c r="DH440" s="1961"/>
      <c r="DI440" s="1961"/>
    </row>
    <row r="441" spans="1:113" ht="5.0999999999999996" customHeight="1" thickBot="1" x14ac:dyDescent="0.3">
      <c r="A441" s="922"/>
      <c r="B441" s="1017"/>
      <c r="C441" s="1018"/>
      <c r="D441" s="1018"/>
      <c r="E441" s="1019"/>
      <c r="F441" s="1019"/>
      <c r="G441" s="1019"/>
      <c r="H441" s="1020"/>
      <c r="I441" s="1018"/>
      <c r="J441" s="1019"/>
      <c r="K441" s="1019"/>
      <c r="L441" s="1019"/>
      <c r="M441" s="1019"/>
      <c r="N441" s="1018"/>
      <c r="O441" s="1019"/>
      <c r="P441" s="1019"/>
      <c r="Q441" s="1019"/>
      <c r="R441" s="1019"/>
      <c r="S441" s="1018"/>
      <c r="T441" s="1019"/>
      <c r="U441" s="1019"/>
      <c r="V441" s="1019"/>
      <c r="W441" s="1019"/>
      <c r="X441" s="1018"/>
      <c r="Y441" s="1019"/>
      <c r="Z441" s="1019"/>
      <c r="AA441" s="1019"/>
      <c r="AB441" s="1019"/>
      <c r="AC441" s="1021"/>
      <c r="AD441" s="1019"/>
      <c r="AE441" s="1019"/>
      <c r="AF441" s="1019"/>
      <c r="AG441" s="1019"/>
      <c r="AH441" s="1021"/>
      <c r="AI441" s="1019"/>
      <c r="AJ441" s="1019"/>
      <c r="AK441" s="1019"/>
      <c r="AL441" s="1019"/>
      <c r="AM441" s="1021"/>
      <c r="AN441" s="1019"/>
      <c r="AO441" s="1019"/>
      <c r="AP441" s="1019"/>
      <c r="AQ441" s="1019"/>
      <c r="AR441" s="1021"/>
      <c r="AS441" s="1019"/>
      <c r="AT441" s="1019"/>
      <c r="AU441" s="1019"/>
      <c r="AV441" s="1019"/>
      <c r="AW441" s="1022"/>
      <c r="AX441" s="1019"/>
      <c r="AY441" s="1019"/>
      <c r="AZ441" s="1019"/>
      <c r="BA441" s="1019"/>
      <c r="BB441" s="1023"/>
      <c r="BC441" s="1019"/>
      <c r="BD441" s="1019"/>
      <c r="BE441" s="1019"/>
      <c r="BF441" s="1019"/>
      <c r="BG441" s="1023"/>
      <c r="BH441" s="1019"/>
      <c r="BI441" s="1019"/>
      <c r="BJ441" s="1019"/>
      <c r="BK441" s="1019"/>
      <c r="BL441" s="1023"/>
      <c r="BM441" s="1019"/>
      <c r="BN441" s="1019"/>
      <c r="BO441" s="1019"/>
      <c r="BP441" s="1019"/>
      <c r="BQ441" s="1023"/>
      <c r="BR441" s="1019"/>
      <c r="BS441" s="1019"/>
      <c r="BT441" s="1019"/>
      <c r="BU441" s="1019"/>
      <c r="BV441" s="1023"/>
      <c r="BW441" s="1019"/>
      <c r="BX441" s="1019"/>
      <c r="BY441" s="1019"/>
      <c r="BZ441" s="1019"/>
      <c r="CA441" s="1023"/>
      <c r="CC441" s="19"/>
      <c r="CD441" s="19"/>
      <c r="CE441" s="19"/>
      <c r="CF441" s="19"/>
      <c r="CG441" s="19"/>
      <c r="CH441" s="19"/>
      <c r="CI441" s="19"/>
      <c r="CJ441" s="19"/>
      <c r="CK441" s="19"/>
      <c r="CL441" s="19"/>
      <c r="CM441" s="19"/>
      <c r="CN441" s="19"/>
      <c r="CO441" s="19"/>
      <c r="CP441" s="188"/>
      <c r="CQ441" s="188"/>
      <c r="CR441" s="188"/>
      <c r="CS441" s="188"/>
      <c r="CT441" s="188"/>
      <c r="CU441" s="188"/>
      <c r="DB441" s="1961"/>
      <c r="DC441" s="1961"/>
      <c r="DD441" s="1961"/>
      <c r="DE441" s="1961"/>
      <c r="DF441" s="1961"/>
      <c r="DG441" s="1961"/>
      <c r="DH441" s="1961"/>
      <c r="DI441" s="1961"/>
    </row>
    <row r="442" spans="1:113" x14ac:dyDescent="0.25">
      <c r="A442" s="46"/>
      <c r="B442" s="1006"/>
      <c r="C442" s="1007"/>
      <c r="D442" s="1007"/>
      <c r="E442" s="19"/>
      <c r="F442" s="19"/>
      <c r="G442" s="19"/>
      <c r="H442" s="1008"/>
      <c r="I442" s="1007"/>
      <c r="J442" s="19"/>
      <c r="K442" s="19"/>
      <c r="L442" s="19"/>
      <c r="M442" s="19"/>
      <c r="N442" s="1024"/>
      <c r="O442" s="19"/>
      <c r="P442" s="19"/>
      <c r="Q442" s="19"/>
      <c r="R442" s="19"/>
      <c r="S442" s="1007"/>
      <c r="T442" s="19"/>
      <c r="U442" s="19"/>
      <c r="V442" s="19"/>
      <c r="W442" s="19"/>
      <c r="X442" s="1007"/>
      <c r="Y442" s="19"/>
      <c r="Z442" s="19"/>
      <c r="AA442" s="19"/>
      <c r="AB442" s="19"/>
      <c r="AC442" s="1009"/>
      <c r="AD442" s="19"/>
      <c r="AE442" s="19"/>
      <c r="AF442" s="19"/>
      <c r="AG442" s="19"/>
      <c r="AH442" s="1009"/>
      <c r="AI442" s="19"/>
      <c r="AJ442" s="19"/>
      <c r="AK442" s="19"/>
      <c r="AL442" s="19"/>
      <c r="AM442" s="1009"/>
      <c r="AN442" s="19"/>
      <c r="AO442" s="19"/>
      <c r="AP442" s="19"/>
      <c r="AQ442" s="19"/>
      <c r="AR442" s="1009"/>
      <c r="AS442" s="19"/>
      <c r="AT442" s="19"/>
      <c r="AU442" s="19"/>
      <c r="AV442" s="19"/>
      <c r="AW442" s="1010"/>
      <c r="AX442" s="19"/>
      <c r="AY442" s="19"/>
      <c r="AZ442" s="19"/>
      <c r="BA442" s="19"/>
      <c r="BB442" s="1011"/>
      <c r="BC442" s="19"/>
      <c r="BD442" s="19"/>
      <c r="BE442" s="19"/>
      <c r="BF442" s="19"/>
      <c r="BG442" s="1011"/>
      <c r="BH442" s="19"/>
      <c r="BI442" s="19"/>
      <c r="BJ442" s="19"/>
      <c r="BK442" s="19"/>
      <c r="BL442" s="1011"/>
      <c r="BM442" s="19"/>
      <c r="BN442" s="19"/>
      <c r="BO442" s="19"/>
      <c r="BP442" s="19"/>
      <c r="BQ442" s="1011"/>
      <c r="BR442" s="19"/>
      <c r="BS442" s="19"/>
      <c r="BT442" s="19"/>
      <c r="BU442" s="19"/>
      <c r="BV442" s="1011"/>
      <c r="BW442" s="19"/>
      <c r="BX442" s="19"/>
      <c r="BY442" s="19"/>
      <c r="BZ442" s="19"/>
      <c r="CA442" s="1011"/>
      <c r="CC442" s="19"/>
      <c r="CD442" s="19"/>
      <c r="CE442" s="19"/>
      <c r="CF442" s="19"/>
      <c r="CG442" s="19"/>
      <c r="CH442" s="19"/>
      <c r="CI442" s="19"/>
      <c r="CJ442" s="19"/>
      <c r="CK442" s="19"/>
      <c r="CL442" s="19"/>
      <c r="CM442" s="19"/>
      <c r="CN442" s="19"/>
      <c r="CO442" s="19"/>
      <c r="CP442" s="188"/>
      <c r="CQ442" s="188"/>
      <c r="CR442" s="188"/>
      <c r="CS442" s="188"/>
      <c r="CT442" s="188"/>
      <c r="CU442" s="188"/>
      <c r="DB442" s="1961"/>
      <c r="DC442" s="1961"/>
      <c r="DD442" s="1961"/>
      <c r="DE442" s="1961"/>
      <c r="DF442" s="1961"/>
      <c r="DG442" s="1961"/>
      <c r="DH442" s="1961"/>
      <c r="DI442" s="1961"/>
    </row>
    <row r="443" spans="1:113" x14ac:dyDescent="0.25">
      <c r="A443" s="50" t="s">
        <v>290</v>
      </c>
      <c r="B443" s="1006"/>
      <c r="C443" s="1007"/>
      <c r="D443" s="1007"/>
      <c r="E443" s="19"/>
      <c r="F443" s="19"/>
      <c r="G443" s="19"/>
      <c r="H443" s="1008"/>
      <c r="I443" s="1007"/>
      <c r="J443" s="19"/>
      <c r="K443" s="19"/>
      <c r="L443" s="19"/>
      <c r="M443" s="19"/>
      <c r="N443" s="1007"/>
      <c r="O443" s="19"/>
      <c r="P443" s="19"/>
      <c r="Q443" s="19"/>
      <c r="R443" s="19"/>
      <c r="S443" s="1007"/>
      <c r="T443" s="19"/>
      <c r="U443" s="19"/>
      <c r="V443" s="19"/>
      <c r="W443" s="19"/>
      <c r="X443" s="1007"/>
      <c r="Y443" s="19"/>
      <c r="Z443" s="19"/>
      <c r="AA443" s="19"/>
      <c r="AB443" s="19"/>
      <c r="AC443" s="1009"/>
      <c r="AD443" s="19"/>
      <c r="AE443" s="19"/>
      <c r="AF443" s="19"/>
      <c r="AG443" s="19"/>
      <c r="AH443" s="1009"/>
      <c r="AI443" s="19"/>
      <c r="AJ443" s="19"/>
      <c r="AK443" s="19"/>
      <c r="AL443" s="19"/>
      <c r="AM443" s="1009"/>
      <c r="AN443" s="19"/>
      <c r="AO443" s="19"/>
      <c r="AP443" s="19"/>
      <c r="AQ443" s="19"/>
      <c r="AR443" s="1009"/>
      <c r="AS443" s="19"/>
      <c r="AT443" s="19"/>
      <c r="AU443" s="19"/>
      <c r="AV443" s="19"/>
      <c r="AW443" s="1010"/>
      <c r="AX443" s="19"/>
      <c r="AY443" s="19"/>
      <c r="AZ443" s="19"/>
      <c r="BA443" s="19"/>
      <c r="BB443" s="1011"/>
      <c r="BC443" s="19"/>
      <c r="BD443" s="19"/>
      <c r="BE443" s="19"/>
      <c r="BF443" s="19"/>
      <c r="BG443" s="1011"/>
      <c r="BH443" s="19"/>
      <c r="BI443" s="19"/>
      <c r="BJ443" s="19"/>
      <c r="BK443" s="19"/>
      <c r="BL443" s="1011"/>
      <c r="BM443" s="19"/>
      <c r="BN443" s="19"/>
      <c r="BO443" s="19"/>
      <c r="BP443" s="19"/>
      <c r="BQ443" s="1011"/>
      <c r="BR443" s="19"/>
      <c r="BS443" s="19"/>
      <c r="BT443" s="19"/>
      <c r="BU443" s="19"/>
      <c r="BV443" s="1011"/>
      <c r="BW443" s="19"/>
      <c r="BX443" s="19"/>
      <c r="BY443" s="19"/>
      <c r="BZ443" s="19"/>
      <c r="CA443" s="1011"/>
      <c r="CC443" s="19"/>
      <c r="CD443" s="19"/>
      <c r="CE443" s="19"/>
      <c r="CF443" s="19"/>
      <c r="CG443" s="19"/>
      <c r="CH443" s="19"/>
      <c r="CI443" s="19"/>
      <c r="CJ443" s="19"/>
      <c r="CK443" s="19"/>
      <c r="CL443" s="19"/>
      <c r="CM443" s="19"/>
      <c r="CN443" s="19"/>
      <c r="CO443" s="19"/>
      <c r="CP443" s="188"/>
      <c r="CQ443" s="188"/>
      <c r="CR443" s="188"/>
      <c r="CS443" s="188"/>
      <c r="CT443" s="188"/>
      <c r="CU443" s="188"/>
      <c r="DB443" s="1961"/>
      <c r="DC443" s="1961"/>
      <c r="DD443" s="1961"/>
      <c r="DE443" s="1961"/>
      <c r="DF443" s="1961"/>
      <c r="DG443" s="1961"/>
      <c r="DH443" s="1961"/>
      <c r="DI443" s="1961"/>
    </row>
    <row r="444" spans="1:113" ht="12" customHeight="1" x14ac:dyDescent="0.25">
      <c r="A444" s="46" t="s">
        <v>291</v>
      </c>
      <c r="B444" s="949"/>
      <c r="C444" s="740"/>
      <c r="D444" s="740">
        <f>C452</f>
        <v>0</v>
      </c>
      <c r="E444" s="482">
        <f>D452</f>
        <v>9.5759999999999081</v>
      </c>
      <c r="F444" s="482">
        <f>E452</f>
        <v>0</v>
      </c>
      <c r="G444" s="482">
        <f>F452</f>
        <v>0</v>
      </c>
      <c r="H444" s="482">
        <f>G452</f>
        <v>0</v>
      </c>
      <c r="I444" s="740">
        <f>D452</f>
        <v>9.5759999999999081</v>
      </c>
      <c r="J444" s="482">
        <f>I452</f>
        <v>-32.160000000000053</v>
      </c>
      <c r="K444" s="482">
        <f>J452</f>
        <v>-172.85900000000007</v>
      </c>
      <c r="L444" s="482">
        <f>K452</f>
        <v>-172.65999999999994</v>
      </c>
      <c r="M444" s="482">
        <f>L452</f>
        <v>-156.292</v>
      </c>
      <c r="N444" s="740">
        <f>I452</f>
        <v>-32.160000000000053</v>
      </c>
      <c r="O444" s="482">
        <f>N452</f>
        <v>-260.28400000000011</v>
      </c>
      <c r="P444" s="482">
        <f>O452</f>
        <v>-232.67300000000017</v>
      </c>
      <c r="Q444" s="482">
        <f>P452</f>
        <v>-186.37200000000013</v>
      </c>
      <c r="R444" s="482">
        <f>Q452</f>
        <v>-136.44800000000012</v>
      </c>
      <c r="S444" s="740">
        <f>N452</f>
        <v>-260.28400000000011</v>
      </c>
      <c r="T444" s="482">
        <f>S452</f>
        <v>-34.949000000000211</v>
      </c>
      <c r="U444" s="482">
        <f>T452</f>
        <v>28.251999999999846</v>
      </c>
      <c r="V444" s="482">
        <f>U452</f>
        <v>53.574999999999832</v>
      </c>
      <c r="W444" s="482">
        <f>V452</f>
        <v>62.143999999999892</v>
      </c>
      <c r="X444" s="740">
        <f>S452</f>
        <v>-34.949000000000211</v>
      </c>
      <c r="Y444" s="938">
        <f>X452</f>
        <v>-114.44199999999994</v>
      </c>
      <c r="Z444" s="938">
        <f>Y452</f>
        <v>-109.1309999999999</v>
      </c>
      <c r="AA444" s="938">
        <f>Z452</f>
        <v>-144.43999999999991</v>
      </c>
      <c r="AB444" s="938">
        <f>AA452</f>
        <v>-158.92200000000005</v>
      </c>
      <c r="AC444" s="740">
        <f>X452</f>
        <v>-114.44199999999994</v>
      </c>
      <c r="AD444" s="938">
        <f>AC452</f>
        <v>-98.492696099830169</v>
      </c>
      <c r="AE444" s="938">
        <f>AD452</f>
        <v>-10.260696099830213</v>
      </c>
      <c r="AF444" s="938">
        <f>AE452</f>
        <v>46.679303900169828</v>
      </c>
      <c r="AG444" s="938">
        <f>AF452</f>
        <v>142.04530390016984</v>
      </c>
      <c r="AH444" s="740">
        <f>AC452</f>
        <v>-98.492696099830169</v>
      </c>
      <c r="AI444" s="938">
        <f>AH452</f>
        <v>255.81412498928563</v>
      </c>
      <c r="AJ444" s="938">
        <f>AI452</f>
        <v>352.74712498928551</v>
      </c>
      <c r="AK444" s="938">
        <f>AJ452</f>
        <v>365.74612498928565</v>
      </c>
      <c r="AL444" s="938">
        <f>AK452</f>
        <v>483.24312498928538</v>
      </c>
      <c r="AM444" s="740">
        <f>AH452</f>
        <v>255.81412498928563</v>
      </c>
      <c r="AN444" s="938">
        <f>AM452</f>
        <v>547.83012498928542</v>
      </c>
      <c r="AO444" s="938">
        <f>AN452</f>
        <v>599.76712498928555</v>
      </c>
      <c r="AP444" s="938">
        <f>AO452</f>
        <v>676.52612498928545</v>
      </c>
      <c r="AQ444" s="938">
        <f>AP452</f>
        <v>726.22512498928552</v>
      </c>
      <c r="AR444" s="740">
        <f>AM452</f>
        <v>547.83012498928542</v>
      </c>
      <c r="AS444" s="482">
        <f>AR452</f>
        <v>211.28412498928532</v>
      </c>
      <c r="AT444" s="482">
        <f>AS452</f>
        <v>331.96312498928546</v>
      </c>
      <c r="AU444" s="482">
        <f>AT452</f>
        <v>1300.4631249892855</v>
      </c>
      <c r="AV444" s="482">
        <f>AU452</f>
        <v>1369.7771249892855</v>
      </c>
      <c r="AW444" s="639">
        <f>AR452</f>
        <v>211.28412498928532</v>
      </c>
      <c r="AX444" s="482">
        <f>AW452</f>
        <v>1427.9021249892858</v>
      </c>
      <c r="AY444" s="482">
        <f>AX452</f>
        <v>1346.3561249892859</v>
      </c>
      <c r="AZ444" s="482">
        <f>AY452</f>
        <v>1505.7551249892856</v>
      </c>
      <c r="BA444" s="482">
        <f>AZ452</f>
        <v>1531.3211249892859</v>
      </c>
      <c r="BB444" s="642">
        <f>AW452</f>
        <v>1427.9021249892858</v>
      </c>
      <c r="BC444" s="482">
        <f>BB452</f>
        <v>1388.3691249892854</v>
      </c>
      <c r="BD444" s="482">
        <f>BC452</f>
        <v>1441.5691249892852</v>
      </c>
      <c r="BE444" s="482">
        <f>BD452</f>
        <v>1521.8691249892854</v>
      </c>
      <c r="BF444" s="482">
        <f>BE452</f>
        <v>1728.5691249892852</v>
      </c>
      <c r="BG444" s="642">
        <f>BB452</f>
        <v>1388.3691249892854</v>
      </c>
      <c r="BH444" s="482">
        <f>BG452</f>
        <v>1981.3691249892854</v>
      </c>
      <c r="BI444" s="482">
        <f>BH452</f>
        <v>1988.0638802315411</v>
      </c>
      <c r="BJ444" s="482">
        <f>BI452</f>
        <v>2002.1006921442322</v>
      </c>
      <c r="BK444" s="482">
        <f>BJ452</f>
        <v>2029.8093451164889</v>
      </c>
      <c r="BL444" s="642">
        <f>BG452</f>
        <v>1981.3691249892854</v>
      </c>
      <c r="BM444" s="482">
        <f>BL452</f>
        <v>2057.4216016698215</v>
      </c>
      <c r="BN444" s="482">
        <f>BM452</f>
        <v>2035.096176102054</v>
      </c>
      <c r="BO444" s="482">
        <f>BN452</f>
        <v>2020.542360633259</v>
      </c>
      <c r="BP444" s="482">
        <f>BO452</f>
        <v>2020.3899793210585</v>
      </c>
      <c r="BQ444" s="642">
        <f>BL452</f>
        <v>2057.4216016698215</v>
      </c>
      <c r="BR444" s="482">
        <f>BQ452</f>
        <v>2020.1820458488019</v>
      </c>
      <c r="BS444" s="482">
        <f>BR452</f>
        <v>1987.8610503992186</v>
      </c>
      <c r="BT444" s="482">
        <f>BS452</f>
        <v>1963.7368215626884</v>
      </c>
      <c r="BU444" s="482">
        <f>BT452</f>
        <v>1954.8821002234004</v>
      </c>
      <c r="BV444" s="642">
        <f>BQ452</f>
        <v>2020.1820458488019</v>
      </c>
      <c r="BW444" s="482">
        <f>BV452</f>
        <v>1945.9584225045551</v>
      </c>
      <c r="BX444" s="482">
        <f>BW452</f>
        <v>1930.5423294851557</v>
      </c>
      <c r="BY444" s="482">
        <f>BX452</f>
        <v>1923.9353457068864</v>
      </c>
      <c r="BZ444" s="482">
        <f>BY452</f>
        <v>1933.6856104255153</v>
      </c>
      <c r="CA444" s="642">
        <f>BV452</f>
        <v>1945.9584225045551</v>
      </c>
      <c r="CC444" s="19"/>
      <c r="CD444" s="19"/>
      <c r="CE444" s="482"/>
      <c r="CF444" s="482"/>
      <c r="CG444" s="482"/>
      <c r="CH444" s="482"/>
      <c r="CI444" s="482"/>
      <c r="CJ444" s="482"/>
      <c r="CK444" s="482"/>
      <c r="CL444" s="482"/>
      <c r="CM444" s="482"/>
      <c r="CN444" s="482"/>
      <c r="CO444" s="482"/>
      <c r="CP444" s="188"/>
      <c r="CQ444" s="188"/>
      <c r="CR444" s="188"/>
      <c r="CS444" s="188"/>
      <c r="CT444" s="188"/>
      <c r="CU444" s="188"/>
      <c r="DB444" s="1961"/>
      <c r="DC444" s="1961"/>
      <c r="DD444" s="1961"/>
      <c r="DE444" s="1961"/>
      <c r="DF444" s="1961"/>
      <c r="DG444" s="1961"/>
      <c r="DH444" s="1961"/>
      <c r="DI444" s="1961"/>
    </row>
    <row r="445" spans="1:113" x14ac:dyDescent="0.25">
      <c r="A445" s="46" t="s">
        <v>292</v>
      </c>
      <c r="B445" s="1006"/>
      <c r="C445" s="1007"/>
      <c r="D445" s="1007"/>
      <c r="E445" s="19"/>
      <c r="F445" s="19"/>
      <c r="G445" s="19"/>
      <c r="H445" s="19"/>
      <c r="I445" s="1007"/>
      <c r="J445" s="19"/>
      <c r="K445" s="19"/>
      <c r="L445" s="19"/>
      <c r="M445" s="19"/>
      <c r="N445" s="1007"/>
      <c r="O445" s="19"/>
      <c r="P445" s="19"/>
      <c r="Q445" s="19"/>
      <c r="R445" s="19"/>
      <c r="S445" s="1007"/>
      <c r="T445" s="19"/>
      <c r="U445" s="19"/>
      <c r="V445" s="19"/>
      <c r="W445" s="19"/>
      <c r="X445" s="1007"/>
      <c r="Y445" s="19"/>
      <c r="Z445" s="19"/>
      <c r="AA445" s="19"/>
      <c r="AB445" s="19"/>
      <c r="AC445" s="1007"/>
      <c r="AD445" s="19"/>
      <c r="AE445" s="19"/>
      <c r="AF445" s="19"/>
      <c r="AG445" s="19"/>
      <c r="AH445" s="1007"/>
      <c r="AI445" s="19"/>
      <c r="AJ445" s="19"/>
      <c r="AK445" s="19"/>
      <c r="AL445" s="19"/>
      <c r="AM445" s="1007"/>
      <c r="AN445" s="19"/>
      <c r="AO445" s="19"/>
      <c r="AP445" s="19"/>
      <c r="AQ445" s="19"/>
      <c r="AR445" s="1007"/>
      <c r="AS445" s="19"/>
      <c r="AT445" s="19"/>
      <c r="AU445" s="19"/>
      <c r="AV445" s="19"/>
      <c r="AW445" s="1025"/>
      <c r="AX445" s="19"/>
      <c r="AY445" s="19"/>
      <c r="AZ445" s="19"/>
      <c r="BA445" s="19"/>
      <c r="BB445" s="1026"/>
      <c r="BC445" s="19"/>
      <c r="BD445" s="19"/>
      <c r="BE445" s="19"/>
      <c r="BF445" s="19"/>
      <c r="BG445" s="1026"/>
      <c r="BH445" s="19"/>
      <c r="BI445" s="19"/>
      <c r="BJ445" s="19"/>
      <c r="BK445" s="19"/>
      <c r="BL445" s="1026"/>
      <c r="BM445" s="19"/>
      <c r="BN445" s="19"/>
      <c r="BO445" s="19"/>
      <c r="BP445" s="19"/>
      <c r="BQ445" s="1026"/>
      <c r="BR445" s="19"/>
      <c r="BS445" s="19"/>
      <c r="BT445" s="19"/>
      <c r="BU445" s="19"/>
      <c r="BV445" s="1026"/>
      <c r="BW445" s="19"/>
      <c r="BX445" s="19"/>
      <c r="BY445" s="19"/>
      <c r="BZ445" s="19"/>
      <c r="CA445" s="1026"/>
      <c r="CC445" s="19"/>
      <c r="CD445" s="19"/>
      <c r="CE445" s="19"/>
      <c r="CF445" s="19"/>
      <c r="CG445" s="19"/>
      <c r="CH445" s="19"/>
      <c r="CI445" s="19"/>
      <c r="CJ445" s="19"/>
      <c r="CK445" s="19"/>
      <c r="CL445" s="19"/>
      <c r="CM445" s="19"/>
      <c r="CN445" s="19"/>
      <c r="CO445" s="19"/>
      <c r="CP445" s="188"/>
      <c r="CQ445" s="188"/>
      <c r="CR445" s="188"/>
      <c r="CS445" s="188"/>
      <c r="CT445" s="188"/>
      <c r="CU445" s="188"/>
      <c r="DB445" s="1961"/>
      <c r="DC445" s="1961"/>
      <c r="DD445" s="1961"/>
      <c r="DE445" s="1961"/>
      <c r="DF445" s="1961"/>
      <c r="DG445" s="1961"/>
      <c r="DH445" s="1961"/>
      <c r="DI445" s="1"/>
    </row>
    <row r="446" spans="1:113" ht="12" customHeight="1" x14ac:dyDescent="0.25">
      <c r="A446" s="439" t="s">
        <v>293</v>
      </c>
      <c r="B446" s="899"/>
      <c r="C446" s="897"/>
      <c r="D446" s="897">
        <f>(D216+D219)-(C216+C219)+(D214-C214)+(D215-C215)+(D217-C217)</f>
        <v>535.35299999999995</v>
      </c>
      <c r="E446" s="483">
        <f>(E216+E219)-(D216+D219)+(E214-D214)+(E215-D215)+(E217-D217)</f>
        <v>-535.35299999999995</v>
      </c>
      <c r="F446" s="483">
        <f>(F216+F219)-(E216+E219)+(F214-E214)+(F215-E215)+(F217-E217)</f>
        <v>0</v>
      </c>
      <c r="G446" s="483">
        <f>(G216+G219)-(F216+F219)+(G214-F214)+(G215-F215)+(G217-F217)</f>
        <v>0</v>
      </c>
      <c r="H446" s="483">
        <f>(H216+H219)-(G216+G219)+(H214-G214)+(H215-G215)+(H217-G217)</f>
        <v>534.91999999999996</v>
      </c>
      <c r="I446" s="897">
        <f>(I216+I219)-(D216+D219)+(I214-D214)+(I215-D215)+(I217-D217)</f>
        <v>-0.43299999999998384</v>
      </c>
      <c r="J446" s="483">
        <f>(J216+J219)-(I216+I219)+(J214-I214)+(J215-I215)+(J217-I217)</f>
        <v>-128.78</v>
      </c>
      <c r="K446" s="483">
        <f>(K216+K219)-(J216+J219)+(K214-J214)+(K215-J215)+(K217-J217)</f>
        <v>-35.153999999999911</v>
      </c>
      <c r="L446" s="657">
        <f>(L216+L219)-(K216+K219)+(L214-K214)+(L215-K215)+(L217-K217)</f>
        <v>-68.910000000000053</v>
      </c>
      <c r="M446" s="483">
        <f>(M216+M219)-(L216+L219)+(M214-L214)+(M215-L215)+(M217-L217)</f>
        <v>-236.43100000000001</v>
      </c>
      <c r="N446" s="897">
        <f>(N216+N219)-(I216+I219)+(N214-I214)+(N215-I215)+(N217-I217)</f>
        <v>-469.27499999999998</v>
      </c>
      <c r="O446" s="483">
        <f>(O216+O219)-(N216+N219)+(O214-N214)+(O215-N215)+(O217-N217)</f>
        <v>8.8969999999999185</v>
      </c>
      <c r="P446" s="483">
        <f>(P216+P219)-(O216+O219)+(P214-O214)+(P215-O215)+(P217-O217)</f>
        <v>83.681000000000026</v>
      </c>
      <c r="Q446" s="483">
        <f>(Q216+Q219)-(P216+P219)+(Q214-P214)+(Q215-P215)+(Q217-P217)</f>
        <v>219.95199999999997</v>
      </c>
      <c r="R446" s="483">
        <f>(R216+R219)-(Q216+Q219)+(R214-Q214)+(R215-Q215)+(R217-Q217)</f>
        <v>-410.77100000000007</v>
      </c>
      <c r="S446" s="897">
        <f>(S216+S219)-(N216+N219)+(S214-N214)+(S215-N215)+(S217-N217)</f>
        <v>-98.241000000000099</v>
      </c>
      <c r="T446" s="483">
        <f>(T216+T219)-(S216+S219)+(T214-S214)+(T215-S215)+(T217-S217)</f>
        <v>6.8830000000000737</v>
      </c>
      <c r="U446" s="483">
        <f>(U216+U219)-(T216+T219)+(U214-T214)+(U215-T215)+(U217-T217)</f>
        <v>-33.582000000000022</v>
      </c>
      <c r="V446" s="483">
        <f>(V216+V219)-(U216+U219)+(V214-U214)+(V215-U215)+(V217-U217)</f>
        <v>-55.542999999999992</v>
      </c>
      <c r="W446" s="483">
        <f>(W216+W219)-(V216+V219)+(W214-V214)+(W215-V215)+(W217-V217)</f>
        <v>-237.62799999999999</v>
      </c>
      <c r="X446" s="897">
        <f>(X216+X219)-(S216+S219)+(X214-S214)+(X215-S215)+(X217-S217)</f>
        <v>-319.86999999999989</v>
      </c>
      <c r="Y446" s="483">
        <f>(Y216+Y219)-(X216+X219)+(Y214-X214)+(Y215-X215)+(Y217-X217)</f>
        <v>-61.530999999999992</v>
      </c>
      <c r="Z446" s="483">
        <f>(Z216+Z219)-(Y216+Y219)+(Z214-Y214)+(Z215-Y215)+(Z217-Y217)</f>
        <v>-102.21500000000003</v>
      </c>
      <c r="AA446" s="483">
        <f>(AA216+AA219)-(Z216+Z219)+(AA214-Z214)+(AA215-Z215)+(AA217-Z217)</f>
        <v>-85.321000000000154</v>
      </c>
      <c r="AB446" s="483">
        <f>(AB216+AB219)-(AA216+AA219)+(AB214-AA214)+(AB215-AA215)+(AB217-AA217)</f>
        <v>4.7450000000001751</v>
      </c>
      <c r="AC446" s="897">
        <f>(AC216+AC219)-(X216+X219)+(AC214-X214)+(AC215-X215)+(AC217-X217)</f>
        <v>-244.32199999999995</v>
      </c>
      <c r="AD446" s="483">
        <f>(AD216+AD219)-(AC216+AC219)+(AD214-AC214)+(AD215-AC215)+(AD217-AC217)</f>
        <v>12.74699999999995</v>
      </c>
      <c r="AE446" s="483">
        <f>(AE216+AE219)-(AD216+AD219)+(AE214-AD214)+(AE215-AD215)+(AE217-AD217)</f>
        <v>-16.439999999999955</v>
      </c>
      <c r="AF446" s="483">
        <f>(AF216+AF219)-(AE216+AE219)+(AF214-AE214)+(AF215-AE215)+(AF217-AE217)</f>
        <v>11.95400000000004</v>
      </c>
      <c r="AG446" s="483">
        <f>(AG216+AG219)-(AF216+AF219)+(AG214-AF214)+(AG215-AF215)+(AG217-AF217)</f>
        <v>27.551000000000009</v>
      </c>
      <c r="AH446" s="897">
        <f>(AH216+AH219)-(AC216+AC219)+(AH214-AC214)+(AH215-AC215)+(AH217-AC217)</f>
        <v>35.81200000000004</v>
      </c>
      <c r="AI446" s="483">
        <f>(AI216+AI219)-(AH216+AH219)+(AI214-AH214)+(AI215-AH215)+(AI217-AH217)</f>
        <v>16.188999999999911</v>
      </c>
      <c r="AJ446" s="483">
        <f>(AJ216+AJ219)-(AI216+AI219)+(AJ214-AI214)+(AJ215-AI215)+(AJ217-AI217)</f>
        <v>-71.812999999999832</v>
      </c>
      <c r="AK446" s="483">
        <f>(AK216+AK219)-(AJ216+AJ219)+(AK214-AJ214)+(AK215-AJ215)+(AK217-AJ217)</f>
        <v>19.309999999999768</v>
      </c>
      <c r="AL446" s="483">
        <f>(AL216+AL219)-(AK216+AK219)+(AL214-AK214)+(AL215-AK215)+(AL217-AK217)</f>
        <v>-65.740000000000066</v>
      </c>
      <c r="AM446" s="897">
        <f>(AM216+AM219)-(AH216+AH219)+(AM214-AH214)+(AM215-AH215)+(AM217-AH217)</f>
        <v>-102.0540000000002</v>
      </c>
      <c r="AN446" s="483">
        <f>(AN216+AN219)-(AM216+AM219)+(AN214-AM214)+(AN215-AM215)+(AN217-AM217)</f>
        <v>-64.286999999999864</v>
      </c>
      <c r="AO446" s="483">
        <f>(AO216+AO219)-(AN216+AN219)+(AO214-AN214)+(AO215-AN215)+(AO217-AN217)</f>
        <v>-11.785000000000046</v>
      </c>
      <c r="AP446" s="483">
        <f>(AP216+AP219)-(AO216+AO219)+(AP214-AO214)+(AP215-AO215)+(AP217-AO217)</f>
        <v>-48.832000000000008</v>
      </c>
      <c r="AQ446" s="483">
        <f>(AQ216+AQ219)-(AP216+AP219)+(AQ214-AP214)+(AQ215-AP215)+(AQ217-AP217)</f>
        <v>-574.65800000000013</v>
      </c>
      <c r="AR446" s="897">
        <f>(AR216+AR219)-(AM216+AM219)+(AR214-AM214)+(AR215-AM215)+(AR217-AM217)</f>
        <v>-699.56200000000013</v>
      </c>
      <c r="AS446" s="483">
        <f>(AS216+AS219)-(AR216+AR219)+(AS214-AR214)+(AS215-AR215)+(AS217-AR217)</f>
        <v>21.537000000000194</v>
      </c>
      <c r="AT446" s="483">
        <f>(AT216+AT219)-(AS216+AS219)+(AT214-AS214)+(AT215-AS215)+(AT217-AS217)</f>
        <v>753.09500000000003</v>
      </c>
      <c r="AU446" s="483">
        <f>(AU216+AU219)-(AT216+AT219)+(AU214-AT214)+(AU215-AT215)+(AU217-AT217)</f>
        <v>33.044000000000054</v>
      </c>
      <c r="AV446" s="483">
        <f>(AV216+AV219)-(AU216+AU219)+(AV214-AU214)+(AV215-AU215)+(AV217-AU217)</f>
        <v>7.2529999999999291</v>
      </c>
      <c r="AW446" s="644">
        <f>(AW216+AW219)-(AR216+AR219)+(AW214-AR214)+(AW215-AR215)+(AW217-AR217)</f>
        <v>814.92900000000031</v>
      </c>
      <c r="AX446" s="483">
        <f>(AX216+AX219)-(AW216+AW219)+(AX214-AW214)+(AX215-AW215)+(AX217-AW217)</f>
        <v>-99.460000000000036</v>
      </c>
      <c r="AY446" s="483">
        <f>(AY216+AY219)-(AX216+AX219)+(AY214-AX214)+(AY215-AX215)+(AY217-AX217)</f>
        <v>38.028999999999769</v>
      </c>
      <c r="AZ446" s="483">
        <f>(AZ216+AZ219)-(AY216+AY219)+(AZ214-AY214)+(AZ215-AY215)+(AZ217-AY217)</f>
        <v>-40.2199999999998</v>
      </c>
      <c r="BA446" s="483">
        <f>(BA216+BA219)-(AZ216+AZ219)+(BA214-AZ214)+(BA215-AZ215)+(BA217-AZ217)</f>
        <v>-120.38600000000017</v>
      </c>
      <c r="BB446" s="645">
        <f>(BB216+BB219)-(AW216+AW219)+(BB214-AW214)+(BB215-AW215)+(BB217-AW217)</f>
        <v>-222.03700000000021</v>
      </c>
      <c r="BC446" s="483">
        <f>(BC216+BC219)-(BB216+BB219)+(BC214-BB214)+(BC215-BB215)+(BC217-BB217)</f>
        <v>-89.5</v>
      </c>
      <c r="BD446" s="483">
        <f>(BD216+BD219)-(BC216+BC219)+(BD214-BC214)+(BD215-BC215)+(BD217-BC217)</f>
        <v>-131.19999999999982</v>
      </c>
      <c r="BE446" s="483">
        <f>(BE216+BE219)-(BD216+BD219)+(BE214-BD214)+(BE215-BD215)+(BE217-BD217)</f>
        <v>2.9000000000000909</v>
      </c>
      <c r="BF446" s="483">
        <f>(BF216+BF219)-(BE216+BE219)+(BF214-BE214)+(BF215-BE215)+(BF217-BE217)</f>
        <v>17.199999999999818</v>
      </c>
      <c r="BG446" s="645">
        <f>(BG216+BG219)-(BB216+BB219)+(BG214-BB214)+(BG215-BB215)+(BG217-BB217)</f>
        <v>-200.59999999999991</v>
      </c>
      <c r="BH446" s="483">
        <f>(BH216+BH219)-(BG216+BG219)+(BH214-BG214)+(BH215-BG215)+(BH217-BG217)</f>
        <v>-122.72769000000017</v>
      </c>
      <c r="BI446" s="483">
        <f>(BI216+BI219)-(BH216+BH219)+(BI214-BH214)+(BI215-BH215)+(BI217-BH217)</f>
        <v>-122.50977000000012</v>
      </c>
      <c r="BJ446" s="483">
        <f>(BJ216+BJ219)-(BI216+BI219)+(BJ214-BI214)+(BJ215-BI215)+(BJ217-BI217)</f>
        <v>-122.27657499999987</v>
      </c>
      <c r="BK446" s="483">
        <f>(BK216+BK219)-(BJ216+BJ219)+(BK214-BJ214)+(BK215-BJ215)+(BK217-BJ217)</f>
        <v>-122.09476499999982</v>
      </c>
      <c r="BL446" s="645">
        <f>(BL216+BL219)-(BG216+BG219)+(BL214-BG214)+(BL215-BG215)+(BL217-BG217)</f>
        <v>-489.60879999999997</v>
      </c>
      <c r="BM446" s="483">
        <f>(BM216+BM219)-(BL216+BL219)+(BM214-BL214)+(BM215-BL215)+(BM217-BL217)</f>
        <v>-165.99468482500015</v>
      </c>
      <c r="BN446" s="483">
        <f>(BN216+BN219)-(BM216+BM219)+(BN214-BM214)+(BN215-BM215)+(BN217-BM217)</f>
        <v>-165.75629252499994</v>
      </c>
      <c r="BO446" s="483">
        <f>(BO216+BO219)-(BN216+BN219)+(BO214-BN214)+(BO215-BN215)+(BO217-BN217)</f>
        <v>-165.50724094374982</v>
      </c>
      <c r="BP446" s="483">
        <f>(BP216+BP219)-(BO216+BO219)+(BP214-BO214)+(BP215-BO215)+(BP217-BO217)</f>
        <v>-165.30691930000012</v>
      </c>
      <c r="BQ446" s="645">
        <f>(BQ216+BQ219)-(BL216+BL219)+(BQ214-BL214)+(BQ215-BL215)+(BQ217-BL217)</f>
        <v>-662.56513759375002</v>
      </c>
      <c r="BR446" s="483">
        <f>(BR216+BR219)-(BQ216+BQ219)+(BR214-BQ214)+(BR215-BQ215)+(BR217-BQ217)</f>
        <v>-190.48994836324982</v>
      </c>
      <c r="BS446" s="483">
        <f>(BS216+BS219)-(BR216+BR219)+(BS214-BR214)+(BS215-BR215)+(BS217-BR217)</f>
        <v>-190.23744737224979</v>
      </c>
      <c r="BT446" s="483">
        <f>(BT216+BT219)-(BS216+BS219)+(BT214-BS214)+(BT215-BS215)+(BT217-BS217)</f>
        <v>-189.97288606456232</v>
      </c>
      <c r="BU446" s="483">
        <f>(BU216+BU219)-(BT216+BT219)+(BU214-BT214)+(BU215-BT215)+(BU217-BT217)</f>
        <v>-189.76185456199983</v>
      </c>
      <c r="BV446" s="645">
        <f>(BV216+BV219)-(BQ216+BQ219)+(BV214-BQ214)+(BV215-BQ215)+(BV217-BQ217)</f>
        <v>-760.46213636206176</v>
      </c>
      <c r="BW446" s="483">
        <f>(BW216+BW219)-(BV216+BV219)+(BW214-BV214)+(BW215-BV215)+(BW217-BV217)</f>
        <v>-189.95566955467257</v>
      </c>
      <c r="BX446" s="483">
        <f>(BX216+BX219)-(BW216+BW219)+(BX214-BW214)+(BX215-BW215)+(BX217-BW217)</f>
        <v>-189.68817730690262</v>
      </c>
      <c r="BY446" s="483">
        <f>(BY216+BY219)-(BX216+BX219)+(BY214-BX214)+(BY215-BX215)+(BY217-BX217)</f>
        <v>-189.40712328588688</v>
      </c>
      <c r="BZ446" s="483">
        <f>(BZ216+BZ219)-(BY216+BY219)+(BZ214-BY214)+(BZ215-BY215)+(BZ217-BY217)</f>
        <v>-189.18477660667986</v>
      </c>
      <c r="CA446" s="645">
        <f>(CA216+CA219)-(BV216+BV219)+(CA214-BV214)+(CA215-BV215)+(CA217-BV217)</f>
        <v>-758.23574675414193</v>
      </c>
      <c r="CC446" s="19"/>
      <c r="CD446" s="19"/>
      <c r="CE446" s="483"/>
      <c r="CF446" s="483"/>
      <c r="CG446" s="483"/>
      <c r="CH446" s="483"/>
      <c r="CI446" s="483"/>
      <c r="CJ446" s="483"/>
      <c r="CK446" s="483"/>
      <c r="CL446" s="483"/>
      <c r="CM446" s="483"/>
      <c r="CN446" s="483"/>
      <c r="CO446" s="483"/>
      <c r="CP446" s="188"/>
      <c r="CQ446" s="188"/>
      <c r="CR446" s="188"/>
      <c r="CS446" s="188"/>
      <c r="CT446" s="188"/>
      <c r="CU446" s="188"/>
      <c r="DB446" s="1961"/>
      <c r="DC446" s="1961"/>
      <c r="DD446" s="1961"/>
      <c r="DE446" s="1961"/>
      <c r="DF446" s="1961"/>
      <c r="DG446" s="1961"/>
      <c r="DH446" s="1961"/>
      <c r="DI446" s="657"/>
    </row>
    <row r="447" spans="1:113" ht="12" customHeight="1" x14ac:dyDescent="0.25">
      <c r="A447" s="439" t="s">
        <v>294</v>
      </c>
      <c r="B447" s="899"/>
      <c r="C447" s="897"/>
      <c r="D447" s="897">
        <f t="shared" ref="D447:BB447" si="563">D58</f>
        <v>138.98000000000002</v>
      </c>
      <c r="E447" s="483">
        <f t="shared" si="563"/>
        <v>38.26100000000001</v>
      </c>
      <c r="F447" s="483">
        <f t="shared" si="563"/>
        <v>36.642000000000003</v>
      </c>
      <c r="G447" s="483">
        <f t="shared" si="563"/>
        <v>37.154000000000003</v>
      </c>
      <c r="H447" s="483">
        <f t="shared" si="563"/>
        <v>38.317000000000029</v>
      </c>
      <c r="I447" s="897">
        <f t="shared" si="563"/>
        <v>150.374</v>
      </c>
      <c r="J447" s="483">
        <f t="shared" si="563"/>
        <v>41.025999999999982</v>
      </c>
      <c r="K447" s="483">
        <f t="shared" si="563"/>
        <v>39.92300000000003</v>
      </c>
      <c r="L447" s="657">
        <f t="shared" si="563"/>
        <v>40.839999999999989</v>
      </c>
      <c r="M447" s="483">
        <f t="shared" si="563"/>
        <v>36.438999999999965</v>
      </c>
      <c r="N447" s="897">
        <f t="shared" si="563"/>
        <v>158.22799999999995</v>
      </c>
      <c r="O447" s="483">
        <f t="shared" si="563"/>
        <v>44.915000000000028</v>
      </c>
      <c r="P447" s="483">
        <f t="shared" si="563"/>
        <v>45.939</v>
      </c>
      <c r="Q447" s="483">
        <f t="shared" si="563"/>
        <v>42.205000000000041</v>
      </c>
      <c r="R447" s="483">
        <f t="shared" si="563"/>
        <v>-6.4450000000000287</v>
      </c>
      <c r="S447" s="897">
        <f t="shared" si="563"/>
        <v>126.61400000000012</v>
      </c>
      <c r="T447" s="1027">
        <f t="shared" si="563"/>
        <v>55.374999999999986</v>
      </c>
      <c r="U447" s="1027">
        <f t="shared" si="563"/>
        <v>58.404000000000003</v>
      </c>
      <c r="V447" s="1027">
        <f t="shared" si="563"/>
        <v>62.880000000000052</v>
      </c>
      <c r="W447" s="1027">
        <f t="shared" si="563"/>
        <v>65.893000000000001</v>
      </c>
      <c r="X447" s="897">
        <f t="shared" si="563"/>
        <v>242.55200000000013</v>
      </c>
      <c r="Y447" s="1027">
        <f t="shared" si="563"/>
        <v>65.876000000000033</v>
      </c>
      <c r="Z447" s="1027">
        <f t="shared" si="563"/>
        <v>65.577000000000027</v>
      </c>
      <c r="AA447" s="1027">
        <f t="shared" si="563"/>
        <v>70.987000000000009</v>
      </c>
      <c r="AB447" s="1027">
        <f t="shared" si="563"/>
        <v>80.317999999999941</v>
      </c>
      <c r="AC447" s="897">
        <f t="shared" si="563"/>
        <v>282.75530390016974</v>
      </c>
      <c r="AD447" s="1027">
        <f t="shared" si="563"/>
        <v>74.600999999999999</v>
      </c>
      <c r="AE447" s="1027">
        <f t="shared" si="563"/>
        <v>73.330999999999989</v>
      </c>
      <c r="AF447" s="1027">
        <f>AF58</f>
        <v>82.910999999999987</v>
      </c>
      <c r="AG447" s="1027">
        <f t="shared" si="563"/>
        <v>98.299000000000007</v>
      </c>
      <c r="AH447" s="897">
        <f t="shared" si="563"/>
        <v>329.36782108911575</v>
      </c>
      <c r="AI447" s="1027">
        <f t="shared" si="563"/>
        <v>80.510999999999996</v>
      </c>
      <c r="AJ447" s="1027">
        <f t="shared" si="563"/>
        <v>84.222999999999971</v>
      </c>
      <c r="AK447" s="1027">
        <f t="shared" si="563"/>
        <v>96.440999999999974</v>
      </c>
      <c r="AL447" s="1027">
        <f t="shared" si="563"/>
        <v>87.222999999999999</v>
      </c>
      <c r="AM447" s="897">
        <f t="shared" si="563"/>
        <v>348.39800000000002</v>
      </c>
      <c r="AN447" s="1027">
        <f t="shared" si="563"/>
        <v>115.55799999999998</v>
      </c>
      <c r="AO447" s="1027">
        <f t="shared" si="563"/>
        <v>88.09899999999999</v>
      </c>
      <c r="AP447" s="1027">
        <f t="shared" si="563"/>
        <v>99.015000000000043</v>
      </c>
      <c r="AQ447" s="1027">
        <f t="shared" si="563"/>
        <v>97.37</v>
      </c>
      <c r="AR447" s="897">
        <f t="shared" si="563"/>
        <v>400.04200000000003</v>
      </c>
      <c r="AS447" s="483">
        <f t="shared" si="563"/>
        <v>98.685999999999993</v>
      </c>
      <c r="AT447" s="483">
        <f>AT58</f>
        <v>163.31999999999988</v>
      </c>
      <c r="AU447" s="483">
        <f t="shared" si="563"/>
        <v>131.81400000000002</v>
      </c>
      <c r="AV447" s="483">
        <f t="shared" si="563"/>
        <v>113.5070000000001</v>
      </c>
      <c r="AW447" s="644">
        <f t="shared" si="563"/>
        <v>507.327</v>
      </c>
      <c r="AX447" s="483">
        <f>AX58</f>
        <v>92.639000000000024</v>
      </c>
      <c r="AY447" s="483">
        <f t="shared" si="563"/>
        <v>261.73599999999988</v>
      </c>
      <c r="AZ447" s="483">
        <f t="shared" si="563"/>
        <v>127.57699999999998</v>
      </c>
      <c r="BA447" s="483">
        <f t="shared" si="563"/>
        <v>109.30000000000001</v>
      </c>
      <c r="BB447" s="645">
        <f t="shared" si="563"/>
        <v>591.25199999999995</v>
      </c>
      <c r="BC447" s="483">
        <f t="shared" ref="BC447:CA447" si="564">BC58</f>
        <v>108.79999999999995</v>
      </c>
      <c r="BD447" s="483">
        <f>BD58</f>
        <v>121.00000000000006</v>
      </c>
      <c r="BE447" s="483">
        <f t="shared" si="564"/>
        <v>120.6999999999999</v>
      </c>
      <c r="BF447" s="483">
        <f t="shared" si="564"/>
        <v>204.6</v>
      </c>
      <c r="BG447" s="645">
        <f t="shared" si="564"/>
        <v>555.09999999999991</v>
      </c>
      <c r="BH447" s="483">
        <f t="shared" si="564"/>
        <v>129.422445242256</v>
      </c>
      <c r="BI447" s="483">
        <f t="shared" si="564"/>
        <v>136.54658191269124</v>
      </c>
      <c r="BJ447" s="483">
        <f t="shared" si="564"/>
        <v>149.98522797225655</v>
      </c>
      <c r="BK447" s="483">
        <f t="shared" si="564"/>
        <v>149.70702155333231</v>
      </c>
      <c r="BL447" s="645">
        <f t="shared" si="564"/>
        <v>565.66127668053605</v>
      </c>
      <c r="BM447" s="483">
        <f t="shared" si="564"/>
        <v>143.66925925723274</v>
      </c>
      <c r="BN447" s="483">
        <f t="shared" si="564"/>
        <v>151.20247705620508</v>
      </c>
      <c r="BO447" s="483">
        <f t="shared" si="564"/>
        <v>165.35485963154932</v>
      </c>
      <c r="BP447" s="483">
        <f t="shared" si="564"/>
        <v>165.09898582774341</v>
      </c>
      <c r="BQ447" s="645">
        <f t="shared" si="564"/>
        <v>625.32558177273052</v>
      </c>
      <c r="BR447" s="483">
        <f t="shared" si="564"/>
        <v>158.16895291366643</v>
      </c>
      <c r="BS447" s="483">
        <f t="shared" si="564"/>
        <v>166.11321853571971</v>
      </c>
      <c r="BT447" s="483">
        <f t="shared" si="564"/>
        <v>181.11816472527417</v>
      </c>
      <c r="BU447" s="483">
        <f t="shared" si="564"/>
        <v>180.8381768431548</v>
      </c>
      <c r="BV447" s="645">
        <f t="shared" si="564"/>
        <v>686.23851301781508</v>
      </c>
      <c r="BW447" s="483">
        <f t="shared" si="564"/>
        <v>174.53957653527317</v>
      </c>
      <c r="BX447" s="483">
        <f t="shared" si="564"/>
        <v>183.08119352863335</v>
      </c>
      <c r="BY447" s="483">
        <f t="shared" si="564"/>
        <v>199.15738800451581</v>
      </c>
      <c r="BZ447" s="483">
        <f t="shared" si="564"/>
        <v>199.01619951072146</v>
      </c>
      <c r="CA447" s="645">
        <f t="shared" si="564"/>
        <v>755.79435757914382</v>
      </c>
      <c r="CC447" s="19"/>
      <c r="CD447" s="19"/>
      <c r="CE447" s="483"/>
      <c r="CF447" s="483"/>
      <c r="CG447" s="483"/>
      <c r="CH447" s="483"/>
      <c r="CI447" s="483"/>
      <c r="CJ447" s="483"/>
      <c r="CK447" s="483"/>
      <c r="CL447" s="483"/>
      <c r="CM447" s="483"/>
      <c r="CN447" s="483"/>
      <c r="CO447" s="483"/>
      <c r="CP447" s="188"/>
      <c r="CQ447" s="188"/>
      <c r="CR447" s="188"/>
      <c r="CS447" s="188"/>
      <c r="CT447" s="188"/>
      <c r="CU447" s="188"/>
      <c r="DB447" s="1961"/>
      <c r="DC447" s="1961"/>
      <c r="DD447" s="1961"/>
      <c r="DE447" s="1961"/>
      <c r="DF447" s="1961"/>
      <c r="DG447" s="1961"/>
      <c r="DH447" s="1961"/>
      <c r="DI447" s="1961"/>
    </row>
    <row r="448" spans="1:113" ht="12" customHeight="1" x14ac:dyDescent="0.25">
      <c r="A448" s="439" t="s">
        <v>295</v>
      </c>
      <c r="B448" s="859"/>
      <c r="C448" s="993"/>
      <c r="D448" s="144">
        <f t="shared" ref="D448:BB448" si="565">-D66</f>
        <v>0</v>
      </c>
      <c r="E448" s="120">
        <f t="shared" si="565"/>
        <v>0</v>
      </c>
      <c r="F448" s="120">
        <f t="shared" si="565"/>
        <v>0</v>
      </c>
      <c r="G448" s="120">
        <f t="shared" si="565"/>
        <v>0</v>
      </c>
      <c r="H448" s="120">
        <f t="shared" si="565"/>
        <v>0</v>
      </c>
      <c r="I448" s="144">
        <f t="shared" si="565"/>
        <v>0</v>
      </c>
      <c r="J448" s="120">
        <f t="shared" si="565"/>
        <v>0</v>
      </c>
      <c r="K448" s="120">
        <f t="shared" si="565"/>
        <v>0</v>
      </c>
      <c r="L448" s="126">
        <f t="shared" si="565"/>
        <v>0</v>
      </c>
      <c r="M448" s="120">
        <f t="shared" si="565"/>
        <v>0</v>
      </c>
      <c r="N448" s="144">
        <f t="shared" si="565"/>
        <v>0</v>
      </c>
      <c r="O448" s="120">
        <f t="shared" si="565"/>
        <v>0</v>
      </c>
      <c r="P448" s="120">
        <f t="shared" si="565"/>
        <v>0</v>
      </c>
      <c r="Q448" s="120">
        <f t="shared" si="565"/>
        <v>0</v>
      </c>
      <c r="R448" s="120">
        <f t="shared" si="565"/>
        <v>0</v>
      </c>
      <c r="S448" s="144">
        <f t="shared" si="565"/>
        <v>0</v>
      </c>
      <c r="T448" s="995">
        <f t="shared" si="565"/>
        <v>0</v>
      </c>
      <c r="U448" s="995">
        <f t="shared" si="565"/>
        <v>0</v>
      </c>
      <c r="V448" s="995">
        <f t="shared" si="565"/>
        <v>0</v>
      </c>
      <c r="W448" s="995">
        <f t="shared" si="565"/>
        <v>0</v>
      </c>
      <c r="X448" s="897">
        <f t="shared" si="565"/>
        <v>0</v>
      </c>
      <c r="Y448" s="1027">
        <f t="shared" si="565"/>
        <v>0</v>
      </c>
      <c r="Z448" s="1027">
        <f t="shared" si="565"/>
        <v>0</v>
      </c>
      <c r="AA448" s="1027">
        <f t="shared" si="565"/>
        <v>0</v>
      </c>
      <c r="AB448" s="1027">
        <f t="shared" si="565"/>
        <v>0</v>
      </c>
      <c r="AC448" s="897">
        <f t="shared" si="565"/>
        <v>0</v>
      </c>
      <c r="AD448" s="1027">
        <f t="shared" si="565"/>
        <v>0</v>
      </c>
      <c r="AE448" s="1027">
        <f t="shared" si="565"/>
        <v>0</v>
      </c>
      <c r="AF448" s="1027">
        <f>-AF66</f>
        <v>0</v>
      </c>
      <c r="AG448" s="1027">
        <f t="shared" si="565"/>
        <v>0</v>
      </c>
      <c r="AH448" s="897">
        <f t="shared" si="565"/>
        <v>0</v>
      </c>
      <c r="AI448" s="1027">
        <f t="shared" si="565"/>
        <v>0</v>
      </c>
      <c r="AJ448" s="1027">
        <f t="shared" si="565"/>
        <v>0</v>
      </c>
      <c r="AK448" s="1027">
        <f t="shared" si="565"/>
        <v>0</v>
      </c>
      <c r="AL448" s="1027">
        <f t="shared" si="565"/>
        <v>0</v>
      </c>
      <c r="AM448" s="897">
        <f t="shared" si="565"/>
        <v>0</v>
      </c>
      <c r="AN448" s="1027">
        <f t="shared" si="565"/>
        <v>0</v>
      </c>
      <c r="AO448" s="1027">
        <f t="shared" si="565"/>
        <v>0</v>
      </c>
      <c r="AP448" s="1027">
        <f t="shared" si="565"/>
        <v>0</v>
      </c>
      <c r="AQ448" s="1027">
        <f t="shared" si="565"/>
        <v>0</v>
      </c>
      <c r="AR448" s="897">
        <f t="shared" si="565"/>
        <v>0</v>
      </c>
      <c r="AS448" s="483">
        <f t="shared" si="565"/>
        <v>0</v>
      </c>
      <c r="AT448" s="483">
        <f>-AT66</f>
        <v>0</v>
      </c>
      <c r="AU448" s="483">
        <f t="shared" si="565"/>
        <v>0</v>
      </c>
      <c r="AV448" s="483">
        <f t="shared" si="565"/>
        <v>0</v>
      </c>
      <c r="AW448" s="644">
        <f t="shared" si="565"/>
        <v>0</v>
      </c>
      <c r="AX448" s="483">
        <f>-AX66</f>
        <v>0</v>
      </c>
      <c r="AY448" s="483">
        <f t="shared" si="565"/>
        <v>0</v>
      </c>
      <c r="AZ448" s="483">
        <f t="shared" si="565"/>
        <v>0</v>
      </c>
      <c r="BA448" s="483">
        <f t="shared" si="565"/>
        <v>0</v>
      </c>
      <c r="BB448" s="645">
        <f t="shared" si="565"/>
        <v>0</v>
      </c>
      <c r="BC448" s="483">
        <f t="shared" ref="BC448:CA448" si="566">-BC66</f>
        <v>0</v>
      </c>
      <c r="BD448" s="483">
        <f>-BD66</f>
        <v>0</v>
      </c>
      <c r="BE448" s="483">
        <f t="shared" si="566"/>
        <v>0</v>
      </c>
      <c r="BF448" s="483">
        <f t="shared" si="566"/>
        <v>0</v>
      </c>
      <c r="BG448" s="645">
        <f t="shared" si="566"/>
        <v>0</v>
      </c>
      <c r="BH448" s="483">
        <f t="shared" si="566"/>
        <v>0</v>
      </c>
      <c r="BI448" s="483">
        <f t="shared" si="566"/>
        <v>0</v>
      </c>
      <c r="BJ448" s="483">
        <f t="shared" si="566"/>
        <v>0</v>
      </c>
      <c r="BK448" s="483">
        <f t="shared" si="566"/>
        <v>0</v>
      </c>
      <c r="BL448" s="645">
        <f t="shared" si="566"/>
        <v>0</v>
      </c>
      <c r="BM448" s="483">
        <f t="shared" si="566"/>
        <v>0</v>
      </c>
      <c r="BN448" s="483">
        <f t="shared" si="566"/>
        <v>0</v>
      </c>
      <c r="BO448" s="483">
        <f t="shared" si="566"/>
        <v>0</v>
      </c>
      <c r="BP448" s="483">
        <f t="shared" si="566"/>
        <v>0</v>
      </c>
      <c r="BQ448" s="645">
        <f t="shared" si="566"/>
        <v>0</v>
      </c>
      <c r="BR448" s="483">
        <f t="shared" si="566"/>
        <v>0</v>
      </c>
      <c r="BS448" s="483">
        <f t="shared" si="566"/>
        <v>0</v>
      </c>
      <c r="BT448" s="483">
        <f t="shared" si="566"/>
        <v>0</v>
      </c>
      <c r="BU448" s="483">
        <f t="shared" si="566"/>
        <v>0</v>
      </c>
      <c r="BV448" s="645">
        <f t="shared" si="566"/>
        <v>0</v>
      </c>
      <c r="BW448" s="483">
        <f t="shared" si="566"/>
        <v>0</v>
      </c>
      <c r="BX448" s="483">
        <f t="shared" si="566"/>
        <v>0</v>
      </c>
      <c r="BY448" s="483">
        <f t="shared" si="566"/>
        <v>0</v>
      </c>
      <c r="BZ448" s="483">
        <f t="shared" si="566"/>
        <v>0</v>
      </c>
      <c r="CA448" s="645">
        <f t="shared" si="566"/>
        <v>0</v>
      </c>
      <c r="CC448" s="19"/>
      <c r="CD448" s="19"/>
      <c r="CE448" s="120"/>
      <c r="CF448" s="120"/>
      <c r="CG448" s="120"/>
      <c r="CH448" s="120"/>
      <c r="CI448" s="120"/>
      <c r="CJ448" s="120"/>
      <c r="CK448" s="120"/>
      <c r="CL448" s="120"/>
      <c r="CM448" s="120"/>
      <c r="CN448" s="120"/>
      <c r="CO448" s="120"/>
      <c r="CP448" s="188"/>
      <c r="CQ448" s="188"/>
      <c r="CR448" s="188"/>
      <c r="CS448" s="188"/>
      <c r="CT448" s="188"/>
      <c r="CU448" s="188"/>
      <c r="DB448" s="1961"/>
      <c r="DC448" s="1961"/>
      <c r="DD448" s="1961"/>
      <c r="DE448" s="1961"/>
      <c r="DF448" s="1961"/>
      <c r="DG448" s="1961"/>
      <c r="DH448" s="1961"/>
      <c r="DI448" s="1961"/>
    </row>
    <row r="449" spans="1:113" ht="12" customHeight="1" x14ac:dyDescent="0.25">
      <c r="A449" s="439" t="s">
        <v>296</v>
      </c>
      <c r="B449" s="859"/>
      <c r="C449" s="993"/>
      <c r="D449" s="897">
        <f>D221-C221+D218-C218</f>
        <v>-68.22</v>
      </c>
      <c r="E449" s="483">
        <f>E221-D221+E218-D218</f>
        <v>68.22</v>
      </c>
      <c r="F449" s="483">
        <f>F221-E221+F218-E218</f>
        <v>0</v>
      </c>
      <c r="G449" s="657">
        <f>G221-F221+G218-F218</f>
        <v>0</v>
      </c>
      <c r="H449" s="483">
        <f>H221-G221+H218-G218</f>
        <v>-51.323999999999998</v>
      </c>
      <c r="I449" s="897">
        <f>I221-D221+I218-D218</f>
        <v>16.896000000000001</v>
      </c>
      <c r="J449" s="483">
        <f>J221-I221+J218-I218</f>
        <v>-24.494</v>
      </c>
      <c r="K449" s="483">
        <f>K221-J221+K218-J218</f>
        <v>-2.6899999999999977</v>
      </c>
      <c r="L449" s="657">
        <f>L221-K221+L218-K218</f>
        <v>21.105000000000004</v>
      </c>
      <c r="M449" s="483">
        <f>M221-L221+M218-L218</f>
        <v>-25.030999999999999</v>
      </c>
      <c r="N449" s="897">
        <f>N221-I221+N218-I218</f>
        <v>-31.11</v>
      </c>
      <c r="O449" s="483">
        <f>O221-N221+O218-N218</f>
        <v>1.0939999999999941</v>
      </c>
      <c r="P449" s="483">
        <f>P221-O221+P218-O218</f>
        <v>2.210000000000008</v>
      </c>
      <c r="Q449" s="657">
        <f>Q221-P221+Q218-P218</f>
        <v>3.5689999999999884</v>
      </c>
      <c r="R449" s="483">
        <f>R221-Q221+R218-Q218</f>
        <v>21.933000000000007</v>
      </c>
      <c r="S449" s="897">
        <f>S221-N221+S218-N218</f>
        <v>28.805999999999997</v>
      </c>
      <c r="T449" s="483">
        <f>T221-S221+T218-S218</f>
        <v>0.94299999999999784</v>
      </c>
      <c r="U449" s="483">
        <f>U221-T221+U218-T218</f>
        <v>0.50100000000000477</v>
      </c>
      <c r="V449" s="483">
        <f>V221-U221+V218-U218</f>
        <v>1.2319999999999993</v>
      </c>
      <c r="W449" s="483">
        <f>W221-V221+W218-V218</f>
        <v>-4.8509999999999991</v>
      </c>
      <c r="X449" s="897">
        <f>X221-S221+X218-S218</f>
        <v>-2.1749999999999972</v>
      </c>
      <c r="Y449" s="483">
        <f>Y221-X221+Y218-X218</f>
        <v>0.96599999999999397</v>
      </c>
      <c r="Z449" s="483">
        <f>Z221-Y221+Z218-Y218</f>
        <v>1.3290000000000006</v>
      </c>
      <c r="AA449" s="483">
        <f>AA221-Z221+AA218-Z218</f>
        <v>-0.14799999999999613</v>
      </c>
      <c r="AB449" s="483">
        <f>AB221-AA221+AB218-AA218</f>
        <v>-24.631000000000007</v>
      </c>
      <c r="AC449" s="897">
        <f>AC221-X221+AC218-X218</f>
        <v>-22.484000000000009</v>
      </c>
      <c r="AD449" s="483">
        <f>AD221-AC221+AD218-AC218</f>
        <v>0.88400000000000034</v>
      </c>
      <c r="AE449" s="483">
        <f>AE221-AD221+AE218-AD218</f>
        <v>4.9000000000006594E-2</v>
      </c>
      <c r="AF449" s="483">
        <f>AF221-AE221+AF218-AE218</f>
        <v>0.50100000000000477</v>
      </c>
      <c r="AG449" s="483">
        <f>AG221-AF221+AG218-AF218</f>
        <v>-12.307000000000002</v>
      </c>
      <c r="AH449" s="897">
        <f>AH221-AC221+AH218-AC218</f>
        <v>-10.87299999999999</v>
      </c>
      <c r="AI449" s="483">
        <f>AI221-AH221+AI218-AH218</f>
        <v>0.23299999999998988</v>
      </c>
      <c r="AJ449" s="657">
        <f>AJ221-AI221+AJ218-AI218</f>
        <v>0.58900000000001285</v>
      </c>
      <c r="AK449" s="657">
        <f>AK221-AJ221+AK218-AJ218</f>
        <v>1.7459999999999951</v>
      </c>
      <c r="AL449" s="657">
        <f>AL221-AK221+AL218-AK218</f>
        <v>43.103999999999999</v>
      </c>
      <c r="AM449" s="897">
        <f>AM221-AH221+AM218-AH218</f>
        <v>45.671999999999997</v>
      </c>
      <c r="AN449" s="483">
        <f>AN221-AM221+AN218-AM218</f>
        <v>0.66599999999999682</v>
      </c>
      <c r="AO449" s="657">
        <f>AO221-AN221+AO218-AN218</f>
        <v>0.44500000000000028</v>
      </c>
      <c r="AP449" s="657">
        <f>AP221-AO221+AP218-AO218</f>
        <v>-0.48399999999999466</v>
      </c>
      <c r="AQ449" s="657">
        <f>AQ221-AP221+AQ218-AP218</f>
        <v>-37.652999999999999</v>
      </c>
      <c r="AR449" s="897">
        <f>AR221-AM221+AR218-AM218</f>
        <v>-37.025999999999996</v>
      </c>
      <c r="AS449" s="483">
        <f>AS221-AR221+AS218-AR218</f>
        <v>0.45599999999998886</v>
      </c>
      <c r="AT449" s="483">
        <f>AT221-AS221+AT218-AS218</f>
        <v>-3.8149999999999977</v>
      </c>
      <c r="AU449" s="657">
        <f>AU221-AT221+AU218-AT218</f>
        <v>-95.543999999999997</v>
      </c>
      <c r="AV449" s="657">
        <f>AV221-AU221+AV218-AU218</f>
        <v>-62.634999999999991</v>
      </c>
      <c r="AW449" s="644">
        <f>AW221-AR221+AW218-AR218</f>
        <v>-161.53800000000001</v>
      </c>
      <c r="AX449" s="483">
        <f>AX221-AW221+AX218-AW218</f>
        <v>-74.724999999999994</v>
      </c>
      <c r="AY449" s="657">
        <f>AY221-AX221+AY218-AX218</f>
        <v>-140.36599999999999</v>
      </c>
      <c r="AZ449" s="657">
        <f>AZ221-AY221+AZ218-AY218</f>
        <v>-61.790999999999997</v>
      </c>
      <c r="BA449" s="657">
        <f>BA221-AZ221+BA218-AZ218</f>
        <v>-131.86599999999999</v>
      </c>
      <c r="BB449" s="645">
        <f>BB221-AW221+BB218-AW218</f>
        <v>-408.74799999999993</v>
      </c>
      <c r="BC449" s="483">
        <f>BC221-BB221+BC218-BB218</f>
        <v>33.899999999999977</v>
      </c>
      <c r="BD449" s="483">
        <f>BD221-BC221+BD218-BC218</f>
        <v>90.5</v>
      </c>
      <c r="BE449" s="657">
        <f>BE221-BD221+BE218-BD218</f>
        <v>83.099999999999966</v>
      </c>
      <c r="BF449" s="657">
        <f>BF221-BE221+BF218-BE218</f>
        <v>31</v>
      </c>
      <c r="BG449" s="645">
        <f>BG221-BB221+BG218-BB218</f>
        <v>238.49999999999994</v>
      </c>
      <c r="BH449" s="657">
        <f>BH221-BG221+BH218-BG218</f>
        <v>0</v>
      </c>
      <c r="BI449" s="657">
        <f>BI221-BH221+BI218-BH218</f>
        <v>0</v>
      </c>
      <c r="BJ449" s="657">
        <f>BJ221-BI221+BJ218-BI218</f>
        <v>0</v>
      </c>
      <c r="BK449" s="657">
        <f>BK221-BJ221+BK218-BJ218</f>
        <v>0</v>
      </c>
      <c r="BL449" s="645">
        <f>BL221-BG221+BL218-BG218</f>
        <v>0</v>
      </c>
      <c r="BM449" s="657">
        <f>BM221-BL221+BM218-BL218</f>
        <v>0</v>
      </c>
      <c r="BN449" s="657">
        <f>BN221-BM221+BN218-BM218</f>
        <v>0</v>
      </c>
      <c r="BO449" s="657">
        <f>BO221-BN221+BO218-BN218</f>
        <v>0</v>
      </c>
      <c r="BP449" s="657">
        <f>BP221-BO221+BP218-BO218</f>
        <v>0</v>
      </c>
      <c r="BQ449" s="645">
        <f>BQ221-BL221+BQ218-BL218</f>
        <v>0</v>
      </c>
      <c r="BR449" s="657">
        <f>BR221-BQ221+BR218-BQ218</f>
        <v>0</v>
      </c>
      <c r="BS449" s="657">
        <f>BS221-BR221+BS218-BR218</f>
        <v>0</v>
      </c>
      <c r="BT449" s="657">
        <f>BT221-BS221+BT218-BS218</f>
        <v>0</v>
      </c>
      <c r="BU449" s="657">
        <f>BU221-BT221+BU218-BT218</f>
        <v>0</v>
      </c>
      <c r="BV449" s="645">
        <f>BV221-BQ221+BV218-BQ218</f>
        <v>0</v>
      </c>
      <c r="BW449" s="657">
        <f>BW221-BV221+BW218-BV218</f>
        <v>0</v>
      </c>
      <c r="BX449" s="657">
        <f>BX221-BW221+BX218-BW218</f>
        <v>0</v>
      </c>
      <c r="BY449" s="657">
        <f>BY221-BX221+BY218-BX218</f>
        <v>0</v>
      </c>
      <c r="BZ449" s="657">
        <f>BZ221-BY221+BZ218-BY218</f>
        <v>0</v>
      </c>
      <c r="CA449" s="645">
        <f>CA221-BV221+CA218-BV218</f>
        <v>0</v>
      </c>
      <c r="CC449" s="19"/>
      <c r="CD449" s="19"/>
      <c r="CE449" s="483"/>
      <c r="CF449" s="483"/>
      <c r="CG449" s="483"/>
      <c r="CH449" s="483"/>
      <c r="CI449" s="483"/>
      <c r="CJ449" s="483"/>
      <c r="CK449" s="483"/>
      <c r="CL449" s="483"/>
      <c r="CM449" s="483"/>
      <c r="CN449" s="483"/>
      <c r="CO449" s="483"/>
      <c r="CP449" s="188"/>
      <c r="CQ449" s="188"/>
      <c r="CR449" s="188"/>
      <c r="CS449" s="188"/>
      <c r="CT449" s="188"/>
      <c r="CU449" s="188"/>
      <c r="DB449" s="1961"/>
      <c r="DC449" s="1961"/>
      <c r="DD449" s="1961"/>
      <c r="DE449" s="1961"/>
      <c r="DF449" s="1961"/>
      <c r="DG449" s="1961"/>
      <c r="DH449" s="1961"/>
      <c r="DI449" s="657"/>
    </row>
    <row r="450" spans="1:113" ht="12" customHeight="1" x14ac:dyDescent="0.25">
      <c r="A450" s="439" t="s">
        <v>297</v>
      </c>
      <c r="B450" s="899"/>
      <c r="C450" s="897"/>
      <c r="D450" s="897">
        <f>D220-C220-(D447+D448)</f>
        <v>-596.53700000000003</v>
      </c>
      <c r="E450" s="120">
        <f>ROUND(E220-D220-(E447+E448),3)</f>
        <v>419.29599999999999</v>
      </c>
      <c r="F450" s="120">
        <f>ROUND(F220-E220-(F447+F448),3)</f>
        <v>-36.642000000000003</v>
      </c>
      <c r="G450" s="120">
        <f>ROUND(G220-F220-(G447+G448),3)</f>
        <v>-37.154000000000003</v>
      </c>
      <c r="H450" s="120">
        <f>ROUND(H220-G220-(H447+H448),3)</f>
        <v>-554.07299999999998</v>
      </c>
      <c r="I450" s="897">
        <f>I220-D220-(I447+I448)</f>
        <v>-208.57299999999995</v>
      </c>
      <c r="J450" s="120">
        <f>ROUND(J220-I220-(J447+J448),3)</f>
        <v>-28.451000000000001</v>
      </c>
      <c r="K450" s="120">
        <f>ROUND(K220-J220-(K447+K448),3)</f>
        <v>-1.88</v>
      </c>
      <c r="L450" s="126">
        <f>ROUND(L220-K220-(L447+L448),3)</f>
        <v>23.332999999999998</v>
      </c>
      <c r="M450" s="120">
        <f>ROUND(M220-L220-(M447+M448),3)</f>
        <v>121.03100000000001</v>
      </c>
      <c r="N450" s="897">
        <f>N220-I220-(N447+N448)</f>
        <v>114.03300000000002</v>
      </c>
      <c r="O450" s="120">
        <f>ROUND(O220-N220-(O447+O448),3)</f>
        <v>-27.295000000000002</v>
      </c>
      <c r="P450" s="120">
        <f>ROUND(P220-O220-(P447+P448),3)</f>
        <v>-85.528999999999996</v>
      </c>
      <c r="Q450" s="120">
        <f>ROUND(Q220-P220-(Q447+Q448),3)</f>
        <v>-215.80199999999999</v>
      </c>
      <c r="R450" s="120">
        <f>ROUND(R220-Q220-(R447+R448),3)</f>
        <v>496.78199999999998</v>
      </c>
      <c r="S450" s="897">
        <f>S220-N220-(S447+S448)</f>
        <v>168.15599999999986</v>
      </c>
      <c r="T450" s="120">
        <f>ROUND(T220-S220-(T447+T448),3)</f>
        <v>0</v>
      </c>
      <c r="U450" s="120">
        <f>ROUND(U220-T220-(U447+U448),3)</f>
        <v>0</v>
      </c>
      <c r="V450" s="120">
        <f>ROUND(V220-U220-(V447+V448),3)</f>
        <v>0</v>
      </c>
      <c r="W450" s="120">
        <f>ROUND(W220-V220-(W447+W448),3)</f>
        <v>0</v>
      </c>
      <c r="X450" s="897">
        <f>X220-S220-(X447+X448)</f>
        <v>0</v>
      </c>
      <c r="Y450" s="120">
        <f>ROUND(Y220-X220-(Y447+Y448),3)</f>
        <v>0</v>
      </c>
      <c r="Z450" s="120">
        <f>ROUND(Z220-Y220-(Z447+Z448),3)</f>
        <v>0</v>
      </c>
      <c r="AA450" s="120">
        <f>ROUND(AA220-Z220-(AA447+AA448),3)</f>
        <v>0</v>
      </c>
      <c r="AB450" s="120">
        <v>0</v>
      </c>
      <c r="AC450" s="897">
        <v>0</v>
      </c>
      <c r="AD450" s="120">
        <f>ROUND(AD220-AC220-(AD447+AD448),3)</f>
        <v>0</v>
      </c>
      <c r="AE450" s="120">
        <f>ROUND(AE220-AD220-(AE447+AE448),3)</f>
        <v>0</v>
      </c>
      <c r="AF450" s="120">
        <f>ROUND(AF220-AE220-(AF447+AF448),3)</f>
        <v>0</v>
      </c>
      <c r="AG450" s="120">
        <v>0</v>
      </c>
      <c r="AH450" s="897">
        <v>0</v>
      </c>
      <c r="AI450" s="120">
        <v>0</v>
      </c>
      <c r="AJ450" s="120">
        <v>0</v>
      </c>
      <c r="AK450" s="120">
        <v>0</v>
      </c>
      <c r="AL450" s="120">
        <v>0</v>
      </c>
      <c r="AM450" s="897">
        <v>0</v>
      </c>
      <c r="AN450" s="120">
        <v>0</v>
      </c>
      <c r="AO450" s="120">
        <v>0</v>
      </c>
      <c r="AP450" s="120">
        <v>0</v>
      </c>
      <c r="AQ450" s="120">
        <v>0</v>
      </c>
      <c r="AR450" s="897">
        <v>0</v>
      </c>
      <c r="AS450" s="120">
        <v>0</v>
      </c>
      <c r="AT450" s="126">
        <f>-AT56</f>
        <v>55.900000000000006</v>
      </c>
      <c r="AU450" s="120">
        <v>0</v>
      </c>
      <c r="AV450" s="483">
        <v>0</v>
      </c>
      <c r="AW450" s="644">
        <f>SUM(AS450:AV450)</f>
        <v>55.900000000000006</v>
      </c>
      <c r="AX450" s="120">
        <v>0</v>
      </c>
      <c r="AY450" s="120">
        <v>0</v>
      </c>
      <c r="AZ450" s="120">
        <v>0</v>
      </c>
      <c r="BA450" s="483">
        <v>0</v>
      </c>
      <c r="BB450" s="645">
        <v>0</v>
      </c>
      <c r="BC450" s="120">
        <v>0</v>
      </c>
      <c r="BD450" s="120">
        <v>0</v>
      </c>
      <c r="BE450" s="120">
        <v>0</v>
      </c>
      <c r="BF450" s="483">
        <v>0</v>
      </c>
      <c r="BG450" s="645">
        <v>0</v>
      </c>
      <c r="BH450" s="483">
        <v>0</v>
      </c>
      <c r="BI450" s="120">
        <v>0</v>
      </c>
      <c r="BJ450" s="120">
        <v>0</v>
      </c>
      <c r="BK450" s="483">
        <v>0</v>
      </c>
      <c r="BL450" s="645">
        <v>0</v>
      </c>
      <c r="BM450" s="483">
        <v>0</v>
      </c>
      <c r="BN450" s="120">
        <v>0</v>
      </c>
      <c r="BO450" s="120">
        <v>0</v>
      </c>
      <c r="BP450" s="483">
        <v>0</v>
      </c>
      <c r="BQ450" s="645">
        <v>0</v>
      </c>
      <c r="BR450" s="483">
        <v>0</v>
      </c>
      <c r="BS450" s="120">
        <v>0</v>
      </c>
      <c r="BT450" s="120">
        <v>0</v>
      </c>
      <c r="BU450" s="483">
        <v>0</v>
      </c>
      <c r="BV450" s="645">
        <v>0</v>
      </c>
      <c r="BW450" s="483">
        <v>0</v>
      </c>
      <c r="BX450" s="120">
        <v>0</v>
      </c>
      <c r="BY450" s="120">
        <v>0</v>
      </c>
      <c r="BZ450" s="483">
        <v>0</v>
      </c>
      <c r="CA450" s="645">
        <v>0</v>
      </c>
      <c r="CC450" s="1028"/>
      <c r="CD450" s="1028"/>
      <c r="CE450" s="1029"/>
      <c r="CF450" s="1029"/>
      <c r="CG450" s="1029"/>
      <c r="CH450" s="1029"/>
      <c r="CI450" s="1029"/>
      <c r="CJ450" s="1029"/>
      <c r="CK450" s="1029"/>
      <c r="CL450" s="1029"/>
      <c r="CM450" s="1029"/>
      <c r="CN450" s="1029"/>
      <c r="CO450" s="1029"/>
      <c r="CP450" s="188"/>
      <c r="CQ450" s="188"/>
      <c r="CR450" s="188"/>
      <c r="CS450" s="188"/>
      <c r="CT450" s="188"/>
      <c r="CU450" s="188"/>
      <c r="DB450" s="1961"/>
      <c r="DC450" s="1961"/>
      <c r="DD450" s="1961"/>
      <c r="DE450" s="1961"/>
      <c r="DF450" s="1961"/>
      <c r="DG450" s="1961"/>
      <c r="DH450" s="1961"/>
      <c r="DI450" s="1961"/>
    </row>
    <row r="451" spans="1:113" ht="5.0999999999999996" customHeight="1" x14ac:dyDescent="0.25">
      <c r="A451" s="46"/>
      <c r="B451" s="948"/>
      <c r="C451" s="129" t="s">
        <v>60</v>
      </c>
      <c r="D451" s="129" t="s">
        <v>60</v>
      </c>
      <c r="E451" s="130" t="s">
        <v>60</v>
      </c>
      <c r="F451" s="130" t="s">
        <v>60</v>
      </c>
      <c r="G451" s="130" t="s">
        <v>60</v>
      </c>
      <c r="H451" s="130" t="s">
        <v>60</v>
      </c>
      <c r="I451" s="998" t="s">
        <v>60</v>
      </c>
      <c r="J451" s="130" t="s">
        <v>60</v>
      </c>
      <c r="K451" s="130" t="s">
        <v>60</v>
      </c>
      <c r="L451" s="130" t="s">
        <v>60</v>
      </c>
      <c r="M451" s="130" t="s">
        <v>60</v>
      </c>
      <c r="N451" s="129" t="s">
        <v>60</v>
      </c>
      <c r="O451" s="130" t="s">
        <v>60</v>
      </c>
      <c r="P451" s="675" t="s">
        <v>60</v>
      </c>
      <c r="Q451" s="675" t="s">
        <v>60</v>
      </c>
      <c r="R451" s="675" t="s">
        <v>60</v>
      </c>
      <c r="S451" s="129" t="s">
        <v>60</v>
      </c>
      <c r="T451" s="130" t="s">
        <v>60</v>
      </c>
      <c r="U451" s="130" t="s">
        <v>60</v>
      </c>
      <c r="V451" s="130" t="s">
        <v>60</v>
      </c>
      <c r="W451" s="130" t="s">
        <v>60</v>
      </c>
      <c r="X451" s="129" t="s">
        <v>60</v>
      </c>
      <c r="Y451" s="130" t="s">
        <v>60</v>
      </c>
      <c r="Z451" s="675" t="s">
        <v>60</v>
      </c>
      <c r="AA451" s="675" t="s">
        <v>60</v>
      </c>
      <c r="AB451" s="675" t="s">
        <v>60</v>
      </c>
      <c r="AC451" s="674" t="s">
        <v>60</v>
      </c>
      <c r="AD451" s="130" t="s">
        <v>60</v>
      </c>
      <c r="AE451" s="675" t="s">
        <v>60</v>
      </c>
      <c r="AF451" s="675" t="s">
        <v>60</v>
      </c>
      <c r="AG451" s="675" t="s">
        <v>60</v>
      </c>
      <c r="AH451" s="674" t="s">
        <v>60</v>
      </c>
      <c r="AI451" s="675" t="s">
        <v>60</v>
      </c>
      <c r="AJ451" s="675" t="s">
        <v>60</v>
      </c>
      <c r="AK451" s="675" t="s">
        <v>60</v>
      </c>
      <c r="AL451" s="675" t="s">
        <v>60</v>
      </c>
      <c r="AM451" s="674" t="s">
        <v>60</v>
      </c>
      <c r="AN451" s="675" t="s">
        <v>60</v>
      </c>
      <c r="AO451" s="675" t="s">
        <v>60</v>
      </c>
      <c r="AP451" s="675" t="s">
        <v>60</v>
      </c>
      <c r="AQ451" s="675" t="s">
        <v>60</v>
      </c>
      <c r="AR451" s="674" t="s">
        <v>60</v>
      </c>
      <c r="AS451" s="675" t="s">
        <v>60</v>
      </c>
      <c r="AT451" s="675" t="s">
        <v>60</v>
      </c>
      <c r="AU451" s="675" t="s">
        <v>60</v>
      </c>
      <c r="AV451" s="675" t="s">
        <v>60</v>
      </c>
      <c r="AW451" s="258" t="s">
        <v>60</v>
      </c>
      <c r="AX451" s="675" t="s">
        <v>60</v>
      </c>
      <c r="AY451" s="675" t="s">
        <v>60</v>
      </c>
      <c r="AZ451" s="675" t="s">
        <v>60</v>
      </c>
      <c r="BA451" s="675" t="s">
        <v>60</v>
      </c>
      <c r="BB451" s="258" t="s">
        <v>60</v>
      </c>
      <c r="BC451" s="675" t="s">
        <v>60</v>
      </c>
      <c r="BD451" s="675" t="s">
        <v>60</v>
      </c>
      <c r="BE451" s="675" t="s">
        <v>60</v>
      </c>
      <c r="BF451" s="675" t="s">
        <v>60</v>
      </c>
      <c r="BG451" s="258" t="s">
        <v>60</v>
      </c>
      <c r="BH451" s="675" t="s">
        <v>60</v>
      </c>
      <c r="BI451" s="675" t="s">
        <v>60</v>
      </c>
      <c r="BJ451" s="675" t="s">
        <v>60</v>
      </c>
      <c r="BK451" s="675" t="s">
        <v>60</v>
      </c>
      <c r="BL451" s="258" t="s">
        <v>60</v>
      </c>
      <c r="BM451" s="675" t="s">
        <v>60</v>
      </c>
      <c r="BN451" s="675" t="s">
        <v>60</v>
      </c>
      <c r="BO451" s="675" t="s">
        <v>60</v>
      </c>
      <c r="BP451" s="675" t="s">
        <v>60</v>
      </c>
      <c r="BQ451" s="258" t="s">
        <v>60</v>
      </c>
      <c r="BR451" s="675" t="s">
        <v>60</v>
      </c>
      <c r="BS451" s="675" t="s">
        <v>60</v>
      </c>
      <c r="BT451" s="675" t="s">
        <v>60</v>
      </c>
      <c r="BU451" s="675" t="s">
        <v>60</v>
      </c>
      <c r="BV451" s="258" t="s">
        <v>60</v>
      </c>
      <c r="BW451" s="675" t="s">
        <v>60</v>
      </c>
      <c r="BX451" s="675" t="s">
        <v>60</v>
      </c>
      <c r="BY451" s="675" t="s">
        <v>60</v>
      </c>
      <c r="BZ451" s="675" t="s">
        <v>60</v>
      </c>
      <c r="CA451" s="258" t="s">
        <v>60</v>
      </c>
      <c r="CC451" s="29"/>
      <c r="CD451" s="29"/>
      <c r="CE451" s="675"/>
      <c r="CF451" s="675"/>
      <c r="CG451" s="675"/>
      <c r="CH451" s="675"/>
      <c r="CI451" s="675"/>
      <c r="CJ451" s="675"/>
      <c r="CK451" s="675"/>
      <c r="CL451" s="675"/>
      <c r="CM451" s="675"/>
      <c r="CN451" s="675"/>
      <c r="CO451" s="675"/>
      <c r="CP451" s="188"/>
      <c r="CQ451" s="188"/>
      <c r="CR451" s="188"/>
      <c r="CS451" s="188"/>
      <c r="CT451" s="188"/>
      <c r="CU451" s="188"/>
      <c r="DB451" s="1961"/>
      <c r="DC451" s="1961"/>
      <c r="DD451" s="1961"/>
      <c r="DE451" s="1961"/>
      <c r="DF451" s="1961"/>
      <c r="DG451" s="1961"/>
      <c r="DH451" s="1961"/>
      <c r="DI451" s="259"/>
    </row>
    <row r="452" spans="1:113" ht="12" customHeight="1" x14ac:dyDescent="0.25">
      <c r="A452" s="46" t="s">
        <v>298</v>
      </c>
      <c r="B452" s="949"/>
      <c r="C452" s="740">
        <f>C223</f>
        <v>0</v>
      </c>
      <c r="D452" s="740">
        <f t="shared" ref="D452:BB452" si="567">SUM(D444,D446:D450)</f>
        <v>9.5759999999999081</v>
      </c>
      <c r="E452" s="482">
        <f t="shared" si="567"/>
        <v>0</v>
      </c>
      <c r="F452" s="482">
        <f t="shared" si="567"/>
        <v>0</v>
      </c>
      <c r="G452" s="482">
        <f t="shared" si="567"/>
        <v>0</v>
      </c>
      <c r="H452" s="482">
        <f t="shared" si="567"/>
        <v>-32.159999999999968</v>
      </c>
      <c r="I452" s="740">
        <f t="shared" si="567"/>
        <v>-32.160000000000053</v>
      </c>
      <c r="J452" s="482">
        <f t="shared" si="567"/>
        <v>-172.85900000000007</v>
      </c>
      <c r="K452" s="482">
        <f t="shared" si="567"/>
        <v>-172.65999999999994</v>
      </c>
      <c r="L452" s="482">
        <f t="shared" si="567"/>
        <v>-156.292</v>
      </c>
      <c r="M452" s="482">
        <f t="shared" si="567"/>
        <v>-260.28400000000005</v>
      </c>
      <c r="N452" s="740">
        <f t="shared" si="567"/>
        <v>-260.28400000000011</v>
      </c>
      <c r="O452" s="482">
        <f t="shared" si="567"/>
        <v>-232.67300000000017</v>
      </c>
      <c r="P452" s="482">
        <f t="shared" si="567"/>
        <v>-186.37200000000013</v>
      </c>
      <c r="Q452" s="482">
        <f t="shared" si="567"/>
        <v>-136.44800000000012</v>
      </c>
      <c r="R452" s="482">
        <f t="shared" si="567"/>
        <v>-34.94900000000024</v>
      </c>
      <c r="S452" s="740">
        <f t="shared" si="567"/>
        <v>-34.949000000000211</v>
      </c>
      <c r="T452" s="482">
        <f t="shared" si="567"/>
        <v>28.251999999999846</v>
      </c>
      <c r="U452" s="482">
        <f t="shared" si="567"/>
        <v>53.574999999999832</v>
      </c>
      <c r="V452" s="482">
        <f t="shared" si="567"/>
        <v>62.143999999999892</v>
      </c>
      <c r="W452" s="482">
        <f t="shared" si="567"/>
        <v>-114.44200000000009</v>
      </c>
      <c r="X452" s="740">
        <f t="shared" si="567"/>
        <v>-114.44199999999994</v>
      </c>
      <c r="Y452" s="482">
        <f t="shared" si="567"/>
        <v>-109.1309999999999</v>
      </c>
      <c r="Z452" s="482">
        <f t="shared" si="567"/>
        <v>-144.43999999999991</v>
      </c>
      <c r="AA452" s="482">
        <f t="shared" si="567"/>
        <v>-158.92200000000005</v>
      </c>
      <c r="AB452" s="482">
        <f t="shared" si="567"/>
        <v>-98.489999999999952</v>
      </c>
      <c r="AC452" s="740">
        <f t="shared" si="567"/>
        <v>-98.492696099830169</v>
      </c>
      <c r="AD452" s="482">
        <f t="shared" si="567"/>
        <v>-10.260696099830213</v>
      </c>
      <c r="AE452" s="482">
        <f t="shared" si="567"/>
        <v>46.679303900169828</v>
      </c>
      <c r="AF452" s="482">
        <f>SUM(AF444,AF446:AF450)</f>
        <v>142.04530390016984</v>
      </c>
      <c r="AG452" s="482">
        <f t="shared" si="567"/>
        <v>255.58830390016988</v>
      </c>
      <c r="AH452" s="740">
        <f t="shared" si="567"/>
        <v>255.81412498928563</v>
      </c>
      <c r="AI452" s="482">
        <f t="shared" si="567"/>
        <v>352.74712498928551</v>
      </c>
      <c r="AJ452" s="482">
        <f t="shared" si="567"/>
        <v>365.74612498928565</v>
      </c>
      <c r="AK452" s="482">
        <f t="shared" si="567"/>
        <v>483.24312498928538</v>
      </c>
      <c r="AL452" s="482">
        <f t="shared" si="567"/>
        <v>547.83012498928531</v>
      </c>
      <c r="AM452" s="740">
        <f t="shared" si="567"/>
        <v>547.83012498928542</v>
      </c>
      <c r="AN452" s="482">
        <f t="shared" si="567"/>
        <v>599.76712498928555</v>
      </c>
      <c r="AO452" s="482">
        <f t="shared" si="567"/>
        <v>676.52612498928545</v>
      </c>
      <c r="AP452" s="482">
        <f t="shared" si="567"/>
        <v>726.22512498928552</v>
      </c>
      <c r="AQ452" s="482">
        <f t="shared" si="567"/>
        <v>211.2841249892854</v>
      </c>
      <c r="AR452" s="740">
        <f t="shared" si="567"/>
        <v>211.28412498928532</v>
      </c>
      <c r="AS452" s="482">
        <f t="shared" si="567"/>
        <v>331.96312498928546</v>
      </c>
      <c r="AT452" s="482">
        <f>SUM(AT444,AT446:AT450)</f>
        <v>1300.4631249892855</v>
      </c>
      <c r="AU452" s="482">
        <f t="shared" si="567"/>
        <v>1369.7771249892855</v>
      </c>
      <c r="AV452" s="482">
        <f t="shared" si="567"/>
        <v>1427.9021249892855</v>
      </c>
      <c r="AW452" s="639">
        <f t="shared" si="567"/>
        <v>1427.9021249892858</v>
      </c>
      <c r="AX452" s="482">
        <f>SUM(AX444,AX446:AX450)</f>
        <v>1346.3561249892859</v>
      </c>
      <c r="AY452" s="482">
        <f t="shared" si="567"/>
        <v>1505.7551249892856</v>
      </c>
      <c r="AZ452" s="482">
        <f t="shared" si="567"/>
        <v>1531.3211249892859</v>
      </c>
      <c r="BA452" s="482">
        <f t="shared" si="567"/>
        <v>1388.3691249892856</v>
      </c>
      <c r="BB452" s="642">
        <f t="shared" si="567"/>
        <v>1388.3691249892854</v>
      </c>
      <c r="BC452" s="482">
        <f t="shared" ref="BC452:CA452" si="568">SUM(BC444,BC446:BC450)</f>
        <v>1441.5691249892852</v>
      </c>
      <c r="BD452" s="482">
        <f>SUM(BD444,BD446:BD450)</f>
        <v>1521.8691249892854</v>
      </c>
      <c r="BE452" s="482">
        <f t="shared" si="568"/>
        <v>1728.5691249892852</v>
      </c>
      <c r="BF452" s="482">
        <f t="shared" si="568"/>
        <v>1981.369124989285</v>
      </c>
      <c r="BG452" s="642">
        <f t="shared" si="568"/>
        <v>1981.3691249892854</v>
      </c>
      <c r="BH452" s="482">
        <f t="shared" si="568"/>
        <v>1988.0638802315411</v>
      </c>
      <c r="BI452" s="482">
        <f t="shared" si="568"/>
        <v>2002.1006921442322</v>
      </c>
      <c r="BJ452" s="482">
        <f t="shared" si="568"/>
        <v>2029.8093451164889</v>
      </c>
      <c r="BK452" s="482">
        <f t="shared" si="568"/>
        <v>2057.4216016698215</v>
      </c>
      <c r="BL452" s="642">
        <f t="shared" si="568"/>
        <v>2057.4216016698215</v>
      </c>
      <c r="BM452" s="482">
        <f t="shared" si="568"/>
        <v>2035.096176102054</v>
      </c>
      <c r="BN452" s="482">
        <f t="shared" si="568"/>
        <v>2020.542360633259</v>
      </c>
      <c r="BO452" s="482">
        <f t="shared" si="568"/>
        <v>2020.3899793210585</v>
      </c>
      <c r="BP452" s="482">
        <f t="shared" si="568"/>
        <v>2020.1820458488019</v>
      </c>
      <c r="BQ452" s="642">
        <f t="shared" si="568"/>
        <v>2020.1820458488019</v>
      </c>
      <c r="BR452" s="482">
        <f t="shared" si="568"/>
        <v>1987.8610503992186</v>
      </c>
      <c r="BS452" s="482">
        <f t="shared" si="568"/>
        <v>1963.7368215626884</v>
      </c>
      <c r="BT452" s="482">
        <f t="shared" si="568"/>
        <v>1954.8821002234004</v>
      </c>
      <c r="BU452" s="482">
        <f t="shared" si="568"/>
        <v>1945.9584225045553</v>
      </c>
      <c r="BV452" s="642">
        <f t="shared" si="568"/>
        <v>1945.9584225045551</v>
      </c>
      <c r="BW452" s="482">
        <f t="shared" si="568"/>
        <v>1930.5423294851557</v>
      </c>
      <c r="BX452" s="482">
        <f t="shared" si="568"/>
        <v>1923.9353457068864</v>
      </c>
      <c r="BY452" s="482">
        <f t="shared" si="568"/>
        <v>1933.6856104255153</v>
      </c>
      <c r="BZ452" s="482">
        <f t="shared" si="568"/>
        <v>1943.5170333295569</v>
      </c>
      <c r="CA452" s="642">
        <f t="shared" si="568"/>
        <v>1943.5170333295569</v>
      </c>
      <c r="CC452" s="29"/>
      <c r="CD452" s="29"/>
      <c r="CE452" s="482"/>
      <c r="CF452" s="482"/>
      <c r="CG452" s="482"/>
      <c r="CH452" s="482"/>
      <c r="CI452" s="482"/>
      <c r="CJ452" s="482"/>
      <c r="CK452" s="482"/>
      <c r="CL452" s="482"/>
      <c r="CM452" s="482"/>
      <c r="CN452" s="482"/>
      <c r="CO452" s="482"/>
      <c r="CP452" s="188"/>
      <c r="CQ452" s="188"/>
      <c r="CR452" s="188"/>
      <c r="CS452" s="188"/>
      <c r="CT452" s="188"/>
      <c r="CU452" s="188"/>
      <c r="DB452" s="1961"/>
      <c r="DC452" s="1961"/>
      <c r="DD452" s="1961"/>
      <c r="DE452" s="1961"/>
      <c r="DF452" s="1961"/>
      <c r="DG452" s="1961"/>
      <c r="DH452" s="1961"/>
      <c r="DI452" s="640"/>
    </row>
    <row r="453" spans="1:113" ht="12" hidden="1" customHeight="1" outlineLevel="1" x14ac:dyDescent="0.25">
      <c r="A453" s="46" t="s">
        <v>299</v>
      </c>
      <c r="B453" s="963"/>
      <c r="C453" s="144">
        <f t="shared" ref="C453:AW453" si="569">C452-C223</f>
        <v>0</v>
      </c>
      <c r="D453" s="897">
        <f t="shared" si="569"/>
        <v>6.0396132539608516E-14</v>
      </c>
      <c r="E453" s="483">
        <f t="shared" si="569"/>
        <v>0</v>
      </c>
      <c r="F453" s="483">
        <f t="shared" si="569"/>
        <v>0</v>
      </c>
      <c r="G453" s="483">
        <f t="shared" si="569"/>
        <v>0</v>
      </c>
      <c r="H453" s="483">
        <f t="shared" si="569"/>
        <v>0</v>
      </c>
      <c r="I453" s="897">
        <f t="shared" si="569"/>
        <v>0</v>
      </c>
      <c r="J453" s="483">
        <f t="shared" si="569"/>
        <v>2.2737367544323206E-13</v>
      </c>
      <c r="K453" s="483">
        <f t="shared" si="569"/>
        <v>0</v>
      </c>
      <c r="L453" s="483">
        <f t="shared" si="569"/>
        <v>0</v>
      </c>
      <c r="M453" s="483">
        <f t="shared" si="569"/>
        <v>0</v>
      </c>
      <c r="N453" s="897">
        <f t="shared" si="569"/>
        <v>0</v>
      </c>
      <c r="O453" s="483">
        <f t="shared" si="569"/>
        <v>0</v>
      </c>
      <c r="P453" s="483">
        <f t="shared" si="569"/>
        <v>0</v>
      </c>
      <c r="Q453" s="483">
        <f t="shared" si="569"/>
        <v>0</v>
      </c>
      <c r="R453" s="483">
        <f t="shared" si="569"/>
        <v>-2.3447910280083306E-13</v>
      </c>
      <c r="S453" s="897">
        <f t="shared" si="569"/>
        <v>-2.0605739337042905E-13</v>
      </c>
      <c r="T453" s="483">
        <f t="shared" si="569"/>
        <v>-1.9184653865522705E-13</v>
      </c>
      <c r="U453" s="483">
        <f t="shared" si="569"/>
        <v>-2.1316282072803006E-13</v>
      </c>
      <c r="V453" s="483">
        <f t="shared" si="569"/>
        <v>-1.4210854715202004E-13</v>
      </c>
      <c r="W453" s="483">
        <f t="shared" si="569"/>
        <v>-1.9895196601282805E-13</v>
      </c>
      <c r="X453" s="897">
        <f t="shared" si="569"/>
        <v>0</v>
      </c>
      <c r="Y453" s="483">
        <f t="shared" si="569"/>
        <v>0</v>
      </c>
      <c r="Z453" s="483">
        <f t="shared" si="569"/>
        <v>0</v>
      </c>
      <c r="AA453" s="483">
        <f t="shared" si="569"/>
        <v>0</v>
      </c>
      <c r="AB453" s="483">
        <f t="shared" si="569"/>
        <v>0</v>
      </c>
      <c r="AC453" s="897">
        <f t="shared" si="569"/>
        <v>-2.6960998303025008E-3</v>
      </c>
      <c r="AD453" s="483">
        <f t="shared" si="569"/>
        <v>-2.6960998303025008E-3</v>
      </c>
      <c r="AE453" s="483">
        <f>AE452-AE223</f>
        <v>-2.6960998303451333E-3</v>
      </c>
      <c r="AF453" s="483">
        <f>AF452-AF223</f>
        <v>-2.6960998302172356E-3</v>
      </c>
      <c r="AG453" s="483">
        <f>AG452-AG223</f>
        <v>-2.6960998302172356E-3</v>
      </c>
      <c r="AH453" s="1030">
        <f t="shared" si="569"/>
        <v>0.22312498928553737</v>
      </c>
      <c r="AI453" s="483">
        <f>AI452-AI223</f>
        <v>0.22312498928550895</v>
      </c>
      <c r="AJ453" s="483">
        <f t="shared" si="569"/>
        <v>0.24112498928553805</v>
      </c>
      <c r="AK453" s="483">
        <f>AK452-AK223</f>
        <v>0.24112498928531068</v>
      </c>
      <c r="AL453" s="483">
        <f>AL452-AL223</f>
        <v>0.24112498928559489</v>
      </c>
      <c r="AM453" s="897">
        <f t="shared" si="569"/>
        <v>0.24112498928570858</v>
      </c>
      <c r="AN453" s="483">
        <f>AN452-AN223</f>
        <v>0.24112498928559489</v>
      </c>
      <c r="AO453" s="483">
        <f>AO452-AO223</f>
        <v>0.24112498928559489</v>
      </c>
      <c r="AP453" s="483">
        <f>AP452-AP223</f>
        <v>0.24112498928548121</v>
      </c>
      <c r="AQ453" s="483">
        <f>AQ452-AQ223</f>
        <v>0.24112498928562331</v>
      </c>
      <c r="AR453" s="897">
        <f t="shared" si="569"/>
        <v>0.24112498928553805</v>
      </c>
      <c r="AS453" s="483">
        <f>AS452-AS223</f>
        <v>0.24112498928548121</v>
      </c>
      <c r="AT453" s="483">
        <f>AT452-AT223</f>
        <v>56.141124989285572</v>
      </c>
      <c r="AU453" s="483">
        <f>AU452-AU223</f>
        <v>56.141124989285345</v>
      </c>
      <c r="AV453" s="483">
        <f>AV452-AV223</f>
        <v>55.891124989285345</v>
      </c>
      <c r="AW453" s="644">
        <f t="shared" si="569"/>
        <v>55.891124989285572</v>
      </c>
      <c r="AX453" s="483">
        <f t="shared" ref="AX453:CA453" si="570">AX452-AX223</f>
        <v>55.891124989286254</v>
      </c>
      <c r="AY453" s="483">
        <f t="shared" si="570"/>
        <v>55.891124989285572</v>
      </c>
      <c r="AZ453" s="483">
        <f t="shared" si="570"/>
        <v>55.8911249892858</v>
      </c>
      <c r="BA453" s="483">
        <f t="shared" si="570"/>
        <v>55.969124989285774</v>
      </c>
      <c r="BB453" s="645">
        <f t="shared" si="570"/>
        <v>55.969124989285547</v>
      </c>
      <c r="BC453" s="483">
        <f t="shared" si="570"/>
        <v>55.969124989285774</v>
      </c>
      <c r="BD453" s="483">
        <f t="shared" si="570"/>
        <v>55.969124989285774</v>
      </c>
      <c r="BE453" s="483">
        <f t="shared" si="570"/>
        <v>55.969124989285092</v>
      </c>
      <c r="BF453" s="483">
        <f t="shared" si="570"/>
        <v>55.969124989285092</v>
      </c>
      <c r="BG453" s="645">
        <f t="shared" si="570"/>
        <v>55.969124989285547</v>
      </c>
      <c r="BH453" s="483">
        <f t="shared" si="570"/>
        <v>55.969124989285547</v>
      </c>
      <c r="BI453" s="483">
        <f t="shared" si="570"/>
        <v>55.969124989285547</v>
      </c>
      <c r="BJ453" s="483">
        <f t="shared" si="570"/>
        <v>55.969124989285774</v>
      </c>
      <c r="BK453" s="483">
        <f t="shared" si="570"/>
        <v>55.969124989286001</v>
      </c>
      <c r="BL453" s="645">
        <f t="shared" si="570"/>
        <v>55.969124989286001</v>
      </c>
      <c r="BM453" s="483">
        <f t="shared" si="570"/>
        <v>55.969124989286001</v>
      </c>
      <c r="BN453" s="483">
        <f t="shared" si="570"/>
        <v>55.969124989286229</v>
      </c>
      <c r="BO453" s="483">
        <f t="shared" si="570"/>
        <v>55.969124989286001</v>
      </c>
      <c r="BP453" s="483">
        <f t="shared" si="570"/>
        <v>55.969124989286001</v>
      </c>
      <c r="BQ453" s="645">
        <f t="shared" si="570"/>
        <v>55.969124989286001</v>
      </c>
      <c r="BR453" s="483">
        <f t="shared" si="570"/>
        <v>55.969124989286001</v>
      </c>
      <c r="BS453" s="483">
        <f t="shared" si="570"/>
        <v>55.969124989285547</v>
      </c>
      <c r="BT453" s="483">
        <f t="shared" si="570"/>
        <v>55.969124989285547</v>
      </c>
      <c r="BU453" s="483">
        <f t="shared" si="570"/>
        <v>55.969124989285774</v>
      </c>
      <c r="BV453" s="645">
        <f t="shared" si="570"/>
        <v>55.969124989285547</v>
      </c>
      <c r="BW453" s="483">
        <f t="shared" si="570"/>
        <v>55.969124989285547</v>
      </c>
      <c r="BX453" s="483">
        <f t="shared" si="570"/>
        <v>55.969124989285092</v>
      </c>
      <c r="BY453" s="483">
        <f t="shared" si="570"/>
        <v>55.969124989284637</v>
      </c>
      <c r="BZ453" s="483">
        <f t="shared" si="570"/>
        <v>55.969124989284182</v>
      </c>
      <c r="CA453" s="645">
        <f t="shared" si="570"/>
        <v>55.969124989284182</v>
      </c>
      <c r="CC453" s="29"/>
      <c r="CD453" s="29"/>
      <c r="CE453" s="483"/>
      <c r="CF453" s="483"/>
      <c r="CG453" s="483"/>
      <c r="CH453" s="483"/>
      <c r="CI453" s="483"/>
      <c r="CJ453" s="483"/>
      <c r="CK453" s="483"/>
      <c r="CL453" s="483"/>
      <c r="CM453" s="483"/>
      <c r="CN453" s="483"/>
      <c r="CO453" s="483"/>
      <c r="CP453" s="188"/>
      <c r="CQ453" s="188"/>
      <c r="CR453" s="188"/>
      <c r="CS453" s="188"/>
      <c r="CT453" s="188"/>
      <c r="CU453" s="188"/>
      <c r="DB453" s="1961"/>
      <c r="DC453" s="1961"/>
      <c r="DD453" s="1961"/>
      <c r="DE453" s="1961"/>
      <c r="DF453" s="1961"/>
      <c r="DG453" s="1961"/>
      <c r="DH453" s="1961"/>
      <c r="DI453" s="657"/>
    </row>
    <row r="454" spans="1:113" ht="5.0999999999999996" customHeight="1" collapsed="1" thickBot="1" x14ac:dyDescent="0.3">
      <c r="A454" s="922"/>
      <c r="B454" s="1031"/>
      <c r="C454" s="1032"/>
      <c r="D454" s="1032"/>
      <c r="E454" s="1033"/>
      <c r="F454" s="1033"/>
      <c r="G454" s="1033"/>
      <c r="H454" s="884"/>
      <c r="I454" s="1034"/>
      <c r="J454" s="1033"/>
      <c r="K454" s="1033"/>
      <c r="L454" s="1033"/>
      <c r="M454" s="884"/>
      <c r="N454" s="1032"/>
      <c r="O454" s="1033"/>
      <c r="P454" s="1033"/>
      <c r="Q454" s="1033"/>
      <c r="R454" s="1033"/>
      <c r="S454" s="1032"/>
      <c r="T454" s="1034"/>
      <c r="U454" s="1033"/>
      <c r="V454" s="1033"/>
      <c r="W454" s="1033"/>
      <c r="X454" s="1032"/>
      <c r="Y454" s="1033"/>
      <c r="Z454" s="1033"/>
      <c r="AA454" s="1033"/>
      <c r="AB454" s="1033"/>
      <c r="AC454" s="1032"/>
      <c r="AD454" s="1033"/>
      <c r="AE454" s="1033"/>
      <c r="AF454" s="1033"/>
      <c r="AG454" s="1033"/>
      <c r="AH454" s="1032"/>
      <c r="AI454" s="1033"/>
      <c r="AJ454" s="1033"/>
      <c r="AK454" s="1033"/>
      <c r="AL454" s="1033"/>
      <c r="AM454" s="1032"/>
      <c r="AN454" s="1033"/>
      <c r="AO454" s="1033"/>
      <c r="AP454" s="1033"/>
      <c r="AQ454" s="1033"/>
      <c r="AR454" s="1032"/>
      <c r="AS454" s="1033"/>
      <c r="AT454" s="1033"/>
      <c r="AU454" s="1033"/>
      <c r="AV454" s="1033"/>
      <c r="AW454" s="1035"/>
      <c r="AX454" s="1033"/>
      <c r="AY454" s="1033"/>
      <c r="AZ454" s="1033"/>
      <c r="BA454" s="1033"/>
      <c r="BB454" s="1036"/>
      <c r="BC454" s="1033"/>
      <c r="BD454" s="1033"/>
      <c r="BE454" s="1033"/>
      <c r="BF454" s="1033"/>
      <c r="BG454" s="1036"/>
      <c r="BH454" s="1033"/>
      <c r="BI454" s="1033"/>
      <c r="BJ454" s="1033"/>
      <c r="BK454" s="1033"/>
      <c r="BL454" s="1036"/>
      <c r="BM454" s="1033"/>
      <c r="BN454" s="1033"/>
      <c r="BO454" s="1033"/>
      <c r="BP454" s="1033"/>
      <c r="BQ454" s="1036"/>
      <c r="BR454" s="1033"/>
      <c r="BS454" s="1033"/>
      <c r="BT454" s="1033"/>
      <c r="BU454" s="1033"/>
      <c r="BV454" s="1036"/>
      <c r="BW454" s="1033"/>
      <c r="BX454" s="1033"/>
      <c r="BY454" s="1033"/>
      <c r="BZ454" s="1033"/>
      <c r="CA454" s="1036"/>
      <c r="CC454" s="29"/>
      <c r="CD454" s="29"/>
      <c r="CE454" s="483"/>
      <c r="CF454" s="483"/>
      <c r="CG454" s="483"/>
      <c r="CH454" s="483"/>
      <c r="CI454" s="483"/>
      <c r="CJ454" s="483"/>
      <c r="CK454" s="483"/>
      <c r="CL454" s="483"/>
      <c r="CM454" s="483"/>
      <c r="CN454" s="483"/>
      <c r="CO454" s="483"/>
      <c r="CP454" s="188"/>
      <c r="CQ454" s="188"/>
      <c r="CR454" s="188"/>
      <c r="CS454" s="188"/>
      <c r="CT454" s="188"/>
      <c r="CU454" s="188"/>
      <c r="DB454" s="1961"/>
      <c r="DC454" s="1961"/>
      <c r="DD454" s="1961"/>
      <c r="DE454" s="1961"/>
      <c r="DF454" s="1961"/>
      <c r="DG454" s="1961"/>
      <c r="DH454" s="1961"/>
      <c r="DI454" s="657"/>
    </row>
    <row r="455" spans="1:113" ht="5.0999999999999996" customHeight="1" x14ac:dyDescent="0.25">
      <c r="A455" s="46"/>
      <c r="B455" s="1037"/>
      <c r="C455" s="1038"/>
      <c r="D455" s="1039"/>
      <c r="E455" s="483"/>
      <c r="F455" s="483"/>
      <c r="G455" s="483"/>
      <c r="H455" s="29"/>
      <c r="I455" s="1039"/>
      <c r="J455" s="483"/>
      <c r="K455" s="483"/>
      <c r="L455" s="483"/>
      <c r="M455" s="29"/>
      <c r="N455" s="1039"/>
      <c r="O455" s="483"/>
      <c r="P455" s="483"/>
      <c r="Q455" s="483"/>
      <c r="R455" s="483"/>
      <c r="S455" s="1039"/>
      <c r="T455" s="483"/>
      <c r="U455" s="483"/>
      <c r="V455" s="483"/>
      <c r="W455" s="483"/>
      <c r="X455" s="1039"/>
      <c r="Y455" s="483"/>
      <c r="Z455" s="483"/>
      <c r="AA455" s="483"/>
      <c r="AB455" s="483"/>
      <c r="AC455" s="897"/>
      <c r="AD455" s="483"/>
      <c r="AE455" s="483"/>
      <c r="AF455" s="483"/>
      <c r="AG455" s="483"/>
      <c r="AH455" s="897"/>
      <c r="AI455" s="483"/>
      <c r="AJ455" s="483"/>
      <c r="AK455" s="483"/>
      <c r="AL455" s="483"/>
      <c r="AM455" s="897"/>
      <c r="AN455" s="483"/>
      <c r="AO455" s="483"/>
      <c r="AP455" s="483"/>
      <c r="AQ455" s="483"/>
      <c r="AR455" s="897"/>
      <c r="AS455" s="483"/>
      <c r="AT455" s="483"/>
      <c r="AU455" s="483"/>
      <c r="AV455" s="483"/>
      <c r="AW455" s="644"/>
      <c r="AX455" s="483"/>
      <c r="AY455" s="483"/>
      <c r="AZ455" s="483"/>
      <c r="BA455" s="483"/>
      <c r="BB455" s="645"/>
      <c r="BC455" s="483"/>
      <c r="BD455" s="483"/>
      <c r="BE455" s="483"/>
      <c r="BF455" s="483"/>
      <c r="BG455" s="645"/>
      <c r="BH455" s="483"/>
      <c r="BI455" s="483"/>
      <c r="BJ455" s="483"/>
      <c r="BK455" s="483"/>
      <c r="BL455" s="645"/>
      <c r="BM455" s="483"/>
      <c r="BN455" s="483"/>
      <c r="BO455" s="483"/>
      <c r="BP455" s="483"/>
      <c r="BQ455" s="645"/>
      <c r="BR455" s="483"/>
      <c r="BS455" s="483"/>
      <c r="BT455" s="483"/>
      <c r="BU455" s="483"/>
      <c r="BV455" s="645"/>
      <c r="BW455" s="483"/>
      <c r="BX455" s="483"/>
      <c r="BY455" s="483"/>
      <c r="BZ455" s="483"/>
      <c r="CA455" s="645"/>
      <c r="CC455" s="29"/>
      <c r="CD455" s="29"/>
      <c r="CE455" s="483"/>
      <c r="CF455" s="483"/>
      <c r="CG455" s="483"/>
      <c r="CH455" s="483"/>
      <c r="CI455" s="483"/>
      <c r="CJ455" s="483"/>
      <c r="CK455" s="483"/>
      <c r="CL455" s="483"/>
      <c r="CM455" s="483"/>
      <c r="CN455" s="483"/>
      <c r="CO455" s="483"/>
      <c r="CP455" s="188"/>
      <c r="CQ455" s="188"/>
      <c r="CR455" s="188"/>
      <c r="CS455" s="188"/>
      <c r="CT455" s="188"/>
      <c r="CU455" s="188"/>
      <c r="DB455" s="1961"/>
      <c r="DC455" s="1961"/>
      <c r="DD455" s="1961"/>
      <c r="DE455" s="1961"/>
      <c r="DF455" s="1961"/>
      <c r="DG455" s="1961"/>
      <c r="DH455" s="1961"/>
      <c r="DI455" s="657"/>
    </row>
    <row r="456" spans="1:113" x14ac:dyDescent="0.25">
      <c r="A456" s="1040" t="s">
        <v>300</v>
      </c>
      <c r="B456" s="633"/>
      <c r="C456" s="633"/>
      <c r="D456" s="634"/>
      <c r="E456" s="656"/>
      <c r="F456" s="656"/>
      <c r="G456" s="656"/>
      <c r="H456" s="656"/>
      <c r="I456" s="913"/>
      <c r="J456" s="656"/>
      <c r="K456" s="656"/>
      <c r="L456" s="656"/>
      <c r="M456" s="656"/>
      <c r="N456" s="634"/>
      <c r="O456" s="656"/>
      <c r="P456" s="9"/>
      <c r="Q456" s="9"/>
      <c r="R456" s="9"/>
      <c r="S456" s="634"/>
      <c r="T456" s="656"/>
      <c r="U456" s="9"/>
      <c r="V456" s="9"/>
      <c r="W456" s="9"/>
      <c r="X456" s="634"/>
      <c r="Y456" s="9"/>
      <c r="Z456" s="9"/>
      <c r="AA456" s="9"/>
      <c r="AB456" s="9"/>
      <c r="AC456" s="634"/>
      <c r="AD456" s="9"/>
      <c r="AE456" s="9"/>
      <c r="AF456" s="9"/>
      <c r="AG456" s="9"/>
      <c r="AH456" s="634"/>
      <c r="AI456" s="9"/>
      <c r="AJ456" s="9"/>
      <c r="AK456" s="9"/>
      <c r="AL456" s="9"/>
      <c r="AM456" s="634"/>
      <c r="AN456" s="9"/>
      <c r="AO456" s="9"/>
      <c r="AP456" s="9"/>
      <c r="AQ456" s="9"/>
      <c r="AR456" s="634"/>
      <c r="AS456" s="9"/>
      <c r="AT456" s="9"/>
      <c r="AU456" s="9"/>
      <c r="AV456" s="9"/>
      <c r="AW456" s="634"/>
      <c r="AX456" s="9"/>
      <c r="AY456" s="9"/>
      <c r="AZ456" s="9"/>
      <c r="BA456" s="9"/>
      <c r="BB456" s="635"/>
      <c r="BC456" s="9"/>
      <c r="BD456" s="9"/>
      <c r="BE456" s="9"/>
      <c r="BF456" s="9"/>
      <c r="BG456" s="635"/>
      <c r="BH456" s="9"/>
      <c r="BI456" s="9"/>
      <c r="BJ456" s="9"/>
      <c r="BK456" s="9"/>
      <c r="BL456" s="635"/>
      <c r="BM456" s="9"/>
      <c r="BN456" s="9"/>
      <c r="BO456" s="9"/>
      <c r="BP456" s="9"/>
      <c r="BQ456" s="635"/>
      <c r="BR456" s="9"/>
      <c r="BS456" s="9"/>
      <c r="BT456" s="9"/>
      <c r="BU456" s="9"/>
      <c r="BV456" s="635"/>
      <c r="BW456" s="9"/>
      <c r="BX456" s="9"/>
      <c r="BY456" s="9"/>
      <c r="BZ456" s="9"/>
      <c r="CA456" s="635"/>
      <c r="CC456" s="29"/>
      <c r="CD456" s="29"/>
      <c r="CE456" s="29"/>
      <c r="CF456" s="29"/>
      <c r="CG456" s="29"/>
      <c r="CH456" s="29"/>
      <c r="CI456" s="29"/>
      <c r="CJ456" s="29"/>
      <c r="CK456" s="29"/>
      <c r="CL456" s="29"/>
      <c r="CM456" s="29"/>
      <c r="CN456" s="29"/>
      <c r="CO456" s="29"/>
      <c r="CP456" s="188"/>
      <c r="CQ456" s="188"/>
      <c r="CR456" s="188"/>
      <c r="CS456" s="188"/>
      <c r="CT456" s="188"/>
      <c r="CU456" s="188"/>
      <c r="DB456" s="1961"/>
      <c r="DC456" s="1961"/>
      <c r="DD456" s="1961"/>
      <c r="DE456" s="1961"/>
      <c r="DF456" s="1961"/>
      <c r="DG456" s="1961"/>
      <c r="DH456" s="1961"/>
      <c r="DI456" s="9"/>
    </row>
    <row r="457" spans="1:113" ht="12" customHeight="1" x14ac:dyDescent="0.25">
      <c r="A457" s="657" t="s">
        <v>301</v>
      </c>
      <c r="B457" s="641"/>
      <c r="C457" s="641">
        <f t="shared" ref="C457:H457" si="571">C29</f>
        <v>261.82600000000008</v>
      </c>
      <c r="D457" s="639">
        <f t="shared" si="571"/>
        <v>298.20500000000004</v>
      </c>
      <c r="E457" s="640">
        <f t="shared" si="571"/>
        <v>83.922000000000011</v>
      </c>
      <c r="F457" s="640">
        <f t="shared" si="571"/>
        <v>83.963999999999999</v>
      </c>
      <c r="G457" s="640">
        <f t="shared" si="571"/>
        <v>87.390999999999991</v>
      </c>
      <c r="H457" s="640">
        <f t="shared" si="571"/>
        <v>82.151000000000025</v>
      </c>
      <c r="I457" s="639">
        <f>SUM(E457:H457)</f>
        <v>337.42800000000005</v>
      </c>
      <c r="J457" s="640">
        <f>J29</f>
        <v>93.633999999999986</v>
      </c>
      <c r="K457" s="640">
        <f>K29</f>
        <v>94.350000000000009</v>
      </c>
      <c r="L457" s="640">
        <f>L29</f>
        <v>93.818999999999988</v>
      </c>
      <c r="M457" s="640">
        <f>M29</f>
        <v>93.610999999999962</v>
      </c>
      <c r="N457" s="639">
        <f>SUM(J457:M457)</f>
        <v>375.41399999999999</v>
      </c>
      <c r="O457" s="640">
        <f>O29</f>
        <v>104.90800000000002</v>
      </c>
      <c r="P457" s="640">
        <f>P29</f>
        <v>106.03299999999999</v>
      </c>
      <c r="Q457" s="656">
        <f>Q29</f>
        <v>102.42800000000005</v>
      </c>
      <c r="R457" s="656">
        <f>R29</f>
        <v>59.836999999999989</v>
      </c>
      <c r="S457" s="639">
        <f t="shared" ref="S457:X457" si="572">S29</f>
        <v>373.20600000000013</v>
      </c>
      <c r="T457" s="640">
        <f t="shared" si="572"/>
        <v>123.64699999999999</v>
      </c>
      <c r="U457" s="640">
        <f t="shared" si="572"/>
        <v>124.03900000000002</v>
      </c>
      <c r="V457" s="656">
        <f t="shared" si="572"/>
        <v>129.36700000000005</v>
      </c>
      <c r="W457" s="656">
        <f t="shared" si="572"/>
        <v>131.44299999999998</v>
      </c>
      <c r="X457" s="639">
        <f t="shared" si="572"/>
        <v>508.49600000000009</v>
      </c>
      <c r="Y457" s="640">
        <f>Y29</f>
        <v>139.05700000000002</v>
      </c>
      <c r="Z457" s="640">
        <f>Z29</f>
        <v>140.18600000000004</v>
      </c>
      <c r="AA457" s="640">
        <f>AA29</f>
        <v>151.00400000000002</v>
      </c>
      <c r="AB457" s="640">
        <f>AB29</f>
        <v>158.38899999999995</v>
      </c>
      <c r="AC457" s="639">
        <f>AC29</f>
        <v>588.63600000000019</v>
      </c>
      <c r="AD457" s="640">
        <f t="shared" ref="AD457:BG457" si="573">AD29</f>
        <v>159.19200000000001</v>
      </c>
      <c r="AE457" s="640">
        <f t="shared" si="573"/>
        <v>163.67899999999997</v>
      </c>
      <c r="AF457" s="640">
        <f t="shared" si="573"/>
        <v>183.40700000000001</v>
      </c>
      <c r="AG457" s="640">
        <f t="shared" si="573"/>
        <v>189.50900000000001</v>
      </c>
      <c r="AH457" s="639">
        <f t="shared" si="573"/>
        <v>695.78700000000003</v>
      </c>
      <c r="AI457" s="640">
        <f>AI29</f>
        <v>176.74299999999999</v>
      </c>
      <c r="AJ457" s="640">
        <f>AJ29</f>
        <v>179.73999999999998</v>
      </c>
      <c r="AK457" s="640">
        <f t="shared" si="573"/>
        <v>198.83799999999997</v>
      </c>
      <c r="AL457" s="640">
        <f t="shared" si="573"/>
        <v>188.88800000000001</v>
      </c>
      <c r="AM457" s="639">
        <f t="shared" si="573"/>
        <v>744.20900000000006</v>
      </c>
      <c r="AN457" s="640">
        <f t="shared" si="573"/>
        <v>182.83599999999996</v>
      </c>
      <c r="AO457" s="640">
        <f t="shared" si="573"/>
        <v>194.01</v>
      </c>
      <c r="AP457" s="640">
        <f t="shared" si="573"/>
        <v>211.62800000000004</v>
      </c>
      <c r="AQ457" s="640">
        <f t="shared" si="573"/>
        <v>214.34799999999998</v>
      </c>
      <c r="AR457" s="639">
        <f t="shared" si="573"/>
        <v>802.82199999999989</v>
      </c>
      <c r="AS457" s="640">
        <f t="shared" si="573"/>
        <v>216.875</v>
      </c>
      <c r="AT457" s="640">
        <f t="shared" si="573"/>
        <v>211.16199999999992</v>
      </c>
      <c r="AU457" s="640">
        <f t="shared" si="573"/>
        <v>260.92399999999998</v>
      </c>
      <c r="AV457" s="640">
        <f t="shared" si="573"/>
        <v>263.10000000000014</v>
      </c>
      <c r="AW457" s="639">
        <f t="shared" si="573"/>
        <v>952.06099999999969</v>
      </c>
      <c r="AX457" s="640">
        <f t="shared" si="573"/>
        <v>248.38700000000003</v>
      </c>
      <c r="AY457" s="640">
        <f t="shared" si="573"/>
        <v>244.27299999999991</v>
      </c>
      <c r="AZ457" s="640">
        <f t="shared" si="573"/>
        <v>250.602</v>
      </c>
      <c r="BA457" s="640">
        <f t="shared" si="573"/>
        <v>235.90000000000003</v>
      </c>
      <c r="BB457" s="642">
        <f t="shared" si="573"/>
        <v>979.16199999999981</v>
      </c>
      <c r="BC457" s="640">
        <f t="shared" si="573"/>
        <v>243.79999999999995</v>
      </c>
      <c r="BD457" s="640">
        <f t="shared" si="573"/>
        <v>250.70000000000005</v>
      </c>
      <c r="BE457" s="640">
        <f t="shared" si="573"/>
        <v>269.69999999999993</v>
      </c>
      <c r="BF457" s="640">
        <f t="shared" si="573"/>
        <v>274.39999999999998</v>
      </c>
      <c r="BG457" s="642">
        <f t="shared" si="573"/>
        <v>1038.6000000000004</v>
      </c>
      <c r="BH457" s="640">
        <f t="shared" ref="BH457:CA457" si="574">BH29</f>
        <v>268.69212769731797</v>
      </c>
      <c r="BI457" s="640">
        <f t="shared" si="574"/>
        <v>274.9064271430733</v>
      </c>
      <c r="BJ457" s="640">
        <f t="shared" si="574"/>
        <v>292.67235042418281</v>
      </c>
      <c r="BK457" s="640">
        <f t="shared" si="574"/>
        <v>292.98453958837644</v>
      </c>
      <c r="BL457" s="642">
        <f t="shared" si="574"/>
        <v>1129.2554448529504</v>
      </c>
      <c r="BM457" s="640">
        <f t="shared" si="574"/>
        <v>285.44939369747124</v>
      </c>
      <c r="BN457" s="640">
        <f t="shared" si="574"/>
        <v>292.31414929336967</v>
      </c>
      <c r="BO457" s="640">
        <f t="shared" si="574"/>
        <v>311.24028628305382</v>
      </c>
      <c r="BP457" s="640">
        <f t="shared" si="574"/>
        <v>311.84117887415096</v>
      </c>
      <c r="BQ457" s="642">
        <f t="shared" si="574"/>
        <v>1200.8450081480457</v>
      </c>
      <c r="BR457" s="640">
        <f t="shared" si="574"/>
        <v>303.09166552831198</v>
      </c>
      <c r="BS457" s="640">
        <f t="shared" si="574"/>
        <v>310.43977653704405</v>
      </c>
      <c r="BT457" s="640">
        <f t="shared" si="574"/>
        <v>330.54008697683236</v>
      </c>
      <c r="BU457" s="640">
        <f t="shared" si="574"/>
        <v>331.20439773675423</v>
      </c>
      <c r="BV457" s="642">
        <f t="shared" si="574"/>
        <v>1275.2759267789424</v>
      </c>
      <c r="BW457" s="640">
        <f t="shared" si="574"/>
        <v>321.85068051768815</v>
      </c>
      <c r="BX457" s="640">
        <f t="shared" si="574"/>
        <v>329.71698253060777</v>
      </c>
      <c r="BY457" s="640">
        <f t="shared" si="574"/>
        <v>351.0669711696662</v>
      </c>
      <c r="BZ457" s="640">
        <f t="shared" si="574"/>
        <v>351.80003057333982</v>
      </c>
      <c r="CA457" s="642">
        <f t="shared" si="574"/>
        <v>1354.4346647913019</v>
      </c>
      <c r="CC457" s="29"/>
      <c r="CD457" s="29"/>
      <c r="CE457" s="482"/>
      <c r="CF457" s="482"/>
      <c r="CG457" s="482"/>
      <c r="CH457" s="482"/>
      <c r="CI457" s="482"/>
      <c r="CJ457" s="482"/>
      <c r="CK457" s="482"/>
      <c r="CL457" s="482"/>
      <c r="CM457" s="482"/>
      <c r="CN457" s="482"/>
      <c r="CO457" s="482"/>
      <c r="CP457" s="188"/>
      <c r="CQ457" s="188"/>
      <c r="CR457" s="188"/>
      <c r="CS457" s="188"/>
      <c r="CT457" s="188"/>
      <c r="CU457" s="188"/>
      <c r="DB457" s="1961"/>
      <c r="DC457" s="1961"/>
      <c r="DD457" s="1961"/>
      <c r="DE457" s="1961"/>
      <c r="DF457" s="1961"/>
      <c r="DG457" s="1961"/>
      <c r="DH457" s="1961"/>
      <c r="DI457" s="640"/>
    </row>
    <row r="458" spans="1:113" ht="12" customHeight="1" x14ac:dyDescent="0.25">
      <c r="A458" s="657" t="s">
        <v>302</v>
      </c>
      <c r="B458" s="520"/>
      <c r="C458" s="520">
        <f>-C383</f>
        <v>-24.018999999999998</v>
      </c>
      <c r="D458" s="122">
        <f>-D383</f>
        <v>-25.742000000000001</v>
      </c>
      <c r="E458" s="126">
        <f>-E383</f>
        <v>-14.406000000000001</v>
      </c>
      <c r="F458" s="126">
        <f>-F383</f>
        <v>-8.6440000000000001</v>
      </c>
      <c r="G458" s="126">
        <f t="shared" ref="G458:M458" si="575">-G383</f>
        <v>-5.2779999999999987</v>
      </c>
      <c r="H458" s="126">
        <f t="shared" si="575"/>
        <v>-4.6130000000000031</v>
      </c>
      <c r="I458" s="122">
        <f>SUM(E458:H458)</f>
        <v>-32.941000000000003</v>
      </c>
      <c r="J458" s="1041">
        <f t="shared" si="575"/>
        <v>-9.766</v>
      </c>
      <c r="K458" s="126">
        <f t="shared" si="575"/>
        <v>-8.0439999999999987</v>
      </c>
      <c r="L458" s="126">
        <f t="shared" si="575"/>
        <v>-4.5130000000000017</v>
      </c>
      <c r="M458" s="126">
        <f t="shared" si="575"/>
        <v>-8.3290000000000006</v>
      </c>
      <c r="N458" s="122">
        <f>SUM(J458:M458)</f>
        <v>-30.652000000000001</v>
      </c>
      <c r="O458" s="1041">
        <f>-O383</f>
        <v>-8.359</v>
      </c>
      <c r="P458" s="126">
        <f>-P383</f>
        <v>-7.8360000000000003</v>
      </c>
      <c r="Q458" s="126">
        <f>-Q383</f>
        <v>-8.1239999999999988</v>
      </c>
      <c r="R458" s="126">
        <f>-R383</f>
        <v>-14.375000000000004</v>
      </c>
      <c r="S458" s="122">
        <f t="shared" ref="S458:X458" si="576">-S383</f>
        <v>-38.694000000000003</v>
      </c>
      <c r="T458" s="1041">
        <f t="shared" si="576"/>
        <v>-7.4980000000000002</v>
      </c>
      <c r="U458" s="126">
        <f t="shared" si="576"/>
        <v>-8.0719999999999992</v>
      </c>
      <c r="V458" s="126">
        <f t="shared" si="576"/>
        <v>-6.6359999999999992</v>
      </c>
      <c r="W458" s="126">
        <f t="shared" si="576"/>
        <v>-16.434999999999999</v>
      </c>
      <c r="X458" s="122">
        <f t="shared" si="576"/>
        <v>-38.640999999999998</v>
      </c>
      <c r="Y458" s="126">
        <f>-Y383</f>
        <v>-13.648</v>
      </c>
      <c r="Z458" s="126">
        <f>-Z383</f>
        <v>-14.523</v>
      </c>
      <c r="AA458" s="126">
        <f>-AA383</f>
        <v>-13.753999999999998</v>
      </c>
      <c r="AB458" s="126">
        <f>-AB383</f>
        <v>-17.904000000000003</v>
      </c>
      <c r="AC458" s="122">
        <f>-AC383</f>
        <v>-59.829000000000001</v>
      </c>
      <c r="AD458" s="126">
        <f t="shared" ref="AD458:BG458" si="577">-AD383</f>
        <v>-17.442</v>
      </c>
      <c r="AE458" s="126">
        <f t="shared" si="577"/>
        <v>-19.089999999999996</v>
      </c>
      <c r="AF458" s="126">
        <f t="shared" si="577"/>
        <v>-19.192</v>
      </c>
      <c r="AG458" s="126">
        <f t="shared" si="577"/>
        <v>-18.649000000000008</v>
      </c>
      <c r="AH458" s="122">
        <f t="shared" si="577"/>
        <v>-74.373000000000005</v>
      </c>
      <c r="AI458" s="126">
        <f>-AI383</f>
        <v>-28.065000000000001</v>
      </c>
      <c r="AJ458" s="126">
        <f>-AJ383</f>
        <v>-35.44</v>
      </c>
      <c r="AK458" s="126">
        <f t="shared" si="577"/>
        <v>-44.410000000000011</v>
      </c>
      <c r="AL458" s="126">
        <f t="shared" si="577"/>
        <v>-38.060999999999993</v>
      </c>
      <c r="AM458" s="122">
        <f t="shared" si="577"/>
        <v>-145.976</v>
      </c>
      <c r="AN458" s="126">
        <f t="shared" si="577"/>
        <v>-36.143999999999998</v>
      </c>
      <c r="AO458" s="126">
        <f t="shared" si="577"/>
        <v>-39.619999999999997</v>
      </c>
      <c r="AP458" s="126">
        <f t="shared" si="577"/>
        <v>-27.228000000000009</v>
      </c>
      <c r="AQ458" s="126">
        <f t="shared" si="577"/>
        <v>-43.826000000000008</v>
      </c>
      <c r="AR458" s="122">
        <f t="shared" si="577"/>
        <v>-146.81800000000001</v>
      </c>
      <c r="AS458" s="126">
        <f t="shared" si="577"/>
        <v>-24.76</v>
      </c>
      <c r="AT458" s="126">
        <f>-AT383</f>
        <v>-35.331999999999994</v>
      </c>
      <c r="AU458" s="126">
        <f t="shared" si="577"/>
        <v>-45.673000000000002</v>
      </c>
      <c r="AV458" s="126">
        <f t="shared" si="577"/>
        <v>-60.373000000000005</v>
      </c>
      <c r="AW458" s="122">
        <f t="shared" si="577"/>
        <v>-166.13800000000001</v>
      </c>
      <c r="AX458" s="126">
        <f t="shared" si="577"/>
        <v>-30.763000000000002</v>
      </c>
      <c r="AY458" s="126">
        <f t="shared" si="577"/>
        <v>-31.468</v>
      </c>
      <c r="AZ458" s="126">
        <f t="shared" si="577"/>
        <v>-36.338999999999992</v>
      </c>
      <c r="BA458" s="126">
        <f t="shared" si="577"/>
        <v>-57.930000000000007</v>
      </c>
      <c r="BB458" s="216">
        <f t="shared" si="577"/>
        <v>-156.5</v>
      </c>
      <c r="BC458" s="126">
        <f t="shared" si="577"/>
        <v>-31.1</v>
      </c>
      <c r="BD458" s="126">
        <f t="shared" si="577"/>
        <v>-41.4</v>
      </c>
      <c r="BE458" s="126">
        <f t="shared" si="577"/>
        <v>-41.300000000000004</v>
      </c>
      <c r="BF458" s="126">
        <f t="shared" si="577"/>
        <v>-69.699999999999989</v>
      </c>
      <c r="BG458" s="216">
        <f t="shared" si="577"/>
        <v>-183.5</v>
      </c>
      <c r="BH458" s="126">
        <f t="shared" ref="BH458:CA458" si="578">-BH383</f>
        <v>-40.837905698368488</v>
      </c>
      <c r="BI458" s="126">
        <f t="shared" si="578"/>
        <v>-51.933537889908244</v>
      </c>
      <c r="BJ458" s="126">
        <f t="shared" si="578"/>
        <v>-50.977421134583878</v>
      </c>
      <c r="BK458" s="126">
        <f t="shared" si="578"/>
        <v>-80.698133696300175</v>
      </c>
      <c r="BL458" s="216">
        <f t="shared" si="578"/>
        <v>-224.44699841916079</v>
      </c>
      <c r="BM458" s="126">
        <f t="shared" si="578"/>
        <v>-37.148866154994032</v>
      </c>
      <c r="BN458" s="126">
        <f t="shared" si="578"/>
        <v>-48.762677047018336</v>
      </c>
      <c r="BO458" s="126">
        <f t="shared" si="578"/>
        <v>-47.59921678177929</v>
      </c>
      <c r="BP458" s="126">
        <f t="shared" si="578"/>
        <v>-78.976880564615115</v>
      </c>
      <c r="BQ458" s="216">
        <f t="shared" si="578"/>
        <v>-212.48764054840677</v>
      </c>
      <c r="BR458" s="126">
        <f t="shared" si="578"/>
        <v>-33.524981871501538</v>
      </c>
      <c r="BS458" s="126">
        <f t="shared" si="578"/>
        <v>-45.642172652306421</v>
      </c>
      <c r="BT458" s="126">
        <f t="shared" si="578"/>
        <v>-44.262345799311653</v>
      </c>
      <c r="BU458" s="126">
        <f t="shared" si="578"/>
        <v>-77.27504914828188</v>
      </c>
      <c r="BV458" s="216">
        <f t="shared" si="578"/>
        <v>-200.70454947140149</v>
      </c>
      <c r="BW458" s="126">
        <f t="shared" si="578"/>
        <v>-32.060319684863096</v>
      </c>
      <c r="BX458" s="126">
        <f t="shared" si="578"/>
        <v>-44.772861956146265</v>
      </c>
      <c r="BY458" s="126">
        <f t="shared" si="578"/>
        <v>-43.228814161451965</v>
      </c>
      <c r="BZ458" s="126">
        <f t="shared" si="578"/>
        <v>-78.025619720317792</v>
      </c>
      <c r="CA458" s="216">
        <f t="shared" si="578"/>
        <v>-198.08761552277912</v>
      </c>
      <c r="CC458" s="29"/>
      <c r="CD458" s="29"/>
      <c r="CE458" s="120"/>
      <c r="CF458" s="120"/>
      <c r="CG458" s="120"/>
      <c r="CH458" s="120"/>
      <c r="CI458" s="120"/>
      <c r="CJ458" s="120"/>
      <c r="CK458" s="120"/>
      <c r="CL458" s="120"/>
      <c r="CM458" s="120"/>
      <c r="CN458" s="120"/>
      <c r="CO458" s="120"/>
      <c r="CP458" s="188"/>
      <c r="CQ458" s="188"/>
      <c r="CR458" s="188"/>
      <c r="CS458" s="188"/>
      <c r="CT458" s="188"/>
      <c r="CU458" s="188"/>
      <c r="DB458" s="1961"/>
      <c r="DC458" s="1961"/>
      <c r="DD458" s="1961"/>
      <c r="DE458" s="1961"/>
      <c r="DF458" s="1961"/>
      <c r="DG458" s="1961"/>
      <c r="DH458" s="1961"/>
      <c r="DI458" s="126"/>
    </row>
    <row r="459" spans="1:113" ht="12" customHeight="1" x14ac:dyDescent="0.25">
      <c r="A459" s="657" t="s">
        <v>303</v>
      </c>
      <c r="B459" s="520"/>
      <c r="C459" s="520">
        <v>0</v>
      </c>
      <c r="D459" s="278">
        <v>0</v>
      </c>
      <c r="E459" s="516">
        <v>-7.9130000000000003</v>
      </c>
      <c r="F459" s="516">
        <f>-17.136-E459</f>
        <v>-9.222999999999999</v>
      </c>
      <c r="G459" s="516">
        <f>-26.602-SUM(E459:F459)</f>
        <v>-9.4660000000000011</v>
      </c>
      <c r="H459" s="516">
        <f>-35.973-SUM(E459:G459)</f>
        <v>-9.3709999999999987</v>
      </c>
      <c r="I459" s="122">
        <f>SUM(E459:H459)</f>
        <v>-35.972999999999999</v>
      </c>
      <c r="J459" s="516">
        <v>-6.4720000000000004</v>
      </c>
      <c r="K459" s="516">
        <f>-10.064-J459</f>
        <v>-3.5919999999999996</v>
      </c>
      <c r="L459" s="516">
        <f>-17.215-SUM(J459:K459)</f>
        <v>-7.1509999999999998</v>
      </c>
      <c r="M459" s="516">
        <f>-22.475-SUM(J459:L459)</f>
        <v>-5.2600000000000016</v>
      </c>
      <c r="N459" s="122">
        <f>SUM(J459:M459)</f>
        <v>-22.475000000000001</v>
      </c>
      <c r="O459" s="516">
        <v>-5.0549999999999997</v>
      </c>
      <c r="P459" s="516">
        <f>-16.527-O459</f>
        <v>-11.472000000000001</v>
      </c>
      <c r="Q459" s="126">
        <f>+Q418-Q423</f>
        <v>-9.42</v>
      </c>
      <c r="R459" s="126">
        <f>+R418-R423</f>
        <v>-9.0650000000000031</v>
      </c>
      <c r="S459" s="122">
        <f t="shared" ref="S459:X459" si="579">+S418-S423</f>
        <v>-35.07</v>
      </c>
      <c r="T459" s="126">
        <f t="shared" si="579"/>
        <v>-8.4339999999999993</v>
      </c>
      <c r="U459" s="126">
        <f t="shared" si="579"/>
        <v>-8.3529999999999998</v>
      </c>
      <c r="V459" s="126">
        <f t="shared" si="579"/>
        <v>-8.4250000000000007</v>
      </c>
      <c r="W459" s="126">
        <f t="shared" si="579"/>
        <v>-9.1470000000000002</v>
      </c>
      <c r="X459" s="122">
        <f t="shared" si="579"/>
        <v>-34.359000000000002</v>
      </c>
      <c r="Y459" s="126">
        <f>+Y418-Y423</f>
        <v>-9.6050000000000004</v>
      </c>
      <c r="Z459" s="126">
        <f>+Z418-Z423</f>
        <v>-14.895</v>
      </c>
      <c r="AA459" s="126">
        <f>+AA418-AA423</f>
        <v>-14.494</v>
      </c>
      <c r="AB459" s="126">
        <f>+AB418-AB423</f>
        <v>-14.651999999999999</v>
      </c>
      <c r="AC459" s="122">
        <f>+AC418-AC423</f>
        <v>-53.648696099830431</v>
      </c>
      <c r="AD459" s="126">
        <f t="shared" ref="AD459:BG459" si="580">+AD418-AD423</f>
        <v>-16.28</v>
      </c>
      <c r="AE459" s="126">
        <f t="shared" si="580"/>
        <v>-17.221</v>
      </c>
      <c r="AF459" s="126">
        <f t="shared" si="580"/>
        <v>-17.997</v>
      </c>
      <c r="AG459" s="126">
        <f t="shared" si="580"/>
        <v>-20.55</v>
      </c>
      <c r="AH459" s="122">
        <f t="shared" si="580"/>
        <v>-71.765789970485059</v>
      </c>
      <c r="AI459" s="126">
        <f>+AI418-AI423</f>
        <v>-20.045999999999999</v>
      </c>
      <c r="AJ459" s="126">
        <f>+AJ418-AJ423</f>
        <v>-19.664000000000001</v>
      </c>
      <c r="AK459" s="126">
        <f t="shared" si="580"/>
        <v>-18.466999999999999</v>
      </c>
      <c r="AL459" s="126">
        <f t="shared" si="580"/>
        <v>-17.250999999999998</v>
      </c>
      <c r="AM459" s="122">
        <f t="shared" si="580"/>
        <v>-75.42326083750001</v>
      </c>
      <c r="AN459" s="126">
        <f t="shared" si="580"/>
        <v>-17.419</v>
      </c>
      <c r="AO459" s="126">
        <f t="shared" si="580"/>
        <v>-17.384999999999998</v>
      </c>
      <c r="AP459" s="126">
        <f t="shared" si="580"/>
        <v>-17.783000000000001</v>
      </c>
      <c r="AQ459" s="126">
        <f t="shared" si="580"/>
        <v>-17.353999999999999</v>
      </c>
      <c r="AR459" s="122">
        <f t="shared" si="580"/>
        <v>-69.941000000000003</v>
      </c>
      <c r="AS459" s="126">
        <f t="shared" si="580"/>
        <v>-18.8</v>
      </c>
      <c r="AT459" s="126">
        <f>+AT418-AT423</f>
        <v>-37.882999999999996</v>
      </c>
      <c r="AU459" s="126">
        <f t="shared" si="580"/>
        <v>-33.003</v>
      </c>
      <c r="AV459" s="126">
        <f t="shared" si="580"/>
        <v>-32.539000000000001</v>
      </c>
      <c r="AW459" s="122">
        <f t="shared" si="580"/>
        <v>-122.22500000000001</v>
      </c>
      <c r="AX459" s="126">
        <f t="shared" si="580"/>
        <v>-31.987999999999996</v>
      </c>
      <c r="AY459" s="126">
        <f t="shared" si="580"/>
        <v>-31.434999999999999</v>
      </c>
      <c r="AZ459" s="126">
        <f t="shared" si="580"/>
        <v>-26.026</v>
      </c>
      <c r="BA459" s="126">
        <f t="shared" si="580"/>
        <v>-25.299999999999997</v>
      </c>
      <c r="BB459" s="216">
        <f t="shared" si="580"/>
        <v>-114.749</v>
      </c>
      <c r="BC459" s="126">
        <f t="shared" si="580"/>
        <v>-26.5</v>
      </c>
      <c r="BD459" s="126">
        <f t="shared" si="580"/>
        <v>-25.1</v>
      </c>
      <c r="BE459" s="126">
        <f t="shared" si="580"/>
        <v>-27.7</v>
      </c>
      <c r="BF459" s="126">
        <f t="shared" si="580"/>
        <v>-30.8</v>
      </c>
      <c r="BG459" s="216">
        <f t="shared" si="580"/>
        <v>-110.10000000000001</v>
      </c>
      <c r="BH459" s="126">
        <f t="shared" ref="BH459:CA459" si="581">+BH418-BH423</f>
        <v>-31.8550558482718</v>
      </c>
      <c r="BI459" s="126">
        <f t="shared" si="581"/>
        <v>-29.801766742187077</v>
      </c>
      <c r="BJ459" s="126">
        <f t="shared" si="581"/>
        <v>-29.813516613597514</v>
      </c>
      <c r="BK459" s="126">
        <f t="shared" si="581"/>
        <v>-30.037620673847833</v>
      </c>
      <c r="BL459" s="216">
        <f t="shared" si="581"/>
        <v>-121.50795987790423</v>
      </c>
      <c r="BM459" s="126">
        <f t="shared" si="581"/>
        <v>-30.696173487877985</v>
      </c>
      <c r="BN459" s="126">
        <f t="shared" si="581"/>
        <v>-28.770972546632379</v>
      </c>
      <c r="BO459" s="126">
        <f t="shared" si="581"/>
        <v>-29.028282124016222</v>
      </c>
      <c r="BP459" s="126">
        <f t="shared" si="581"/>
        <v>-29.513157428326096</v>
      </c>
      <c r="BQ459" s="216">
        <f t="shared" si="581"/>
        <v>-118.00858558685269</v>
      </c>
      <c r="BR459" s="126">
        <f t="shared" si="581"/>
        <v>-30.455331720887081</v>
      </c>
      <c r="BS459" s="126">
        <f t="shared" si="581"/>
        <v>-28.489141503909806</v>
      </c>
      <c r="BT459" s="126">
        <f t="shared" si="581"/>
        <v>-28.828089200519301</v>
      </c>
      <c r="BU459" s="126">
        <f t="shared" si="581"/>
        <v>-29.408179371171141</v>
      </c>
      <c r="BV459" s="216">
        <f t="shared" si="581"/>
        <v>-117.18074179648733</v>
      </c>
      <c r="BW459" s="126">
        <f t="shared" si="581"/>
        <v>-30.46858646101585</v>
      </c>
      <c r="BX459" s="126">
        <f t="shared" si="581"/>
        <v>-28.248284891807039</v>
      </c>
      <c r="BY459" s="126">
        <f t="shared" si="581"/>
        <v>-28.462302936617114</v>
      </c>
      <c r="BZ459" s="126">
        <f t="shared" si="581"/>
        <v>-28.931034846645602</v>
      </c>
      <c r="CA459" s="216">
        <f t="shared" si="581"/>
        <v>-116.11020913608562</v>
      </c>
      <c r="CC459" s="29"/>
      <c r="CD459" s="29"/>
      <c r="CE459" s="120"/>
      <c r="CF459" s="120"/>
      <c r="CG459" s="120"/>
      <c r="CH459" s="120"/>
      <c r="CI459" s="120"/>
      <c r="CJ459" s="120"/>
      <c r="CK459" s="120"/>
      <c r="CL459" s="120"/>
      <c r="CM459" s="120"/>
      <c r="CN459" s="120"/>
      <c r="CO459" s="120"/>
      <c r="CP459" s="188"/>
      <c r="CQ459" s="188"/>
      <c r="CR459" s="188"/>
      <c r="CS459" s="188"/>
      <c r="CT459" s="188"/>
      <c r="CU459" s="188"/>
      <c r="DB459" s="1961"/>
      <c r="DC459" s="1961"/>
      <c r="DD459" s="1961"/>
      <c r="DE459" s="1961"/>
      <c r="DF459" s="1961"/>
      <c r="DG459" s="1961"/>
      <c r="DH459" s="1961"/>
      <c r="DI459" s="126"/>
    </row>
    <row r="460" spans="1:113" ht="12" customHeight="1" x14ac:dyDescent="0.25">
      <c r="A460" s="657" t="s">
        <v>304</v>
      </c>
      <c r="B460" s="520"/>
      <c r="C460" s="520">
        <f t="shared" ref="C460:BB460" si="582">SUM(C126:C132)</f>
        <v>24.772999999999996</v>
      </c>
      <c r="D460" s="122">
        <f t="shared" si="582"/>
        <v>34.572000000000003</v>
      </c>
      <c r="E460" s="126">
        <f t="shared" si="582"/>
        <v>38.937000000000005</v>
      </c>
      <c r="F460" s="126">
        <f t="shared" si="582"/>
        <v>-36.521999999999998</v>
      </c>
      <c r="G460" s="126">
        <f t="shared" si="582"/>
        <v>10.774999999999999</v>
      </c>
      <c r="H460" s="126">
        <f t="shared" si="582"/>
        <v>-2.3919999999999964</v>
      </c>
      <c r="I460" s="122">
        <f t="shared" si="582"/>
        <v>10.798000000000002</v>
      </c>
      <c r="J460" s="126">
        <f t="shared" si="582"/>
        <v>35.933999999999997</v>
      </c>
      <c r="K460" s="126">
        <f t="shared" si="582"/>
        <v>-9.7739999999999956</v>
      </c>
      <c r="L460" s="126">
        <f t="shared" si="582"/>
        <v>-13.403000000000006</v>
      </c>
      <c r="M460" s="126">
        <f t="shared" si="582"/>
        <v>-20.792000000000002</v>
      </c>
      <c r="N460" s="122">
        <f t="shared" si="582"/>
        <v>-8.0350000000000019</v>
      </c>
      <c r="O460" s="126">
        <f t="shared" si="582"/>
        <v>63.445999999999998</v>
      </c>
      <c r="P460" s="126">
        <f t="shared" si="582"/>
        <v>-23.846999999999994</v>
      </c>
      <c r="Q460" s="126">
        <f t="shared" si="582"/>
        <v>-4.4420000000000002</v>
      </c>
      <c r="R460" s="126">
        <f t="shared" si="582"/>
        <v>3.1080000000000023</v>
      </c>
      <c r="S460" s="122">
        <f t="shared" si="582"/>
        <v>38.265000000000001</v>
      </c>
      <c r="T460" s="126">
        <f t="shared" si="582"/>
        <v>55.958999999999996</v>
      </c>
      <c r="U460" s="126">
        <f t="shared" si="582"/>
        <v>-39.298999999999999</v>
      </c>
      <c r="V460" s="126">
        <f t="shared" si="582"/>
        <v>-11.450000000000006</v>
      </c>
      <c r="W460" s="126">
        <f t="shared" si="582"/>
        <v>23.295999999999999</v>
      </c>
      <c r="X460" s="122">
        <f t="shared" si="582"/>
        <v>28.506</v>
      </c>
      <c r="Y460" s="126">
        <f>SUM(Y126:Y132)</f>
        <v>52.418999999999997</v>
      </c>
      <c r="Z460" s="126">
        <f>SUM(Z126:Z132)</f>
        <v>-49.499999999999986</v>
      </c>
      <c r="AA460" s="126">
        <f>SUM(AA126:AA132)</f>
        <v>40.254999999999981</v>
      </c>
      <c r="AB460" s="126">
        <f>SUM(AB126:AB132)</f>
        <v>-32.694999999999986</v>
      </c>
      <c r="AC460" s="122">
        <f t="shared" si="582"/>
        <v>10.479000000000006</v>
      </c>
      <c r="AD460" s="126">
        <f t="shared" si="582"/>
        <v>87.179999999999993</v>
      </c>
      <c r="AE460" s="126">
        <f t="shared" si="582"/>
        <v>-82.125000000000014</v>
      </c>
      <c r="AF460" s="126">
        <f t="shared" si="582"/>
        <v>35.367000000000033</v>
      </c>
      <c r="AG460" s="126">
        <f t="shared" si="582"/>
        <v>-50.525999999999996</v>
      </c>
      <c r="AH460" s="122">
        <f t="shared" si="582"/>
        <v>-10.103999999999999</v>
      </c>
      <c r="AI460" s="126">
        <f>SUM(AI126:AI132)</f>
        <v>104.09199999999998</v>
      </c>
      <c r="AJ460" s="126">
        <f>SUM(AJ126:AJ132)</f>
        <v>-46.486999999999995</v>
      </c>
      <c r="AK460" s="126">
        <f t="shared" si="582"/>
        <v>11.788</v>
      </c>
      <c r="AL460" s="126">
        <f t="shared" si="582"/>
        <v>-22.004999999999999</v>
      </c>
      <c r="AM460" s="122">
        <f t="shared" si="582"/>
        <v>47.387999999999991</v>
      </c>
      <c r="AN460" s="126">
        <f>SUM(AN126:AN132)</f>
        <v>141.209</v>
      </c>
      <c r="AO460" s="126">
        <f>SUM(AO126:AO132)</f>
        <v>-74.100000000000009</v>
      </c>
      <c r="AP460" s="126">
        <f>SUM(AP126:AP132)</f>
        <v>-43.17</v>
      </c>
      <c r="AQ460" s="126">
        <f t="shared" si="582"/>
        <v>-55.373999999999995</v>
      </c>
      <c r="AR460" s="122">
        <f>SUM(AR126:AR132)</f>
        <v>-31.434999999999995</v>
      </c>
      <c r="AS460" s="126">
        <f>SUM(AS126:AS132)</f>
        <v>123.82900000000001</v>
      </c>
      <c r="AT460" s="126">
        <f>SUM(AT126:AT132)</f>
        <v>-63.45</v>
      </c>
      <c r="AU460" s="126">
        <f>SUM(AU126:AU132)</f>
        <v>-13.700999999999997</v>
      </c>
      <c r="AV460" s="126">
        <f>SUM(AV126:AV132)</f>
        <v>-61.01400000000001</v>
      </c>
      <c r="AW460" s="122">
        <f t="shared" si="582"/>
        <v>-14.336000000000004</v>
      </c>
      <c r="AX460" s="126">
        <f t="shared" si="582"/>
        <v>113.208</v>
      </c>
      <c r="AY460" s="126">
        <f t="shared" si="582"/>
        <v>29.255999999999982</v>
      </c>
      <c r="AZ460" s="126">
        <f t="shared" si="582"/>
        <v>-83.342999999999989</v>
      </c>
      <c r="BA460" s="126">
        <f t="shared" si="582"/>
        <v>-98.221000000000004</v>
      </c>
      <c r="BB460" s="216">
        <f t="shared" si="582"/>
        <v>-39.100000000000009</v>
      </c>
      <c r="BC460" s="126">
        <f t="shared" ref="BC460:CA460" si="583">SUM(BC126:BC132)</f>
        <v>145.29999999999998</v>
      </c>
      <c r="BD460" s="126">
        <f t="shared" si="583"/>
        <v>-75.3</v>
      </c>
      <c r="BE460" s="126">
        <f t="shared" si="583"/>
        <v>-25.899999999999995</v>
      </c>
      <c r="BF460" s="126">
        <f t="shared" si="583"/>
        <v>-57.600000000000009</v>
      </c>
      <c r="BG460" s="216">
        <f t="shared" si="583"/>
        <v>-13.500000000000007</v>
      </c>
      <c r="BH460" s="126">
        <f t="shared" si="583"/>
        <v>193.72504878623118</v>
      </c>
      <c r="BI460" s="126">
        <f t="shared" si="583"/>
        <v>-33.467200357143014</v>
      </c>
      <c r="BJ460" s="126">
        <f t="shared" si="583"/>
        <v>-72.458199314941396</v>
      </c>
      <c r="BK460" s="126">
        <f t="shared" si="583"/>
        <v>-91.855062285530408</v>
      </c>
      <c r="BL460" s="216">
        <f t="shared" si="583"/>
        <v>-4.055413171383659</v>
      </c>
      <c r="BM460" s="126">
        <f t="shared" si="583"/>
        <v>205.02660165668635</v>
      </c>
      <c r="BN460" s="126">
        <f t="shared" si="583"/>
        <v>-35.261740246132071</v>
      </c>
      <c r="BO460" s="126">
        <f t="shared" si="583"/>
        <v>-76.896860056826057</v>
      </c>
      <c r="BP460" s="126">
        <f t="shared" si="583"/>
        <v>-97.241978549288973</v>
      </c>
      <c r="BQ460" s="216">
        <f t="shared" si="583"/>
        <v>-4.3739771955607694</v>
      </c>
      <c r="BR460" s="126">
        <f t="shared" si="583"/>
        <v>216.70579141112449</v>
      </c>
      <c r="BS460" s="126">
        <f t="shared" si="583"/>
        <v>-37.267272802310387</v>
      </c>
      <c r="BT460" s="126">
        <f t="shared" si="583"/>
        <v>-81.510400567026338</v>
      </c>
      <c r="BU460" s="126">
        <f t="shared" si="583"/>
        <v>-102.79008075227094</v>
      </c>
      <c r="BV460" s="216">
        <f t="shared" si="583"/>
        <v>-4.8619627104831622</v>
      </c>
      <c r="BW460" s="126">
        <f t="shared" si="583"/>
        <v>229.10381312700096</v>
      </c>
      <c r="BX460" s="126">
        <f t="shared" si="583"/>
        <v>-39.394050956309542</v>
      </c>
      <c r="BY460" s="126">
        <f t="shared" si="583"/>
        <v>-86.41381501080356</v>
      </c>
      <c r="BZ460" s="126">
        <f t="shared" si="583"/>
        <v>-108.66922908088723</v>
      </c>
      <c r="CA460" s="216">
        <f t="shared" si="583"/>
        <v>-5.3732819209993608</v>
      </c>
      <c r="CC460" s="29"/>
      <c r="CD460" s="29"/>
      <c r="CE460" s="120"/>
      <c r="CF460" s="120"/>
      <c r="CG460" s="120"/>
      <c r="CH460" s="120"/>
      <c r="CI460" s="120"/>
      <c r="CJ460" s="120"/>
      <c r="CK460" s="120"/>
      <c r="CL460" s="120"/>
      <c r="CM460" s="120"/>
      <c r="CN460" s="120"/>
      <c r="CO460" s="120"/>
      <c r="CP460" s="188"/>
      <c r="CQ460" s="188"/>
      <c r="CR460" s="188"/>
      <c r="CS460" s="188"/>
      <c r="CT460" s="188"/>
      <c r="CU460" s="188"/>
      <c r="DB460" s="1961"/>
      <c r="DC460" s="1961"/>
      <c r="DD460" s="1961"/>
      <c r="DE460" s="1961"/>
      <c r="DF460" s="1961"/>
      <c r="DG460" s="1961"/>
      <c r="DH460" s="1961"/>
      <c r="DI460" s="126"/>
    </row>
    <row r="461" spans="1:113" ht="12" customHeight="1" x14ac:dyDescent="0.25">
      <c r="A461" s="657" t="s">
        <v>305</v>
      </c>
      <c r="B461" s="520"/>
      <c r="C461" s="520">
        <v>-10.135999999999999</v>
      </c>
      <c r="D461" s="278">
        <v>-8.2360000000000007</v>
      </c>
      <c r="E461" s="516">
        <v>-0.28100000000000003</v>
      </c>
      <c r="F461" s="516">
        <f>0.58-E461</f>
        <v>0.86099999999999999</v>
      </c>
      <c r="G461" s="516">
        <f>-1.47-SUM(E461:F461)</f>
        <v>-2.0499999999999998</v>
      </c>
      <c r="H461" s="516">
        <f>0.05-SUM(E461:G461)</f>
        <v>1.5199999999999998</v>
      </c>
      <c r="I461" s="122">
        <f>SUM(E461:H461)</f>
        <v>5.0000000000000044E-2</v>
      </c>
      <c r="J461" s="516">
        <v>-1.651</v>
      </c>
      <c r="K461" s="516">
        <f>-0.88-J461</f>
        <v>0.77100000000000002</v>
      </c>
      <c r="L461" s="516">
        <f>4.907-SUM(J461:K461)</f>
        <v>5.7869999999999999</v>
      </c>
      <c r="M461" s="516">
        <f>-3.609-SUM(J461:L461)</f>
        <v>-8.516</v>
      </c>
      <c r="N461" s="122">
        <f>SUM(J461:M461)</f>
        <v>-3.609</v>
      </c>
      <c r="O461" s="516">
        <v>-0.51</v>
      </c>
      <c r="P461" s="516">
        <f>-60.464-O461</f>
        <v>-59.954000000000001</v>
      </c>
      <c r="Q461" s="126">
        <f>+Q52</f>
        <v>-33.194000000000003</v>
      </c>
      <c r="R461" s="126">
        <f>+R52</f>
        <v>-37.547000000000011</v>
      </c>
      <c r="S461" s="122">
        <f t="shared" ref="S461:X461" si="584">+S52</f>
        <v>-137.99100000000001</v>
      </c>
      <c r="T461" s="126">
        <f t="shared" si="584"/>
        <v>-42.637</v>
      </c>
      <c r="U461" s="126">
        <f t="shared" si="584"/>
        <v>-40.347000000000001</v>
      </c>
      <c r="V461" s="126">
        <f t="shared" si="584"/>
        <v>-42.421999999999997</v>
      </c>
      <c r="W461" s="126">
        <f t="shared" si="584"/>
        <v>-38.692</v>
      </c>
      <c r="X461" s="122">
        <f t="shared" si="584"/>
        <v>-164.09800000000001</v>
      </c>
      <c r="Y461" s="126">
        <f>+Y52</f>
        <v>-44.177999999999997</v>
      </c>
      <c r="Z461" s="126">
        <f>+Z52</f>
        <v>-43.470999999999997</v>
      </c>
      <c r="AA461" s="126">
        <f>+AA52</f>
        <v>-45.841999999999999</v>
      </c>
      <c r="AB461" s="126">
        <f>+AB52</f>
        <v>-44.171999999999997</v>
      </c>
      <c r="AC461" s="122">
        <f>+AC52</f>
        <v>-177.66299999999998</v>
      </c>
      <c r="AD461" s="126">
        <f t="shared" ref="AD461:BG461" si="585">+AD52</f>
        <v>-48.41</v>
      </c>
      <c r="AE461" s="126">
        <f t="shared" si="585"/>
        <v>-47.82</v>
      </c>
      <c r="AF461" s="126">
        <f t="shared" si="585"/>
        <v>-53.704999999999998</v>
      </c>
      <c r="AG461" s="126">
        <f t="shared" si="585"/>
        <v>-40.131</v>
      </c>
      <c r="AH461" s="122">
        <f t="shared" si="585"/>
        <v>-190.066</v>
      </c>
      <c r="AI461" s="126">
        <f>+AI52</f>
        <v>-45.844000000000001</v>
      </c>
      <c r="AJ461" s="126">
        <f>+AJ52</f>
        <v>-45.68</v>
      </c>
      <c r="AK461" s="126">
        <f t="shared" si="585"/>
        <v>-53.473999999999997</v>
      </c>
      <c r="AL461" s="126">
        <f t="shared" si="585"/>
        <v>-51.427999999999997</v>
      </c>
      <c r="AM461" s="122">
        <f t="shared" si="585"/>
        <v>-196.42599999999999</v>
      </c>
      <c r="AN461" s="126">
        <f t="shared" si="585"/>
        <v>-46.972000000000001</v>
      </c>
      <c r="AO461" s="126">
        <f t="shared" si="585"/>
        <v>-53.707999999999998</v>
      </c>
      <c r="AP461" s="126">
        <f t="shared" si="585"/>
        <v>-58.692</v>
      </c>
      <c r="AQ461" s="126">
        <f t="shared" si="585"/>
        <v>-60.383000000000003</v>
      </c>
      <c r="AR461" s="122">
        <f t="shared" si="585"/>
        <v>-219.75500000000002</v>
      </c>
      <c r="AS461" s="126">
        <f t="shared" si="585"/>
        <v>-60.805999999999997</v>
      </c>
      <c r="AT461" s="126">
        <f>+AT52</f>
        <v>-37.706000000000003</v>
      </c>
      <c r="AU461" s="126">
        <f t="shared" si="585"/>
        <v>-61.975000000000001</v>
      </c>
      <c r="AV461" s="126">
        <f t="shared" si="585"/>
        <v>-49.372</v>
      </c>
      <c r="AW461" s="122">
        <f t="shared" si="585"/>
        <v>-209.85899999999998</v>
      </c>
      <c r="AX461" s="126">
        <f t="shared" si="585"/>
        <v>-50.911000000000001</v>
      </c>
      <c r="AY461" s="126">
        <f t="shared" si="585"/>
        <v>-53.753999999999998</v>
      </c>
      <c r="AZ461" s="126">
        <f t="shared" si="585"/>
        <v>-44.819000000000003</v>
      </c>
      <c r="BA461" s="126">
        <f t="shared" si="585"/>
        <v>-52.7</v>
      </c>
      <c r="BB461" s="216">
        <f t="shared" si="585"/>
        <v>-202.18399999999997</v>
      </c>
      <c r="BC461" s="126">
        <f t="shared" si="585"/>
        <v>-52.4</v>
      </c>
      <c r="BD461" s="126">
        <f t="shared" si="585"/>
        <v>-48.9</v>
      </c>
      <c r="BE461" s="126">
        <f t="shared" si="585"/>
        <v>-60</v>
      </c>
      <c r="BF461" s="126">
        <f t="shared" si="585"/>
        <v>25.3</v>
      </c>
      <c r="BG461" s="216">
        <f t="shared" si="585"/>
        <v>-136</v>
      </c>
      <c r="BH461" s="126">
        <f t="shared" ref="BH461:CA461" si="586">+BH52</f>
        <v>-36.503766606790151</v>
      </c>
      <c r="BI461" s="126">
        <f t="shared" si="586"/>
        <v>-38.513138488194969</v>
      </c>
      <c r="BJ461" s="126">
        <f t="shared" si="586"/>
        <v>-42.303525838328774</v>
      </c>
      <c r="BK461" s="126">
        <f t="shared" si="586"/>
        <v>-42.225057361196292</v>
      </c>
      <c r="BL461" s="216">
        <f t="shared" si="586"/>
        <v>-159.54548829451019</v>
      </c>
      <c r="BM461" s="126">
        <f t="shared" si="586"/>
        <v>-40.522098764860516</v>
      </c>
      <c r="BN461" s="126">
        <f t="shared" si="586"/>
        <v>-42.6468525030322</v>
      </c>
      <c r="BO461" s="126">
        <f t="shared" si="586"/>
        <v>-46.638550152488271</v>
      </c>
      <c r="BP461" s="126">
        <f t="shared" si="586"/>
        <v>-46.566380618081475</v>
      </c>
      <c r="BQ461" s="216">
        <f t="shared" si="586"/>
        <v>-176.37388203846245</v>
      </c>
      <c r="BR461" s="126">
        <f t="shared" si="586"/>
        <v>-44.611755950008472</v>
      </c>
      <c r="BS461" s="126">
        <f t="shared" si="586"/>
        <v>-46.852446253664532</v>
      </c>
      <c r="BT461" s="126">
        <f t="shared" si="586"/>
        <v>-51.08461056353886</v>
      </c>
      <c r="BU461" s="126">
        <f t="shared" si="586"/>
        <v>-51.005639622428269</v>
      </c>
      <c r="BV461" s="216">
        <f t="shared" si="586"/>
        <v>-193.55445238964015</v>
      </c>
      <c r="BW461" s="126">
        <f t="shared" si="586"/>
        <v>-49.229111330461656</v>
      </c>
      <c r="BX461" s="126">
        <f t="shared" si="586"/>
        <v>-51.638285354229907</v>
      </c>
      <c r="BY461" s="126">
        <f t="shared" si="586"/>
        <v>-56.172596616658296</v>
      </c>
      <c r="BZ461" s="126">
        <f t="shared" si="586"/>
        <v>-56.132774220972713</v>
      </c>
      <c r="CA461" s="216">
        <f t="shared" si="586"/>
        <v>-213.17276752232257</v>
      </c>
      <c r="CC461" s="29"/>
      <c r="CD461" s="29"/>
      <c r="CE461" s="120"/>
      <c r="CF461" s="120"/>
      <c r="CG461" s="120"/>
      <c r="CH461" s="120"/>
      <c r="CI461" s="120"/>
      <c r="CJ461" s="120"/>
      <c r="CK461" s="120"/>
      <c r="CL461" s="120"/>
      <c r="CM461" s="120"/>
      <c r="CN461" s="120"/>
      <c r="CO461" s="120"/>
      <c r="CP461" s="188"/>
      <c r="CQ461" s="188"/>
      <c r="CR461" s="188"/>
      <c r="CS461" s="188"/>
      <c r="CT461" s="188"/>
      <c r="CU461" s="188"/>
      <c r="DB461" s="1961"/>
      <c r="DC461" s="1961"/>
      <c r="DD461" s="1961"/>
      <c r="DE461" s="1961"/>
      <c r="DF461" s="1961"/>
      <c r="DG461" s="1961"/>
      <c r="DH461" s="1961"/>
      <c r="DI461" s="126"/>
    </row>
    <row r="462" spans="1:113" ht="5.25" customHeight="1" x14ac:dyDescent="0.25">
      <c r="A462" s="487"/>
      <c r="B462" s="210"/>
      <c r="C462" s="210" t="s">
        <v>60</v>
      </c>
      <c r="D462" s="134" t="s">
        <v>60</v>
      </c>
      <c r="E462" s="135" t="s">
        <v>60</v>
      </c>
      <c r="F462" s="135" t="s">
        <v>60</v>
      </c>
      <c r="G462" s="135" t="s">
        <v>60</v>
      </c>
      <c r="H462" s="135" t="s">
        <v>60</v>
      </c>
      <c r="I462" s="134" t="s">
        <v>60</v>
      </c>
      <c r="J462" s="135" t="s">
        <v>60</v>
      </c>
      <c r="K462" s="135" t="s">
        <v>60</v>
      </c>
      <c r="L462" s="135" t="s">
        <v>60</v>
      </c>
      <c r="M462" s="135" t="s">
        <v>60</v>
      </c>
      <c r="N462" s="134" t="s">
        <v>60</v>
      </c>
      <c r="O462" s="135" t="s">
        <v>60</v>
      </c>
      <c r="P462" s="135" t="s">
        <v>60</v>
      </c>
      <c r="Q462" s="135" t="s">
        <v>60</v>
      </c>
      <c r="R462" s="135" t="s">
        <v>60</v>
      </c>
      <c r="S462" s="134" t="s">
        <v>60</v>
      </c>
      <c r="T462" s="135" t="s">
        <v>60</v>
      </c>
      <c r="U462" s="135" t="s">
        <v>60</v>
      </c>
      <c r="V462" s="135" t="s">
        <v>60</v>
      </c>
      <c r="W462" s="135" t="s">
        <v>60</v>
      </c>
      <c r="X462" s="134" t="s">
        <v>60</v>
      </c>
      <c r="Y462" s="135" t="s">
        <v>60</v>
      </c>
      <c r="Z462" s="135" t="s">
        <v>60</v>
      </c>
      <c r="AA462" s="135" t="s">
        <v>60</v>
      </c>
      <c r="AB462" s="135" t="s">
        <v>60</v>
      </c>
      <c r="AC462" s="134" t="s">
        <v>60</v>
      </c>
      <c r="AD462" s="135" t="s">
        <v>60</v>
      </c>
      <c r="AE462" s="135" t="s">
        <v>60</v>
      </c>
      <c r="AF462" s="135" t="s">
        <v>60</v>
      </c>
      <c r="AG462" s="135" t="s">
        <v>60</v>
      </c>
      <c r="AH462" s="134" t="s">
        <v>60</v>
      </c>
      <c r="AI462" s="135" t="s">
        <v>60</v>
      </c>
      <c r="AJ462" s="135" t="s">
        <v>60</v>
      </c>
      <c r="AK462" s="135" t="s">
        <v>60</v>
      </c>
      <c r="AL462" s="135" t="s">
        <v>60</v>
      </c>
      <c r="AM462" s="134" t="s">
        <v>60</v>
      </c>
      <c r="AN462" s="135" t="s">
        <v>60</v>
      </c>
      <c r="AO462" s="135" t="s">
        <v>60</v>
      </c>
      <c r="AP462" s="135" t="s">
        <v>60</v>
      </c>
      <c r="AQ462" s="135" t="s">
        <v>60</v>
      </c>
      <c r="AR462" s="134" t="s">
        <v>60</v>
      </c>
      <c r="AS462" s="135" t="s">
        <v>60</v>
      </c>
      <c r="AT462" s="135" t="s">
        <v>60</v>
      </c>
      <c r="AU462" s="135" t="s">
        <v>60</v>
      </c>
      <c r="AV462" s="135" t="s">
        <v>60</v>
      </c>
      <c r="AW462" s="134" t="s">
        <v>60</v>
      </c>
      <c r="AX462" s="135" t="s">
        <v>60</v>
      </c>
      <c r="AY462" s="135" t="s">
        <v>60</v>
      </c>
      <c r="AZ462" s="135" t="s">
        <v>60</v>
      </c>
      <c r="BA462" s="135" t="s">
        <v>60</v>
      </c>
      <c r="BB462" s="134" t="s">
        <v>60</v>
      </c>
      <c r="BC462" s="135" t="s">
        <v>60</v>
      </c>
      <c r="BD462" s="135" t="s">
        <v>60</v>
      </c>
      <c r="BE462" s="135" t="s">
        <v>60</v>
      </c>
      <c r="BF462" s="135" t="s">
        <v>60</v>
      </c>
      <c r="BG462" s="134" t="s">
        <v>60</v>
      </c>
      <c r="BH462" s="135" t="s">
        <v>60</v>
      </c>
      <c r="BI462" s="135" t="s">
        <v>60</v>
      </c>
      <c r="BJ462" s="135" t="s">
        <v>60</v>
      </c>
      <c r="BK462" s="135" t="s">
        <v>60</v>
      </c>
      <c r="BL462" s="134" t="s">
        <v>60</v>
      </c>
      <c r="BM462" s="135" t="s">
        <v>60</v>
      </c>
      <c r="BN462" s="135" t="s">
        <v>60</v>
      </c>
      <c r="BO462" s="135" t="s">
        <v>60</v>
      </c>
      <c r="BP462" s="135" t="s">
        <v>60</v>
      </c>
      <c r="BQ462" s="134" t="s">
        <v>60</v>
      </c>
      <c r="BR462" s="135" t="s">
        <v>60</v>
      </c>
      <c r="BS462" s="135" t="s">
        <v>60</v>
      </c>
      <c r="BT462" s="135" t="s">
        <v>60</v>
      </c>
      <c r="BU462" s="135" t="s">
        <v>60</v>
      </c>
      <c r="BV462" s="134" t="s">
        <v>60</v>
      </c>
      <c r="BW462" s="135" t="s">
        <v>60</v>
      </c>
      <c r="BX462" s="135" t="s">
        <v>60</v>
      </c>
      <c r="BY462" s="135" t="s">
        <v>60</v>
      </c>
      <c r="BZ462" s="135" t="s">
        <v>60</v>
      </c>
      <c r="CA462" s="134" t="s">
        <v>60</v>
      </c>
      <c r="CC462" s="29"/>
      <c r="CD462" s="29"/>
      <c r="CE462" s="130"/>
      <c r="CF462" s="130"/>
      <c r="CG462" s="130"/>
      <c r="CH462" s="130"/>
      <c r="CI462" s="130"/>
      <c r="CJ462" s="130"/>
      <c r="CK462" s="130"/>
      <c r="CL462" s="130"/>
      <c r="CM462" s="130"/>
      <c r="CN462" s="130"/>
      <c r="CO462" s="130"/>
      <c r="CP462" s="188"/>
      <c r="CQ462" s="188"/>
      <c r="CR462" s="188"/>
      <c r="CS462" s="188"/>
      <c r="CT462" s="188"/>
      <c r="CU462" s="188"/>
      <c r="DB462" s="1961"/>
      <c r="DC462" s="1961"/>
      <c r="DD462" s="1961"/>
      <c r="DE462" s="1961"/>
      <c r="DF462" s="1961"/>
      <c r="DG462" s="1961"/>
      <c r="DH462" s="1961"/>
      <c r="DI462" s="135"/>
    </row>
    <row r="463" spans="1:113" ht="12" customHeight="1" x14ac:dyDescent="0.25">
      <c r="A463" s="657" t="s">
        <v>306</v>
      </c>
      <c r="B463" s="641"/>
      <c r="C463" s="641">
        <f>SUM(C457:C461)</f>
        <v>252.44400000000005</v>
      </c>
      <c r="D463" s="639">
        <f>SUM(D457:D461)</f>
        <v>298.79900000000004</v>
      </c>
      <c r="E463" s="638">
        <f>SUM(E457:E461)</f>
        <v>100.25900000000001</v>
      </c>
      <c r="F463" s="640">
        <f>SUM(F457:F461)</f>
        <v>30.435999999999996</v>
      </c>
      <c r="G463" s="640">
        <f t="shared" ref="G463:M463" si="587">SUM(G457:G461)</f>
        <v>81.372</v>
      </c>
      <c r="H463" s="640">
        <f t="shared" si="587"/>
        <v>67.29500000000003</v>
      </c>
      <c r="I463" s="639">
        <f t="shared" si="587"/>
        <v>279.36200000000008</v>
      </c>
      <c r="J463" s="638">
        <f t="shared" si="587"/>
        <v>111.67899999999999</v>
      </c>
      <c r="K463" s="640">
        <f t="shared" si="587"/>
        <v>73.711000000000013</v>
      </c>
      <c r="L463" s="640">
        <f t="shared" si="587"/>
        <v>74.538999999999987</v>
      </c>
      <c r="M463" s="640">
        <f t="shared" si="587"/>
        <v>50.713999999999949</v>
      </c>
      <c r="N463" s="639">
        <f>SUM(N457:N461)</f>
        <v>310.64299999999997</v>
      </c>
      <c r="O463" s="638">
        <f>SUM(O457:O461)</f>
        <v>154.43000000000004</v>
      </c>
      <c r="P463" s="640">
        <f>SUM(P457:P461)</f>
        <v>2.9239999999999995</v>
      </c>
      <c r="Q463" s="640">
        <f>SUM(Q457:Q461)</f>
        <v>47.248000000000062</v>
      </c>
      <c r="R463" s="640">
        <f>SUM(R457:R461)</f>
        <v>1.9579999999999771</v>
      </c>
      <c r="S463" s="639">
        <f t="shared" ref="S463:X463" si="588">SUM(S457:S461)</f>
        <v>199.71600000000009</v>
      </c>
      <c r="T463" s="638">
        <f t="shared" si="588"/>
        <v>121.03699999999998</v>
      </c>
      <c r="U463" s="640">
        <f t="shared" si="588"/>
        <v>27.968000000000025</v>
      </c>
      <c r="V463" s="640">
        <f t="shared" si="588"/>
        <v>60.434000000000054</v>
      </c>
      <c r="W463" s="640">
        <f t="shared" si="588"/>
        <v>90.464999999999975</v>
      </c>
      <c r="X463" s="639">
        <f t="shared" si="588"/>
        <v>299.90400000000005</v>
      </c>
      <c r="Y463" s="640">
        <f>SUM(Y457:Y461)</f>
        <v>124.04500000000002</v>
      </c>
      <c r="Z463" s="640">
        <f>SUM(Z457:Z461)</f>
        <v>17.797000000000061</v>
      </c>
      <c r="AA463" s="640">
        <f>SUM(AA457:AA461)</f>
        <v>117.16900000000003</v>
      </c>
      <c r="AB463" s="640">
        <f>SUM(AB457:AB461)</f>
        <v>48.96599999999998</v>
      </c>
      <c r="AC463" s="639">
        <f>SUM(AC457:AC461)</f>
        <v>307.97430390016984</v>
      </c>
      <c r="AD463" s="640">
        <f t="shared" ref="AD463:BG463" si="589">SUM(AD457:AD461)</f>
        <v>164.23999999999998</v>
      </c>
      <c r="AE463" s="640">
        <f t="shared" si="589"/>
        <v>-2.5770000000000479</v>
      </c>
      <c r="AF463" s="640">
        <f t="shared" si="589"/>
        <v>127.88000000000004</v>
      </c>
      <c r="AG463" s="640">
        <f t="shared" si="589"/>
        <v>59.653000000000006</v>
      </c>
      <c r="AH463" s="639">
        <f t="shared" si="589"/>
        <v>349.47821002951491</v>
      </c>
      <c r="AI463" s="640">
        <f>SUM(AI457:AI461)</f>
        <v>186.88</v>
      </c>
      <c r="AJ463" s="640">
        <f>SUM(AJ457:AJ461)</f>
        <v>32.468999999999987</v>
      </c>
      <c r="AK463" s="640">
        <f t="shared" si="589"/>
        <v>94.274999999999977</v>
      </c>
      <c r="AL463" s="640">
        <f t="shared" si="589"/>
        <v>60.143000000000001</v>
      </c>
      <c r="AM463" s="639">
        <f t="shared" si="589"/>
        <v>373.77173916250007</v>
      </c>
      <c r="AN463" s="640">
        <f t="shared" si="589"/>
        <v>223.50999999999996</v>
      </c>
      <c r="AO463" s="640">
        <f t="shared" si="589"/>
        <v>9.1969999999999885</v>
      </c>
      <c r="AP463" s="640">
        <f t="shared" si="589"/>
        <v>64.755000000000024</v>
      </c>
      <c r="AQ463" s="640">
        <f t="shared" si="589"/>
        <v>37.411000000000008</v>
      </c>
      <c r="AR463" s="639">
        <f t="shared" si="589"/>
        <v>334.87299999999993</v>
      </c>
      <c r="AS463" s="640">
        <f t="shared" si="589"/>
        <v>236.33800000000002</v>
      </c>
      <c r="AT463" s="640">
        <f>SUM(AT457:AT461)</f>
        <v>36.79099999999994</v>
      </c>
      <c r="AU463" s="640">
        <f t="shared" si="589"/>
        <v>106.572</v>
      </c>
      <c r="AV463" s="640">
        <f t="shared" si="589"/>
        <v>59.802000000000149</v>
      </c>
      <c r="AW463" s="639">
        <f t="shared" si="589"/>
        <v>439.50299999999964</v>
      </c>
      <c r="AX463" s="640">
        <f t="shared" si="589"/>
        <v>247.93300000000005</v>
      </c>
      <c r="AY463" s="640">
        <f t="shared" si="589"/>
        <v>156.8719999999999</v>
      </c>
      <c r="AZ463" s="640">
        <f t="shared" si="589"/>
        <v>60.075000000000003</v>
      </c>
      <c r="BA463" s="640">
        <f t="shared" si="589"/>
        <v>1.7490000000000094</v>
      </c>
      <c r="BB463" s="642">
        <f t="shared" si="589"/>
        <v>466.62899999999979</v>
      </c>
      <c r="BC463" s="640">
        <f t="shared" si="589"/>
        <v>279.09999999999997</v>
      </c>
      <c r="BD463" s="640">
        <f t="shared" si="589"/>
        <v>60.00000000000005</v>
      </c>
      <c r="BE463" s="640">
        <f t="shared" si="589"/>
        <v>114.79999999999993</v>
      </c>
      <c r="BF463" s="640">
        <f t="shared" si="589"/>
        <v>141.59999999999997</v>
      </c>
      <c r="BG463" s="642">
        <f t="shared" si="589"/>
        <v>595.50000000000034</v>
      </c>
      <c r="BH463" s="640">
        <f t="shared" ref="BH463:CA463" si="590">SUM(BH457:BH461)</f>
        <v>353.22044833011876</v>
      </c>
      <c r="BI463" s="640">
        <f t="shared" si="590"/>
        <v>121.19078366563998</v>
      </c>
      <c r="BJ463" s="640">
        <f t="shared" si="590"/>
        <v>97.119687522731226</v>
      </c>
      <c r="BK463" s="640">
        <f t="shared" si="590"/>
        <v>48.16866557150172</v>
      </c>
      <c r="BL463" s="642">
        <f t="shared" si="590"/>
        <v>619.69958508999161</v>
      </c>
      <c r="BM463" s="640">
        <f t="shared" si="590"/>
        <v>382.10885694642502</v>
      </c>
      <c r="BN463" s="640">
        <f t="shared" si="590"/>
        <v>136.87190695055469</v>
      </c>
      <c r="BO463" s="640">
        <f t="shared" si="590"/>
        <v>111.07737716794395</v>
      </c>
      <c r="BP463" s="640">
        <f t="shared" si="590"/>
        <v>59.542781713839297</v>
      </c>
      <c r="BQ463" s="642">
        <f t="shared" si="590"/>
        <v>689.60092277876311</v>
      </c>
      <c r="BR463" s="640">
        <f t="shared" si="590"/>
        <v>411.20538739703932</v>
      </c>
      <c r="BS463" s="640">
        <f t="shared" si="590"/>
        <v>152.18874332485285</v>
      </c>
      <c r="BT463" s="640">
        <f t="shared" si="590"/>
        <v>124.85464084643618</v>
      </c>
      <c r="BU463" s="640">
        <f t="shared" si="590"/>
        <v>70.725448842601992</v>
      </c>
      <c r="BV463" s="642">
        <f t="shared" si="590"/>
        <v>758.97422041093023</v>
      </c>
      <c r="BW463" s="640">
        <f t="shared" si="590"/>
        <v>439.19647616834851</v>
      </c>
      <c r="BX463" s="640">
        <f t="shared" si="590"/>
        <v>165.66349937211504</v>
      </c>
      <c r="BY463" s="640">
        <f t="shared" si="590"/>
        <v>136.78944244413529</v>
      </c>
      <c r="BZ463" s="640">
        <f t="shared" si="590"/>
        <v>80.041372704516419</v>
      </c>
      <c r="CA463" s="642">
        <f t="shared" si="590"/>
        <v>821.69079068911537</v>
      </c>
      <c r="CC463" s="29"/>
      <c r="CD463" s="29"/>
      <c r="CE463" s="482"/>
      <c r="CF463" s="482"/>
      <c r="CG463" s="482"/>
      <c r="CH463" s="482"/>
      <c r="CI463" s="482"/>
      <c r="CJ463" s="482"/>
      <c r="CK463" s="482"/>
      <c r="CL463" s="482"/>
      <c r="CM463" s="482"/>
      <c r="CN463" s="482"/>
      <c r="CO463" s="482"/>
      <c r="CP463" s="188"/>
      <c r="CQ463" s="188"/>
      <c r="CR463" s="188"/>
      <c r="CS463" s="188"/>
      <c r="CT463" s="188"/>
      <c r="CU463" s="188"/>
      <c r="DB463" s="1961"/>
      <c r="DC463" s="1961"/>
      <c r="DD463" s="1961"/>
      <c r="DE463" s="1961"/>
      <c r="DF463" s="1961"/>
      <c r="DG463" s="1961"/>
      <c r="DH463" s="1961"/>
      <c r="DI463" s="640"/>
    </row>
    <row r="464" spans="1:113" ht="12" customHeight="1" x14ac:dyDescent="0.25">
      <c r="A464" s="1042" t="s">
        <v>103</v>
      </c>
      <c r="B464" s="746"/>
      <c r="C464" s="746"/>
      <c r="D464" s="91">
        <f>D463/C463-1</f>
        <v>0.18362488314239989</v>
      </c>
      <c r="E464" s="90"/>
      <c r="F464" s="90"/>
      <c r="G464" s="90"/>
      <c r="H464" s="90"/>
      <c r="I464" s="91">
        <f>I463/D463-1</f>
        <v>-6.5050418508763252E-2</v>
      </c>
      <c r="J464" s="90">
        <f>J463/E463-1</f>
        <v>0.11390498608603683</v>
      </c>
      <c r="K464" s="90">
        <f>K463/F463-1</f>
        <v>1.4218359837035095</v>
      </c>
      <c r="L464" s="90">
        <f t="shared" ref="L464:R464" si="591">L463/G463-1</f>
        <v>-8.3972373789510057E-2</v>
      </c>
      <c r="M464" s="90">
        <f t="shared" si="591"/>
        <v>-0.24639274834683222</v>
      </c>
      <c r="N464" s="91">
        <f t="shared" si="591"/>
        <v>0.11197299561142837</v>
      </c>
      <c r="O464" s="90">
        <f t="shared" si="591"/>
        <v>0.3828024964406922</v>
      </c>
      <c r="P464" s="90">
        <f t="shared" si="591"/>
        <v>-0.9603315651666644</v>
      </c>
      <c r="Q464" s="90">
        <f t="shared" si="591"/>
        <v>-0.36613048202954068</v>
      </c>
      <c r="R464" s="90">
        <f t="shared" si="591"/>
        <v>-0.9613913317821513</v>
      </c>
      <c r="S464" s="91">
        <f>ABS(S463/N463-1)</f>
        <v>0.35708836188164517</v>
      </c>
      <c r="T464" s="90">
        <f>T463/O463-1</f>
        <v>-0.21623389237842416</v>
      </c>
      <c r="U464" s="90">
        <f>U463/P463-1</f>
        <v>8.564979480164169</v>
      </c>
      <c r="V464" s="90">
        <f>V463/Q463-1</f>
        <v>0.27908059600406321</v>
      </c>
      <c r="W464" s="90">
        <f>W463/R463-1</f>
        <v>45.202757916241588</v>
      </c>
      <c r="X464" s="91">
        <f>(X463/S463-1)</f>
        <v>0.50165234633179079</v>
      </c>
      <c r="Y464" s="90">
        <f t="shared" ref="Y464:BB464" si="592">Y463/T463-1</f>
        <v>2.4851904789444879E-2</v>
      </c>
      <c r="Z464" s="90">
        <f t="shared" si="592"/>
        <v>-0.36366561784896867</v>
      </c>
      <c r="AA464" s="90">
        <f t="shared" si="592"/>
        <v>0.93879273256775853</v>
      </c>
      <c r="AB464" s="90">
        <f t="shared" si="592"/>
        <v>-0.45872989553971155</v>
      </c>
      <c r="AC464" s="91">
        <f t="shared" si="592"/>
        <v>2.6909624080271755E-2</v>
      </c>
      <c r="AD464" s="90">
        <f t="shared" si="592"/>
        <v>0.32403563223023868</v>
      </c>
      <c r="AE464" s="90">
        <f t="shared" si="592"/>
        <v>-1.144799685340228</v>
      </c>
      <c r="AF464" s="90">
        <f t="shared" si="592"/>
        <v>9.1414964709095603E-2</v>
      </c>
      <c r="AG464" s="90">
        <f t="shared" si="592"/>
        <v>0.21825348200792449</v>
      </c>
      <c r="AH464" s="91">
        <f t="shared" si="592"/>
        <v>0.1347641852055248</v>
      </c>
      <c r="AI464" s="90">
        <f t="shared" si="592"/>
        <v>0.13784705309303469</v>
      </c>
      <c r="AJ464" s="90">
        <f t="shared" si="592"/>
        <v>-13.599534342258201</v>
      </c>
      <c r="AK464" s="90">
        <f t="shared" si="592"/>
        <v>-0.2627854238348456</v>
      </c>
      <c r="AL464" s="90">
        <f t="shared" si="592"/>
        <v>8.2141719611754649E-3</v>
      </c>
      <c r="AM464" s="91">
        <f t="shared" si="592"/>
        <v>6.9513716265553249E-2</v>
      </c>
      <c r="AN464" s="90">
        <f t="shared" si="592"/>
        <v>0.1960081335616437</v>
      </c>
      <c r="AO464" s="90">
        <f t="shared" si="592"/>
        <v>-0.71674520311681933</v>
      </c>
      <c r="AP464" s="90">
        <f t="shared" si="592"/>
        <v>-0.31312649164677764</v>
      </c>
      <c r="AQ464" s="90">
        <f t="shared" si="592"/>
        <v>-0.37796584806211853</v>
      </c>
      <c r="AR464" s="91">
        <f t="shared" si="592"/>
        <v>-0.10407084080155304</v>
      </c>
      <c r="AS464" s="90">
        <f t="shared" si="592"/>
        <v>5.7393405216769056E-2</v>
      </c>
      <c r="AT464" s="90">
        <f t="shared" si="592"/>
        <v>3.0003261933239083</v>
      </c>
      <c r="AU464" s="90">
        <f t="shared" si="592"/>
        <v>0.64577252721797485</v>
      </c>
      <c r="AV464" s="90">
        <f t="shared" si="592"/>
        <v>0.59851380609981386</v>
      </c>
      <c r="AW464" s="91">
        <f t="shared" si="592"/>
        <v>0.31244680819295589</v>
      </c>
      <c r="AX464" s="90">
        <f t="shared" si="592"/>
        <v>4.9061090472120483E-2</v>
      </c>
      <c r="AY464" s="90">
        <f t="shared" si="592"/>
        <v>3.2638688809763297</v>
      </c>
      <c r="AZ464" s="90">
        <f t="shared" si="592"/>
        <v>-0.43629658822204709</v>
      </c>
      <c r="BA464" s="90">
        <f t="shared" si="592"/>
        <v>-0.970753486505468</v>
      </c>
      <c r="BB464" s="747">
        <f t="shared" si="592"/>
        <v>6.1719715223787164E-2</v>
      </c>
      <c r="BC464" s="90">
        <f t="shared" ref="BC464:CA464" si="593">BC463/AX463-1</f>
        <v>0.12570734835620878</v>
      </c>
      <c r="BD464" s="90">
        <f t="shared" si="593"/>
        <v>-0.61752256616859547</v>
      </c>
      <c r="BE464" s="90">
        <f t="shared" si="593"/>
        <v>0.91094465251768497</v>
      </c>
      <c r="BF464" s="90">
        <f t="shared" si="593"/>
        <v>79.960548885076733</v>
      </c>
      <c r="BG464" s="747">
        <f t="shared" si="593"/>
        <v>0.27617443407932352</v>
      </c>
      <c r="BH464" s="90">
        <f t="shared" si="593"/>
        <v>0.26556950315341732</v>
      </c>
      <c r="BI464" s="90">
        <f t="shared" si="593"/>
        <v>1.0198463944273315</v>
      </c>
      <c r="BJ464" s="90">
        <f t="shared" si="593"/>
        <v>-0.15400969056854275</v>
      </c>
      <c r="BK464" s="90">
        <f t="shared" si="593"/>
        <v>-0.65982580811086344</v>
      </c>
      <c r="BL464" s="747">
        <f t="shared" si="593"/>
        <v>4.0637422485291896E-2</v>
      </c>
      <c r="BM464" s="90">
        <f t="shared" si="593"/>
        <v>8.178577642624818E-2</v>
      </c>
      <c r="BN464" s="90">
        <f t="shared" si="593"/>
        <v>0.12939204459786513</v>
      </c>
      <c r="BO464" s="90">
        <f t="shared" si="593"/>
        <v>0.14371637719639363</v>
      </c>
      <c r="BP464" s="90">
        <f t="shared" si="593"/>
        <v>0.23613102018476728</v>
      </c>
      <c r="BQ464" s="747">
        <f t="shared" si="593"/>
        <v>0.11279874857205296</v>
      </c>
      <c r="BR464" s="90">
        <f t="shared" si="593"/>
        <v>7.6147228523137489E-2</v>
      </c>
      <c r="BS464" s="90">
        <f t="shared" si="593"/>
        <v>0.11190635620961586</v>
      </c>
      <c r="BT464" s="90">
        <f t="shared" si="593"/>
        <v>0.12403303021515932</v>
      </c>
      <c r="BU464" s="90">
        <f t="shared" si="593"/>
        <v>0.18780894689311345</v>
      </c>
      <c r="BV464" s="747">
        <f t="shared" si="593"/>
        <v>0.1005991948975733</v>
      </c>
      <c r="BW464" s="90">
        <f t="shared" si="593"/>
        <v>6.8070822098160955E-2</v>
      </c>
      <c r="BX464" s="90">
        <f t="shared" si="593"/>
        <v>8.853976813843456E-2</v>
      </c>
      <c r="BY464" s="90">
        <f t="shared" si="593"/>
        <v>9.5589571335023216E-2</v>
      </c>
      <c r="BZ464" s="90">
        <f t="shared" si="593"/>
        <v>0.13171954387517326</v>
      </c>
      <c r="CA464" s="747">
        <f t="shared" si="593"/>
        <v>8.263333403370221E-2</v>
      </c>
      <c r="CC464" s="29"/>
      <c r="CD464" s="29"/>
      <c r="CE464" s="92"/>
      <c r="CF464" s="92"/>
      <c r="CG464" s="92"/>
      <c r="CH464" s="92"/>
      <c r="CI464" s="92"/>
      <c r="CJ464" s="92"/>
      <c r="CK464" s="92"/>
      <c r="CL464" s="92"/>
      <c r="CM464" s="92"/>
      <c r="CN464" s="92"/>
      <c r="CO464" s="92"/>
      <c r="CP464" s="188"/>
      <c r="CQ464" s="188"/>
      <c r="CR464" s="188"/>
      <c r="CS464" s="188"/>
      <c r="CT464" s="188"/>
      <c r="CU464" s="188"/>
      <c r="DB464" s="1961"/>
      <c r="DC464" s="1961"/>
      <c r="DD464" s="1961"/>
      <c r="DE464" s="1961"/>
      <c r="DF464" s="1961"/>
      <c r="DG464" s="1961"/>
      <c r="DH464" s="1961"/>
      <c r="DI464" s="90"/>
    </row>
    <row r="465" spans="1:113" ht="5.0999999999999996" customHeight="1" x14ac:dyDescent="0.25">
      <c r="A465" s="1042"/>
      <c r="B465" s="746"/>
      <c r="C465" s="746"/>
      <c r="D465" s="91"/>
      <c r="E465" s="90"/>
      <c r="F465" s="90"/>
      <c r="G465" s="90"/>
      <c r="H465" s="90"/>
      <c r="I465" s="91"/>
      <c r="J465" s="90"/>
      <c r="K465" s="90"/>
      <c r="L465" s="90"/>
      <c r="M465" s="90"/>
      <c r="N465" s="91"/>
      <c r="O465" s="90"/>
      <c r="P465" s="90"/>
      <c r="Q465" s="90"/>
      <c r="R465" s="90"/>
      <c r="S465" s="91"/>
      <c r="T465" s="90"/>
      <c r="U465" s="90"/>
      <c r="V465" s="90"/>
      <c r="W465" s="90"/>
      <c r="X465" s="91"/>
      <c r="Y465" s="90"/>
      <c r="Z465" s="90"/>
      <c r="AA465" s="90"/>
      <c r="AB465" s="90"/>
      <c r="AC465" s="91"/>
      <c r="AD465" s="90"/>
      <c r="AE465" s="90"/>
      <c r="AF465" s="90"/>
      <c r="AG465" s="90"/>
      <c r="AH465" s="91"/>
      <c r="AI465" s="90"/>
      <c r="AJ465" s="90"/>
      <c r="AK465" s="90"/>
      <c r="AL465" s="90"/>
      <c r="AM465" s="91"/>
      <c r="AN465" s="90"/>
      <c r="AO465" s="90"/>
      <c r="AP465" s="90"/>
      <c r="AQ465" s="90"/>
      <c r="AR465" s="91"/>
      <c r="AS465" s="90"/>
      <c r="AT465" s="90"/>
      <c r="AU465" s="90"/>
      <c r="AV465" s="90"/>
      <c r="AW465" s="1043"/>
      <c r="AX465" s="90"/>
      <c r="AY465" s="90"/>
      <c r="AZ465" s="90"/>
      <c r="BA465" s="90"/>
      <c r="BB465" s="1043"/>
      <c r="BC465" s="90"/>
      <c r="BD465" s="90"/>
      <c r="BE465" s="90"/>
      <c r="BF465" s="90"/>
      <c r="BG465" s="747"/>
      <c r="BH465" s="90"/>
      <c r="BI465" s="90"/>
      <c r="BJ465" s="90"/>
      <c r="BK465" s="90"/>
      <c r="BL465" s="747"/>
      <c r="BM465" s="90"/>
      <c r="BN465" s="90"/>
      <c r="BO465" s="90"/>
      <c r="BP465" s="90"/>
      <c r="BQ465" s="747"/>
      <c r="BR465" s="90"/>
      <c r="BS465" s="90"/>
      <c r="BT465" s="90"/>
      <c r="BU465" s="90"/>
      <c r="BV465" s="747"/>
      <c r="BW465" s="90"/>
      <c r="BX465" s="90"/>
      <c r="BY465" s="90"/>
      <c r="BZ465" s="90"/>
      <c r="CA465" s="747"/>
      <c r="CC465" s="29"/>
      <c r="CD465" s="29"/>
      <c r="CE465" s="92"/>
      <c r="CF465" s="92"/>
      <c r="CG465" s="92"/>
      <c r="CH465" s="92"/>
      <c r="CI465" s="92"/>
      <c r="CJ465" s="92"/>
      <c r="CK465" s="92"/>
      <c r="CL465" s="92"/>
      <c r="CM465" s="92"/>
      <c r="CN465" s="92"/>
      <c r="CO465" s="92"/>
      <c r="CP465" s="188"/>
      <c r="CQ465" s="188"/>
      <c r="CR465" s="188"/>
      <c r="CS465" s="188"/>
      <c r="CT465" s="188"/>
      <c r="CU465" s="188"/>
      <c r="DB465" s="1961"/>
      <c r="DC465" s="1961"/>
      <c r="DD465" s="1961"/>
      <c r="DE465" s="1961"/>
      <c r="DF465" s="1961"/>
      <c r="DG465" s="1961"/>
      <c r="DH465" s="1961"/>
      <c r="DI465" s="90"/>
    </row>
    <row r="466" spans="1:113" x14ac:dyDescent="0.25">
      <c r="A466" s="1044" t="s">
        <v>307</v>
      </c>
      <c r="B466" s="746"/>
      <c r="C466" s="746"/>
      <c r="D466" s="91"/>
      <c r="E466" s="90"/>
      <c r="F466" s="90"/>
      <c r="G466" s="90"/>
      <c r="H466" s="90"/>
      <c r="I466" s="91"/>
      <c r="J466" s="90"/>
      <c r="K466" s="90"/>
      <c r="L466" s="90"/>
      <c r="M466" s="90"/>
      <c r="N466" s="91"/>
      <c r="O466" s="90"/>
      <c r="P466" s="90"/>
      <c r="Q466" s="90"/>
      <c r="R466" s="90"/>
      <c r="S466" s="91"/>
      <c r="T466" s="90"/>
      <c r="U466" s="90"/>
      <c r="V466" s="90"/>
      <c r="W466" s="90"/>
      <c r="X466" s="91"/>
      <c r="Y466" s="90"/>
      <c r="Z466" s="90"/>
      <c r="AA466" s="90"/>
      <c r="AB466" s="90"/>
      <c r="AC466" s="91"/>
      <c r="AD466" s="90"/>
      <c r="AE466" s="90"/>
      <c r="AF466" s="90"/>
      <c r="AG466" s="90"/>
      <c r="AH466" s="91"/>
      <c r="AI466" s="90"/>
      <c r="AJ466" s="90"/>
      <c r="AK466" s="90"/>
      <c r="AL466" s="90"/>
      <c r="AM466" s="91"/>
      <c r="AN466" s="90"/>
      <c r="AO466" s="90"/>
      <c r="AP466" s="90"/>
      <c r="AQ466" s="90"/>
      <c r="AR466" s="91"/>
      <c r="AS466" s="90"/>
      <c r="AT466" s="90"/>
      <c r="AU466" s="90"/>
      <c r="AV466" s="90"/>
      <c r="AW466" s="91"/>
      <c r="AX466" s="90"/>
      <c r="AY466" s="90"/>
      <c r="AZ466" s="90"/>
      <c r="BA466" s="90"/>
      <c r="BB466" s="747"/>
      <c r="BC466" s="90"/>
      <c r="BD466" s="90"/>
      <c r="BE466" s="90"/>
      <c r="BF466" s="90"/>
      <c r="BG466" s="747"/>
      <c r="BH466" s="90"/>
      <c r="BI466" s="90"/>
      <c r="BJ466" s="90"/>
      <c r="BK466" s="90"/>
      <c r="BL466" s="747"/>
      <c r="BM466" s="90"/>
      <c r="BN466" s="90"/>
      <c r="BO466" s="90"/>
      <c r="BP466" s="90"/>
      <c r="BQ466" s="747"/>
      <c r="BR466" s="90"/>
      <c r="BS466" s="90"/>
      <c r="BT466" s="90"/>
      <c r="BU466" s="90"/>
      <c r="BV466" s="747"/>
      <c r="BW466" s="90"/>
      <c r="BX466" s="90"/>
      <c r="BY466" s="90"/>
      <c r="BZ466" s="90"/>
      <c r="CA466" s="747"/>
      <c r="CC466" s="29"/>
      <c r="CD466" s="29"/>
      <c r="CE466" s="92"/>
      <c r="CF466" s="92"/>
      <c r="CG466" s="92"/>
      <c r="CH466" s="92"/>
      <c r="CI466" s="92"/>
      <c r="CJ466" s="92"/>
      <c r="CK466" s="92"/>
      <c r="CL466" s="92"/>
      <c r="CM466" s="92"/>
      <c r="CN466" s="92"/>
      <c r="CO466" s="92"/>
      <c r="CP466" s="188"/>
      <c r="CQ466" s="188"/>
      <c r="CR466" s="188"/>
      <c r="CS466" s="188"/>
      <c r="CT466" s="188"/>
      <c r="CU466" s="188"/>
      <c r="DB466" s="1961"/>
      <c r="DC466" s="1961"/>
      <c r="DD466" s="1961"/>
      <c r="DE466" s="1961"/>
      <c r="DF466" s="1961"/>
      <c r="DG466" s="1961"/>
      <c r="DH466" s="1961"/>
      <c r="DI466" s="90"/>
    </row>
    <row r="467" spans="1:113" ht="5.0999999999999996" customHeight="1" x14ac:dyDescent="0.25">
      <c r="A467" s="1044"/>
      <c r="B467" s="746"/>
      <c r="C467" s="746"/>
      <c r="D467" s="91"/>
      <c r="E467" s="90"/>
      <c r="F467" s="90"/>
      <c r="G467" s="90"/>
      <c r="H467" s="90"/>
      <c r="I467" s="91"/>
      <c r="J467" s="90"/>
      <c r="K467" s="90"/>
      <c r="L467" s="90"/>
      <c r="M467" s="90"/>
      <c r="N467" s="91"/>
      <c r="O467" s="90"/>
      <c r="P467" s="90"/>
      <c r="Q467" s="90"/>
      <c r="R467" s="90"/>
      <c r="S467" s="91"/>
      <c r="T467" s="90"/>
      <c r="U467" s="90"/>
      <c r="V467" s="90"/>
      <c r="W467" s="90"/>
      <c r="X467" s="91"/>
      <c r="Y467" s="90"/>
      <c r="Z467" s="90"/>
      <c r="AA467" s="90"/>
      <c r="AB467" s="90"/>
      <c r="AC467" s="91"/>
      <c r="AD467" s="90"/>
      <c r="AE467" s="90"/>
      <c r="AF467" s="90"/>
      <c r="AG467" s="90"/>
      <c r="AH467" s="91"/>
      <c r="AI467" s="90"/>
      <c r="AJ467" s="90"/>
      <c r="AK467" s="90"/>
      <c r="AL467" s="90"/>
      <c r="AM467" s="91"/>
      <c r="AN467" s="90"/>
      <c r="AO467" s="90"/>
      <c r="AP467" s="90"/>
      <c r="AQ467" s="90"/>
      <c r="AR467" s="91"/>
      <c r="AS467" s="90"/>
      <c r="AT467" s="90"/>
      <c r="AU467" s="90"/>
      <c r="AV467" s="90"/>
      <c r="AW467" s="91"/>
      <c r="AX467" s="90"/>
      <c r="AY467" s="90"/>
      <c r="AZ467" s="90"/>
      <c r="BA467" s="90"/>
      <c r="BB467" s="747"/>
      <c r="BC467" s="90"/>
      <c r="BD467" s="90"/>
      <c r="BE467" s="90"/>
      <c r="BF467" s="90"/>
      <c r="BG467" s="747"/>
      <c r="BH467" s="90"/>
      <c r="BI467" s="90"/>
      <c r="BJ467" s="90"/>
      <c r="BK467" s="90"/>
      <c r="BL467" s="747"/>
      <c r="BM467" s="90"/>
      <c r="BN467" s="90"/>
      <c r="BO467" s="90"/>
      <c r="BP467" s="90"/>
      <c r="BQ467" s="747"/>
      <c r="BR467" s="90"/>
      <c r="BS467" s="90"/>
      <c r="BT467" s="90"/>
      <c r="BU467" s="90"/>
      <c r="BV467" s="747"/>
      <c r="BW467" s="90"/>
      <c r="BX467" s="90"/>
      <c r="BY467" s="90"/>
      <c r="BZ467" s="90"/>
      <c r="CA467" s="747"/>
      <c r="CC467" s="29"/>
      <c r="CD467" s="29"/>
      <c r="CE467" s="92"/>
      <c r="CF467" s="92"/>
      <c r="CG467" s="92"/>
      <c r="CH467" s="92"/>
      <c r="CI467" s="92"/>
      <c r="CJ467" s="92"/>
      <c r="CK467" s="92"/>
      <c r="CL467" s="92"/>
      <c r="CM467" s="92"/>
      <c r="CN467" s="92"/>
      <c r="CO467" s="92"/>
      <c r="CP467" s="188"/>
      <c r="CQ467" s="188"/>
      <c r="CR467" s="188"/>
      <c r="CS467" s="188"/>
      <c r="CT467" s="188"/>
      <c r="CU467" s="188"/>
      <c r="DB467" s="1961"/>
      <c r="DC467" s="1961"/>
      <c r="DD467" s="1961"/>
      <c r="DE467" s="1961"/>
      <c r="DF467" s="1961"/>
      <c r="DG467" s="1961"/>
      <c r="DH467" s="1961"/>
      <c r="DI467" s="90"/>
    </row>
    <row r="468" spans="1:113" ht="12" customHeight="1" x14ac:dyDescent="0.25">
      <c r="A468" s="1045" t="s">
        <v>308</v>
      </c>
      <c r="B468" s="746"/>
      <c r="C468" s="1046"/>
      <c r="D468" s="1047"/>
      <c r="E468" s="1048"/>
      <c r="F468" s="1048"/>
      <c r="G468" s="1048"/>
      <c r="H468" s="1048"/>
      <c r="I468" s="1047"/>
      <c r="J468" s="1048">
        <f t="shared" ref="J468:BB468" si="594">J42</f>
        <v>77.685999999999979</v>
      </c>
      <c r="K468" s="1048">
        <f t="shared" si="594"/>
        <v>78.937000000000012</v>
      </c>
      <c r="L468" s="1048">
        <f t="shared" si="594"/>
        <v>77.72399999999999</v>
      </c>
      <c r="M468" s="1048">
        <f t="shared" si="594"/>
        <v>76.194999999999965</v>
      </c>
      <c r="N468" s="1047">
        <f t="shared" si="594"/>
        <v>310.54199999999992</v>
      </c>
      <c r="O468" s="1048">
        <f t="shared" si="594"/>
        <v>87.203000000000017</v>
      </c>
      <c r="P468" s="1048">
        <f t="shared" si="594"/>
        <v>87.850999999999985</v>
      </c>
      <c r="Q468" s="1048">
        <f t="shared" si="594"/>
        <v>84.795000000000044</v>
      </c>
      <c r="R468" s="1048">
        <f t="shared" si="594"/>
        <v>42.157999999999987</v>
      </c>
      <c r="S468" s="1047">
        <f t="shared" si="594"/>
        <v>302.00700000000012</v>
      </c>
      <c r="T468" s="1048">
        <f t="shared" si="594"/>
        <v>106.41399999999999</v>
      </c>
      <c r="U468" s="1048">
        <f t="shared" si="594"/>
        <v>107.07500000000002</v>
      </c>
      <c r="V468" s="1048">
        <f t="shared" si="594"/>
        <v>113.71800000000005</v>
      </c>
      <c r="W468" s="1048">
        <f t="shared" si="594"/>
        <v>113.70699999999999</v>
      </c>
      <c r="X468" s="1047">
        <f t="shared" si="594"/>
        <v>440.9140000000001</v>
      </c>
      <c r="Y468" s="1048">
        <f t="shared" si="594"/>
        <v>119.29700000000003</v>
      </c>
      <c r="Z468" s="1048">
        <f t="shared" si="594"/>
        <v>120.45400000000004</v>
      </c>
      <c r="AA468" s="1048">
        <f t="shared" si="594"/>
        <v>131.40900000000002</v>
      </c>
      <c r="AB468" s="1048">
        <f t="shared" si="594"/>
        <v>138.85699999999994</v>
      </c>
      <c r="AC468" s="1047">
        <f t="shared" si="594"/>
        <v>510.01700000000017</v>
      </c>
      <c r="AD468" s="1048">
        <f t="shared" si="594"/>
        <v>138.96100000000001</v>
      </c>
      <c r="AE468" s="1048">
        <f t="shared" si="594"/>
        <v>138.40199999999999</v>
      </c>
      <c r="AF468" s="1048">
        <f t="shared" si="594"/>
        <v>155.251</v>
      </c>
      <c r="AG468" s="1048">
        <f t="shared" si="594"/>
        <v>158.97400000000002</v>
      </c>
      <c r="AH468" s="1047">
        <f t="shared" si="594"/>
        <v>591.58799999999997</v>
      </c>
      <c r="AI468" s="1048">
        <f t="shared" si="594"/>
        <v>145.52799999999999</v>
      </c>
      <c r="AJ468" s="1048">
        <f t="shared" si="594"/>
        <v>146.86899999999997</v>
      </c>
      <c r="AK468" s="1048">
        <f t="shared" si="594"/>
        <v>166.83499999999998</v>
      </c>
      <c r="AL468" s="1048">
        <f t="shared" si="594"/>
        <v>155.047</v>
      </c>
      <c r="AM468" s="1047">
        <f t="shared" si="594"/>
        <v>614.279</v>
      </c>
      <c r="AN468" s="1048">
        <f t="shared" si="594"/>
        <v>148.84299999999996</v>
      </c>
      <c r="AO468" s="1048">
        <f t="shared" si="594"/>
        <v>159.06599999999997</v>
      </c>
      <c r="AP468" s="1048">
        <f t="shared" si="594"/>
        <v>175.49000000000004</v>
      </c>
      <c r="AQ468" s="1048">
        <f t="shared" si="594"/>
        <v>177.047</v>
      </c>
      <c r="AR468" s="1047">
        <f t="shared" si="594"/>
        <v>660.44600000000003</v>
      </c>
      <c r="AS468" s="1048">
        <f t="shared" si="594"/>
        <v>178.292</v>
      </c>
      <c r="AT468" s="1048">
        <f t="shared" si="594"/>
        <v>153.72199999999992</v>
      </c>
      <c r="AU468" s="1048">
        <f t="shared" si="594"/>
        <v>208.88</v>
      </c>
      <c r="AV468" s="1048">
        <f t="shared" si="594"/>
        <v>195.41800000000012</v>
      </c>
      <c r="AW468" s="1047">
        <f t="shared" si="594"/>
        <v>736.31199999999967</v>
      </c>
      <c r="AX468" s="1048">
        <f t="shared" si="594"/>
        <v>192.62900000000002</v>
      </c>
      <c r="AY468" s="1048">
        <f t="shared" si="594"/>
        <v>191.07899999999989</v>
      </c>
      <c r="AZ468" s="1048">
        <f t="shared" si="594"/>
        <v>198.422</v>
      </c>
      <c r="BA468" s="1048">
        <f t="shared" si="594"/>
        <v>185.50000000000003</v>
      </c>
      <c r="BB468" s="1049">
        <f t="shared" si="594"/>
        <v>767.62999999999977</v>
      </c>
      <c r="BC468" s="1048">
        <f t="shared" ref="BC468:CA468" si="595">BC42</f>
        <v>187.69999999999996</v>
      </c>
      <c r="BD468" s="1048">
        <f t="shared" si="595"/>
        <v>195.00000000000006</v>
      </c>
      <c r="BE468" s="1048">
        <f t="shared" si="595"/>
        <v>208.39999999999992</v>
      </c>
      <c r="BF468" s="1048">
        <f t="shared" si="595"/>
        <v>210.09999999999997</v>
      </c>
      <c r="BG468" s="1049">
        <f t="shared" si="595"/>
        <v>801.20000000000039</v>
      </c>
      <c r="BH468" s="1048">
        <f t="shared" si="595"/>
        <v>197.78126769731796</v>
      </c>
      <c r="BI468" s="1048">
        <f t="shared" si="595"/>
        <v>204.8614871430733</v>
      </c>
      <c r="BJ468" s="1048">
        <f t="shared" si="595"/>
        <v>222.10227042418282</v>
      </c>
      <c r="BK468" s="1048">
        <f t="shared" si="595"/>
        <v>221.96969958837644</v>
      </c>
      <c r="BL468" s="1049">
        <f t="shared" si="595"/>
        <v>846.71472485295044</v>
      </c>
      <c r="BM468" s="1048">
        <f t="shared" si="595"/>
        <v>214.88753150997124</v>
      </c>
      <c r="BN468" s="1048">
        <f t="shared" si="595"/>
        <v>222.62030210586965</v>
      </c>
      <c r="BO468" s="1048">
        <f t="shared" si="595"/>
        <v>241.02169190805381</v>
      </c>
      <c r="BP468" s="1048">
        <f t="shared" si="595"/>
        <v>241.17852387415095</v>
      </c>
      <c r="BQ468" s="1049">
        <f t="shared" si="595"/>
        <v>919.70804939804577</v>
      </c>
      <c r="BR468" s="1048">
        <f t="shared" si="595"/>
        <v>233.23604058456198</v>
      </c>
      <c r="BS468" s="1048">
        <f t="shared" si="595"/>
        <v>241.45480629329404</v>
      </c>
      <c r="BT468" s="1048">
        <f t="shared" si="595"/>
        <v>261.03086448933232</v>
      </c>
      <c r="BU468" s="1048">
        <f t="shared" si="595"/>
        <v>261.25199583675419</v>
      </c>
      <c r="BV468" s="1049">
        <f t="shared" si="595"/>
        <v>996.97370720394247</v>
      </c>
      <c r="BW468" s="1048">
        <f t="shared" si="595"/>
        <v>254.23727432675065</v>
      </c>
      <c r="BX468" s="1048">
        <f t="shared" si="595"/>
        <v>262.96776377467029</v>
      </c>
      <c r="BY468" s="1048">
        <f t="shared" si="595"/>
        <v>283.79228755779121</v>
      </c>
      <c r="BZ468" s="1048">
        <f t="shared" si="595"/>
        <v>284.0800085783398</v>
      </c>
      <c r="CA468" s="1049">
        <f t="shared" si="595"/>
        <v>1085.0773342375519</v>
      </c>
      <c r="CC468" s="29"/>
      <c r="CD468" s="29"/>
      <c r="CE468" s="92"/>
      <c r="CF468" s="92"/>
      <c r="CG468" s="92"/>
      <c r="CH468" s="92"/>
      <c r="CI468" s="92"/>
      <c r="CJ468" s="92"/>
      <c r="CK468" s="92"/>
      <c r="CL468" s="92"/>
      <c r="CM468" s="92"/>
      <c r="CN468" s="92"/>
      <c r="CO468" s="92"/>
      <c r="CP468" s="188"/>
      <c r="CQ468" s="188"/>
      <c r="CR468" s="188"/>
      <c r="CS468" s="188"/>
      <c r="CT468" s="188"/>
      <c r="CU468" s="188"/>
      <c r="DB468" s="1961"/>
      <c r="DC468" s="1961"/>
      <c r="DD468" s="1961"/>
      <c r="DE468" s="1961"/>
      <c r="DF468" s="1961"/>
      <c r="DG468" s="1961"/>
      <c r="DH468" s="1961"/>
      <c r="DI468" s="90"/>
    </row>
    <row r="469" spans="1:113" ht="12" customHeight="1" x14ac:dyDescent="0.25">
      <c r="A469" s="1045" t="s">
        <v>309</v>
      </c>
      <c r="B469" s="746"/>
      <c r="C469" s="1050"/>
      <c r="D469" s="1051"/>
      <c r="E469" s="1052"/>
      <c r="F469" s="1052"/>
      <c r="G469" s="1052"/>
      <c r="H469" s="1052"/>
      <c r="I469" s="1051"/>
      <c r="J469" s="1052">
        <f t="shared" ref="J469:BB469" si="596">(-J380)*J468</f>
        <v>-32.734576401229866</v>
      </c>
      <c r="K469" s="1052">
        <f t="shared" si="596"/>
        <v>-35.085307924580796</v>
      </c>
      <c r="L469" s="1052">
        <f t="shared" si="596"/>
        <v>-31.941354506512056</v>
      </c>
      <c r="M469" s="1052">
        <f t="shared" si="596"/>
        <v>-34.630461533855303</v>
      </c>
      <c r="N469" s="1051">
        <f t="shared" si="596"/>
        <v>-134.3619506774854</v>
      </c>
      <c r="O469" s="1052">
        <f t="shared" si="596"/>
        <v>-37.431445052990057</v>
      </c>
      <c r="P469" s="1052">
        <f t="shared" si="596"/>
        <v>-37.028848016622582</v>
      </c>
      <c r="Q469" s="1052">
        <f t="shared" si="596"/>
        <v>-37.330537938168938</v>
      </c>
      <c r="R469" s="1052">
        <f t="shared" si="596"/>
        <v>-50.894039804514208</v>
      </c>
      <c r="S469" s="1051">
        <f t="shared" si="596"/>
        <v>-157.49607126471534</v>
      </c>
      <c r="T469" s="1052">
        <f t="shared" si="596"/>
        <v>-46.292022589070726</v>
      </c>
      <c r="U469" s="1052">
        <f t="shared" si="596"/>
        <v>-43.747962299115962</v>
      </c>
      <c r="V469" s="1052">
        <f t="shared" si="596"/>
        <v>-45.812472659588607</v>
      </c>
      <c r="W469" s="1052">
        <f t="shared" si="596"/>
        <v>-42.066751866902521</v>
      </c>
      <c r="X469" s="1051">
        <f t="shared" si="596"/>
        <v>-177.92476471658674</v>
      </c>
      <c r="Y469" s="1052">
        <f t="shared" si="596"/>
        <v>-47.888335417158842</v>
      </c>
      <c r="Z469" s="1052">
        <f t="shared" si="596"/>
        <v>-49.546344139131755</v>
      </c>
      <c r="AA469" s="1052">
        <f t="shared" si="596"/>
        <v>-51.56297989369078</v>
      </c>
      <c r="AB469" s="1052">
        <f t="shared" si="596"/>
        <v>-49.269751819423249</v>
      </c>
      <c r="AC469" s="1051">
        <f t="shared" si="596"/>
        <v>-198.25029432562002</v>
      </c>
      <c r="AD469" s="1052">
        <f t="shared" si="596"/>
        <v>-54.686995553243214</v>
      </c>
      <c r="AE469" s="1052">
        <f t="shared" si="596"/>
        <v>-54.629211810055217</v>
      </c>
      <c r="AF469" s="1052">
        <f t="shared" si="596"/>
        <v>-61.030589059846577</v>
      </c>
      <c r="AG469" s="1052">
        <f t="shared" si="596"/>
        <v>-46.086726822220619</v>
      </c>
      <c r="AH469" s="1051">
        <f t="shared" si="596"/>
        <v>-216.46793151096966</v>
      </c>
      <c r="AI469" s="1052">
        <f t="shared" si="596"/>
        <v>-53.249572045430959</v>
      </c>
      <c r="AJ469" s="1052">
        <f t="shared" si="596"/>
        <v>-52.702916935065758</v>
      </c>
      <c r="AK469" s="1052">
        <f t="shared" si="596"/>
        <v>-60.129777243071288</v>
      </c>
      <c r="AL469" s="1052">
        <f t="shared" si="596"/>
        <v>-57.863450839241523</v>
      </c>
      <c r="AM469" s="1051">
        <f t="shared" si="596"/>
        <v>-223.96023233808128</v>
      </c>
      <c r="AN469" s="1052">
        <f t="shared" si="596"/>
        <v>-53.202144354059335</v>
      </c>
      <c r="AO469" s="1052">
        <f t="shared" si="596"/>
        <v>-60.244675707123051</v>
      </c>
      <c r="AP469" s="1052">
        <f t="shared" si="596"/>
        <v>-65.310094542410923</v>
      </c>
      <c r="AQ469" s="1052">
        <f t="shared" si="596"/>
        <v>-66.944881748104166</v>
      </c>
      <c r="AR469" s="1051">
        <f t="shared" si="596"/>
        <v>-245.73551645728222</v>
      </c>
      <c r="AS469" s="1052">
        <f t="shared" si="596"/>
        <v>-67.973461690868504</v>
      </c>
      <c r="AT469" s="1052">
        <f t="shared" si="596"/>
        <v>-28.833293862485451</v>
      </c>
      <c r="AU469" s="1052">
        <f t="shared" si="596"/>
        <v>-66.801201306575706</v>
      </c>
      <c r="AV469" s="1052">
        <f t="shared" si="596"/>
        <v>-59.235245157448169</v>
      </c>
      <c r="AW469" s="1051">
        <f t="shared" si="596"/>
        <v>-215.45554431904682</v>
      </c>
      <c r="AX469" s="1052">
        <f t="shared" si="596"/>
        <v>-61.048767244974819</v>
      </c>
      <c r="AY469" s="1052">
        <f t="shared" si="596"/>
        <v>-63.999380434918059</v>
      </c>
      <c r="AZ469" s="1052">
        <f t="shared" si="596"/>
        <v>-51.585162173136275</v>
      </c>
      <c r="BA469" s="1052">
        <f t="shared" si="596"/>
        <v>-61.022784019975035</v>
      </c>
      <c r="BB469" s="1053">
        <f t="shared" si="596"/>
        <v>-238.11914341546296</v>
      </c>
      <c r="BC469" s="1052">
        <f t="shared" ref="BC469:CA469" si="597">(-BC380)*BC468</f>
        <v>-61.014143920595536</v>
      </c>
      <c r="BD469" s="1052">
        <f t="shared" si="597"/>
        <v>-56.124190700412001</v>
      </c>
      <c r="BE469" s="1052">
        <f t="shared" si="597"/>
        <v>-69.197565024903156</v>
      </c>
      <c r="BF469" s="1052">
        <f t="shared" si="597"/>
        <v>29.646012269938648</v>
      </c>
      <c r="BG469" s="1053">
        <f t="shared" si="597"/>
        <v>-157.66632904065992</v>
      </c>
      <c r="BH469" s="1052">
        <f t="shared" si="597"/>
        <v>-43.51187889340995</v>
      </c>
      <c r="BI469" s="1052">
        <f t="shared" si="597"/>
        <v>-45.069527171476125</v>
      </c>
      <c r="BJ469" s="1052">
        <f t="shared" si="597"/>
        <v>-48.862499493320222</v>
      </c>
      <c r="BK469" s="1052">
        <f t="shared" si="597"/>
        <v>-48.833333909442821</v>
      </c>
      <c r="BL469" s="1053">
        <f t="shared" si="597"/>
        <v>-186.27723946764911</v>
      </c>
      <c r="BM469" s="1052">
        <f t="shared" si="597"/>
        <v>-47.27525693219367</v>
      </c>
      <c r="BN469" s="1052">
        <f t="shared" si="597"/>
        <v>-48.976466463291324</v>
      </c>
      <c r="BO469" s="1052">
        <f t="shared" si="597"/>
        <v>-53.02477221977184</v>
      </c>
      <c r="BP469" s="1052">
        <f t="shared" si="597"/>
        <v>-53.059275252313213</v>
      </c>
      <c r="BQ469" s="1053">
        <f t="shared" si="597"/>
        <v>-202.33577086757003</v>
      </c>
      <c r="BR469" s="1052">
        <f t="shared" si="597"/>
        <v>-51.311928928603628</v>
      </c>
      <c r="BS469" s="1052">
        <f t="shared" si="597"/>
        <v>-53.120057384524685</v>
      </c>
      <c r="BT469" s="1052">
        <f t="shared" si="597"/>
        <v>-57.426790187653104</v>
      </c>
      <c r="BU469" s="1052">
        <f t="shared" si="597"/>
        <v>-57.475439084085913</v>
      </c>
      <c r="BV469" s="1053">
        <f t="shared" si="597"/>
        <v>-219.33421558486731</v>
      </c>
      <c r="BW469" s="1052">
        <f t="shared" si="597"/>
        <v>-55.932200351885136</v>
      </c>
      <c r="BX469" s="1052">
        <f t="shared" si="597"/>
        <v>-57.852908030427457</v>
      </c>
      <c r="BY469" s="1052">
        <f t="shared" si="597"/>
        <v>-62.43430326271406</v>
      </c>
      <c r="BZ469" s="1052">
        <f t="shared" si="597"/>
        <v>-62.497601887234751</v>
      </c>
      <c r="CA469" s="1053">
        <f t="shared" si="597"/>
        <v>-238.71701353226138</v>
      </c>
      <c r="CC469" s="29"/>
      <c r="CD469" s="29"/>
      <c r="CE469" s="92"/>
      <c r="CF469" s="92"/>
      <c r="CG469" s="92"/>
      <c r="CH469" s="92"/>
      <c r="CI469" s="92"/>
      <c r="CJ469" s="92"/>
      <c r="CK469" s="92"/>
      <c r="CL469" s="92"/>
      <c r="CM469" s="92"/>
      <c r="CN469" s="92"/>
      <c r="CO469" s="92"/>
      <c r="CP469" s="188"/>
      <c r="CQ469" s="188"/>
      <c r="CR469" s="188"/>
      <c r="CS469" s="188"/>
      <c r="CT469" s="188"/>
      <c r="CU469" s="188"/>
      <c r="DB469" s="1961"/>
      <c r="DC469" s="1961"/>
      <c r="DD469" s="1961"/>
      <c r="DE469" s="1961"/>
      <c r="DF469" s="1961"/>
      <c r="DG469" s="1961"/>
      <c r="DH469" s="1961"/>
      <c r="DI469" s="90"/>
    </row>
    <row r="470" spans="1:113" ht="5.25" customHeight="1" x14ac:dyDescent="0.25">
      <c r="A470" s="487"/>
      <c r="B470" s="210"/>
      <c r="C470" s="210"/>
      <c r="D470" s="134"/>
      <c r="E470" s="135"/>
      <c r="F470" s="135"/>
      <c r="G470" s="135"/>
      <c r="H470" s="135"/>
      <c r="I470" s="134"/>
      <c r="J470" s="135" t="s">
        <v>60</v>
      </c>
      <c r="K470" s="135" t="s">
        <v>60</v>
      </c>
      <c r="L470" s="135" t="s">
        <v>60</v>
      </c>
      <c r="M470" s="135" t="s">
        <v>60</v>
      </c>
      <c r="N470" s="134" t="s">
        <v>60</v>
      </c>
      <c r="O470" s="135" t="s">
        <v>60</v>
      </c>
      <c r="P470" s="135" t="s">
        <v>60</v>
      </c>
      <c r="Q470" s="135" t="s">
        <v>60</v>
      </c>
      <c r="R470" s="135" t="s">
        <v>60</v>
      </c>
      <c r="S470" s="134" t="s">
        <v>60</v>
      </c>
      <c r="T470" s="135" t="s">
        <v>60</v>
      </c>
      <c r="U470" s="135" t="s">
        <v>60</v>
      </c>
      <c r="V470" s="135" t="s">
        <v>60</v>
      </c>
      <c r="W470" s="135" t="s">
        <v>60</v>
      </c>
      <c r="X470" s="134" t="s">
        <v>60</v>
      </c>
      <c r="Y470" s="135" t="s">
        <v>60</v>
      </c>
      <c r="Z470" s="135" t="s">
        <v>60</v>
      </c>
      <c r="AA470" s="135" t="s">
        <v>60</v>
      </c>
      <c r="AB470" s="135" t="s">
        <v>60</v>
      </c>
      <c r="AC470" s="134" t="s">
        <v>60</v>
      </c>
      <c r="AD470" s="135" t="s">
        <v>60</v>
      </c>
      <c r="AE470" s="135" t="s">
        <v>60</v>
      </c>
      <c r="AF470" s="135" t="s">
        <v>60</v>
      </c>
      <c r="AG470" s="135" t="s">
        <v>60</v>
      </c>
      <c r="AH470" s="134" t="s">
        <v>60</v>
      </c>
      <c r="AI470" s="135" t="s">
        <v>60</v>
      </c>
      <c r="AJ470" s="135" t="s">
        <v>60</v>
      </c>
      <c r="AK470" s="135" t="s">
        <v>60</v>
      </c>
      <c r="AL470" s="135" t="s">
        <v>60</v>
      </c>
      <c r="AM470" s="134" t="s">
        <v>60</v>
      </c>
      <c r="AN470" s="135" t="s">
        <v>60</v>
      </c>
      <c r="AO470" s="135" t="s">
        <v>60</v>
      </c>
      <c r="AP470" s="135" t="s">
        <v>60</v>
      </c>
      <c r="AQ470" s="135" t="s">
        <v>60</v>
      </c>
      <c r="AR470" s="134" t="s">
        <v>60</v>
      </c>
      <c r="AS470" s="135" t="s">
        <v>60</v>
      </c>
      <c r="AT470" s="135" t="s">
        <v>60</v>
      </c>
      <c r="AU470" s="135" t="s">
        <v>60</v>
      </c>
      <c r="AV470" s="135" t="s">
        <v>60</v>
      </c>
      <c r="AW470" s="134" t="s">
        <v>60</v>
      </c>
      <c r="AX470" s="135" t="s">
        <v>60</v>
      </c>
      <c r="AY470" s="135" t="s">
        <v>60</v>
      </c>
      <c r="AZ470" s="135" t="s">
        <v>60</v>
      </c>
      <c r="BA470" s="135" t="s">
        <v>60</v>
      </c>
      <c r="BB470" s="134" t="s">
        <v>60</v>
      </c>
      <c r="BC470" s="135" t="s">
        <v>60</v>
      </c>
      <c r="BD470" s="135" t="s">
        <v>60</v>
      </c>
      <c r="BE470" s="135" t="s">
        <v>60</v>
      </c>
      <c r="BF470" s="135" t="s">
        <v>60</v>
      </c>
      <c r="BG470" s="134" t="s">
        <v>60</v>
      </c>
      <c r="BH470" s="135" t="s">
        <v>60</v>
      </c>
      <c r="BI470" s="135" t="s">
        <v>60</v>
      </c>
      <c r="BJ470" s="135" t="s">
        <v>60</v>
      </c>
      <c r="BK470" s="135" t="s">
        <v>60</v>
      </c>
      <c r="BL470" s="134" t="s">
        <v>60</v>
      </c>
      <c r="BM470" s="135" t="s">
        <v>60</v>
      </c>
      <c r="BN470" s="135" t="s">
        <v>60</v>
      </c>
      <c r="BO470" s="135" t="s">
        <v>60</v>
      </c>
      <c r="BP470" s="135" t="s">
        <v>60</v>
      </c>
      <c r="BQ470" s="134" t="s">
        <v>60</v>
      </c>
      <c r="BR470" s="135" t="s">
        <v>60</v>
      </c>
      <c r="BS470" s="135" t="s">
        <v>60</v>
      </c>
      <c r="BT470" s="135" t="s">
        <v>60</v>
      </c>
      <c r="BU470" s="135" t="s">
        <v>60</v>
      </c>
      <c r="BV470" s="134" t="s">
        <v>60</v>
      </c>
      <c r="BW470" s="135" t="s">
        <v>60</v>
      </c>
      <c r="BX470" s="135" t="s">
        <v>60</v>
      </c>
      <c r="BY470" s="135" t="s">
        <v>60</v>
      </c>
      <c r="BZ470" s="135" t="s">
        <v>60</v>
      </c>
      <c r="CA470" s="134" t="s">
        <v>60</v>
      </c>
      <c r="CC470" s="29"/>
      <c r="CD470" s="29"/>
      <c r="CE470" s="130"/>
      <c r="CF470" s="130"/>
      <c r="CG470" s="130"/>
      <c r="CH470" s="130"/>
      <c r="CI470" s="130"/>
      <c r="CJ470" s="130"/>
      <c r="CK470" s="130"/>
      <c r="CL470" s="130"/>
      <c r="CM470" s="130"/>
      <c r="CN470" s="130"/>
      <c r="CO470" s="130"/>
      <c r="CP470" s="188"/>
      <c r="CQ470" s="188"/>
      <c r="CR470" s="188"/>
      <c r="CS470" s="188"/>
      <c r="CT470" s="188"/>
      <c r="CU470" s="188"/>
      <c r="DB470" s="1961"/>
      <c r="DC470" s="1961"/>
      <c r="DD470" s="1961"/>
      <c r="DE470" s="1961"/>
      <c r="DF470" s="1961"/>
      <c r="DG470" s="1961"/>
      <c r="DH470" s="1961"/>
      <c r="DI470" s="135"/>
    </row>
    <row r="471" spans="1:113" s="315" customFormat="1" ht="12" customHeight="1" x14ac:dyDescent="0.25">
      <c r="A471" s="1054" t="s">
        <v>310</v>
      </c>
      <c r="B471" s="1055"/>
      <c r="C471" s="1056"/>
      <c r="D471" s="1057"/>
      <c r="E471" s="1058"/>
      <c r="F471" s="1058"/>
      <c r="G471" s="1058"/>
      <c r="H471" s="1058"/>
      <c r="I471" s="1057"/>
      <c r="J471" s="1058">
        <f t="shared" ref="J471:BB471" si="598">SUM(J468:J470)</f>
        <v>44.951423598770113</v>
      </c>
      <c r="K471" s="1058">
        <f t="shared" si="598"/>
        <v>43.851692075419216</v>
      </c>
      <c r="L471" s="1058">
        <f t="shared" si="598"/>
        <v>45.782645493487934</v>
      </c>
      <c r="M471" s="1058">
        <f t="shared" si="598"/>
        <v>41.564538466144661</v>
      </c>
      <c r="N471" s="1057">
        <f t="shared" si="598"/>
        <v>176.18004932251452</v>
      </c>
      <c r="O471" s="1058">
        <f t="shared" si="598"/>
        <v>49.77155494700996</v>
      </c>
      <c r="P471" s="1058">
        <f t="shared" si="598"/>
        <v>50.822151983377402</v>
      </c>
      <c r="Q471" s="1058">
        <f t="shared" si="598"/>
        <v>47.464462061831107</v>
      </c>
      <c r="R471" s="1058">
        <f t="shared" si="598"/>
        <v>-8.7360398045142205</v>
      </c>
      <c r="S471" s="1057">
        <f t="shared" si="598"/>
        <v>144.51092873528478</v>
      </c>
      <c r="T471" s="1058">
        <f t="shared" si="598"/>
        <v>60.121977410929262</v>
      </c>
      <c r="U471" s="1058">
        <f t="shared" si="598"/>
        <v>63.327037700884055</v>
      </c>
      <c r="V471" s="1058">
        <f t="shared" si="598"/>
        <v>67.905527340411439</v>
      </c>
      <c r="W471" s="1058">
        <f t="shared" si="598"/>
        <v>71.640248133097472</v>
      </c>
      <c r="X471" s="1057">
        <f t="shared" si="598"/>
        <v>262.98923528341334</v>
      </c>
      <c r="Y471" s="1058">
        <f t="shared" si="598"/>
        <v>71.408664582841183</v>
      </c>
      <c r="Z471" s="1058">
        <f t="shared" si="598"/>
        <v>70.907655860868289</v>
      </c>
      <c r="AA471" s="1058">
        <f t="shared" si="598"/>
        <v>79.84602010630924</v>
      </c>
      <c r="AB471" s="1058">
        <f t="shared" si="598"/>
        <v>89.587248180576694</v>
      </c>
      <c r="AC471" s="1057">
        <f t="shared" si="598"/>
        <v>311.76670567438015</v>
      </c>
      <c r="AD471" s="1058">
        <f t="shared" si="598"/>
        <v>84.274004446756805</v>
      </c>
      <c r="AE471" s="1058">
        <f t="shared" si="598"/>
        <v>83.772788189944777</v>
      </c>
      <c r="AF471" s="1058">
        <f t="shared" si="598"/>
        <v>94.220410940153428</v>
      </c>
      <c r="AG471" s="1058">
        <f t="shared" si="598"/>
        <v>112.88727317777941</v>
      </c>
      <c r="AH471" s="1057">
        <f t="shared" si="598"/>
        <v>375.1200684890303</v>
      </c>
      <c r="AI471" s="1058">
        <f t="shared" si="598"/>
        <v>92.278427954569025</v>
      </c>
      <c r="AJ471" s="1058">
        <f t="shared" si="598"/>
        <v>94.166083064934213</v>
      </c>
      <c r="AK471" s="1058">
        <f t="shared" si="598"/>
        <v>106.70522275692869</v>
      </c>
      <c r="AL471" s="1058">
        <f t="shared" si="598"/>
        <v>97.183549160758474</v>
      </c>
      <c r="AM471" s="1057">
        <f t="shared" si="598"/>
        <v>390.31876766191874</v>
      </c>
      <c r="AN471" s="1058">
        <f t="shared" si="598"/>
        <v>95.640855645940633</v>
      </c>
      <c r="AO471" s="1058">
        <f t="shared" si="598"/>
        <v>98.821324292876923</v>
      </c>
      <c r="AP471" s="1058">
        <f t="shared" si="598"/>
        <v>110.17990545758911</v>
      </c>
      <c r="AQ471" s="1058">
        <f t="shared" si="598"/>
        <v>110.10211825189583</v>
      </c>
      <c r="AR471" s="1057">
        <f t="shared" si="598"/>
        <v>414.71048354271784</v>
      </c>
      <c r="AS471" s="1058">
        <f t="shared" si="598"/>
        <v>110.3185383091315</v>
      </c>
      <c r="AT471" s="1058">
        <f t="shared" si="598"/>
        <v>124.88870613751448</v>
      </c>
      <c r="AU471" s="1058">
        <f t="shared" si="598"/>
        <v>142.07879869342429</v>
      </c>
      <c r="AV471" s="1058">
        <f t="shared" si="598"/>
        <v>136.18275484255196</v>
      </c>
      <c r="AW471" s="1057">
        <f t="shared" si="598"/>
        <v>520.85645568095288</v>
      </c>
      <c r="AX471" s="1058">
        <f t="shared" si="598"/>
        <v>131.58023275502521</v>
      </c>
      <c r="AY471" s="1058">
        <f t="shared" si="598"/>
        <v>127.07961956508183</v>
      </c>
      <c r="AZ471" s="1058">
        <f t="shared" si="598"/>
        <v>146.83683782686373</v>
      </c>
      <c r="BA471" s="1058">
        <f t="shared" si="598"/>
        <v>124.47721598002499</v>
      </c>
      <c r="BB471" s="1059">
        <f t="shared" si="598"/>
        <v>529.51085658453678</v>
      </c>
      <c r="BC471" s="1058">
        <f t="shared" ref="BC471:CA471" si="599">SUM(BC468:BC470)</f>
        <v>126.68585607940443</v>
      </c>
      <c r="BD471" s="1058">
        <f t="shared" si="599"/>
        <v>138.87580929958807</v>
      </c>
      <c r="BE471" s="1058">
        <f t="shared" si="599"/>
        <v>139.20243497509676</v>
      </c>
      <c r="BF471" s="1058">
        <f t="shared" si="599"/>
        <v>239.7460122699386</v>
      </c>
      <c r="BG471" s="1059">
        <f t="shared" si="599"/>
        <v>643.5336709593405</v>
      </c>
      <c r="BH471" s="1058">
        <f t="shared" si="599"/>
        <v>154.26938880390802</v>
      </c>
      <c r="BI471" s="1058">
        <f t="shared" si="599"/>
        <v>159.79195997159718</v>
      </c>
      <c r="BJ471" s="1058">
        <f t="shared" si="599"/>
        <v>173.23977093086259</v>
      </c>
      <c r="BK471" s="1058">
        <f t="shared" si="599"/>
        <v>173.13636567893363</v>
      </c>
      <c r="BL471" s="1059">
        <f t="shared" si="599"/>
        <v>660.43748538530133</v>
      </c>
      <c r="BM471" s="1058">
        <f t="shared" si="599"/>
        <v>167.61227457777755</v>
      </c>
      <c r="BN471" s="1058">
        <f t="shared" si="599"/>
        <v>173.64383564257832</v>
      </c>
      <c r="BO471" s="1058">
        <f t="shared" si="599"/>
        <v>187.99691968828196</v>
      </c>
      <c r="BP471" s="1058">
        <f t="shared" si="599"/>
        <v>188.11924862183776</v>
      </c>
      <c r="BQ471" s="1059">
        <f t="shared" si="599"/>
        <v>717.3722785304758</v>
      </c>
      <c r="BR471" s="1058">
        <f t="shared" si="599"/>
        <v>181.92411165595834</v>
      </c>
      <c r="BS471" s="1058">
        <f t="shared" si="599"/>
        <v>188.33474890876937</v>
      </c>
      <c r="BT471" s="1058">
        <f t="shared" si="599"/>
        <v>203.60407430167922</v>
      </c>
      <c r="BU471" s="1058">
        <f t="shared" si="599"/>
        <v>203.77655675266828</v>
      </c>
      <c r="BV471" s="1059">
        <f t="shared" si="599"/>
        <v>777.63949161907522</v>
      </c>
      <c r="BW471" s="1058">
        <f t="shared" si="599"/>
        <v>198.30507397486551</v>
      </c>
      <c r="BX471" s="1058">
        <f t="shared" si="599"/>
        <v>205.11485574424285</v>
      </c>
      <c r="BY471" s="1058">
        <f t="shared" si="599"/>
        <v>221.35798429507716</v>
      </c>
      <c r="BZ471" s="1058">
        <f t="shared" si="599"/>
        <v>221.58240669110506</v>
      </c>
      <c r="CA471" s="1059">
        <f t="shared" si="599"/>
        <v>846.36032070529052</v>
      </c>
      <c r="CB471"/>
      <c r="CC471" s="311"/>
      <c r="CD471" s="311"/>
      <c r="CE471" s="310"/>
      <c r="CF471" s="310"/>
      <c r="CG471" s="310"/>
      <c r="CH471" s="310"/>
      <c r="CI471" s="310"/>
      <c r="CJ471" s="310"/>
      <c r="CK471" s="310"/>
      <c r="CL471" s="310"/>
      <c r="CM471" s="310"/>
      <c r="CN471" s="310"/>
      <c r="CO471" s="310"/>
      <c r="CP471" s="1060"/>
      <c r="CQ471" s="1060"/>
      <c r="CR471" s="1060"/>
      <c r="CS471" s="1060"/>
      <c r="CT471" s="1060"/>
      <c r="CU471" s="1060"/>
      <c r="CV471"/>
      <c r="CW471"/>
      <c r="CX471"/>
      <c r="CY471"/>
      <c r="CZ471"/>
      <c r="DA471"/>
      <c r="DI471" s="1061"/>
    </row>
    <row r="472" spans="1:113" ht="12" customHeight="1" x14ac:dyDescent="0.25">
      <c r="A472" s="217" t="s">
        <v>69</v>
      </c>
      <c r="B472" s="746"/>
      <c r="C472" s="1050"/>
      <c r="D472" s="1051"/>
      <c r="E472" s="1052"/>
      <c r="F472" s="1052"/>
      <c r="G472" s="1052"/>
      <c r="H472" s="1052"/>
      <c r="I472" s="1051"/>
      <c r="J472" s="1052">
        <f t="shared" ref="J472:BB472" si="600">SUM(J114:J115)</f>
        <v>15.948</v>
      </c>
      <c r="K472" s="1052">
        <f t="shared" si="600"/>
        <v>15.412999999999998</v>
      </c>
      <c r="L472" s="1052">
        <f t="shared" si="600"/>
        <v>16.095000000000006</v>
      </c>
      <c r="M472" s="1052">
        <f t="shared" si="600"/>
        <v>17.415999999999997</v>
      </c>
      <c r="N472" s="1051">
        <f t="shared" si="600"/>
        <v>64.872</v>
      </c>
      <c r="O472" s="1052">
        <f t="shared" si="600"/>
        <v>17.704999999999998</v>
      </c>
      <c r="P472" s="1052">
        <f t="shared" si="600"/>
        <v>18.182000000000002</v>
      </c>
      <c r="Q472" s="1052">
        <f t="shared" si="600"/>
        <v>17.632999999999999</v>
      </c>
      <c r="R472" s="1052">
        <f t="shared" si="600"/>
        <v>17.679000000000006</v>
      </c>
      <c r="S472" s="1051">
        <f t="shared" si="600"/>
        <v>71.199000000000012</v>
      </c>
      <c r="T472" s="1052">
        <f t="shared" si="600"/>
        <v>17.233000000000001</v>
      </c>
      <c r="U472" s="1052">
        <f t="shared" si="600"/>
        <v>16.963999999999999</v>
      </c>
      <c r="V472" s="1052">
        <f t="shared" si="600"/>
        <v>16.192999999999998</v>
      </c>
      <c r="W472" s="1052">
        <f t="shared" si="600"/>
        <v>17.736000000000004</v>
      </c>
      <c r="X472" s="1051">
        <f t="shared" si="600"/>
        <v>68.126000000000005</v>
      </c>
      <c r="Y472" s="1052">
        <f t="shared" si="600"/>
        <v>19.759999999999998</v>
      </c>
      <c r="Z472" s="1052">
        <f t="shared" si="600"/>
        <v>19.731999999999999</v>
      </c>
      <c r="AA472" s="1052">
        <f t="shared" si="600"/>
        <v>19.594999999999999</v>
      </c>
      <c r="AB472" s="1052">
        <f t="shared" si="600"/>
        <v>19.532000000000004</v>
      </c>
      <c r="AC472" s="1051">
        <f t="shared" si="600"/>
        <v>78.619</v>
      </c>
      <c r="AD472" s="1052">
        <f t="shared" si="600"/>
        <v>20.230999999999998</v>
      </c>
      <c r="AE472" s="1052">
        <f t="shared" si="600"/>
        <v>25.277000000000001</v>
      </c>
      <c r="AF472" s="1052">
        <f t="shared" si="600"/>
        <v>28.155999999999999</v>
      </c>
      <c r="AG472" s="1052">
        <f t="shared" si="600"/>
        <v>30.535000000000004</v>
      </c>
      <c r="AH472" s="1051">
        <f t="shared" si="600"/>
        <v>104.19900000000001</v>
      </c>
      <c r="AI472" s="1052">
        <f t="shared" si="600"/>
        <v>31.215</v>
      </c>
      <c r="AJ472" s="1052">
        <f t="shared" si="600"/>
        <v>32.871000000000002</v>
      </c>
      <c r="AK472" s="1052">
        <f t="shared" si="600"/>
        <v>32.003</v>
      </c>
      <c r="AL472" s="1052">
        <f t="shared" si="600"/>
        <v>33.841000000000001</v>
      </c>
      <c r="AM472" s="1051">
        <f t="shared" si="600"/>
        <v>129.93</v>
      </c>
      <c r="AN472" s="1052">
        <f t="shared" si="600"/>
        <v>33.992999999999995</v>
      </c>
      <c r="AO472" s="1052">
        <f t="shared" si="600"/>
        <v>34.944000000000003</v>
      </c>
      <c r="AP472" s="1052">
        <f t="shared" si="600"/>
        <v>36.138000000000005</v>
      </c>
      <c r="AQ472" s="1052">
        <f t="shared" si="600"/>
        <v>38.408000000000001</v>
      </c>
      <c r="AR472" s="1051">
        <f t="shared" si="600"/>
        <v>143.483</v>
      </c>
      <c r="AS472" s="1052">
        <f t="shared" si="600"/>
        <v>38.582999999999998</v>
      </c>
      <c r="AT472" s="1052">
        <f t="shared" si="600"/>
        <v>57.44</v>
      </c>
      <c r="AU472" s="1052">
        <f t="shared" si="600"/>
        <v>52.043999999999997</v>
      </c>
      <c r="AV472" s="1052">
        <f t="shared" si="600"/>
        <v>67.682000000000016</v>
      </c>
      <c r="AW472" s="1051">
        <f t="shared" si="600"/>
        <v>215.749</v>
      </c>
      <c r="AX472" s="1052">
        <f t="shared" si="600"/>
        <v>68.649000000000001</v>
      </c>
      <c r="AY472" s="1052">
        <f t="shared" si="600"/>
        <v>53.263000000000005</v>
      </c>
      <c r="AZ472" s="1052">
        <f t="shared" si="600"/>
        <v>52.178999999999988</v>
      </c>
      <c r="BA472" s="1052">
        <f t="shared" si="600"/>
        <v>50.509000000000015</v>
      </c>
      <c r="BB472" s="1053">
        <f t="shared" si="600"/>
        <v>224.60000000000002</v>
      </c>
      <c r="BC472" s="1052">
        <f t="shared" ref="BC472:CA472" si="601">SUM(BC114:BC115)</f>
        <v>56.099999999999994</v>
      </c>
      <c r="BD472" s="1052">
        <f t="shared" si="601"/>
        <v>55.7</v>
      </c>
      <c r="BE472" s="1052">
        <f t="shared" si="601"/>
        <v>61.2</v>
      </c>
      <c r="BF472" s="1052">
        <f t="shared" si="601"/>
        <v>64.399999999999991</v>
      </c>
      <c r="BG472" s="1053">
        <f t="shared" si="601"/>
        <v>237.39999999999998</v>
      </c>
      <c r="BH472" s="1052">
        <f t="shared" si="601"/>
        <v>70.91086</v>
      </c>
      <c r="BI472" s="1052">
        <f t="shared" si="601"/>
        <v>70.044939999999997</v>
      </c>
      <c r="BJ472" s="1052">
        <f t="shared" si="601"/>
        <v>70.57007999999999</v>
      </c>
      <c r="BK472" s="1052">
        <f t="shared" si="601"/>
        <v>71.014840000000007</v>
      </c>
      <c r="BL472" s="1053">
        <f t="shared" si="601"/>
        <v>282.54071999999996</v>
      </c>
      <c r="BM472" s="1052">
        <f t="shared" si="601"/>
        <v>70.561862187499997</v>
      </c>
      <c r="BN472" s="1052">
        <f t="shared" si="601"/>
        <v>69.693847187499998</v>
      </c>
      <c r="BO472" s="1052">
        <f t="shared" si="601"/>
        <v>70.218594374999995</v>
      </c>
      <c r="BP472" s="1052">
        <f t="shared" si="601"/>
        <v>70.662655000000001</v>
      </c>
      <c r="BQ472" s="1053">
        <f t="shared" si="601"/>
        <v>281.13695874999996</v>
      </c>
      <c r="BR472" s="1052">
        <f t="shared" si="601"/>
        <v>69.855624943750001</v>
      </c>
      <c r="BS472" s="1052">
        <f t="shared" si="601"/>
        <v>68.984970243749999</v>
      </c>
      <c r="BT472" s="1052">
        <f t="shared" si="601"/>
        <v>69.509222487500011</v>
      </c>
      <c r="BU472" s="1052">
        <f t="shared" si="601"/>
        <v>69.952401900000012</v>
      </c>
      <c r="BV472" s="1053">
        <f t="shared" si="601"/>
        <v>278.30221957499998</v>
      </c>
      <c r="BW472" s="1052">
        <f t="shared" si="601"/>
        <v>67.613406190937496</v>
      </c>
      <c r="BX472" s="1052">
        <f t="shared" si="601"/>
        <v>66.749218755937505</v>
      </c>
      <c r="BY472" s="1052">
        <f t="shared" si="601"/>
        <v>67.274683611875005</v>
      </c>
      <c r="BZ472" s="1052">
        <f t="shared" si="601"/>
        <v>67.72002199500001</v>
      </c>
      <c r="CA472" s="1053">
        <f t="shared" si="601"/>
        <v>269.35733055374999</v>
      </c>
      <c r="CC472" s="29"/>
      <c r="CD472" s="29"/>
      <c r="CE472" s="92"/>
      <c r="CF472" s="92"/>
      <c r="CG472" s="92"/>
      <c r="CH472" s="92"/>
      <c r="CI472" s="92"/>
      <c r="CJ472" s="92"/>
      <c r="CK472" s="92"/>
      <c r="CL472" s="92"/>
      <c r="CM472" s="92"/>
      <c r="CN472" s="92"/>
      <c r="CO472" s="92"/>
      <c r="CP472" s="188"/>
      <c r="CQ472" s="188"/>
      <c r="CR472" s="188"/>
      <c r="CS472" s="188"/>
      <c r="CT472" s="188"/>
      <c r="CU472" s="188"/>
      <c r="DB472" s="1961"/>
      <c r="DC472" s="1961"/>
      <c r="DD472" s="1961"/>
      <c r="DE472" s="1961"/>
      <c r="DF472" s="1961"/>
      <c r="DG472" s="1961"/>
      <c r="DH472" s="1961"/>
      <c r="DI472" s="90"/>
    </row>
    <row r="473" spans="1:113" ht="12" customHeight="1" x14ac:dyDescent="0.25">
      <c r="A473" s="217" t="s">
        <v>311</v>
      </c>
      <c r="B473" s="746"/>
      <c r="C473" s="1050"/>
      <c r="D473" s="1051"/>
      <c r="E473" s="1052"/>
      <c r="F473" s="1052"/>
      <c r="G473" s="1052"/>
      <c r="H473" s="1052"/>
      <c r="I473" s="1051"/>
      <c r="J473" s="1052">
        <f t="shared" ref="J473:BB473" si="602">SUM(J123,J124,J121,)</f>
        <v>-0.15300000000000002</v>
      </c>
      <c r="K473" s="1052">
        <f t="shared" si="602"/>
        <v>0.84600000000000009</v>
      </c>
      <c r="L473" s="1052">
        <f t="shared" si="602"/>
        <v>-0.70599999999999985</v>
      </c>
      <c r="M473" s="1052">
        <f t="shared" si="602"/>
        <v>4.4829999999999997</v>
      </c>
      <c r="N473" s="1051">
        <f t="shared" si="602"/>
        <v>4.47</v>
      </c>
      <c r="O473" s="1052">
        <f t="shared" si="602"/>
        <v>0.59199999999999997</v>
      </c>
      <c r="P473" s="1052">
        <f t="shared" si="602"/>
        <v>0.45100000000000007</v>
      </c>
      <c r="Q473" s="1052">
        <f t="shared" si="602"/>
        <v>0.39399999999999991</v>
      </c>
      <c r="R473" s="1052">
        <f t="shared" si="602"/>
        <v>1.4920000000000002</v>
      </c>
      <c r="S473" s="1051">
        <f t="shared" si="602"/>
        <v>2.9290000000000003</v>
      </c>
      <c r="T473" s="1052">
        <f t="shared" si="602"/>
        <v>0.52600000000000002</v>
      </c>
      <c r="U473" s="1052">
        <f t="shared" si="602"/>
        <v>0.65699999999999992</v>
      </c>
      <c r="V473" s="1052">
        <f t="shared" si="602"/>
        <v>0.25499999999999995</v>
      </c>
      <c r="W473" s="1052">
        <f t="shared" si="602"/>
        <v>0.56600000000000006</v>
      </c>
      <c r="X473" s="1051">
        <f t="shared" si="602"/>
        <v>2.004</v>
      </c>
      <c r="Y473" s="1052">
        <f t="shared" si="602"/>
        <v>0.57099999999999995</v>
      </c>
      <c r="Z473" s="1052">
        <f t="shared" si="602"/>
        <v>-2.3730000000000002</v>
      </c>
      <c r="AA473" s="1052">
        <f t="shared" si="602"/>
        <v>0.8630000000000001</v>
      </c>
      <c r="AB473" s="1052">
        <f t="shared" si="602"/>
        <v>1.508</v>
      </c>
      <c r="AC473" s="1051">
        <f t="shared" si="602"/>
        <v>0.56899999999999984</v>
      </c>
      <c r="AD473" s="1052">
        <f t="shared" si="602"/>
        <v>0.90300000000000002</v>
      </c>
      <c r="AE473" s="1052">
        <f t="shared" si="602"/>
        <v>0.65700000000000014</v>
      </c>
      <c r="AF473" s="1052">
        <f t="shared" si="602"/>
        <v>0.96799999999999986</v>
      </c>
      <c r="AG473" s="1052">
        <f t="shared" si="602"/>
        <v>1.7360000000000002</v>
      </c>
      <c r="AH473" s="1051">
        <f t="shared" si="602"/>
        <v>4.2640000000000002</v>
      </c>
      <c r="AI473" s="1052">
        <f t="shared" si="602"/>
        <v>2.6110000000000024</v>
      </c>
      <c r="AJ473" s="1052">
        <f t="shared" si="602"/>
        <v>1.045999999999998</v>
      </c>
      <c r="AK473" s="1052">
        <f t="shared" si="602"/>
        <v>1.7029999999999996</v>
      </c>
      <c r="AL473" s="1052">
        <f t="shared" si="602"/>
        <v>5.5589999999999975</v>
      </c>
      <c r="AM473" s="1051">
        <f t="shared" si="602"/>
        <v>10.918999999999997</v>
      </c>
      <c r="AN473" s="1052">
        <f t="shared" si="602"/>
        <v>-63.186999999999983</v>
      </c>
      <c r="AO473" s="1052">
        <f t="shared" si="602"/>
        <v>1.2869999999999955</v>
      </c>
      <c r="AP473" s="1052">
        <f t="shared" si="602"/>
        <v>1.0480000000000018</v>
      </c>
      <c r="AQ473" s="1052">
        <f t="shared" si="602"/>
        <v>0.94199999999999307</v>
      </c>
      <c r="AR473" s="1051">
        <f t="shared" si="602"/>
        <v>-59.91</v>
      </c>
      <c r="AS473" s="1052">
        <f t="shared" si="602"/>
        <v>1.335</v>
      </c>
      <c r="AT473" s="1052">
        <f t="shared" si="602"/>
        <v>9.7349999999999994</v>
      </c>
      <c r="AU473" s="1052">
        <f t="shared" si="602"/>
        <v>-13.740000000000002</v>
      </c>
      <c r="AV473" s="1052">
        <f t="shared" si="602"/>
        <v>2.3979999999999997</v>
      </c>
      <c r="AW473" s="1051">
        <f t="shared" si="602"/>
        <v>-0.27200000000000157</v>
      </c>
      <c r="AX473" s="1052">
        <f t="shared" si="602"/>
        <v>1.5529999999999999</v>
      </c>
      <c r="AY473" s="1052">
        <f t="shared" si="602"/>
        <v>-266.32800000000003</v>
      </c>
      <c r="AZ473" s="1052">
        <f t="shared" si="602"/>
        <v>0.25900000000003842</v>
      </c>
      <c r="BA473" s="1052">
        <f t="shared" si="602"/>
        <v>5.5159999999999849</v>
      </c>
      <c r="BB473" s="1053">
        <f t="shared" si="602"/>
        <v>-259</v>
      </c>
      <c r="BC473" s="1052">
        <f t="shared" ref="BC473:CA473" si="603">SUM(BC123,BC124,BC121,)</f>
        <v>1.9000000000000001</v>
      </c>
      <c r="BD473" s="1052">
        <f t="shared" si="603"/>
        <v>1.0000000000000002</v>
      </c>
      <c r="BE473" s="1052">
        <f t="shared" si="603"/>
        <v>1.5999999999999999</v>
      </c>
      <c r="BF473" s="1052">
        <f t="shared" si="603"/>
        <v>1.8000000000000003</v>
      </c>
      <c r="BG473" s="1053">
        <f t="shared" si="603"/>
        <v>6.3</v>
      </c>
      <c r="BH473" s="1052">
        <f t="shared" si="603"/>
        <v>0</v>
      </c>
      <c r="BI473" s="1052">
        <f t="shared" si="603"/>
        <v>0</v>
      </c>
      <c r="BJ473" s="1052">
        <f t="shared" si="603"/>
        <v>0</v>
      </c>
      <c r="BK473" s="1052">
        <f t="shared" si="603"/>
        <v>0</v>
      </c>
      <c r="BL473" s="1053">
        <f t="shared" si="603"/>
        <v>0</v>
      </c>
      <c r="BM473" s="1052">
        <f t="shared" si="603"/>
        <v>0</v>
      </c>
      <c r="BN473" s="1052">
        <f t="shared" si="603"/>
        <v>0</v>
      </c>
      <c r="BO473" s="1052">
        <f t="shared" si="603"/>
        <v>0</v>
      </c>
      <c r="BP473" s="1052">
        <f t="shared" si="603"/>
        <v>0</v>
      </c>
      <c r="BQ473" s="1053">
        <f t="shared" si="603"/>
        <v>0</v>
      </c>
      <c r="BR473" s="1052">
        <f t="shared" si="603"/>
        <v>0</v>
      </c>
      <c r="BS473" s="1052">
        <f t="shared" si="603"/>
        <v>0</v>
      </c>
      <c r="BT473" s="1052">
        <f t="shared" si="603"/>
        <v>0</v>
      </c>
      <c r="BU473" s="1052">
        <f t="shared" si="603"/>
        <v>0</v>
      </c>
      <c r="BV473" s="1053">
        <f t="shared" si="603"/>
        <v>0</v>
      </c>
      <c r="BW473" s="1052">
        <f t="shared" si="603"/>
        <v>0</v>
      </c>
      <c r="BX473" s="1052">
        <f t="shared" si="603"/>
        <v>0</v>
      </c>
      <c r="BY473" s="1052">
        <f t="shared" si="603"/>
        <v>0</v>
      </c>
      <c r="BZ473" s="1052">
        <f t="shared" si="603"/>
        <v>0</v>
      </c>
      <c r="CA473" s="1053">
        <f t="shared" si="603"/>
        <v>0</v>
      </c>
      <c r="CC473" s="29"/>
      <c r="CD473" s="29"/>
      <c r="CE473" s="92"/>
      <c r="CF473" s="92"/>
      <c r="CG473" s="92"/>
      <c r="CH473" s="92"/>
      <c r="CI473" s="92"/>
      <c r="CJ473" s="92"/>
      <c r="CK473" s="92"/>
      <c r="CL473" s="92"/>
      <c r="CM473" s="92"/>
      <c r="CN473" s="92"/>
      <c r="CO473" s="92"/>
      <c r="CP473" s="188"/>
      <c r="CQ473" s="188"/>
      <c r="CR473" s="188"/>
      <c r="CS473" s="188"/>
      <c r="CT473" s="188"/>
      <c r="CU473" s="188"/>
      <c r="DB473" s="1961"/>
      <c r="DC473" s="1961"/>
      <c r="DD473" s="1961"/>
      <c r="DE473" s="1961"/>
      <c r="DF473" s="1961"/>
      <c r="DG473" s="1961"/>
      <c r="DH473" s="1961"/>
      <c r="DI473" s="90"/>
    </row>
    <row r="474" spans="1:113" ht="12" customHeight="1" x14ac:dyDescent="0.25">
      <c r="A474" s="1062" t="s">
        <v>312</v>
      </c>
      <c r="B474" s="746"/>
      <c r="C474" s="1063"/>
      <c r="D474" s="1043"/>
      <c r="E474" s="1064"/>
      <c r="F474" s="1064"/>
      <c r="G474" s="1064"/>
      <c r="H474" s="1064"/>
      <c r="I474" s="1043"/>
      <c r="J474" s="1064">
        <f t="shared" ref="J474:BB474" si="604">SUM(J472:J473)</f>
        <v>15.795</v>
      </c>
      <c r="K474" s="1064">
        <f t="shared" si="604"/>
        <v>16.259</v>
      </c>
      <c r="L474" s="1064">
        <f t="shared" si="604"/>
        <v>15.389000000000006</v>
      </c>
      <c r="M474" s="1064">
        <f t="shared" si="604"/>
        <v>21.898999999999997</v>
      </c>
      <c r="N474" s="1043">
        <f t="shared" si="604"/>
        <v>69.341999999999999</v>
      </c>
      <c r="O474" s="1064">
        <f t="shared" si="604"/>
        <v>18.296999999999997</v>
      </c>
      <c r="P474" s="1064">
        <f t="shared" si="604"/>
        <v>18.633000000000003</v>
      </c>
      <c r="Q474" s="1064">
        <f t="shared" si="604"/>
        <v>18.026999999999997</v>
      </c>
      <c r="R474" s="1064">
        <f t="shared" si="604"/>
        <v>19.171000000000006</v>
      </c>
      <c r="S474" s="1043">
        <f t="shared" si="604"/>
        <v>74.128000000000014</v>
      </c>
      <c r="T474" s="1064">
        <f t="shared" si="604"/>
        <v>17.759</v>
      </c>
      <c r="U474" s="1064">
        <f t="shared" si="604"/>
        <v>17.620999999999999</v>
      </c>
      <c r="V474" s="1064">
        <f t="shared" si="604"/>
        <v>16.447999999999997</v>
      </c>
      <c r="W474" s="1064">
        <f t="shared" si="604"/>
        <v>18.302000000000003</v>
      </c>
      <c r="X474" s="1043">
        <f t="shared" si="604"/>
        <v>70.13000000000001</v>
      </c>
      <c r="Y474" s="1064">
        <f t="shared" si="604"/>
        <v>20.331</v>
      </c>
      <c r="Z474" s="1064">
        <f t="shared" si="604"/>
        <v>17.358999999999998</v>
      </c>
      <c r="AA474" s="1064">
        <f t="shared" si="604"/>
        <v>20.457999999999998</v>
      </c>
      <c r="AB474" s="1064">
        <f t="shared" si="604"/>
        <v>21.040000000000003</v>
      </c>
      <c r="AC474" s="1043">
        <f t="shared" si="604"/>
        <v>79.188000000000002</v>
      </c>
      <c r="AD474" s="1064">
        <f t="shared" si="604"/>
        <v>21.133999999999997</v>
      </c>
      <c r="AE474" s="1064">
        <f t="shared" si="604"/>
        <v>25.934000000000001</v>
      </c>
      <c r="AF474" s="1064">
        <f t="shared" si="604"/>
        <v>29.123999999999999</v>
      </c>
      <c r="AG474" s="1064">
        <f t="shared" si="604"/>
        <v>32.271000000000001</v>
      </c>
      <c r="AH474" s="1043">
        <f t="shared" si="604"/>
        <v>108.46300000000001</v>
      </c>
      <c r="AI474" s="1064">
        <f t="shared" si="604"/>
        <v>33.826000000000001</v>
      </c>
      <c r="AJ474" s="1064">
        <f t="shared" si="604"/>
        <v>33.917000000000002</v>
      </c>
      <c r="AK474" s="1064">
        <f t="shared" si="604"/>
        <v>33.706000000000003</v>
      </c>
      <c r="AL474" s="1064">
        <f t="shared" si="604"/>
        <v>39.4</v>
      </c>
      <c r="AM474" s="1043">
        <f t="shared" si="604"/>
        <v>140.84899999999999</v>
      </c>
      <c r="AN474" s="1064">
        <f t="shared" si="604"/>
        <v>-29.193999999999988</v>
      </c>
      <c r="AO474" s="1064">
        <f t="shared" si="604"/>
        <v>36.230999999999995</v>
      </c>
      <c r="AP474" s="1064">
        <f t="shared" si="604"/>
        <v>37.186000000000007</v>
      </c>
      <c r="AQ474" s="1064">
        <f t="shared" si="604"/>
        <v>39.349999999999994</v>
      </c>
      <c r="AR474" s="1043">
        <f t="shared" si="604"/>
        <v>83.573000000000008</v>
      </c>
      <c r="AS474" s="1064">
        <f t="shared" si="604"/>
        <v>39.917999999999999</v>
      </c>
      <c r="AT474" s="1064">
        <f t="shared" si="604"/>
        <v>67.174999999999997</v>
      </c>
      <c r="AU474" s="1064">
        <f t="shared" si="604"/>
        <v>38.303999999999995</v>
      </c>
      <c r="AV474" s="1064">
        <f t="shared" si="604"/>
        <v>70.080000000000013</v>
      </c>
      <c r="AW474" s="1043">
        <f t="shared" si="604"/>
        <v>215.477</v>
      </c>
      <c r="AX474" s="1064">
        <f t="shared" si="604"/>
        <v>70.201999999999998</v>
      </c>
      <c r="AY474" s="1064">
        <f t="shared" si="604"/>
        <v>-213.06500000000003</v>
      </c>
      <c r="AZ474" s="1064">
        <f t="shared" si="604"/>
        <v>52.438000000000024</v>
      </c>
      <c r="BA474" s="1064">
        <f t="shared" si="604"/>
        <v>56.024999999999999</v>
      </c>
      <c r="BB474" s="1065">
        <f t="shared" si="604"/>
        <v>-34.399999999999977</v>
      </c>
      <c r="BC474" s="1064">
        <f t="shared" ref="BC474:CA474" si="605">SUM(BC472:BC473)</f>
        <v>57.999999999999993</v>
      </c>
      <c r="BD474" s="1064">
        <f t="shared" si="605"/>
        <v>56.7</v>
      </c>
      <c r="BE474" s="1064">
        <f t="shared" si="605"/>
        <v>62.800000000000004</v>
      </c>
      <c r="BF474" s="1064">
        <f t="shared" si="605"/>
        <v>66.199999999999989</v>
      </c>
      <c r="BG474" s="1065">
        <f t="shared" si="605"/>
        <v>243.7</v>
      </c>
      <c r="BH474" s="1064">
        <f t="shared" si="605"/>
        <v>70.91086</v>
      </c>
      <c r="BI474" s="1064">
        <f t="shared" si="605"/>
        <v>70.044939999999997</v>
      </c>
      <c r="BJ474" s="1064">
        <f t="shared" si="605"/>
        <v>70.57007999999999</v>
      </c>
      <c r="BK474" s="1064">
        <f t="shared" si="605"/>
        <v>71.014840000000007</v>
      </c>
      <c r="BL474" s="1065">
        <f t="shared" si="605"/>
        <v>282.54071999999996</v>
      </c>
      <c r="BM474" s="1064">
        <f t="shared" si="605"/>
        <v>70.561862187499997</v>
      </c>
      <c r="BN474" s="1064">
        <f t="shared" si="605"/>
        <v>69.693847187499998</v>
      </c>
      <c r="BO474" s="1064">
        <f t="shared" si="605"/>
        <v>70.218594374999995</v>
      </c>
      <c r="BP474" s="1064">
        <f t="shared" si="605"/>
        <v>70.662655000000001</v>
      </c>
      <c r="BQ474" s="1065">
        <f t="shared" si="605"/>
        <v>281.13695874999996</v>
      </c>
      <c r="BR474" s="1064">
        <f t="shared" si="605"/>
        <v>69.855624943750001</v>
      </c>
      <c r="BS474" s="1064">
        <f t="shared" si="605"/>
        <v>68.984970243749999</v>
      </c>
      <c r="BT474" s="1064">
        <f t="shared" si="605"/>
        <v>69.509222487500011</v>
      </c>
      <c r="BU474" s="1064">
        <f t="shared" si="605"/>
        <v>69.952401900000012</v>
      </c>
      <c r="BV474" s="1065">
        <f t="shared" si="605"/>
        <v>278.30221957499998</v>
      </c>
      <c r="BW474" s="1064">
        <f t="shared" si="605"/>
        <v>67.613406190937496</v>
      </c>
      <c r="BX474" s="1064">
        <f t="shared" si="605"/>
        <v>66.749218755937505</v>
      </c>
      <c r="BY474" s="1064">
        <f t="shared" si="605"/>
        <v>67.274683611875005</v>
      </c>
      <c r="BZ474" s="1064">
        <f t="shared" si="605"/>
        <v>67.72002199500001</v>
      </c>
      <c r="CA474" s="1065">
        <f t="shared" si="605"/>
        <v>269.35733055374999</v>
      </c>
      <c r="CC474" s="29"/>
      <c r="CD474" s="29"/>
      <c r="CE474" s="92"/>
      <c r="CF474" s="92"/>
      <c r="CG474" s="92"/>
      <c r="CH474" s="92"/>
      <c r="CI474" s="92"/>
      <c r="CJ474" s="92"/>
      <c r="CK474" s="92"/>
      <c r="CL474" s="92"/>
      <c r="CM474" s="92"/>
      <c r="CN474" s="92"/>
      <c r="CO474" s="92"/>
      <c r="CP474" s="188"/>
      <c r="CQ474" s="188"/>
      <c r="CR474" s="188"/>
      <c r="CS474" s="188"/>
      <c r="CT474" s="188"/>
      <c r="CU474" s="188"/>
      <c r="DB474" s="1961"/>
      <c r="DC474" s="1961"/>
      <c r="DD474" s="1961"/>
      <c r="DE474" s="1961"/>
      <c r="DF474" s="1961"/>
      <c r="DG474" s="1961"/>
      <c r="DH474" s="1961"/>
      <c r="DI474" s="90"/>
    </row>
    <row r="475" spans="1:113" ht="12" customHeight="1" x14ac:dyDescent="0.25">
      <c r="A475" s="1062" t="s">
        <v>313</v>
      </c>
      <c r="B475" s="746"/>
      <c r="C475" s="1050"/>
      <c r="D475" s="1051"/>
      <c r="E475" s="1052"/>
      <c r="F475" s="1052"/>
      <c r="G475" s="1052"/>
      <c r="H475" s="1052"/>
      <c r="I475" s="1051"/>
      <c r="J475" s="1052">
        <f>SUM(J137,J142)</f>
        <v>-9.766</v>
      </c>
      <c r="K475" s="1052">
        <f t="shared" ref="K475:BB475" si="606">SUM(K137,K142)</f>
        <v>-106.14399999999999</v>
      </c>
      <c r="L475" s="1052">
        <f t="shared" si="606"/>
        <v>-8.3350000000000044</v>
      </c>
      <c r="M475" s="1052">
        <f t="shared" si="606"/>
        <v>-10.306999999999995</v>
      </c>
      <c r="N475" s="1051">
        <f>SUM(N137,N142)</f>
        <v>-134.55199999999999</v>
      </c>
      <c r="O475" s="1052">
        <f t="shared" si="606"/>
        <v>-8.359</v>
      </c>
      <c r="P475" s="1052">
        <f t="shared" si="606"/>
        <v>-85.935999999999993</v>
      </c>
      <c r="Q475" s="1052">
        <f t="shared" si="606"/>
        <v>-8.1239999999999988</v>
      </c>
      <c r="R475" s="1052">
        <f t="shared" si="606"/>
        <v>-14.375000000000004</v>
      </c>
      <c r="S475" s="1051">
        <f t="shared" si="606"/>
        <v>-116.794</v>
      </c>
      <c r="T475" s="1052">
        <f t="shared" si="606"/>
        <v>-7.4980000000000002</v>
      </c>
      <c r="U475" s="1052">
        <f t="shared" si="606"/>
        <v>-8.0719999999999992</v>
      </c>
      <c r="V475" s="1052">
        <f t="shared" si="606"/>
        <v>-6.6359999999999992</v>
      </c>
      <c r="W475" s="1052">
        <f t="shared" si="606"/>
        <v>-16.434999999999999</v>
      </c>
      <c r="X475" s="1051">
        <f t="shared" si="606"/>
        <v>-38.640999999999998</v>
      </c>
      <c r="Y475" s="1052">
        <f t="shared" si="606"/>
        <v>-13.648</v>
      </c>
      <c r="Z475" s="1052">
        <f t="shared" si="606"/>
        <v>-14.523</v>
      </c>
      <c r="AA475" s="1052">
        <f t="shared" si="606"/>
        <v>-13.753999999999998</v>
      </c>
      <c r="AB475" s="1052">
        <f t="shared" si="606"/>
        <v>-17.604000000000003</v>
      </c>
      <c r="AC475" s="1051">
        <f t="shared" si="606"/>
        <v>-59.529000000000003</v>
      </c>
      <c r="AD475" s="1052">
        <f t="shared" si="606"/>
        <v>-19.442</v>
      </c>
      <c r="AE475" s="1052">
        <f t="shared" si="606"/>
        <v>-18.467999999999996</v>
      </c>
      <c r="AF475" s="1052">
        <f t="shared" si="606"/>
        <v>-19.381</v>
      </c>
      <c r="AG475" s="1052">
        <f t="shared" si="606"/>
        <v>-56.132000000000005</v>
      </c>
      <c r="AH475" s="1051">
        <f t="shared" si="606"/>
        <v>-113.423</v>
      </c>
      <c r="AI475" s="1052">
        <f t="shared" si="606"/>
        <v>-27.626000000000001</v>
      </c>
      <c r="AJ475" s="1052">
        <f t="shared" si="606"/>
        <v>-35.44</v>
      </c>
      <c r="AK475" s="1052">
        <f t="shared" si="606"/>
        <v>-44.410000000000011</v>
      </c>
      <c r="AL475" s="1052">
        <f t="shared" si="606"/>
        <v>-39.060999999999993</v>
      </c>
      <c r="AM475" s="1051">
        <f t="shared" si="606"/>
        <v>-146.53700000000001</v>
      </c>
      <c r="AN475" s="1052">
        <f t="shared" si="606"/>
        <v>113.85599999999999</v>
      </c>
      <c r="AO475" s="1052">
        <f t="shared" si="606"/>
        <v>-39.619999999999997</v>
      </c>
      <c r="AP475" s="1052">
        <f t="shared" si="606"/>
        <v>-26.058000000000021</v>
      </c>
      <c r="AQ475" s="1052">
        <f t="shared" si="606"/>
        <v>-43.826000000000008</v>
      </c>
      <c r="AR475" s="1051">
        <f t="shared" si="606"/>
        <v>4.3519999999999754</v>
      </c>
      <c r="AS475" s="1052">
        <f t="shared" si="606"/>
        <v>-24.76</v>
      </c>
      <c r="AT475" s="1052">
        <f t="shared" si="606"/>
        <v>-114.026</v>
      </c>
      <c r="AU475" s="1052">
        <f t="shared" si="606"/>
        <v>48.623000000000005</v>
      </c>
      <c r="AV475" s="1052">
        <f t="shared" si="606"/>
        <v>-59.920000000000009</v>
      </c>
      <c r="AW475" s="1051">
        <f t="shared" si="606"/>
        <v>-150.083</v>
      </c>
      <c r="AX475" s="1052">
        <f t="shared" si="606"/>
        <v>-31.383000000000003</v>
      </c>
      <c r="AY475" s="1052">
        <f t="shared" si="606"/>
        <v>-31.468</v>
      </c>
      <c r="AZ475" s="1052">
        <f t="shared" si="606"/>
        <v>-36.338999999999992</v>
      </c>
      <c r="BA475" s="1052">
        <f t="shared" si="606"/>
        <v>-56.810000000000009</v>
      </c>
      <c r="BB475" s="1053">
        <f t="shared" si="606"/>
        <v>-156</v>
      </c>
      <c r="BC475" s="1052">
        <f t="shared" ref="BC475:CA475" si="607">SUM(BC137,BC142)</f>
        <v>-31.1</v>
      </c>
      <c r="BD475" s="1052">
        <f t="shared" si="607"/>
        <v>-41.4</v>
      </c>
      <c r="BE475" s="1052">
        <f t="shared" si="607"/>
        <v>-46.300000000000004</v>
      </c>
      <c r="BF475" s="1052">
        <f t="shared" si="607"/>
        <v>-71.899999999999991</v>
      </c>
      <c r="BG475" s="1053">
        <f t="shared" si="607"/>
        <v>-190.7</v>
      </c>
      <c r="BH475" s="1052">
        <f t="shared" si="607"/>
        <v>-40.837905698368488</v>
      </c>
      <c r="BI475" s="1052">
        <f t="shared" si="607"/>
        <v>-51.933537889908244</v>
      </c>
      <c r="BJ475" s="1052">
        <f t="shared" si="607"/>
        <v>-50.977421134583878</v>
      </c>
      <c r="BK475" s="1052">
        <f t="shared" si="607"/>
        <v>-80.698133696300175</v>
      </c>
      <c r="BL475" s="1053">
        <f t="shared" si="607"/>
        <v>-224.44699841916079</v>
      </c>
      <c r="BM475" s="1052">
        <f t="shared" si="607"/>
        <v>-37.148866154994032</v>
      </c>
      <c r="BN475" s="1052">
        <f t="shared" si="607"/>
        <v>-48.762677047018336</v>
      </c>
      <c r="BO475" s="1052">
        <f t="shared" si="607"/>
        <v>-47.59921678177929</v>
      </c>
      <c r="BP475" s="1052">
        <f t="shared" si="607"/>
        <v>-78.976880564615115</v>
      </c>
      <c r="BQ475" s="1053">
        <f t="shared" si="607"/>
        <v>-212.48764054840677</v>
      </c>
      <c r="BR475" s="1052">
        <f t="shared" si="607"/>
        <v>-33.524981871501538</v>
      </c>
      <c r="BS475" s="1052">
        <f t="shared" si="607"/>
        <v>-45.642172652306421</v>
      </c>
      <c r="BT475" s="1052">
        <f t="shared" si="607"/>
        <v>-44.262345799311653</v>
      </c>
      <c r="BU475" s="1052">
        <f t="shared" si="607"/>
        <v>-77.27504914828188</v>
      </c>
      <c r="BV475" s="1053">
        <f t="shared" si="607"/>
        <v>-200.70454947140149</v>
      </c>
      <c r="BW475" s="1052">
        <f t="shared" si="607"/>
        <v>-32.060319684863096</v>
      </c>
      <c r="BX475" s="1052">
        <f t="shared" si="607"/>
        <v>-44.772861956146265</v>
      </c>
      <c r="BY475" s="1052">
        <f t="shared" si="607"/>
        <v>-43.228814161451965</v>
      </c>
      <c r="BZ475" s="1052">
        <f t="shared" si="607"/>
        <v>-78.025619720317792</v>
      </c>
      <c r="CA475" s="1053">
        <f t="shared" si="607"/>
        <v>-198.08761552277912</v>
      </c>
      <c r="CC475" s="29"/>
      <c r="CD475" s="29"/>
      <c r="CE475" s="92"/>
      <c r="CF475" s="92"/>
      <c r="CG475" s="92"/>
      <c r="CH475" s="92"/>
      <c r="CI475" s="92"/>
      <c r="CJ475" s="92"/>
      <c r="CK475" s="92"/>
      <c r="CL475" s="92"/>
      <c r="CM475" s="92"/>
      <c r="CN475" s="92"/>
      <c r="CO475" s="92"/>
      <c r="CP475" s="188"/>
      <c r="CQ475" s="188"/>
      <c r="CR475" s="188"/>
      <c r="CS475" s="188"/>
      <c r="CT475" s="188"/>
      <c r="CU475" s="188"/>
      <c r="DB475" s="1961"/>
      <c r="DC475" s="1961"/>
      <c r="DD475" s="1961"/>
      <c r="DE475" s="1961"/>
      <c r="DF475" s="1961"/>
      <c r="DG475" s="1961"/>
      <c r="DH475" s="1961"/>
      <c r="DI475" s="90"/>
    </row>
    <row r="476" spans="1:113" ht="12" customHeight="1" x14ac:dyDescent="0.25">
      <c r="A476" s="1062" t="s">
        <v>314</v>
      </c>
      <c r="B476" s="746"/>
      <c r="C476" s="1050"/>
      <c r="D476" s="1051"/>
      <c r="E476" s="1052"/>
      <c r="F476" s="1052"/>
      <c r="G476" s="1052"/>
      <c r="H476" s="1052"/>
      <c r="I476" s="1051"/>
      <c r="J476" s="1052">
        <f t="shared" ref="J476:BB476" si="608">SUM(J126:J132)</f>
        <v>35.933999999999997</v>
      </c>
      <c r="K476" s="1052">
        <f t="shared" si="608"/>
        <v>-9.7739999999999956</v>
      </c>
      <c r="L476" s="1052">
        <f t="shared" si="608"/>
        <v>-13.403000000000006</v>
      </c>
      <c r="M476" s="1052">
        <f t="shared" si="608"/>
        <v>-20.792000000000002</v>
      </c>
      <c r="N476" s="1051">
        <f t="shared" si="608"/>
        <v>-8.0350000000000019</v>
      </c>
      <c r="O476" s="1052">
        <f t="shared" si="608"/>
        <v>63.445999999999998</v>
      </c>
      <c r="P476" s="1052">
        <f t="shared" si="608"/>
        <v>-23.846999999999994</v>
      </c>
      <c r="Q476" s="1052">
        <f t="shared" si="608"/>
        <v>-4.4420000000000002</v>
      </c>
      <c r="R476" s="1052">
        <f t="shared" si="608"/>
        <v>3.1080000000000023</v>
      </c>
      <c r="S476" s="1051">
        <f t="shared" si="608"/>
        <v>38.265000000000001</v>
      </c>
      <c r="T476" s="1052">
        <f t="shared" si="608"/>
        <v>55.958999999999996</v>
      </c>
      <c r="U476" s="1052">
        <f t="shared" si="608"/>
        <v>-39.298999999999999</v>
      </c>
      <c r="V476" s="1052">
        <f t="shared" si="608"/>
        <v>-11.450000000000006</v>
      </c>
      <c r="W476" s="1052">
        <f t="shared" si="608"/>
        <v>23.295999999999999</v>
      </c>
      <c r="X476" s="1051">
        <f t="shared" si="608"/>
        <v>28.506</v>
      </c>
      <c r="Y476" s="1052">
        <f t="shared" si="608"/>
        <v>52.418999999999997</v>
      </c>
      <c r="Z476" s="1052">
        <f t="shared" si="608"/>
        <v>-49.499999999999986</v>
      </c>
      <c r="AA476" s="1052">
        <f t="shared" si="608"/>
        <v>40.254999999999981</v>
      </c>
      <c r="AB476" s="1052">
        <f t="shared" si="608"/>
        <v>-32.694999999999986</v>
      </c>
      <c r="AC476" s="1051">
        <f t="shared" si="608"/>
        <v>10.479000000000006</v>
      </c>
      <c r="AD476" s="1052">
        <f t="shared" si="608"/>
        <v>87.179999999999993</v>
      </c>
      <c r="AE476" s="1052">
        <f t="shared" si="608"/>
        <v>-82.125000000000014</v>
      </c>
      <c r="AF476" s="1052">
        <f t="shared" si="608"/>
        <v>35.367000000000033</v>
      </c>
      <c r="AG476" s="1052">
        <f t="shared" si="608"/>
        <v>-50.525999999999996</v>
      </c>
      <c r="AH476" s="1051">
        <f t="shared" si="608"/>
        <v>-10.103999999999999</v>
      </c>
      <c r="AI476" s="1052">
        <f t="shared" si="608"/>
        <v>104.09199999999998</v>
      </c>
      <c r="AJ476" s="1052">
        <f t="shared" si="608"/>
        <v>-46.486999999999995</v>
      </c>
      <c r="AK476" s="1052">
        <f t="shared" si="608"/>
        <v>11.788</v>
      </c>
      <c r="AL476" s="1052">
        <f t="shared" si="608"/>
        <v>-22.004999999999999</v>
      </c>
      <c r="AM476" s="1051">
        <f t="shared" si="608"/>
        <v>47.387999999999991</v>
      </c>
      <c r="AN476" s="1052">
        <f t="shared" si="608"/>
        <v>141.209</v>
      </c>
      <c r="AO476" s="1052">
        <f t="shared" si="608"/>
        <v>-74.100000000000009</v>
      </c>
      <c r="AP476" s="1052">
        <f t="shared" si="608"/>
        <v>-43.17</v>
      </c>
      <c r="AQ476" s="1052">
        <f t="shared" si="608"/>
        <v>-55.373999999999995</v>
      </c>
      <c r="AR476" s="1051">
        <f t="shared" si="608"/>
        <v>-31.434999999999995</v>
      </c>
      <c r="AS476" s="1052">
        <f t="shared" si="608"/>
        <v>123.82900000000001</v>
      </c>
      <c r="AT476" s="1052">
        <f t="shared" si="608"/>
        <v>-63.45</v>
      </c>
      <c r="AU476" s="1052">
        <f t="shared" si="608"/>
        <v>-13.700999999999997</v>
      </c>
      <c r="AV476" s="1052">
        <f t="shared" si="608"/>
        <v>-61.01400000000001</v>
      </c>
      <c r="AW476" s="1051">
        <f t="shared" si="608"/>
        <v>-14.336000000000004</v>
      </c>
      <c r="AX476" s="1052">
        <f t="shared" si="608"/>
        <v>113.208</v>
      </c>
      <c r="AY476" s="1052">
        <f t="shared" si="608"/>
        <v>29.255999999999982</v>
      </c>
      <c r="AZ476" s="1052">
        <f t="shared" si="608"/>
        <v>-83.342999999999989</v>
      </c>
      <c r="BA476" s="1052">
        <f t="shared" si="608"/>
        <v>-98.221000000000004</v>
      </c>
      <c r="BB476" s="1053">
        <f t="shared" si="608"/>
        <v>-39.100000000000009</v>
      </c>
      <c r="BC476" s="1052">
        <f t="shared" ref="BC476:CA476" si="609">SUM(BC126:BC132)</f>
        <v>145.29999999999998</v>
      </c>
      <c r="BD476" s="1052">
        <f t="shared" si="609"/>
        <v>-75.3</v>
      </c>
      <c r="BE476" s="1052">
        <f t="shared" si="609"/>
        <v>-25.899999999999995</v>
      </c>
      <c r="BF476" s="1052">
        <f t="shared" si="609"/>
        <v>-57.600000000000009</v>
      </c>
      <c r="BG476" s="1053">
        <f t="shared" si="609"/>
        <v>-13.500000000000007</v>
      </c>
      <c r="BH476" s="1052">
        <f t="shared" si="609"/>
        <v>193.72504878623118</v>
      </c>
      <c r="BI476" s="1052">
        <f t="shared" si="609"/>
        <v>-33.467200357143014</v>
      </c>
      <c r="BJ476" s="1052">
        <f t="shared" si="609"/>
        <v>-72.458199314941396</v>
      </c>
      <c r="BK476" s="1052">
        <f t="shared" si="609"/>
        <v>-91.855062285530408</v>
      </c>
      <c r="BL476" s="1053">
        <f t="shared" si="609"/>
        <v>-4.055413171383659</v>
      </c>
      <c r="BM476" s="1052">
        <f t="shared" si="609"/>
        <v>205.02660165668635</v>
      </c>
      <c r="BN476" s="1052">
        <f t="shared" si="609"/>
        <v>-35.261740246132071</v>
      </c>
      <c r="BO476" s="1052">
        <f t="shared" si="609"/>
        <v>-76.896860056826057</v>
      </c>
      <c r="BP476" s="1052">
        <f t="shared" si="609"/>
        <v>-97.241978549288973</v>
      </c>
      <c r="BQ476" s="1053">
        <f t="shared" si="609"/>
        <v>-4.3739771955607694</v>
      </c>
      <c r="BR476" s="1052">
        <f t="shared" si="609"/>
        <v>216.70579141112449</v>
      </c>
      <c r="BS476" s="1052">
        <f t="shared" si="609"/>
        <v>-37.267272802310387</v>
      </c>
      <c r="BT476" s="1052">
        <f t="shared" si="609"/>
        <v>-81.510400567026338</v>
      </c>
      <c r="BU476" s="1052">
        <f t="shared" si="609"/>
        <v>-102.79008075227094</v>
      </c>
      <c r="BV476" s="1053">
        <f t="shared" si="609"/>
        <v>-4.8619627104831622</v>
      </c>
      <c r="BW476" s="1052">
        <f t="shared" si="609"/>
        <v>229.10381312700096</v>
      </c>
      <c r="BX476" s="1052">
        <f t="shared" si="609"/>
        <v>-39.394050956309542</v>
      </c>
      <c r="BY476" s="1052">
        <f t="shared" si="609"/>
        <v>-86.41381501080356</v>
      </c>
      <c r="BZ476" s="1052">
        <f t="shared" si="609"/>
        <v>-108.66922908088723</v>
      </c>
      <c r="CA476" s="1053">
        <f t="shared" si="609"/>
        <v>-5.3732819209993608</v>
      </c>
      <c r="CC476" s="29"/>
      <c r="CD476" s="29"/>
      <c r="CE476" s="92"/>
      <c r="CF476" s="92"/>
      <c r="CG476" s="92"/>
      <c r="CH476" s="92"/>
      <c r="CI476" s="92"/>
      <c r="CJ476" s="92"/>
      <c r="CK476" s="92"/>
      <c r="CL476" s="92"/>
      <c r="CM476" s="92"/>
      <c r="CN476" s="92"/>
      <c r="CO476" s="92"/>
      <c r="CP476" s="188"/>
      <c r="CQ476" s="188"/>
      <c r="CR476" s="188"/>
      <c r="CS476" s="188"/>
      <c r="CT476" s="188"/>
      <c r="CU476" s="188"/>
      <c r="DB476" s="1961"/>
      <c r="DC476" s="1961"/>
      <c r="DD476" s="1961"/>
      <c r="DE476" s="1961"/>
      <c r="DF476" s="1961"/>
      <c r="DG476" s="1961"/>
      <c r="DH476" s="1961"/>
      <c r="DI476" s="90"/>
    </row>
    <row r="477" spans="1:113" ht="5.25" customHeight="1" x14ac:dyDescent="0.25">
      <c r="A477" s="487"/>
      <c r="B477" s="210"/>
      <c r="C477" s="210"/>
      <c r="D477" s="134"/>
      <c r="E477" s="135"/>
      <c r="F477" s="135"/>
      <c r="G477" s="135"/>
      <c r="H477" s="135"/>
      <c r="I477" s="134"/>
      <c r="J477" s="135" t="s">
        <v>60</v>
      </c>
      <c r="K477" s="135" t="s">
        <v>60</v>
      </c>
      <c r="L477" s="135" t="s">
        <v>60</v>
      </c>
      <c r="M477" s="135" t="s">
        <v>60</v>
      </c>
      <c r="N477" s="134" t="s">
        <v>60</v>
      </c>
      <c r="O477" s="135" t="s">
        <v>60</v>
      </c>
      <c r="P477" s="135" t="s">
        <v>60</v>
      </c>
      <c r="Q477" s="135" t="s">
        <v>60</v>
      </c>
      <c r="R477" s="135" t="s">
        <v>60</v>
      </c>
      <c r="S477" s="134" t="s">
        <v>60</v>
      </c>
      <c r="T477" s="135" t="s">
        <v>60</v>
      </c>
      <c r="U477" s="135" t="s">
        <v>60</v>
      </c>
      <c r="V477" s="135" t="s">
        <v>60</v>
      </c>
      <c r="W477" s="135" t="s">
        <v>60</v>
      </c>
      <c r="X477" s="134" t="s">
        <v>60</v>
      </c>
      <c r="Y477" s="135" t="s">
        <v>60</v>
      </c>
      <c r="Z477" s="135" t="s">
        <v>60</v>
      </c>
      <c r="AA477" s="135" t="s">
        <v>60</v>
      </c>
      <c r="AB477" s="135" t="s">
        <v>60</v>
      </c>
      <c r="AC477" s="134" t="s">
        <v>60</v>
      </c>
      <c r="AD477" s="135" t="s">
        <v>60</v>
      </c>
      <c r="AE477" s="135" t="s">
        <v>60</v>
      </c>
      <c r="AF477" s="135" t="s">
        <v>60</v>
      </c>
      <c r="AG477" s="135" t="s">
        <v>60</v>
      </c>
      <c r="AH477" s="134" t="s">
        <v>60</v>
      </c>
      <c r="AI477" s="135" t="s">
        <v>60</v>
      </c>
      <c r="AJ477" s="135" t="s">
        <v>60</v>
      </c>
      <c r="AK477" s="135" t="s">
        <v>60</v>
      </c>
      <c r="AL477" s="135" t="s">
        <v>60</v>
      </c>
      <c r="AM477" s="134" t="s">
        <v>60</v>
      </c>
      <c r="AN477" s="135" t="s">
        <v>60</v>
      </c>
      <c r="AO477" s="135" t="s">
        <v>60</v>
      </c>
      <c r="AP477" s="135" t="s">
        <v>60</v>
      </c>
      <c r="AQ477" s="135" t="s">
        <v>60</v>
      </c>
      <c r="AR477" s="134" t="s">
        <v>60</v>
      </c>
      <c r="AS477" s="135" t="s">
        <v>60</v>
      </c>
      <c r="AT477" s="135" t="s">
        <v>60</v>
      </c>
      <c r="AU477" s="135" t="s">
        <v>60</v>
      </c>
      <c r="AV477" s="135" t="s">
        <v>60</v>
      </c>
      <c r="AW477" s="134" t="s">
        <v>60</v>
      </c>
      <c r="AX477" s="135" t="s">
        <v>60</v>
      </c>
      <c r="AY477" s="135" t="s">
        <v>60</v>
      </c>
      <c r="AZ477" s="135" t="s">
        <v>60</v>
      </c>
      <c r="BA477" s="135" t="s">
        <v>60</v>
      </c>
      <c r="BB477" s="134" t="s">
        <v>60</v>
      </c>
      <c r="BC477" s="135" t="s">
        <v>60</v>
      </c>
      <c r="BD477" s="135" t="s">
        <v>60</v>
      </c>
      <c r="BE477" s="135" t="s">
        <v>60</v>
      </c>
      <c r="BF477" s="135" t="s">
        <v>60</v>
      </c>
      <c r="BG477" s="134" t="s">
        <v>60</v>
      </c>
      <c r="BH477" s="135" t="s">
        <v>60</v>
      </c>
      <c r="BI477" s="135" t="s">
        <v>60</v>
      </c>
      <c r="BJ477" s="135" t="s">
        <v>60</v>
      </c>
      <c r="BK477" s="135" t="s">
        <v>60</v>
      </c>
      <c r="BL477" s="134" t="s">
        <v>60</v>
      </c>
      <c r="BM477" s="135" t="s">
        <v>60</v>
      </c>
      <c r="BN477" s="135" t="s">
        <v>60</v>
      </c>
      <c r="BO477" s="135" t="s">
        <v>60</v>
      </c>
      <c r="BP477" s="135" t="s">
        <v>60</v>
      </c>
      <c r="BQ477" s="134" t="s">
        <v>60</v>
      </c>
      <c r="BR477" s="135" t="s">
        <v>60</v>
      </c>
      <c r="BS477" s="135" t="s">
        <v>60</v>
      </c>
      <c r="BT477" s="135" t="s">
        <v>60</v>
      </c>
      <c r="BU477" s="135" t="s">
        <v>60</v>
      </c>
      <c r="BV477" s="134" t="s">
        <v>60</v>
      </c>
      <c r="BW477" s="135" t="s">
        <v>60</v>
      </c>
      <c r="BX477" s="135" t="s">
        <v>60</v>
      </c>
      <c r="BY477" s="135" t="s">
        <v>60</v>
      </c>
      <c r="BZ477" s="135" t="s">
        <v>60</v>
      </c>
      <c r="CA477" s="134" t="s">
        <v>60</v>
      </c>
      <c r="CC477" s="29"/>
      <c r="CD477" s="29"/>
      <c r="CE477" s="130"/>
      <c r="CF477" s="130"/>
      <c r="CG477" s="130"/>
      <c r="CH477" s="130"/>
      <c r="CI477" s="130"/>
      <c r="CJ477" s="130"/>
      <c r="CK477" s="130"/>
      <c r="CL477" s="130"/>
      <c r="CM477" s="130"/>
      <c r="CN477" s="130"/>
      <c r="CO477" s="130"/>
      <c r="CP477" s="188"/>
      <c r="CQ477" s="188"/>
      <c r="CR477" s="188"/>
      <c r="CS477" s="188"/>
      <c r="CT477" s="188"/>
      <c r="CU477" s="188"/>
      <c r="DB477" s="1961"/>
      <c r="DC477" s="1961"/>
      <c r="DD477" s="1961"/>
      <c r="DE477" s="1961"/>
      <c r="DF477" s="1961"/>
      <c r="DG477" s="1961"/>
      <c r="DH477" s="1961"/>
      <c r="DI477" s="135"/>
    </row>
    <row r="478" spans="1:113" s="315" customFormat="1" ht="12" customHeight="1" x14ac:dyDescent="0.25">
      <c r="A478" s="1054" t="s">
        <v>307</v>
      </c>
      <c r="B478" s="1055"/>
      <c r="C478" s="1066"/>
      <c r="D478" s="1067"/>
      <c r="E478" s="1068"/>
      <c r="F478" s="1068"/>
      <c r="G478" s="1068"/>
      <c r="H478" s="1068"/>
      <c r="I478" s="1067"/>
      <c r="J478" s="1068">
        <f>SUM(J474:J476,J471)</f>
        <v>86.914423598770099</v>
      </c>
      <c r="K478" s="1068">
        <f t="shared" ref="K478:BB478" si="610">SUM(K474:K476,K471)</f>
        <v>-55.807307924580776</v>
      </c>
      <c r="L478" s="1068">
        <f t="shared" si="610"/>
        <v>39.43364549348793</v>
      </c>
      <c r="M478" s="1068">
        <f t="shared" si="610"/>
        <v>32.364538466144666</v>
      </c>
      <c r="N478" s="1067">
        <f t="shared" si="610"/>
        <v>102.93504932251453</v>
      </c>
      <c r="O478" s="1068">
        <f t="shared" si="610"/>
        <v>123.15555494700996</v>
      </c>
      <c r="P478" s="1068">
        <f t="shared" si="610"/>
        <v>-40.327848016622589</v>
      </c>
      <c r="Q478" s="1068">
        <f t="shared" si="610"/>
        <v>52.925462061831105</v>
      </c>
      <c r="R478" s="1068">
        <f t="shared" si="610"/>
        <v>-0.83203980451421522</v>
      </c>
      <c r="S478" s="1067">
        <f t="shared" si="610"/>
        <v>140.1099287352848</v>
      </c>
      <c r="T478" s="1068">
        <f t="shared" si="610"/>
        <v>126.34197741092926</v>
      </c>
      <c r="U478" s="1068">
        <f t="shared" si="610"/>
        <v>33.577037700884055</v>
      </c>
      <c r="V478" s="1068">
        <f t="shared" si="610"/>
        <v>66.267527340411434</v>
      </c>
      <c r="W478" s="1068">
        <f t="shared" si="610"/>
        <v>96.803248133097469</v>
      </c>
      <c r="X478" s="1067">
        <f t="shared" si="610"/>
        <v>322.98423528341334</v>
      </c>
      <c r="Y478" s="1068">
        <f t="shared" si="610"/>
        <v>130.51066458284117</v>
      </c>
      <c r="Z478" s="1068">
        <f t="shared" si="610"/>
        <v>24.243655860868301</v>
      </c>
      <c r="AA478" s="1068">
        <f t="shared" si="610"/>
        <v>126.80502010630923</v>
      </c>
      <c r="AB478" s="1068">
        <f t="shared" si="610"/>
        <v>60.328248180576708</v>
      </c>
      <c r="AC478" s="1067">
        <f t="shared" si="610"/>
        <v>341.90470567438012</v>
      </c>
      <c r="AD478" s="1068">
        <f t="shared" si="610"/>
        <v>173.14600444675679</v>
      </c>
      <c r="AE478" s="1068">
        <f t="shared" si="610"/>
        <v>9.1137881899447706</v>
      </c>
      <c r="AF478" s="1068">
        <f t="shared" si="610"/>
        <v>139.33041094015346</v>
      </c>
      <c r="AG478" s="1068">
        <f t="shared" si="610"/>
        <v>38.500273177779405</v>
      </c>
      <c r="AH478" s="1067">
        <f t="shared" si="610"/>
        <v>360.05606848903028</v>
      </c>
      <c r="AI478" s="1068">
        <f t="shared" si="610"/>
        <v>202.57042795456903</v>
      </c>
      <c r="AJ478" s="1068">
        <f t="shared" si="610"/>
        <v>46.156083064934222</v>
      </c>
      <c r="AK478" s="1068">
        <f t="shared" si="610"/>
        <v>107.78922275692868</v>
      </c>
      <c r="AL478" s="1068">
        <f t="shared" si="610"/>
        <v>75.517549160758477</v>
      </c>
      <c r="AM478" s="1067">
        <f t="shared" si="610"/>
        <v>432.01876766191873</v>
      </c>
      <c r="AN478" s="1068">
        <f t="shared" si="610"/>
        <v>321.51185564594061</v>
      </c>
      <c r="AO478" s="1068">
        <f t="shared" si="610"/>
        <v>21.332324292876919</v>
      </c>
      <c r="AP478" s="1068">
        <f t="shared" si="610"/>
        <v>78.137905457589099</v>
      </c>
      <c r="AQ478" s="1068">
        <f t="shared" si="610"/>
        <v>50.252118251895823</v>
      </c>
      <c r="AR478" s="1067">
        <f t="shared" si="610"/>
        <v>471.20048354271785</v>
      </c>
      <c r="AS478" s="1068">
        <f t="shared" si="610"/>
        <v>249.30553830913149</v>
      </c>
      <c r="AT478" s="1068">
        <f t="shared" si="610"/>
        <v>14.587706137514473</v>
      </c>
      <c r="AU478" s="1068">
        <f t="shared" si="610"/>
        <v>215.30479869342429</v>
      </c>
      <c r="AV478" s="1068">
        <f t="shared" si="610"/>
        <v>85.328754842551945</v>
      </c>
      <c r="AW478" s="1067">
        <f t="shared" si="610"/>
        <v>571.91445568095287</v>
      </c>
      <c r="AX478" s="1068">
        <f t="shared" si="610"/>
        <v>283.60723275502517</v>
      </c>
      <c r="AY478" s="1068">
        <f t="shared" si="610"/>
        <v>-88.197380434918216</v>
      </c>
      <c r="AZ478" s="1068">
        <f t="shared" si="610"/>
        <v>79.592837826863772</v>
      </c>
      <c r="BA478" s="1068">
        <f t="shared" si="610"/>
        <v>25.471215980024979</v>
      </c>
      <c r="BB478" s="1069">
        <f t="shared" si="610"/>
        <v>300.01085658453678</v>
      </c>
      <c r="BC478" s="1068">
        <f t="shared" ref="BC478:CA478" si="611">SUM(BC474:BC476,BC471)</f>
        <v>298.88585607940445</v>
      </c>
      <c r="BD478" s="1068">
        <f t="shared" si="611"/>
        <v>78.87580929958807</v>
      </c>
      <c r="BE478" s="1068">
        <f t="shared" si="611"/>
        <v>129.80243497509676</v>
      </c>
      <c r="BF478" s="1068">
        <f t="shared" si="611"/>
        <v>176.44601226993859</v>
      </c>
      <c r="BG478" s="1069">
        <f t="shared" si="611"/>
        <v>683.0336709593405</v>
      </c>
      <c r="BH478" s="1068">
        <f t="shared" si="611"/>
        <v>378.06739189177074</v>
      </c>
      <c r="BI478" s="1068">
        <f t="shared" si="611"/>
        <v>144.43616172454591</v>
      </c>
      <c r="BJ478" s="1068">
        <f t="shared" si="611"/>
        <v>120.37423048133731</v>
      </c>
      <c r="BK478" s="1068">
        <f t="shared" si="611"/>
        <v>71.598009697103052</v>
      </c>
      <c r="BL478" s="1069">
        <f t="shared" si="611"/>
        <v>714.47579379475678</v>
      </c>
      <c r="BM478" s="1068">
        <f t="shared" si="611"/>
        <v>406.05187226696989</v>
      </c>
      <c r="BN478" s="1068">
        <f t="shared" si="611"/>
        <v>159.31326553692793</v>
      </c>
      <c r="BO478" s="1068">
        <f t="shared" si="611"/>
        <v>133.7194372246766</v>
      </c>
      <c r="BP478" s="1068">
        <f t="shared" si="611"/>
        <v>82.563044507933668</v>
      </c>
      <c r="BQ478" s="1069">
        <f t="shared" si="611"/>
        <v>781.64761953650827</v>
      </c>
      <c r="BR478" s="1068">
        <f t="shared" si="611"/>
        <v>434.96054613933131</v>
      </c>
      <c r="BS478" s="1068">
        <f t="shared" si="611"/>
        <v>174.41027369790257</v>
      </c>
      <c r="BT478" s="1068">
        <f t="shared" si="611"/>
        <v>147.34055042284123</v>
      </c>
      <c r="BU478" s="1068">
        <f t="shared" si="611"/>
        <v>93.663828752115478</v>
      </c>
      <c r="BV478" s="1069">
        <f t="shared" si="611"/>
        <v>850.37519901219048</v>
      </c>
      <c r="BW478" s="1068">
        <f t="shared" si="611"/>
        <v>462.96197360794088</v>
      </c>
      <c r="BX478" s="1068">
        <f t="shared" si="611"/>
        <v>187.69716158772454</v>
      </c>
      <c r="BY478" s="1068">
        <f t="shared" si="611"/>
        <v>158.99003873469664</v>
      </c>
      <c r="BZ478" s="1068">
        <f t="shared" si="611"/>
        <v>102.60757988490005</v>
      </c>
      <c r="CA478" s="1069">
        <f t="shared" si="611"/>
        <v>912.25675381526207</v>
      </c>
      <c r="CB478"/>
      <c r="CC478" s="311"/>
      <c r="CD478" s="311"/>
      <c r="CE478" s="310"/>
      <c r="CF478" s="310"/>
      <c r="CG478" s="310"/>
      <c r="CH478" s="310"/>
      <c r="CI478" s="310"/>
      <c r="CJ478" s="310"/>
      <c r="CK478" s="310"/>
      <c r="CL478" s="310"/>
      <c r="CM478" s="310"/>
      <c r="CN478" s="310"/>
      <c r="CO478" s="310"/>
      <c r="CP478" s="1060"/>
      <c r="CQ478" s="1060"/>
      <c r="CR478" s="1060"/>
      <c r="CS478" s="1060"/>
      <c r="CT478" s="1060"/>
      <c r="CU478" s="1060"/>
      <c r="CV478"/>
      <c r="CW478"/>
      <c r="CX478"/>
      <c r="CY478"/>
      <c r="CZ478"/>
      <c r="DA478"/>
      <c r="DI478" s="1061"/>
    </row>
    <row r="479" spans="1:113" ht="5.0999999999999996" customHeight="1" x14ac:dyDescent="0.25">
      <c r="A479" s="1054"/>
      <c r="B479" s="746"/>
      <c r="C479" s="746"/>
      <c r="D479" s="91"/>
      <c r="E479" s="90"/>
      <c r="F479" s="90"/>
      <c r="G479" s="90"/>
      <c r="H479" s="90"/>
      <c r="I479" s="91"/>
      <c r="J479" s="90"/>
      <c r="K479" s="90"/>
      <c r="L479" s="90"/>
      <c r="M479" s="90"/>
      <c r="N479" s="91"/>
      <c r="O479" s="90"/>
      <c r="P479" s="90"/>
      <c r="Q479" s="90"/>
      <c r="R479" s="90"/>
      <c r="S479" s="91"/>
      <c r="T479" s="90"/>
      <c r="U479" s="90"/>
      <c r="V479" s="90"/>
      <c r="W479" s="90"/>
      <c r="X479" s="91"/>
      <c r="Y479" s="90"/>
      <c r="Z479" s="90"/>
      <c r="AA479" s="90"/>
      <c r="AB479" s="90"/>
      <c r="AC479" s="91"/>
      <c r="AD479" s="90"/>
      <c r="AE479" s="90"/>
      <c r="AF479" s="90"/>
      <c r="AG479" s="90"/>
      <c r="AH479" s="91"/>
      <c r="AI479" s="90"/>
      <c r="AJ479" s="90"/>
      <c r="AK479" s="90"/>
      <c r="AL479" s="90"/>
      <c r="AM479" s="91"/>
      <c r="AN479" s="90"/>
      <c r="AO479" s="90"/>
      <c r="AP479" s="90"/>
      <c r="AQ479" s="90"/>
      <c r="AR479" s="91"/>
      <c r="AS479" s="90"/>
      <c r="AT479" s="90"/>
      <c r="AU479" s="90"/>
      <c r="AV479" s="90"/>
      <c r="AW479" s="91"/>
      <c r="AX479" s="90"/>
      <c r="AY479" s="90"/>
      <c r="AZ479" s="90"/>
      <c r="BA479" s="90"/>
      <c r="BB479" s="747"/>
      <c r="BC479" s="90"/>
      <c r="BD479" s="90"/>
      <c r="BE479" s="90"/>
      <c r="BF479" s="90"/>
      <c r="BG479" s="747"/>
      <c r="BH479" s="90"/>
      <c r="BI479" s="90"/>
      <c r="BJ479" s="90"/>
      <c r="BK479" s="90"/>
      <c r="BL479" s="747"/>
      <c r="BM479" s="90"/>
      <c r="BN479" s="90"/>
      <c r="BO479" s="90"/>
      <c r="BP479" s="90"/>
      <c r="BQ479" s="747"/>
      <c r="BR479" s="90"/>
      <c r="BS479" s="90"/>
      <c r="BT479" s="90"/>
      <c r="BU479" s="90"/>
      <c r="BV479" s="747"/>
      <c r="BW479" s="90"/>
      <c r="BX479" s="90"/>
      <c r="BY479" s="90"/>
      <c r="BZ479" s="90"/>
      <c r="CA479" s="747"/>
      <c r="CC479" s="29"/>
      <c r="CD479" s="29"/>
      <c r="CE479" s="92"/>
      <c r="CF479" s="92"/>
      <c r="CG479" s="92"/>
      <c r="CH479" s="92"/>
      <c r="CI479" s="92"/>
      <c r="CJ479" s="92"/>
      <c r="CK479" s="92"/>
      <c r="CL479" s="92"/>
      <c r="CM479" s="92"/>
      <c r="CN479" s="92"/>
      <c r="CO479" s="92"/>
      <c r="CP479" s="188"/>
      <c r="CQ479" s="188"/>
      <c r="CR479" s="188"/>
      <c r="CS479" s="188"/>
      <c r="CT479" s="188"/>
      <c r="CU479" s="188"/>
      <c r="DB479" s="1961"/>
      <c r="DC479" s="1961"/>
      <c r="DD479" s="1961"/>
      <c r="DE479" s="1961"/>
      <c r="DF479" s="1961"/>
      <c r="DG479" s="1961"/>
      <c r="DH479" s="1961"/>
      <c r="DI479" s="90"/>
    </row>
    <row r="480" spans="1:113" ht="12" customHeight="1" x14ac:dyDescent="0.25">
      <c r="A480" s="1062" t="s">
        <v>315</v>
      </c>
      <c r="B480" s="746"/>
      <c r="C480" s="1050"/>
      <c r="D480" s="1051"/>
      <c r="E480" s="1052"/>
      <c r="F480" s="1052"/>
      <c r="G480" s="1052"/>
      <c r="H480" s="1052"/>
      <c r="I480" s="1051"/>
      <c r="J480" s="1052">
        <f t="shared" ref="J480:BB480" si="612">(1-J380)*J46</f>
        <v>-3.6604112154805213</v>
      </c>
      <c r="K480" s="1052">
        <f t="shared" si="612"/>
        <v>-4.3592260627565587</v>
      </c>
      <c r="L480" s="1052">
        <f t="shared" si="612"/>
        <v>-4.943823576074883</v>
      </c>
      <c r="M480" s="1052">
        <f t="shared" si="612"/>
        <v>-4.7731440590427976</v>
      </c>
      <c r="N480" s="1051">
        <f t="shared" si="612"/>
        <v>-17.766532142460168</v>
      </c>
      <c r="O480" s="1052">
        <f t="shared" si="612"/>
        <v>-4.6539368948077371</v>
      </c>
      <c r="P480" s="1052">
        <f t="shared" si="612"/>
        <v>-4.930589308651304</v>
      </c>
      <c r="Q480" s="1052">
        <f t="shared" si="612"/>
        <v>-5.2891290998554377</v>
      </c>
      <c r="R480" s="1052">
        <f t="shared" si="612"/>
        <v>1.893796379654052</v>
      </c>
      <c r="S480" s="1051">
        <f t="shared" si="612"/>
        <v>-16.87437013661874</v>
      </c>
      <c r="T480" s="1052">
        <f t="shared" si="612"/>
        <v>-4.7831362486226174</v>
      </c>
      <c r="U480" s="1052">
        <f t="shared" si="612"/>
        <v>-4.994600358477383</v>
      </c>
      <c r="V480" s="1052">
        <f t="shared" si="612"/>
        <v>-5.0661328369831553</v>
      </c>
      <c r="W480" s="1052">
        <f t="shared" si="612"/>
        <v>-5.8398643878185199</v>
      </c>
      <c r="X480" s="1051">
        <f t="shared" si="612"/>
        <v>-20.675820799213088</v>
      </c>
      <c r="Y480" s="1052">
        <f t="shared" si="612"/>
        <v>-5.7553359259999644</v>
      </c>
      <c r="Z480" s="1052">
        <f t="shared" si="612"/>
        <v>-8.7623529105635676</v>
      </c>
      <c r="AA480" s="1052">
        <f t="shared" si="612"/>
        <v>-8.8669190954300721</v>
      </c>
      <c r="AB480" s="1052">
        <f t="shared" si="612"/>
        <v>-9.5189314161780043</v>
      </c>
      <c r="AC480" s="1051">
        <f t="shared" si="612"/>
        <v>-32.915965154981777</v>
      </c>
      <c r="AD480" s="1052">
        <f t="shared" si="612"/>
        <v>-9.9368136589410714</v>
      </c>
      <c r="AE480" s="1052">
        <f t="shared" si="612"/>
        <v>-10.518054221591235</v>
      </c>
      <c r="AF480" s="1052">
        <f t="shared" si="612"/>
        <v>-11.004751734789481</v>
      </c>
      <c r="AG480" s="1052">
        <f t="shared" si="612"/>
        <v>-14.637270006501483</v>
      </c>
      <c r="AH480" s="1051">
        <f t="shared" si="612"/>
        <v>-45.97660183438915</v>
      </c>
      <c r="AI480" s="1052">
        <f t="shared" si="612"/>
        <v>-12.738947952334204</v>
      </c>
      <c r="AJ480" s="1052">
        <f t="shared" si="612"/>
        <v>-12.633356941978661</v>
      </c>
      <c r="AK480" s="1052">
        <f t="shared" si="612"/>
        <v>-11.95512946187857</v>
      </c>
      <c r="AL480" s="1052">
        <f t="shared" si="612"/>
        <v>-11.063030195278767</v>
      </c>
      <c r="AM480" s="1051">
        <f t="shared" si="612"/>
        <v>-48.377544559895171</v>
      </c>
      <c r="AN480" s="1052">
        <f t="shared" si="612"/>
        <v>-11.205638703933399</v>
      </c>
      <c r="AO480" s="1052">
        <f t="shared" si="612"/>
        <v>-10.846576269154555</v>
      </c>
      <c r="AP480" s="1052">
        <f t="shared" si="612"/>
        <v>-10.985970629077976</v>
      </c>
      <c r="AQ480" s="1052">
        <f t="shared" si="612"/>
        <v>-10.937638343571729</v>
      </c>
      <c r="AR480" s="1051">
        <f t="shared" si="612"/>
        <v>-43.944695675730593</v>
      </c>
      <c r="AS480" s="1052">
        <f t="shared" si="612"/>
        <v>-11.29964971283826</v>
      </c>
      <c r="AT480" s="1052">
        <f t="shared" si="612"/>
        <v>-30.597822371235559</v>
      </c>
      <c r="AU480" s="1052">
        <f t="shared" si="612"/>
        <v>-22.448422985824788</v>
      </c>
      <c r="AV480" s="1052">
        <f t="shared" si="612"/>
        <v>-22.571222950779422</v>
      </c>
      <c r="AW480" s="1051">
        <f t="shared" si="612"/>
        <v>-85.817183174239332</v>
      </c>
      <c r="AX480" s="1052">
        <f t="shared" si="612"/>
        <v>-21.880288095816134</v>
      </c>
      <c r="AY480" s="1052">
        <f t="shared" si="612"/>
        <v>-20.906263069350111</v>
      </c>
      <c r="AZ480" s="1052">
        <f t="shared" si="612"/>
        <v>-20.831646615930762</v>
      </c>
      <c r="BA480" s="1052">
        <f t="shared" si="612"/>
        <v>-19.057428214731583</v>
      </c>
      <c r="BB480" s="1053">
        <f t="shared" si="612"/>
        <v>-82.787676972898879</v>
      </c>
      <c r="BC480" s="1052">
        <f t="shared" ref="BC480:CA480" si="613">(1-BC380)*BC46</f>
        <v>-19.168238213399501</v>
      </c>
      <c r="BD480" s="1052">
        <f>(1-BD380)*BD46</f>
        <v>-20.297233666862862</v>
      </c>
      <c r="BE480" s="1052">
        <f t="shared" si="613"/>
        <v>-20.239125622578854</v>
      </c>
      <c r="BF480" s="1052">
        <f t="shared" si="613"/>
        <v>-36.629447852760741</v>
      </c>
      <c r="BG480" s="1053">
        <f t="shared" si="613"/>
        <v>-95.7627921628563</v>
      </c>
      <c r="BH480" s="1052">
        <f t="shared" si="613"/>
        <v>-25.862333250000002</v>
      </c>
      <c r="BI480" s="1052">
        <f t="shared" si="613"/>
        <v>-25.862333250000002</v>
      </c>
      <c r="BJ480" s="1052">
        <f t="shared" si="613"/>
        <v>-25.862333250000002</v>
      </c>
      <c r="BK480" s="1052">
        <f t="shared" si="613"/>
        <v>-25.862333250000002</v>
      </c>
      <c r="BL480" s="1053">
        <f t="shared" si="613"/>
        <v>-103.44933300000001</v>
      </c>
      <c r="BM480" s="1052">
        <f t="shared" si="613"/>
        <v>-25.862333250000002</v>
      </c>
      <c r="BN480" s="1052">
        <f t="shared" si="613"/>
        <v>-25.862333250000002</v>
      </c>
      <c r="BO480" s="1052">
        <f t="shared" si="613"/>
        <v>-25.862333250000002</v>
      </c>
      <c r="BP480" s="1052">
        <f t="shared" si="613"/>
        <v>-25.862333250000002</v>
      </c>
      <c r="BQ480" s="1053">
        <f t="shared" si="613"/>
        <v>-103.44933300000001</v>
      </c>
      <c r="BR480" s="1052">
        <f t="shared" si="613"/>
        <v>-25.862333250000002</v>
      </c>
      <c r="BS480" s="1052">
        <f t="shared" si="613"/>
        <v>-25.862333250000002</v>
      </c>
      <c r="BT480" s="1052">
        <f t="shared" si="613"/>
        <v>-25.862333250000002</v>
      </c>
      <c r="BU480" s="1052">
        <f t="shared" si="613"/>
        <v>-25.862333250000002</v>
      </c>
      <c r="BV480" s="1053">
        <f t="shared" si="613"/>
        <v>-103.44933300000001</v>
      </c>
      <c r="BW480" s="1052">
        <f t="shared" si="613"/>
        <v>-25.862333250000002</v>
      </c>
      <c r="BX480" s="1052">
        <f t="shared" si="613"/>
        <v>-25.862333250000002</v>
      </c>
      <c r="BY480" s="1052">
        <f t="shared" si="613"/>
        <v>-25.862333250000002</v>
      </c>
      <c r="BZ480" s="1052">
        <f t="shared" si="613"/>
        <v>-25.862333250000002</v>
      </c>
      <c r="CA480" s="1053">
        <f t="shared" si="613"/>
        <v>-103.44933300000001</v>
      </c>
      <c r="CC480" s="29"/>
      <c r="CD480" s="29"/>
      <c r="CE480" s="92"/>
      <c r="CF480" s="92"/>
      <c r="CG480" s="92"/>
      <c r="CH480" s="92"/>
      <c r="CI480" s="92"/>
      <c r="CJ480" s="92"/>
      <c r="CK480" s="92"/>
      <c r="CL480" s="92"/>
      <c r="CM480" s="92"/>
      <c r="CN480" s="92"/>
      <c r="CO480" s="92"/>
      <c r="CP480" s="188"/>
      <c r="CQ480" s="188"/>
      <c r="CR480" s="188"/>
      <c r="CS480" s="188"/>
      <c r="CT480" s="188"/>
      <c r="CU480" s="188"/>
      <c r="DB480" s="1961"/>
      <c r="DC480" s="1961"/>
      <c r="DD480" s="1961"/>
      <c r="DE480" s="1961"/>
      <c r="DF480" s="1961"/>
      <c r="DG480" s="1961"/>
      <c r="DH480" s="1961"/>
      <c r="DI480" s="90"/>
    </row>
    <row r="481" spans="1:113" ht="12" customHeight="1" x14ac:dyDescent="0.25">
      <c r="A481" s="1062" t="s">
        <v>316</v>
      </c>
      <c r="B481" s="746"/>
      <c r="C481" s="1063"/>
      <c r="D481" s="1043"/>
      <c r="E481" s="1064"/>
      <c r="F481" s="1064"/>
      <c r="G481" s="1064"/>
      <c r="H481" s="1064"/>
      <c r="I481" s="1043"/>
      <c r="J481" s="1064">
        <f t="shared" ref="J481:BL481" si="614">SUM(J198,J199,J206,J207,J208)-SUM(I198,I199,I206,I207,I208)</f>
        <v>107.75900000000007</v>
      </c>
      <c r="K481" s="1064">
        <f t="shared" si="614"/>
        <v>129.2589999999999</v>
      </c>
      <c r="L481" s="1064">
        <f t="shared" si="614"/>
        <v>-3.210999999999899</v>
      </c>
      <c r="M481" s="1064">
        <f t="shared" si="614"/>
        <v>114.55899999999986</v>
      </c>
      <c r="N481" s="1043">
        <f t="shared" si="614"/>
        <v>0</v>
      </c>
      <c r="O481" s="1064">
        <f t="shared" si="614"/>
        <v>-30.047000000000025</v>
      </c>
      <c r="P481" s="1064">
        <f t="shared" si="614"/>
        <v>50.805000000000064</v>
      </c>
      <c r="Q481" s="1064">
        <f t="shared" si="614"/>
        <v>-29.448999999999955</v>
      </c>
      <c r="R481" s="1064">
        <f t="shared" si="614"/>
        <v>-97.565000000000055</v>
      </c>
      <c r="S481" s="1043">
        <f t="shared" si="614"/>
        <v>0</v>
      </c>
      <c r="T481" s="1064">
        <f t="shared" si="614"/>
        <v>-65.524000000000001</v>
      </c>
      <c r="U481" s="1064">
        <f t="shared" si="614"/>
        <v>-6.61099999999999</v>
      </c>
      <c r="V481" s="1064">
        <f t="shared" si="614"/>
        <v>-5.2419999999999618</v>
      </c>
      <c r="W481" s="1064">
        <f t="shared" si="614"/>
        <v>313.58699999999999</v>
      </c>
      <c r="X481" s="1043">
        <f t="shared" si="614"/>
        <v>0</v>
      </c>
      <c r="Y481" s="1064">
        <f t="shared" si="614"/>
        <v>-14.709999999999923</v>
      </c>
      <c r="Z481" s="1064">
        <f t="shared" si="614"/>
        <v>187.91600000000005</v>
      </c>
      <c r="AA481" s="1064">
        <f t="shared" si="614"/>
        <v>-12.691000000000258</v>
      </c>
      <c r="AB481" s="1064">
        <f t="shared" si="614"/>
        <v>114.31400000000031</v>
      </c>
      <c r="AC481" s="1043">
        <f t="shared" si="614"/>
        <v>0</v>
      </c>
      <c r="AD481" s="1064">
        <f t="shared" si="614"/>
        <v>110.57799999999997</v>
      </c>
      <c r="AE481" s="1064">
        <f t="shared" si="614"/>
        <v>-53.513000000000147</v>
      </c>
      <c r="AF481" s="1064">
        <f t="shared" si="614"/>
        <v>303.56899999999973</v>
      </c>
      <c r="AG481" s="1064">
        <f t="shared" si="614"/>
        <v>-93.838999999999714</v>
      </c>
      <c r="AH481" s="1043">
        <f t="shared" si="614"/>
        <v>0</v>
      </c>
      <c r="AI481" s="1064">
        <f t="shared" si="614"/>
        <v>-14.309999999999945</v>
      </c>
      <c r="AJ481" s="1064">
        <f t="shared" si="614"/>
        <v>-49.211999999999989</v>
      </c>
      <c r="AK481" s="1064">
        <f t="shared" si="614"/>
        <v>-98.099999999999909</v>
      </c>
      <c r="AL481" s="1064">
        <f t="shared" si="614"/>
        <v>-49.427000000000135</v>
      </c>
      <c r="AM481" s="1043">
        <f t="shared" si="614"/>
        <v>0</v>
      </c>
      <c r="AN481" s="1064">
        <f t="shared" si="614"/>
        <v>-0.52999999999997272</v>
      </c>
      <c r="AO481" s="1064">
        <f t="shared" si="614"/>
        <v>1.1649999999999636</v>
      </c>
      <c r="AP481" s="1064">
        <f t="shared" si="614"/>
        <v>1.1121000000000549</v>
      </c>
      <c r="AQ481" s="1064">
        <f t="shared" si="614"/>
        <v>159.90190000000007</v>
      </c>
      <c r="AR481" s="1043">
        <f t="shared" si="614"/>
        <v>0</v>
      </c>
      <c r="AS481" s="1064">
        <f t="shared" si="614"/>
        <v>-130.74000000000024</v>
      </c>
      <c r="AT481" s="1064">
        <f t="shared" si="614"/>
        <v>2013.1320000000005</v>
      </c>
      <c r="AU481" s="1064">
        <f t="shared" si="614"/>
        <v>-121.28600000000051</v>
      </c>
      <c r="AV481" s="1064">
        <f t="shared" si="614"/>
        <v>-31.373999999999796</v>
      </c>
      <c r="AW481" s="1043">
        <f t="shared" si="614"/>
        <v>0</v>
      </c>
      <c r="AX481" s="1064">
        <f t="shared" si="614"/>
        <v>-187.12400000000025</v>
      </c>
      <c r="AY481" s="1064">
        <f t="shared" si="614"/>
        <v>-705.96399999999994</v>
      </c>
      <c r="AZ481" s="1064">
        <f t="shared" si="614"/>
        <v>10.421000000000276</v>
      </c>
      <c r="BA481" s="1064">
        <f t="shared" si="614"/>
        <v>100.09399999999914</v>
      </c>
      <c r="BB481" s="1065">
        <f t="shared" si="614"/>
        <v>0</v>
      </c>
      <c r="BC481" s="1064">
        <f t="shared" si="614"/>
        <v>-114.59999999999945</v>
      </c>
      <c r="BD481" s="1064">
        <f t="shared" si="614"/>
        <v>115.80000000000018</v>
      </c>
      <c r="BE481" s="1064">
        <f t="shared" si="614"/>
        <v>478.30000000000018</v>
      </c>
      <c r="BF481" s="1064">
        <f t="shared" si="614"/>
        <v>127.09999999999991</v>
      </c>
      <c r="BG481" s="1065">
        <f t="shared" si="614"/>
        <v>0</v>
      </c>
      <c r="BH481" s="1064">
        <f>SUM(BH198,BH199,BH206,BH207,BH208)-SUM(BG198,BG199,BG206,BG207,BG208)</f>
        <v>0</v>
      </c>
      <c r="BI481" s="1064">
        <f>SUM(BI198,BI199,BI206,BI207,BI208)-SUM(BH198,BH199,BH206,BH207,BH208)</f>
        <v>0</v>
      </c>
      <c r="BJ481" s="1064">
        <f>SUM(BJ198,BJ199,BJ206,BJ207,BJ208)-SUM(BI198,BI199,BI206,BI207,BI208)</f>
        <v>0</v>
      </c>
      <c r="BK481" s="1064">
        <f>SUM(BK198,BK199,BK206,BK207,BK208)-SUM(BJ198,BJ199,BJ206,BJ207,BJ208)</f>
        <v>0</v>
      </c>
      <c r="BL481" s="1065">
        <f t="shared" si="614"/>
        <v>0</v>
      </c>
      <c r="BM481" s="1064">
        <f t="shared" ref="BM481:CA481" si="615">SUM(BM198,BM199,BM206,BM207,BM208)-SUM(BL198,BL199,BL206,BL207,BL208)</f>
        <v>0</v>
      </c>
      <c r="BN481" s="1064">
        <f t="shared" si="615"/>
        <v>0</v>
      </c>
      <c r="BO481" s="1064">
        <f t="shared" si="615"/>
        <v>0</v>
      </c>
      <c r="BP481" s="1064">
        <f t="shared" si="615"/>
        <v>0</v>
      </c>
      <c r="BQ481" s="1065">
        <f t="shared" si="615"/>
        <v>0</v>
      </c>
      <c r="BR481" s="1064">
        <f t="shared" si="615"/>
        <v>0</v>
      </c>
      <c r="BS481" s="1064">
        <f t="shared" si="615"/>
        <v>0</v>
      </c>
      <c r="BT481" s="1064">
        <f t="shared" si="615"/>
        <v>0</v>
      </c>
      <c r="BU481" s="1064">
        <f t="shared" si="615"/>
        <v>0</v>
      </c>
      <c r="BV481" s="1065">
        <f t="shared" si="615"/>
        <v>0</v>
      </c>
      <c r="BW481" s="1064">
        <f t="shared" si="615"/>
        <v>0</v>
      </c>
      <c r="BX481" s="1064">
        <f t="shared" si="615"/>
        <v>0</v>
      </c>
      <c r="BY481" s="1064">
        <f t="shared" si="615"/>
        <v>0</v>
      </c>
      <c r="BZ481" s="1064">
        <f t="shared" si="615"/>
        <v>0</v>
      </c>
      <c r="CA481" s="1065">
        <f t="shared" si="615"/>
        <v>0</v>
      </c>
      <c r="CC481" s="29"/>
      <c r="CD481" s="29"/>
      <c r="CE481" s="92"/>
      <c r="CF481" s="92"/>
      <c r="CG481" s="92"/>
      <c r="CH481" s="92"/>
      <c r="CI481" s="92"/>
      <c r="CJ481" s="92"/>
      <c r="CK481" s="92"/>
      <c r="CL481" s="92"/>
      <c r="CM481" s="92"/>
      <c r="CN481" s="92"/>
      <c r="CO481" s="92"/>
      <c r="CP481" s="188"/>
      <c r="CQ481" s="188"/>
      <c r="CR481" s="188"/>
      <c r="CS481" s="188"/>
      <c r="CT481" s="188"/>
      <c r="CU481" s="188"/>
      <c r="DB481" s="1961"/>
      <c r="DC481" s="1961"/>
      <c r="DD481" s="1961"/>
      <c r="DE481" s="1961"/>
      <c r="DF481" s="1961"/>
      <c r="DG481" s="1961"/>
      <c r="DH481" s="1961"/>
      <c r="DI481" s="90"/>
    </row>
    <row r="482" spans="1:113" ht="5.25" customHeight="1" x14ac:dyDescent="0.25">
      <c r="A482" s="487"/>
      <c r="B482" s="210"/>
      <c r="C482" s="210"/>
      <c r="D482" s="134"/>
      <c r="E482" s="135"/>
      <c r="F482" s="135"/>
      <c r="G482" s="135"/>
      <c r="H482" s="135"/>
      <c r="I482" s="134"/>
      <c r="J482" s="135" t="s">
        <v>60</v>
      </c>
      <c r="K482" s="135" t="s">
        <v>60</v>
      </c>
      <c r="L482" s="135" t="s">
        <v>60</v>
      </c>
      <c r="M482" s="135" t="s">
        <v>60</v>
      </c>
      <c r="N482" s="134" t="s">
        <v>60</v>
      </c>
      <c r="O482" s="135" t="s">
        <v>60</v>
      </c>
      <c r="P482" s="135" t="s">
        <v>60</v>
      </c>
      <c r="Q482" s="135" t="s">
        <v>60</v>
      </c>
      <c r="R482" s="135" t="s">
        <v>60</v>
      </c>
      <c r="S482" s="134" t="s">
        <v>60</v>
      </c>
      <c r="T482" s="135" t="s">
        <v>60</v>
      </c>
      <c r="U482" s="135" t="s">
        <v>60</v>
      </c>
      <c r="V482" s="135" t="s">
        <v>60</v>
      </c>
      <c r="W482" s="135" t="s">
        <v>60</v>
      </c>
      <c r="X482" s="134" t="s">
        <v>60</v>
      </c>
      <c r="Y482" s="135" t="s">
        <v>60</v>
      </c>
      <c r="Z482" s="135" t="s">
        <v>60</v>
      </c>
      <c r="AA482" s="135" t="s">
        <v>60</v>
      </c>
      <c r="AB482" s="135" t="s">
        <v>60</v>
      </c>
      <c r="AC482" s="134" t="s">
        <v>60</v>
      </c>
      <c r="AD482" s="135" t="s">
        <v>60</v>
      </c>
      <c r="AE482" s="135" t="s">
        <v>60</v>
      </c>
      <c r="AF482" s="135" t="s">
        <v>60</v>
      </c>
      <c r="AG482" s="135" t="s">
        <v>60</v>
      </c>
      <c r="AH482" s="134" t="s">
        <v>60</v>
      </c>
      <c r="AI482" s="135" t="s">
        <v>60</v>
      </c>
      <c r="AJ482" s="135" t="s">
        <v>60</v>
      </c>
      <c r="AK482" s="135" t="s">
        <v>60</v>
      </c>
      <c r="AL482" s="135" t="s">
        <v>60</v>
      </c>
      <c r="AM482" s="134" t="s">
        <v>60</v>
      </c>
      <c r="AN482" s="135" t="s">
        <v>60</v>
      </c>
      <c r="AO482" s="135" t="s">
        <v>60</v>
      </c>
      <c r="AP482" s="135" t="s">
        <v>60</v>
      </c>
      <c r="AQ482" s="135" t="s">
        <v>60</v>
      </c>
      <c r="AR482" s="134" t="s">
        <v>60</v>
      </c>
      <c r="AS482" s="135" t="s">
        <v>60</v>
      </c>
      <c r="AT482" s="135" t="s">
        <v>60</v>
      </c>
      <c r="AU482" s="135" t="s">
        <v>60</v>
      </c>
      <c r="AV482" s="135" t="s">
        <v>60</v>
      </c>
      <c r="AW482" s="134" t="s">
        <v>60</v>
      </c>
      <c r="AX482" s="135" t="s">
        <v>60</v>
      </c>
      <c r="AY482" s="135" t="s">
        <v>60</v>
      </c>
      <c r="AZ482" s="135" t="s">
        <v>60</v>
      </c>
      <c r="BA482" s="135" t="s">
        <v>60</v>
      </c>
      <c r="BB482" s="134" t="s">
        <v>60</v>
      </c>
      <c r="BC482" s="135" t="s">
        <v>60</v>
      </c>
      <c r="BD482" s="135" t="s">
        <v>60</v>
      </c>
      <c r="BE482" s="135" t="s">
        <v>60</v>
      </c>
      <c r="BF482" s="135" t="s">
        <v>60</v>
      </c>
      <c r="BG482" s="134" t="s">
        <v>60</v>
      </c>
      <c r="BH482" s="135" t="s">
        <v>60</v>
      </c>
      <c r="BI482" s="135" t="s">
        <v>60</v>
      </c>
      <c r="BJ482" s="135" t="s">
        <v>60</v>
      </c>
      <c r="BK482" s="135" t="s">
        <v>60</v>
      </c>
      <c r="BL482" s="134" t="s">
        <v>60</v>
      </c>
      <c r="BM482" s="135" t="s">
        <v>60</v>
      </c>
      <c r="BN482" s="135" t="s">
        <v>60</v>
      </c>
      <c r="BO482" s="135" t="s">
        <v>60</v>
      </c>
      <c r="BP482" s="135" t="s">
        <v>60</v>
      </c>
      <c r="BQ482" s="134" t="s">
        <v>60</v>
      </c>
      <c r="BR482" s="135" t="s">
        <v>60</v>
      </c>
      <c r="BS482" s="135" t="s">
        <v>60</v>
      </c>
      <c r="BT482" s="135" t="s">
        <v>60</v>
      </c>
      <c r="BU482" s="135" t="s">
        <v>60</v>
      </c>
      <c r="BV482" s="134" t="s">
        <v>60</v>
      </c>
      <c r="BW482" s="135" t="s">
        <v>60</v>
      </c>
      <c r="BX482" s="135" t="s">
        <v>60</v>
      </c>
      <c r="BY482" s="135" t="s">
        <v>60</v>
      </c>
      <c r="BZ482" s="135" t="s">
        <v>60</v>
      </c>
      <c r="CA482" s="134" t="s">
        <v>60</v>
      </c>
      <c r="CC482" s="29"/>
      <c r="CD482" s="29"/>
      <c r="CE482" s="130"/>
      <c r="CF482" s="130"/>
      <c r="CG482" s="130"/>
      <c r="CH482" s="130"/>
      <c r="CI482" s="130"/>
      <c r="CJ482" s="130"/>
      <c r="CK482" s="130"/>
      <c r="CL482" s="130"/>
      <c r="CM482" s="130"/>
      <c r="CN482" s="130"/>
      <c r="CO482" s="130"/>
      <c r="CP482" s="188"/>
      <c r="CQ482" s="188"/>
      <c r="CR482" s="188"/>
      <c r="CS482" s="188"/>
      <c r="CT482" s="188"/>
      <c r="CU482" s="188"/>
      <c r="DB482" s="1961"/>
      <c r="DC482" s="1961"/>
      <c r="DD482" s="1961"/>
      <c r="DE482" s="1961"/>
      <c r="DF482" s="1961"/>
      <c r="DG482" s="1961"/>
      <c r="DH482" s="1961"/>
      <c r="DI482" s="135"/>
    </row>
    <row r="483" spans="1:113" s="315" customFormat="1" ht="12" customHeight="1" x14ac:dyDescent="0.25">
      <c r="A483" s="1054" t="s">
        <v>317</v>
      </c>
      <c r="B483" s="1055"/>
      <c r="C483" s="1055"/>
      <c r="D483" s="1070"/>
      <c r="E483" s="1061"/>
      <c r="F483" s="1061"/>
      <c r="G483" s="1061"/>
      <c r="H483" s="1061"/>
      <c r="I483" s="1070"/>
      <c r="J483" s="1058">
        <f>SUM(J478:J481)</f>
        <v>191.01301238328966</v>
      </c>
      <c r="K483" s="1058">
        <f t="shared" ref="K483:BB483" si="616">SUM(K478:K481)</f>
        <v>69.09246601266257</v>
      </c>
      <c r="L483" s="1058">
        <f t="shared" si="616"/>
        <v>31.278821917413147</v>
      </c>
      <c r="M483" s="1058">
        <f t="shared" si="616"/>
        <v>142.15039440710171</v>
      </c>
      <c r="N483" s="1057">
        <f t="shared" si="616"/>
        <v>85.168517180054366</v>
      </c>
      <c r="O483" s="1058">
        <f t="shared" si="616"/>
        <v>88.454618052202193</v>
      </c>
      <c r="P483" s="1058">
        <f t="shared" si="616"/>
        <v>5.546562674726168</v>
      </c>
      <c r="Q483" s="1058">
        <f t="shared" si="616"/>
        <v>18.187332961975713</v>
      </c>
      <c r="R483" s="1058">
        <f t="shared" si="616"/>
        <v>-96.503243424860216</v>
      </c>
      <c r="S483" s="1057">
        <f t="shared" si="616"/>
        <v>123.23555859866606</v>
      </c>
      <c r="T483" s="1058">
        <f t="shared" si="616"/>
        <v>56.034841162306648</v>
      </c>
      <c r="U483" s="1058">
        <f t="shared" si="616"/>
        <v>21.971437342406681</v>
      </c>
      <c r="V483" s="1058">
        <f t="shared" si="616"/>
        <v>55.959394503428314</v>
      </c>
      <c r="W483" s="1058">
        <f t="shared" si="616"/>
        <v>404.55038374527896</v>
      </c>
      <c r="X483" s="1057">
        <f t="shared" si="616"/>
        <v>302.30841448420023</v>
      </c>
      <c r="Y483" s="1058">
        <f t="shared" si="616"/>
        <v>110.04532865684129</v>
      </c>
      <c r="Z483" s="1058">
        <f t="shared" si="616"/>
        <v>203.39730295030478</v>
      </c>
      <c r="AA483" s="1058">
        <f t="shared" si="616"/>
        <v>105.24710101087889</v>
      </c>
      <c r="AB483" s="1058">
        <f t="shared" si="616"/>
        <v>165.12331676439902</v>
      </c>
      <c r="AC483" s="1057">
        <f t="shared" si="616"/>
        <v>308.98874051939833</v>
      </c>
      <c r="AD483" s="1058">
        <f t="shared" si="616"/>
        <v>273.78719078781569</v>
      </c>
      <c r="AE483" s="1058">
        <f t="shared" si="616"/>
        <v>-54.917266031646612</v>
      </c>
      <c r="AF483" s="1058">
        <f t="shared" si="616"/>
        <v>431.89465920536372</v>
      </c>
      <c r="AG483" s="1058">
        <f t="shared" si="616"/>
        <v>-69.97599682872179</v>
      </c>
      <c r="AH483" s="1057">
        <f t="shared" si="616"/>
        <v>314.07946665464112</v>
      </c>
      <c r="AI483" s="1058">
        <f t="shared" si="616"/>
        <v>175.52148000223488</v>
      </c>
      <c r="AJ483" s="1058">
        <f t="shared" si="616"/>
        <v>-15.689273877044428</v>
      </c>
      <c r="AK483" s="1058">
        <f t="shared" si="616"/>
        <v>-2.2659067049497992</v>
      </c>
      <c r="AL483" s="1058">
        <f t="shared" si="616"/>
        <v>15.027518965479572</v>
      </c>
      <c r="AM483" s="1057">
        <f t="shared" si="616"/>
        <v>383.64122310202356</v>
      </c>
      <c r="AN483" s="1058">
        <f t="shared" si="616"/>
        <v>309.77621694200724</v>
      </c>
      <c r="AO483" s="1058">
        <f t="shared" si="616"/>
        <v>11.650748023722327</v>
      </c>
      <c r="AP483" s="1058">
        <f t="shared" si="616"/>
        <v>68.264034828511171</v>
      </c>
      <c r="AQ483" s="1058">
        <f t="shared" si="616"/>
        <v>199.21637990832417</v>
      </c>
      <c r="AR483" s="1057">
        <f t="shared" si="616"/>
        <v>427.25578786698725</v>
      </c>
      <c r="AS483" s="1058">
        <f t="shared" si="616"/>
        <v>107.265888596293</v>
      </c>
      <c r="AT483" s="1058">
        <f t="shared" si="616"/>
        <v>1997.1218837662793</v>
      </c>
      <c r="AU483" s="1058">
        <f t="shared" si="616"/>
        <v>71.570375707598998</v>
      </c>
      <c r="AV483" s="1058">
        <f t="shared" si="616"/>
        <v>31.383531891772726</v>
      </c>
      <c r="AW483" s="1057">
        <f t="shared" si="616"/>
        <v>486.09727250671352</v>
      </c>
      <c r="AX483" s="1058">
        <f t="shared" si="616"/>
        <v>74.602944659208788</v>
      </c>
      <c r="AY483" s="1058">
        <f t="shared" si="616"/>
        <v>-815.06764350426829</v>
      </c>
      <c r="AZ483" s="1058">
        <f t="shared" si="616"/>
        <v>69.182191210933283</v>
      </c>
      <c r="BA483" s="1058">
        <f t="shared" si="616"/>
        <v>106.50778776529253</v>
      </c>
      <c r="BB483" s="1059">
        <f t="shared" si="616"/>
        <v>217.2231796116379</v>
      </c>
      <c r="BC483" s="1058">
        <f t="shared" ref="BC483:CA483" si="617">SUM(BC478:BC481)</f>
        <v>165.1176178660055</v>
      </c>
      <c r="BD483" s="1058">
        <f t="shared" si="617"/>
        <v>174.37857563272539</v>
      </c>
      <c r="BE483" s="1058">
        <f t="shared" si="617"/>
        <v>587.86330935251806</v>
      </c>
      <c r="BF483" s="1058">
        <f t="shared" si="617"/>
        <v>266.91656441717777</v>
      </c>
      <c r="BG483" s="1059">
        <f t="shared" si="617"/>
        <v>587.27087879648423</v>
      </c>
      <c r="BH483" s="1058">
        <f t="shared" si="617"/>
        <v>352.20505864177073</v>
      </c>
      <c r="BI483" s="1058">
        <f t="shared" si="617"/>
        <v>118.57382847454591</v>
      </c>
      <c r="BJ483" s="1058">
        <f t="shared" si="617"/>
        <v>94.511897231337301</v>
      </c>
      <c r="BK483" s="1058">
        <f t="shared" si="617"/>
        <v>45.735676447103046</v>
      </c>
      <c r="BL483" s="1059">
        <f t="shared" si="617"/>
        <v>611.02646079475676</v>
      </c>
      <c r="BM483" s="1058">
        <f t="shared" si="617"/>
        <v>380.18953901696989</v>
      </c>
      <c r="BN483" s="1058">
        <f t="shared" si="617"/>
        <v>133.45093228692792</v>
      </c>
      <c r="BO483" s="1058">
        <f t="shared" si="617"/>
        <v>107.85710397467659</v>
      </c>
      <c r="BP483" s="1058">
        <f t="shared" si="617"/>
        <v>56.700711257933662</v>
      </c>
      <c r="BQ483" s="1059">
        <f t="shared" si="617"/>
        <v>678.19828653650825</v>
      </c>
      <c r="BR483" s="1058">
        <f t="shared" si="617"/>
        <v>409.09821288933131</v>
      </c>
      <c r="BS483" s="1058">
        <f t="shared" si="617"/>
        <v>148.54794044790256</v>
      </c>
      <c r="BT483" s="1058">
        <f t="shared" si="617"/>
        <v>121.47821717284123</v>
      </c>
      <c r="BU483" s="1058">
        <f t="shared" si="617"/>
        <v>67.801495502115472</v>
      </c>
      <c r="BV483" s="1059">
        <f t="shared" si="617"/>
        <v>746.92586601219045</v>
      </c>
      <c r="BW483" s="1058">
        <f t="shared" si="617"/>
        <v>437.09964035794087</v>
      </c>
      <c r="BX483" s="1058">
        <f t="shared" si="617"/>
        <v>161.83482833772453</v>
      </c>
      <c r="BY483" s="1058">
        <f t="shared" si="617"/>
        <v>133.12770548469663</v>
      </c>
      <c r="BZ483" s="1058">
        <f t="shared" si="617"/>
        <v>76.745246634900042</v>
      </c>
      <c r="CA483" s="1059">
        <f t="shared" si="617"/>
        <v>808.80742081526205</v>
      </c>
      <c r="CB483"/>
      <c r="CC483" s="311"/>
      <c r="CD483" s="311"/>
      <c r="CE483" s="310"/>
      <c r="CF483" s="310"/>
      <c r="CG483" s="310"/>
      <c r="CH483" s="310"/>
      <c r="CI483" s="310"/>
      <c r="CJ483" s="310"/>
      <c r="CK483" s="310"/>
      <c r="CL483" s="310"/>
      <c r="CM483" s="310"/>
      <c r="CN483" s="310"/>
      <c r="CO483" s="310"/>
      <c r="CP483" s="1060"/>
      <c r="CQ483" s="1060"/>
      <c r="CR483" s="1060"/>
      <c r="CS483" s="1060"/>
      <c r="CT483" s="1060"/>
      <c r="CU483" s="1060"/>
      <c r="CV483"/>
      <c r="CW483"/>
      <c r="CX483"/>
      <c r="CY483"/>
      <c r="CZ483"/>
      <c r="DA483"/>
      <c r="DI483" s="1061"/>
    </row>
    <row r="484" spans="1:113" ht="5.0999999999999996" customHeight="1" x14ac:dyDescent="0.25">
      <c r="A484" s="1054"/>
      <c r="B484" s="746"/>
      <c r="C484" s="746"/>
      <c r="D484" s="91"/>
      <c r="E484" s="90"/>
      <c r="F484" s="90"/>
      <c r="G484" s="90"/>
      <c r="H484" s="90"/>
      <c r="I484" s="91"/>
      <c r="J484" s="90"/>
      <c r="K484" s="90"/>
      <c r="L484" s="90"/>
      <c r="M484" s="90"/>
      <c r="N484" s="91"/>
      <c r="O484" s="90"/>
      <c r="P484" s="90"/>
      <c r="Q484" s="90"/>
      <c r="R484" s="90"/>
      <c r="S484" s="91"/>
      <c r="T484" s="90"/>
      <c r="U484" s="90"/>
      <c r="V484" s="90"/>
      <c r="W484" s="90"/>
      <c r="X484" s="91"/>
      <c r="Y484" s="90"/>
      <c r="Z484" s="90"/>
      <c r="AA484" s="90"/>
      <c r="AB484" s="90"/>
      <c r="AC484" s="91"/>
      <c r="AD484" s="90"/>
      <c r="AE484" s="90"/>
      <c r="AF484" s="90"/>
      <c r="AG484" s="90"/>
      <c r="AH484" s="91"/>
      <c r="AI484" s="90"/>
      <c r="AJ484" s="90"/>
      <c r="AK484" s="90"/>
      <c r="AL484" s="90"/>
      <c r="AM484" s="91"/>
      <c r="AN484" s="90"/>
      <c r="AO484" s="90"/>
      <c r="AP484" s="90"/>
      <c r="AQ484" s="90"/>
      <c r="AR484" s="91"/>
      <c r="AS484" s="90"/>
      <c r="AT484" s="90"/>
      <c r="AU484" s="90"/>
      <c r="AV484" s="90"/>
      <c r="AW484" s="91"/>
      <c r="AX484" s="90"/>
      <c r="AY484" s="90"/>
      <c r="AZ484" s="90"/>
      <c r="BA484" s="90"/>
      <c r="BB484" s="747"/>
      <c r="BC484" s="90"/>
      <c r="BD484" s="90"/>
      <c r="BE484" s="90"/>
      <c r="BF484" s="90"/>
      <c r="BG484" s="747"/>
      <c r="BH484" s="90"/>
      <c r="BI484" s="90"/>
      <c r="BJ484" s="90"/>
      <c r="BK484" s="90"/>
      <c r="BL484" s="747"/>
      <c r="BM484" s="90"/>
      <c r="BN484" s="90"/>
      <c r="BO484" s="90"/>
      <c r="BP484" s="90"/>
      <c r="BQ484" s="747"/>
      <c r="BR484" s="90"/>
      <c r="BS484" s="90"/>
      <c r="BT484" s="90"/>
      <c r="BU484" s="90"/>
      <c r="BV484" s="747"/>
      <c r="BW484" s="90"/>
      <c r="BX484" s="90"/>
      <c r="BY484" s="90"/>
      <c r="BZ484" s="90"/>
      <c r="CA484" s="747"/>
      <c r="CC484" s="29"/>
      <c r="CD484" s="29"/>
      <c r="CE484" s="92"/>
      <c r="CF484" s="92"/>
      <c r="CG484" s="92"/>
      <c r="CH484" s="92"/>
      <c r="CI484" s="92"/>
      <c r="CJ484" s="92"/>
      <c r="CK484" s="92"/>
      <c r="CL484" s="92"/>
      <c r="CM484" s="92"/>
      <c r="CN484" s="92"/>
      <c r="CO484" s="92"/>
      <c r="CP484" s="188"/>
      <c r="CQ484" s="188"/>
      <c r="CR484" s="188"/>
      <c r="CS484" s="188"/>
      <c r="CT484" s="188"/>
      <c r="CU484" s="188"/>
      <c r="DB484" s="1961"/>
      <c r="DC484" s="1961"/>
      <c r="DD484" s="1961"/>
      <c r="DE484" s="1961"/>
      <c r="DF484" s="1961"/>
      <c r="DG484" s="1961"/>
      <c r="DH484" s="1961"/>
      <c r="DI484" s="90"/>
    </row>
    <row r="485" spans="1:113" ht="12" customHeight="1" x14ac:dyDescent="0.25">
      <c r="A485" s="1062" t="s">
        <v>318</v>
      </c>
      <c r="B485" s="746"/>
      <c r="C485" s="746"/>
      <c r="D485" s="91"/>
      <c r="E485" s="90"/>
      <c r="F485" s="90"/>
      <c r="G485" s="90"/>
      <c r="H485" s="90"/>
      <c r="I485" s="91"/>
      <c r="J485" s="1052">
        <f>-J151</f>
        <v>191.023</v>
      </c>
      <c r="K485" s="1052">
        <f t="shared" ref="K485:BB485" si="618">-K151</f>
        <v>46.122000000000014</v>
      </c>
      <c r="L485" s="1052">
        <f t="shared" si="618"/>
        <v>31.599999999999994</v>
      </c>
      <c r="M485" s="1052">
        <f t="shared" si="618"/>
        <v>123.81699999999995</v>
      </c>
      <c r="N485" s="1051">
        <f t="shared" si="618"/>
        <v>392.56199999999995</v>
      </c>
      <c r="O485" s="1052">
        <f t="shared" si="618"/>
        <v>25.881</v>
      </c>
      <c r="P485" s="1052">
        <f t="shared" si="618"/>
        <v>12.400999999999996</v>
      </c>
      <c r="Q485" s="1052">
        <f t="shared" si="618"/>
        <v>8.4580000000000055</v>
      </c>
      <c r="R485" s="1052">
        <f t="shared" si="618"/>
        <v>0</v>
      </c>
      <c r="S485" s="1051">
        <f t="shared" si="618"/>
        <v>46.74</v>
      </c>
      <c r="T485" s="1052">
        <f t="shared" si="618"/>
        <v>0</v>
      </c>
      <c r="U485" s="1052">
        <f t="shared" si="618"/>
        <v>62.265999999999998</v>
      </c>
      <c r="V485" s="1052">
        <f t="shared" si="618"/>
        <v>67.496000000000009</v>
      </c>
      <c r="W485" s="1052">
        <f t="shared" si="618"/>
        <v>290.29899999999998</v>
      </c>
      <c r="X485" s="1051">
        <f t="shared" si="618"/>
        <v>420.06099999999998</v>
      </c>
      <c r="Y485" s="1052">
        <f t="shared" si="618"/>
        <v>73.578000000000003</v>
      </c>
      <c r="Z485" s="1052">
        <f t="shared" si="618"/>
        <v>140.44299999999998</v>
      </c>
      <c r="AA485" s="1052">
        <f t="shared" si="618"/>
        <v>126.10100000000003</v>
      </c>
      <c r="AB485" s="1052">
        <f t="shared" si="618"/>
        <v>41.653999999999996</v>
      </c>
      <c r="AC485" s="1051">
        <f t="shared" si="618"/>
        <v>381.77600000000001</v>
      </c>
      <c r="AD485" s="1052">
        <f t="shared" si="618"/>
        <v>36.792000000000002</v>
      </c>
      <c r="AE485" s="1052">
        <f t="shared" si="618"/>
        <v>69.513000000000005</v>
      </c>
      <c r="AF485" s="1052">
        <f t="shared" si="618"/>
        <v>21.768000000000001</v>
      </c>
      <c r="AG485" s="1052">
        <f t="shared" si="618"/>
        <v>34.201999999999998</v>
      </c>
      <c r="AH485" s="1051">
        <f t="shared" si="618"/>
        <v>162.27500000000001</v>
      </c>
      <c r="AI485" s="1052">
        <f t="shared" si="618"/>
        <v>22.13</v>
      </c>
      <c r="AJ485" s="1052">
        <f t="shared" si="618"/>
        <v>113.465</v>
      </c>
      <c r="AK485" s="1052">
        <f t="shared" si="618"/>
        <v>25.375</v>
      </c>
      <c r="AL485" s="1052">
        <f t="shared" si="618"/>
        <v>116.441</v>
      </c>
      <c r="AM485" s="1051">
        <f t="shared" si="618"/>
        <v>277.411</v>
      </c>
      <c r="AN485" s="1052">
        <f t="shared" si="618"/>
        <v>88.161000000000001</v>
      </c>
      <c r="AO485" s="1052">
        <f t="shared" si="618"/>
        <v>33.959000000000003</v>
      </c>
      <c r="AP485" s="1052">
        <f t="shared" si="618"/>
        <v>60.972999999999985</v>
      </c>
      <c r="AQ485" s="1052">
        <f t="shared" si="618"/>
        <v>595.39100000000008</v>
      </c>
      <c r="AR485" s="1051">
        <f t="shared" si="618"/>
        <v>778.48400000000004</v>
      </c>
      <c r="AS485" s="1052">
        <f t="shared" si="618"/>
        <v>0</v>
      </c>
      <c r="AT485" s="1052">
        <f t="shared" si="618"/>
        <v>0</v>
      </c>
      <c r="AU485" s="1052">
        <f t="shared" si="618"/>
        <v>0</v>
      </c>
      <c r="AV485" s="1052">
        <f t="shared" si="618"/>
        <v>20.456</v>
      </c>
      <c r="AW485" s="1051">
        <f t="shared" si="618"/>
        <v>20.456</v>
      </c>
      <c r="AX485" s="1052">
        <f t="shared" si="618"/>
        <v>116.363</v>
      </c>
      <c r="AY485" s="1052">
        <f t="shared" si="618"/>
        <v>0</v>
      </c>
      <c r="AZ485" s="1052">
        <f t="shared" si="618"/>
        <v>66.169999999999987</v>
      </c>
      <c r="BA485" s="1052">
        <f t="shared" si="618"/>
        <v>144.26700000000002</v>
      </c>
      <c r="BB485" s="1053">
        <f t="shared" si="618"/>
        <v>326.8</v>
      </c>
      <c r="BC485" s="1052">
        <f t="shared" ref="BC485:CA485" si="619">-BC151</f>
        <v>99.3</v>
      </c>
      <c r="BD485" s="1052">
        <f t="shared" si="619"/>
        <v>166.8</v>
      </c>
      <c r="BE485" s="1052">
        <f t="shared" si="619"/>
        <v>10.09999999999998</v>
      </c>
      <c r="BF485" s="1052">
        <f t="shared" si="619"/>
        <v>0.10000000000002274</v>
      </c>
      <c r="BG485" s="1053">
        <f t="shared" si="619"/>
        <v>276.3</v>
      </c>
      <c r="BH485" s="1052">
        <f t="shared" si="619"/>
        <v>131.25</v>
      </c>
      <c r="BI485" s="1052">
        <f t="shared" si="619"/>
        <v>131.25</v>
      </c>
      <c r="BJ485" s="1052">
        <f t="shared" si="619"/>
        <v>131.25</v>
      </c>
      <c r="BK485" s="1052">
        <f t="shared" si="619"/>
        <v>131.25</v>
      </c>
      <c r="BL485" s="1053">
        <f t="shared" si="619"/>
        <v>525</v>
      </c>
      <c r="BM485" s="1052">
        <f t="shared" si="619"/>
        <v>175</v>
      </c>
      <c r="BN485" s="1052">
        <f t="shared" si="619"/>
        <v>175</v>
      </c>
      <c r="BO485" s="1052">
        <f t="shared" si="619"/>
        <v>175</v>
      </c>
      <c r="BP485" s="1052">
        <f t="shared" si="619"/>
        <v>175</v>
      </c>
      <c r="BQ485" s="1053">
        <f t="shared" si="619"/>
        <v>700</v>
      </c>
      <c r="BR485" s="1052">
        <f t="shared" si="619"/>
        <v>200</v>
      </c>
      <c r="BS485" s="1052">
        <f t="shared" si="619"/>
        <v>200</v>
      </c>
      <c r="BT485" s="1052">
        <f t="shared" si="619"/>
        <v>200</v>
      </c>
      <c r="BU485" s="1052">
        <f t="shared" si="619"/>
        <v>200</v>
      </c>
      <c r="BV485" s="1053">
        <f t="shared" si="619"/>
        <v>800</v>
      </c>
      <c r="BW485" s="1052">
        <f t="shared" si="619"/>
        <v>200</v>
      </c>
      <c r="BX485" s="1052">
        <f t="shared" si="619"/>
        <v>200</v>
      </c>
      <c r="BY485" s="1052">
        <f t="shared" si="619"/>
        <v>200</v>
      </c>
      <c r="BZ485" s="1052">
        <f t="shared" si="619"/>
        <v>200</v>
      </c>
      <c r="CA485" s="1053">
        <f t="shared" si="619"/>
        <v>800</v>
      </c>
      <c r="CC485" s="29"/>
      <c r="CD485" s="29"/>
      <c r="CE485" s="92"/>
      <c r="CF485" s="92"/>
      <c r="CG485" s="92"/>
      <c r="CH485" s="92"/>
      <c r="CI485" s="92"/>
      <c r="CJ485" s="92"/>
      <c r="CK485" s="92"/>
      <c r="CL485" s="92"/>
      <c r="CM485" s="92"/>
      <c r="CN485" s="92"/>
      <c r="CO485" s="92"/>
      <c r="CP485" s="188"/>
      <c r="CQ485" s="188"/>
      <c r="CR485" s="188"/>
      <c r="CS485" s="188"/>
      <c r="CT485" s="188"/>
      <c r="CU485" s="188"/>
      <c r="DB485" s="1961"/>
      <c r="DC485" s="1961"/>
      <c r="DD485" s="1961"/>
      <c r="DE485" s="1961"/>
      <c r="DF485" s="1961"/>
      <c r="DG485" s="1961"/>
      <c r="DH485" s="1961"/>
      <c r="DI485" s="90"/>
    </row>
    <row r="486" spans="1:113" ht="12" customHeight="1" x14ac:dyDescent="0.25">
      <c r="A486" s="1062" t="s">
        <v>319</v>
      </c>
      <c r="B486" s="746"/>
      <c r="C486" s="746"/>
      <c r="D486" s="91"/>
      <c r="E486" s="90"/>
      <c r="F486" s="90"/>
      <c r="G486" s="90"/>
      <c r="H486" s="90"/>
      <c r="I486" s="91"/>
      <c r="J486" s="1052">
        <f>-J154</f>
        <v>0</v>
      </c>
      <c r="K486" s="1052">
        <f t="shared" ref="K486:BB486" si="620">-K154</f>
        <v>0</v>
      </c>
      <c r="L486" s="1052">
        <f t="shared" si="620"/>
        <v>0</v>
      </c>
      <c r="M486" s="1052">
        <f t="shared" si="620"/>
        <v>0</v>
      </c>
      <c r="N486" s="1051">
        <f t="shared" si="620"/>
        <v>0</v>
      </c>
      <c r="O486" s="1052">
        <f t="shared" si="620"/>
        <v>0</v>
      </c>
      <c r="P486" s="1052">
        <f t="shared" si="620"/>
        <v>0</v>
      </c>
      <c r="Q486" s="1052">
        <f t="shared" si="620"/>
        <v>0</v>
      </c>
      <c r="R486" s="1052">
        <f t="shared" si="620"/>
        <v>0</v>
      </c>
      <c r="S486" s="1051">
        <f t="shared" si="620"/>
        <v>0</v>
      </c>
      <c r="T486" s="1052">
        <f t="shared" si="620"/>
        <v>0</v>
      </c>
      <c r="U486" s="1052">
        <f t="shared" si="620"/>
        <v>0</v>
      </c>
      <c r="V486" s="1052">
        <f t="shared" si="620"/>
        <v>0</v>
      </c>
      <c r="W486" s="1052">
        <f t="shared" si="620"/>
        <v>0</v>
      </c>
      <c r="X486" s="1051">
        <f t="shared" si="620"/>
        <v>0</v>
      </c>
      <c r="Y486" s="1052">
        <f t="shared" si="620"/>
        <v>0</v>
      </c>
      <c r="Z486" s="1052">
        <f t="shared" si="620"/>
        <v>0</v>
      </c>
      <c r="AA486" s="1052">
        <f t="shared" si="620"/>
        <v>0</v>
      </c>
      <c r="AB486" s="1052">
        <f t="shared" si="620"/>
        <v>0</v>
      </c>
      <c r="AC486" s="1051">
        <f t="shared" si="620"/>
        <v>0</v>
      </c>
      <c r="AD486" s="1052">
        <f t="shared" si="620"/>
        <v>0</v>
      </c>
      <c r="AE486" s="1052">
        <f t="shared" si="620"/>
        <v>0</v>
      </c>
      <c r="AF486" s="1052">
        <f t="shared" si="620"/>
        <v>0</v>
      </c>
      <c r="AG486" s="1052">
        <f t="shared" si="620"/>
        <v>0</v>
      </c>
      <c r="AH486" s="1051">
        <f t="shared" si="620"/>
        <v>0</v>
      </c>
      <c r="AI486" s="1052">
        <f t="shared" si="620"/>
        <v>0</v>
      </c>
      <c r="AJ486" s="1052">
        <f t="shared" si="620"/>
        <v>0</v>
      </c>
      <c r="AK486" s="1052">
        <f t="shared" si="620"/>
        <v>0</v>
      </c>
      <c r="AL486" s="1052">
        <f t="shared" si="620"/>
        <v>0</v>
      </c>
      <c r="AM486" s="1051">
        <f t="shared" si="620"/>
        <v>0</v>
      </c>
      <c r="AN486" s="1052">
        <f t="shared" si="620"/>
        <v>0</v>
      </c>
      <c r="AO486" s="1052">
        <f t="shared" si="620"/>
        <v>0</v>
      </c>
      <c r="AP486" s="1052">
        <f t="shared" si="620"/>
        <v>0</v>
      </c>
      <c r="AQ486" s="1052">
        <f t="shared" si="620"/>
        <v>0</v>
      </c>
      <c r="AR486" s="1051">
        <f t="shared" si="620"/>
        <v>0</v>
      </c>
      <c r="AS486" s="1052">
        <f t="shared" si="620"/>
        <v>0</v>
      </c>
      <c r="AT486" s="1052">
        <f t="shared" si="620"/>
        <v>0</v>
      </c>
      <c r="AU486" s="1052">
        <f t="shared" si="620"/>
        <v>0</v>
      </c>
      <c r="AV486" s="1052">
        <f t="shared" si="620"/>
        <v>0</v>
      </c>
      <c r="AW486" s="1051">
        <f t="shared" si="620"/>
        <v>0</v>
      </c>
      <c r="AX486" s="1052">
        <f t="shared" si="620"/>
        <v>0</v>
      </c>
      <c r="AY486" s="1052">
        <f t="shared" si="620"/>
        <v>0</v>
      </c>
      <c r="AZ486" s="1052">
        <f t="shared" si="620"/>
        <v>0</v>
      </c>
      <c r="BA486" s="1052">
        <f t="shared" si="620"/>
        <v>0</v>
      </c>
      <c r="BB486" s="1053">
        <f t="shared" si="620"/>
        <v>0</v>
      </c>
      <c r="BC486" s="1052">
        <f t="shared" ref="BC486:CA486" si="621">-BC154</f>
        <v>0</v>
      </c>
      <c r="BD486" s="1052">
        <f t="shared" si="621"/>
        <v>0</v>
      </c>
      <c r="BE486" s="1052">
        <f t="shared" si="621"/>
        <v>0</v>
      </c>
      <c r="BF486" s="1052">
        <f t="shared" si="621"/>
        <v>0</v>
      </c>
      <c r="BG486" s="1053">
        <f t="shared" si="621"/>
        <v>0</v>
      </c>
      <c r="BH486" s="1052">
        <f t="shared" si="621"/>
        <v>0</v>
      </c>
      <c r="BI486" s="1052">
        <f t="shared" si="621"/>
        <v>0</v>
      </c>
      <c r="BJ486" s="1052">
        <f t="shared" si="621"/>
        <v>0</v>
      </c>
      <c r="BK486" s="1052">
        <f t="shared" si="621"/>
        <v>0</v>
      </c>
      <c r="BL486" s="1053">
        <f t="shared" si="621"/>
        <v>0</v>
      </c>
      <c r="BM486" s="1052">
        <f t="shared" si="621"/>
        <v>0</v>
      </c>
      <c r="BN486" s="1052">
        <f t="shared" si="621"/>
        <v>0</v>
      </c>
      <c r="BO486" s="1052">
        <f t="shared" si="621"/>
        <v>0</v>
      </c>
      <c r="BP486" s="1052">
        <f t="shared" si="621"/>
        <v>0</v>
      </c>
      <c r="BQ486" s="1053">
        <f t="shared" si="621"/>
        <v>0</v>
      </c>
      <c r="BR486" s="1052">
        <f t="shared" si="621"/>
        <v>0</v>
      </c>
      <c r="BS486" s="1052">
        <f t="shared" si="621"/>
        <v>0</v>
      </c>
      <c r="BT486" s="1052">
        <f t="shared" si="621"/>
        <v>0</v>
      </c>
      <c r="BU486" s="1052">
        <f t="shared" si="621"/>
        <v>0</v>
      </c>
      <c r="BV486" s="1053">
        <f t="shared" si="621"/>
        <v>0</v>
      </c>
      <c r="BW486" s="1052">
        <f t="shared" si="621"/>
        <v>0</v>
      </c>
      <c r="BX486" s="1052">
        <f t="shared" si="621"/>
        <v>0</v>
      </c>
      <c r="BY486" s="1052">
        <f t="shared" si="621"/>
        <v>0</v>
      </c>
      <c r="BZ486" s="1052">
        <f t="shared" si="621"/>
        <v>0</v>
      </c>
      <c r="CA486" s="1053">
        <f t="shared" si="621"/>
        <v>0</v>
      </c>
      <c r="CC486" s="29"/>
      <c r="CD486" s="29"/>
      <c r="CE486" s="92"/>
      <c r="CF486" s="92"/>
      <c r="CG486" s="92"/>
      <c r="CH486" s="92"/>
      <c r="CI486" s="92"/>
      <c r="CJ486" s="92"/>
      <c r="CK486" s="92"/>
      <c r="CL486" s="92"/>
      <c r="CM486" s="92"/>
      <c r="CN486" s="92"/>
      <c r="CO486" s="92"/>
      <c r="CP486" s="188"/>
      <c r="CQ486" s="188"/>
      <c r="CR486" s="188"/>
      <c r="CS486" s="188"/>
      <c r="CT486" s="188"/>
      <c r="CU486" s="188"/>
      <c r="DB486" s="1961"/>
      <c r="DC486" s="1961"/>
      <c r="DD486" s="1961"/>
      <c r="DE486" s="1961"/>
      <c r="DF486" s="1961"/>
      <c r="DG486" s="1961"/>
      <c r="DH486" s="1961"/>
      <c r="DI486" s="90"/>
    </row>
    <row r="487" spans="1:113" ht="12" customHeight="1" x14ac:dyDescent="0.25">
      <c r="A487" s="1054" t="s">
        <v>320</v>
      </c>
      <c r="B487" s="746"/>
      <c r="C487" s="746"/>
      <c r="D487" s="91"/>
      <c r="E487" s="90"/>
      <c r="F487" s="90"/>
      <c r="G487" s="90"/>
      <c r="H487" s="90"/>
      <c r="I487" s="91"/>
      <c r="J487" s="1071">
        <f>IFERROR(J483/SUM(J485:J486),"NA")</f>
        <v>0.99994771510912128</v>
      </c>
      <c r="K487" s="1071">
        <f t="shared" ref="K487:BB487" si="622">IFERROR(K483/SUM(K485:K486),"NA")</f>
        <v>1.4980370758566963</v>
      </c>
      <c r="L487" s="1071">
        <f t="shared" si="622"/>
        <v>0.98983613662699854</v>
      </c>
      <c r="M487" s="1071">
        <f t="shared" si="622"/>
        <v>1.1480684753071209</v>
      </c>
      <c r="N487" s="1072">
        <f t="shared" si="622"/>
        <v>0.21695558199737716</v>
      </c>
      <c r="O487" s="1071">
        <f t="shared" si="622"/>
        <v>3.4177434431514313</v>
      </c>
      <c r="P487" s="1071">
        <f t="shared" si="622"/>
        <v>0.44726737156085555</v>
      </c>
      <c r="Q487" s="1071">
        <f t="shared" si="622"/>
        <v>2.1503112984128281</v>
      </c>
      <c r="R487" s="1071" t="str">
        <f t="shared" si="622"/>
        <v>NA</v>
      </c>
      <c r="S487" s="1072">
        <f t="shared" si="622"/>
        <v>2.6366187119954225</v>
      </c>
      <c r="T487" s="1071" t="str">
        <f t="shared" si="622"/>
        <v>NA</v>
      </c>
      <c r="U487" s="1071">
        <f t="shared" si="622"/>
        <v>0.35286412074658208</v>
      </c>
      <c r="V487" s="1071">
        <f t="shared" si="622"/>
        <v>0.8290771972180323</v>
      </c>
      <c r="W487" s="1071">
        <f t="shared" si="622"/>
        <v>1.3935645101956224</v>
      </c>
      <c r="X487" s="1072">
        <f t="shared" si="622"/>
        <v>0.71967741467120305</v>
      </c>
      <c r="Y487" s="1071">
        <f t="shared" si="622"/>
        <v>1.4956281586458084</v>
      </c>
      <c r="Z487" s="1071">
        <f t="shared" si="622"/>
        <v>1.4482551850238516</v>
      </c>
      <c r="AA487" s="1071">
        <f t="shared" si="622"/>
        <v>0.83462542732316847</v>
      </c>
      <c r="AB487" s="1071">
        <f t="shared" si="622"/>
        <v>3.9641647084169356</v>
      </c>
      <c r="AC487" s="1072">
        <f t="shared" si="622"/>
        <v>0.80934563859278297</v>
      </c>
      <c r="AD487" s="1071">
        <f t="shared" si="622"/>
        <v>7.4414870294579165</v>
      </c>
      <c r="AE487" s="1071">
        <f t="shared" si="622"/>
        <v>-0.79002871450874812</v>
      </c>
      <c r="AF487" s="1071">
        <f t="shared" si="622"/>
        <v>19.840805733432731</v>
      </c>
      <c r="AG487" s="1071">
        <f t="shared" si="622"/>
        <v>-2.0459621317093091</v>
      </c>
      <c r="AH487" s="1072">
        <f t="shared" si="622"/>
        <v>1.9354766085634947</v>
      </c>
      <c r="AI487" s="1071">
        <f t="shared" si="622"/>
        <v>7.9313818347146361</v>
      </c>
      <c r="AJ487" s="1071">
        <f t="shared" si="622"/>
        <v>-0.13827412750226437</v>
      </c>
      <c r="AK487" s="1071">
        <f t="shared" si="622"/>
        <v>-8.9296815958612774E-2</v>
      </c>
      <c r="AL487" s="1071">
        <f t="shared" si="622"/>
        <v>0.1290569384106936</v>
      </c>
      <c r="AM487" s="1072">
        <f t="shared" si="622"/>
        <v>1.3829344297883774</v>
      </c>
      <c r="AN487" s="1071">
        <f t="shared" si="622"/>
        <v>3.5137557076485888</v>
      </c>
      <c r="AO487" s="1071">
        <f t="shared" si="622"/>
        <v>0.3430827769876123</v>
      </c>
      <c r="AP487" s="1071">
        <f t="shared" si="622"/>
        <v>1.1195780891297982</v>
      </c>
      <c r="AQ487" s="1071">
        <f t="shared" si="622"/>
        <v>0.33459756682301905</v>
      </c>
      <c r="AR487" s="1072">
        <f t="shared" si="622"/>
        <v>0.54883053199164944</v>
      </c>
      <c r="AS487" s="1071" t="str">
        <f t="shared" si="622"/>
        <v>NA</v>
      </c>
      <c r="AT487" s="1071" t="str">
        <f t="shared" si="622"/>
        <v>NA</v>
      </c>
      <c r="AU487" s="1071" t="str">
        <f t="shared" si="622"/>
        <v>NA</v>
      </c>
      <c r="AV487" s="1071">
        <f>IFERROR(AV483/SUM(AV485:AV486),"NA")</f>
        <v>1.5341969051511892</v>
      </c>
      <c r="AW487" s="1072">
        <f t="shared" si="622"/>
        <v>23.763065726765426</v>
      </c>
      <c r="AX487" s="1071">
        <f t="shared" si="622"/>
        <v>0.64112256180408544</v>
      </c>
      <c r="AY487" s="1071" t="str">
        <f t="shared" si="622"/>
        <v>NA</v>
      </c>
      <c r="AZ487" s="1071">
        <f t="shared" si="622"/>
        <v>1.0455220071170213</v>
      </c>
      <c r="BA487" s="1071">
        <f t="shared" si="622"/>
        <v>0.73826854211491555</v>
      </c>
      <c r="BB487" s="1072">
        <f t="shared" si="622"/>
        <v>0.66469761203071576</v>
      </c>
      <c r="BC487" s="1071">
        <f t="shared" ref="BC487:CA487" si="623">IFERROR(BC483/SUM(BC485:BC486),"NA")</f>
        <v>1.66281588988928</v>
      </c>
      <c r="BD487" s="1071">
        <f t="shared" si="623"/>
        <v>1.0454351057117828</v>
      </c>
      <c r="BE487" s="1071">
        <f t="shared" si="623"/>
        <v>58.204288054704875</v>
      </c>
      <c r="BF487" s="1071">
        <f t="shared" si="623"/>
        <v>2669.1656441711707</v>
      </c>
      <c r="BG487" s="1072">
        <f t="shared" si="623"/>
        <v>2.1254827318005218</v>
      </c>
      <c r="BH487" s="1071">
        <f t="shared" si="623"/>
        <v>2.6834671134611106</v>
      </c>
      <c r="BI487" s="1071">
        <f t="shared" si="623"/>
        <v>0.9034196455203497</v>
      </c>
      <c r="BJ487" s="1071">
        <f t="shared" si="623"/>
        <v>0.72009064557209368</v>
      </c>
      <c r="BK487" s="1071">
        <f t="shared" si="623"/>
        <v>0.34846229673983276</v>
      </c>
      <c r="BL487" s="1072">
        <f t="shared" si="623"/>
        <v>1.1638599253233461</v>
      </c>
      <c r="BM487" s="1071">
        <f t="shared" si="623"/>
        <v>2.172511651525542</v>
      </c>
      <c r="BN487" s="1071">
        <f t="shared" si="623"/>
        <v>0.76257675592530239</v>
      </c>
      <c r="BO487" s="1071">
        <f t="shared" si="623"/>
        <v>0.61632630842672342</v>
      </c>
      <c r="BP487" s="1071">
        <f t="shared" si="623"/>
        <v>0.3240040643310495</v>
      </c>
      <c r="BQ487" s="1072">
        <f t="shared" si="623"/>
        <v>0.9688546950521546</v>
      </c>
      <c r="BR487" s="1071">
        <f t="shared" si="623"/>
        <v>2.0454910644466566</v>
      </c>
      <c r="BS487" s="1071">
        <f t="shared" si="623"/>
        <v>0.7427397022395128</v>
      </c>
      <c r="BT487" s="1071">
        <f t="shared" si="623"/>
        <v>0.60739108586420609</v>
      </c>
      <c r="BU487" s="1071">
        <f t="shared" si="623"/>
        <v>0.33900747751057736</v>
      </c>
      <c r="BV487" s="1072">
        <f t="shared" si="623"/>
        <v>0.93365733251523808</v>
      </c>
      <c r="BW487" s="1071">
        <f t="shared" si="623"/>
        <v>2.1854982017897044</v>
      </c>
      <c r="BX487" s="1071">
        <f t="shared" si="623"/>
        <v>0.80917414168862267</v>
      </c>
      <c r="BY487" s="1071">
        <f t="shared" si="623"/>
        <v>0.66563852742348317</v>
      </c>
      <c r="BZ487" s="1071">
        <f t="shared" si="623"/>
        <v>0.38372623317450022</v>
      </c>
      <c r="CA487" s="1072">
        <f t="shared" si="623"/>
        <v>1.0110092760190776</v>
      </c>
      <c r="CC487" s="29"/>
      <c r="CD487" s="29"/>
      <c r="CE487" s="92"/>
      <c r="CF487" s="92"/>
      <c r="CG487" s="92"/>
      <c r="CH487" s="92"/>
      <c r="CI487" s="92"/>
      <c r="CJ487" s="92"/>
      <c r="CK487" s="92"/>
      <c r="CL487" s="92"/>
      <c r="CM487" s="92"/>
      <c r="CN487" s="92"/>
      <c r="CO487" s="92"/>
      <c r="CP487" s="188"/>
      <c r="CQ487" s="188"/>
      <c r="CR487" s="188"/>
      <c r="CS487" s="188"/>
      <c r="CT487" s="188"/>
      <c r="CU487" s="188"/>
      <c r="DB487" s="1961"/>
      <c r="DC487" s="1961"/>
      <c r="DD487" s="1961"/>
      <c r="DE487" s="1961"/>
      <c r="DF487" s="1961"/>
      <c r="DG487" s="1961"/>
      <c r="DH487" s="1961"/>
      <c r="DI487" s="90"/>
    </row>
    <row r="488" spans="1:113" ht="5.0999999999999996" customHeight="1" x14ac:dyDescent="0.25">
      <c r="A488" s="1073"/>
      <c r="B488" s="746"/>
      <c r="C488" s="201"/>
      <c r="D488" s="1074"/>
      <c r="E488" s="1075"/>
      <c r="F488" s="1075"/>
      <c r="G488" s="1075"/>
      <c r="H488" s="1075"/>
      <c r="I488" s="1074"/>
      <c r="J488" s="1075"/>
      <c r="K488" s="1075"/>
      <c r="L488" s="1075"/>
      <c r="M488" s="1075"/>
      <c r="N488" s="1074"/>
      <c r="O488" s="1075"/>
      <c r="P488" s="1075"/>
      <c r="Q488" s="1075"/>
      <c r="R488" s="1075"/>
      <c r="S488" s="1074"/>
      <c r="T488" s="1075"/>
      <c r="U488" s="1075"/>
      <c r="V488" s="1075"/>
      <c r="W488" s="1075"/>
      <c r="X488" s="1074"/>
      <c r="Y488" s="1075"/>
      <c r="Z488" s="1075"/>
      <c r="AA488" s="1075"/>
      <c r="AB488" s="1075"/>
      <c r="AC488" s="1074"/>
      <c r="AD488" s="1075"/>
      <c r="AE488" s="1075"/>
      <c r="AF488" s="1075"/>
      <c r="AG488" s="1075"/>
      <c r="AH488" s="1074"/>
      <c r="AI488" s="1075"/>
      <c r="AJ488" s="1075"/>
      <c r="AK488" s="1075"/>
      <c r="AL488" s="1075"/>
      <c r="AM488" s="1074"/>
      <c r="AN488" s="1075"/>
      <c r="AO488" s="1075"/>
      <c r="AP488" s="1075"/>
      <c r="AQ488" s="1075"/>
      <c r="AR488" s="1074"/>
      <c r="AS488" s="1075"/>
      <c r="AT488" s="1075"/>
      <c r="AU488" s="1075"/>
      <c r="AV488" s="1075"/>
      <c r="AW488" s="1074"/>
      <c r="AX488" s="1075"/>
      <c r="AY488" s="1075"/>
      <c r="AZ488" s="1075"/>
      <c r="BA488" s="1075"/>
      <c r="BB488" s="1076"/>
      <c r="BC488" s="1075"/>
      <c r="BD488" s="1075"/>
      <c r="BE488" s="1075"/>
      <c r="BF488" s="1075"/>
      <c r="BG488" s="1076"/>
      <c r="BH488" s="1075"/>
      <c r="BI488" s="1075"/>
      <c r="BJ488" s="1075"/>
      <c r="BK488" s="1075"/>
      <c r="BL488" s="1076"/>
      <c r="BM488" s="1075"/>
      <c r="BN488" s="1075"/>
      <c r="BO488" s="1075"/>
      <c r="BP488" s="1075"/>
      <c r="BQ488" s="1076"/>
      <c r="BR488" s="1075"/>
      <c r="BS488" s="1075"/>
      <c r="BT488" s="1075"/>
      <c r="BU488" s="1075"/>
      <c r="BV488" s="1076"/>
      <c r="BW488" s="1075"/>
      <c r="BX488" s="1075"/>
      <c r="BY488" s="1075"/>
      <c r="BZ488" s="1075"/>
      <c r="CA488" s="1076"/>
      <c r="CC488" s="29"/>
      <c r="CD488" s="29"/>
      <c r="CE488" s="92"/>
      <c r="CF488" s="92"/>
      <c r="CG488" s="92"/>
      <c r="CH488" s="92"/>
      <c r="CI488" s="92"/>
      <c r="CJ488" s="92"/>
      <c r="CK488" s="92"/>
      <c r="CL488" s="92"/>
      <c r="CM488" s="92"/>
      <c r="CN488" s="92"/>
      <c r="CO488" s="92"/>
      <c r="CP488" s="188"/>
      <c r="CQ488" s="188"/>
      <c r="CR488" s="188"/>
      <c r="CS488" s="188"/>
      <c r="CT488" s="188"/>
      <c r="CU488" s="188"/>
      <c r="DB488" s="1961"/>
      <c r="DC488" s="1961"/>
      <c r="DD488" s="1961"/>
      <c r="DE488" s="1961"/>
      <c r="DF488" s="1961"/>
      <c r="DG488" s="1961"/>
      <c r="DH488" s="1961"/>
      <c r="DI488" s="90"/>
    </row>
    <row r="489" spans="1:113" ht="5.0999999999999996" customHeight="1" x14ac:dyDescent="0.25">
      <c r="A489" s="1"/>
      <c r="B489" s="90"/>
      <c r="C489" s="90"/>
      <c r="D489" s="90"/>
      <c r="E489" s="90"/>
      <c r="F489" s="90"/>
      <c r="G489" s="90"/>
      <c r="H489" s="90"/>
      <c r="I489" s="90"/>
      <c r="J489" s="147"/>
      <c r="K489" s="147"/>
      <c r="L489" s="147"/>
      <c r="M489" s="147"/>
      <c r="N489" s="147"/>
      <c r="O489" s="90"/>
      <c r="P489" s="90"/>
      <c r="Q489" s="90"/>
      <c r="R489" s="90"/>
      <c r="S489" s="90"/>
      <c r="T489" s="90"/>
      <c r="U489" s="90"/>
      <c r="V489" s="90"/>
      <c r="W489" s="90"/>
      <c r="X489" s="90"/>
      <c r="Y489" s="90"/>
      <c r="Z489" s="90"/>
      <c r="AA489" s="90"/>
      <c r="AB489" s="90"/>
      <c r="AC489" s="90"/>
      <c r="AD489" s="90"/>
      <c r="AE489" s="90"/>
      <c r="AF489" s="90"/>
      <c r="AG489" s="90"/>
      <c r="AH489" s="90"/>
      <c r="AI489" s="90"/>
      <c r="AJ489" s="90"/>
      <c r="AK489" s="90"/>
      <c r="AL489" s="90"/>
      <c r="AM489" s="90"/>
      <c r="AN489" s="90"/>
      <c r="AO489" s="90"/>
      <c r="AP489" s="90"/>
      <c r="AQ489" s="90"/>
      <c r="AR489" s="90"/>
      <c r="AS489" s="90"/>
      <c r="AT489" s="90"/>
      <c r="AU489" s="90"/>
      <c r="AV489" s="90"/>
      <c r="AW489" s="90"/>
      <c r="AX489" s="90"/>
      <c r="AY489" s="90"/>
      <c r="AZ489" s="90"/>
      <c r="BA489" s="90"/>
      <c r="BB489" s="802"/>
      <c r="BC489" s="90"/>
      <c r="BD489" s="90"/>
      <c r="BE489" s="90"/>
      <c r="BF489" s="90"/>
      <c r="BG489" s="802"/>
      <c r="BH489" s="90"/>
      <c r="BI489" s="90"/>
      <c r="BJ489" s="90"/>
      <c r="BK489" s="90"/>
      <c r="BL489" s="802"/>
      <c r="BM489" s="90"/>
      <c r="BN489" s="90"/>
      <c r="BO489" s="90"/>
      <c r="BP489" s="90"/>
      <c r="BQ489" s="802"/>
      <c r="BR489" s="90"/>
      <c r="BS489" s="90"/>
      <c r="BT489" s="90"/>
      <c r="BU489" s="90"/>
      <c r="BV489" s="802"/>
      <c r="BW489" s="90"/>
      <c r="BX489" s="90"/>
      <c r="BY489" s="90"/>
      <c r="BZ489" s="90"/>
      <c r="CA489" s="802"/>
      <c r="CC489" s="29"/>
      <c r="CD489" s="29"/>
      <c r="CE489" s="92"/>
      <c r="CF489" s="92"/>
      <c r="CG489" s="92"/>
      <c r="CH489" s="92"/>
      <c r="CI489" s="92"/>
      <c r="CJ489" s="92"/>
      <c r="CK489" s="92"/>
      <c r="CL489" s="92"/>
      <c r="CM489" s="92"/>
      <c r="CN489" s="92"/>
      <c r="CO489" s="92"/>
      <c r="CP489" s="188"/>
      <c r="CQ489" s="188"/>
      <c r="CR489" s="188"/>
      <c r="CS489" s="188"/>
      <c r="CT489" s="188"/>
      <c r="CU489" s="188"/>
      <c r="DB489" s="1961"/>
      <c r="DC489" s="1961"/>
      <c r="DD489" s="1961"/>
      <c r="DE489" s="1961"/>
      <c r="DF489" s="1961"/>
      <c r="DG489" s="1961"/>
      <c r="DH489" s="1961"/>
      <c r="DI489" s="90"/>
    </row>
    <row r="490" spans="1:113" hidden="1" x14ac:dyDescent="0.25">
      <c r="A490" s="1077" t="s">
        <v>321</v>
      </c>
      <c r="B490" s="1078"/>
      <c r="C490" s="1078"/>
      <c r="D490" s="1078"/>
      <c r="E490" s="1078"/>
      <c r="F490" s="1078"/>
      <c r="G490" s="1078"/>
      <c r="H490" s="1078"/>
      <c r="I490" s="1078"/>
      <c r="J490" s="1079"/>
      <c r="K490" s="1079"/>
      <c r="L490" s="1079"/>
      <c r="M490" s="1079"/>
      <c r="N490" s="1079"/>
      <c r="O490" s="1078"/>
      <c r="P490" s="1078"/>
      <c r="Q490" s="1078"/>
      <c r="R490" s="1078"/>
      <c r="S490" s="1078"/>
      <c r="T490" s="1078"/>
      <c r="U490" s="1078"/>
      <c r="V490" s="1078"/>
      <c r="W490" s="1078"/>
      <c r="X490" s="1078"/>
      <c r="Y490" s="1078"/>
      <c r="Z490" s="1078"/>
      <c r="AA490" s="1078"/>
      <c r="AB490" s="1078"/>
      <c r="AC490" s="1078"/>
      <c r="AD490" s="1078"/>
      <c r="AE490" s="1078"/>
      <c r="AF490" s="1078"/>
      <c r="AG490" s="1078"/>
      <c r="AH490" s="1078"/>
      <c r="AI490" s="1078"/>
      <c r="AJ490" s="1078"/>
      <c r="AK490" s="1078"/>
      <c r="AL490" s="1078"/>
      <c r="AM490" s="1078"/>
      <c r="AN490" s="1078"/>
      <c r="AO490" s="1078"/>
      <c r="AP490" s="1078"/>
      <c r="AQ490" s="1078"/>
      <c r="AR490" s="1078"/>
      <c r="AS490" s="1078"/>
      <c r="AT490" s="1078"/>
      <c r="AU490" s="1078"/>
      <c r="AV490" s="1078"/>
      <c r="AW490" s="1078"/>
      <c r="AX490" s="1078"/>
      <c r="AY490" s="1078"/>
      <c r="AZ490" s="1078"/>
      <c r="BA490" s="1078"/>
      <c r="BB490" s="1080"/>
      <c r="BC490" s="1078"/>
      <c r="BD490" s="1078"/>
      <c r="BE490" s="1078"/>
      <c r="BF490" s="1078"/>
      <c r="BG490" s="1080"/>
      <c r="BH490" s="1078"/>
      <c r="BI490" s="1078"/>
      <c r="BJ490" s="1078"/>
      <c r="BK490" s="1078"/>
      <c r="BL490" s="1080"/>
      <c r="BM490" s="1078"/>
      <c r="BN490" s="1078"/>
      <c r="BO490" s="1078"/>
      <c r="BP490" s="1078"/>
      <c r="BQ490" s="1080"/>
      <c r="BR490" s="1078"/>
      <c r="BS490" s="1078"/>
      <c r="BT490" s="1078"/>
      <c r="BU490" s="1078"/>
      <c r="BV490" s="1080"/>
      <c r="BW490" s="1078"/>
      <c r="BX490" s="1078"/>
      <c r="BY490" s="1078"/>
      <c r="BZ490" s="1078"/>
      <c r="CA490" s="1080"/>
      <c r="CC490" s="29"/>
      <c r="CD490" s="29"/>
      <c r="CE490" s="92"/>
      <c r="CF490" s="92"/>
      <c r="CG490" s="92"/>
      <c r="CH490" s="92"/>
      <c r="CI490" s="92"/>
      <c r="CJ490" s="92"/>
      <c r="CK490" s="92"/>
      <c r="CL490" s="92"/>
      <c r="CM490" s="92"/>
      <c r="CN490" s="92"/>
      <c r="CO490" s="92"/>
      <c r="CP490" s="188"/>
      <c r="CQ490" s="188"/>
      <c r="CR490" s="188"/>
      <c r="CS490" s="188"/>
      <c r="CT490" s="188"/>
      <c r="CU490" s="188"/>
      <c r="DB490" s="1961"/>
      <c r="DC490" s="1961"/>
      <c r="DD490" s="1961"/>
      <c r="DE490" s="1961"/>
      <c r="DF490" s="1961"/>
      <c r="DG490" s="1961"/>
      <c r="DH490" s="1961"/>
      <c r="DI490" s="1961"/>
    </row>
    <row r="491" spans="1:113" hidden="1" x14ac:dyDescent="0.25">
      <c r="A491" s="1" t="s">
        <v>322</v>
      </c>
      <c r="B491" s="90"/>
      <c r="C491" s="90"/>
      <c r="D491" s="1081">
        <f>+(D192-D173)-D204+D198</f>
        <v>436.99499999999995</v>
      </c>
      <c r="E491" s="90"/>
      <c r="F491" s="90"/>
      <c r="G491" s="90"/>
      <c r="H491" s="90"/>
      <c r="I491" s="1081">
        <f>+(I192-I173)-I204+I198</f>
        <v>485.73699999999997</v>
      </c>
      <c r="J491" s="147"/>
      <c r="K491" s="147"/>
      <c r="L491" s="147"/>
      <c r="M491" s="147"/>
      <c r="N491" s="1081">
        <f>+(N192-N173)-N204+N198</f>
        <v>610.19099999999992</v>
      </c>
      <c r="O491" s="90"/>
      <c r="P491" s="90"/>
      <c r="Q491" s="90"/>
      <c r="R491" s="90"/>
      <c r="S491" s="1081">
        <f>+(S192-S173)-S204+S198</f>
        <v>691.8069999999999</v>
      </c>
      <c r="T491" s="90"/>
      <c r="U491" s="90"/>
      <c r="V491" s="90"/>
      <c r="W491" s="90"/>
      <c r="X491" s="1081">
        <f>+(X192-X173)-X204+X198</f>
        <v>878.95099999999968</v>
      </c>
      <c r="Y491" s="90"/>
      <c r="Z491" s="90"/>
      <c r="AA491" s="90"/>
      <c r="AB491" s="90"/>
      <c r="AC491" s="1081">
        <f>+(AC192-AC173)-AC204+AC198</f>
        <v>1005.4069999999997</v>
      </c>
      <c r="AD491" s="90"/>
      <c r="AE491" s="90"/>
      <c r="AF491" s="90"/>
      <c r="AG491" s="90"/>
      <c r="AH491" s="1081">
        <f>+(AH192-AH173)-AH204+AH198</f>
        <v>1880.4300000000003</v>
      </c>
      <c r="AI491" s="90"/>
      <c r="AJ491" s="90"/>
      <c r="AK491" s="90"/>
      <c r="AL491" s="90"/>
      <c r="AM491" s="1081">
        <f>+(AM192-AM173)-AM204+AM198</f>
        <v>1911.9190000000006</v>
      </c>
      <c r="AN491" s="90"/>
      <c r="AO491" s="90"/>
      <c r="AP491" s="90"/>
      <c r="AQ491" s="90"/>
      <c r="AR491" s="1081">
        <f>+(AR192-AR173)-AR204+AR198</f>
        <v>1870.759</v>
      </c>
      <c r="AS491" s="90"/>
      <c r="AT491" s="90"/>
      <c r="AU491" s="90"/>
      <c r="AV491" s="90"/>
      <c r="AW491" s="1081">
        <f>+(AW192-AW173)-AW204+AW198</f>
        <v>4873.1329999999998</v>
      </c>
      <c r="AX491" s="90"/>
      <c r="AY491" s="90"/>
      <c r="AZ491" s="90"/>
      <c r="BA491" s="90"/>
      <c r="BB491" s="1082">
        <f>+(BB192-BB173)-BB204+BB198</f>
        <v>3981.3000000000006</v>
      </c>
      <c r="BC491" s="90"/>
      <c r="BD491" s="90"/>
      <c r="BE491" s="90"/>
      <c r="BF491" s="90"/>
      <c r="BG491" s="1082">
        <f>+(BG192-BG173)-BG204+BG198</f>
        <v>5264.7999999999993</v>
      </c>
      <c r="BH491" s="90"/>
      <c r="BI491" s="90"/>
      <c r="BJ491" s="90"/>
      <c r="BK491" s="90"/>
      <c r="BL491" s="1082">
        <f>+(BL192-BL173)-BL204+BL198</f>
        <v>5210.7616915905428</v>
      </c>
      <c r="BM491" s="90"/>
      <c r="BN491" s="90"/>
      <c r="BO491" s="90"/>
      <c r="BP491" s="90"/>
      <c r="BQ491" s="1082">
        <f>+(BQ192-BQ173)-BQ204+BQ198</f>
        <v>5146.4863505845115</v>
      </c>
      <c r="BR491" s="90"/>
      <c r="BS491" s="90"/>
      <c r="BT491" s="90"/>
      <c r="BU491" s="90"/>
      <c r="BV491" s="1082">
        <f>+(BV192-BV173)-BV204+BV198</f>
        <v>5073.7506431913962</v>
      </c>
      <c r="BW491" s="90"/>
      <c r="BX491" s="90"/>
      <c r="BY491" s="90"/>
      <c r="BZ491" s="90"/>
      <c r="CA491" s="1082">
        <f>+(CA192-CA173)-CA204+CA198</f>
        <v>5007.8542100814248</v>
      </c>
      <c r="CC491" s="29"/>
      <c r="CD491" s="29"/>
      <c r="CE491" s="92"/>
      <c r="CF491" s="92"/>
      <c r="CG491" s="92"/>
      <c r="CH491" s="92"/>
      <c r="CI491" s="92"/>
      <c r="CJ491" s="92"/>
      <c r="CK491" s="92"/>
      <c r="CL491" s="92"/>
      <c r="CM491" s="92"/>
      <c r="CN491" s="92"/>
      <c r="CO491" s="92"/>
      <c r="CP491" s="188"/>
      <c r="CQ491" s="188"/>
      <c r="CR491" s="188"/>
      <c r="CS491" s="188"/>
      <c r="CT491" s="188"/>
      <c r="CU491" s="188"/>
      <c r="DB491" s="1961"/>
      <c r="DC491" s="1961"/>
      <c r="DD491" s="1961"/>
      <c r="DE491" s="1961"/>
      <c r="DF491" s="1961"/>
      <c r="DG491" s="1961"/>
      <c r="DH491" s="1961"/>
      <c r="DI491" s="1083"/>
    </row>
    <row r="492" spans="1:113" hidden="1" x14ac:dyDescent="0.25">
      <c r="A492" s="1" t="s">
        <v>323</v>
      </c>
      <c r="B492" s="90"/>
      <c r="C492" s="90"/>
      <c r="D492" s="1083"/>
      <c r="E492" s="90"/>
      <c r="F492" s="90"/>
      <c r="G492" s="90"/>
      <c r="H492" s="90"/>
      <c r="I492" s="1083"/>
      <c r="J492" s="147"/>
      <c r="K492" s="147"/>
      <c r="L492" s="147"/>
      <c r="M492" s="147"/>
      <c r="N492" s="1083"/>
      <c r="O492" s="90"/>
      <c r="P492" s="90"/>
      <c r="Q492" s="90"/>
      <c r="R492" s="90"/>
      <c r="S492" s="1083"/>
      <c r="T492" s="90"/>
      <c r="U492" s="90"/>
      <c r="V492" s="90"/>
      <c r="W492" s="90"/>
      <c r="X492" s="1083"/>
      <c r="Y492" s="90"/>
      <c r="Z492" s="90"/>
      <c r="AA492" s="90"/>
      <c r="AB492" s="90"/>
      <c r="AC492" s="1083"/>
      <c r="AD492" s="90"/>
      <c r="AE492" s="90"/>
      <c r="AF492" s="90"/>
      <c r="AG492" s="90"/>
      <c r="AH492" s="1081">
        <f>+AH491-AC491</f>
        <v>875.02300000000059</v>
      </c>
      <c r="AI492" s="90"/>
      <c r="AJ492" s="90"/>
      <c r="AK492" s="90"/>
      <c r="AL492" s="90"/>
      <c r="AM492" s="1081">
        <f>+AM491-AH491</f>
        <v>31.48900000000026</v>
      </c>
      <c r="AN492" s="90"/>
      <c r="AO492" s="90"/>
      <c r="AP492" s="90"/>
      <c r="AQ492" s="90"/>
      <c r="AR492" s="1081">
        <f>+AR491-AM491</f>
        <v>-41.160000000000537</v>
      </c>
      <c r="AS492" s="90"/>
      <c r="AT492" s="90"/>
      <c r="AU492" s="90"/>
      <c r="AV492" s="90"/>
      <c r="AW492" s="1081">
        <f>+AW491-AR491</f>
        <v>3002.3739999999998</v>
      </c>
      <c r="AX492" s="90"/>
      <c r="AY492" s="90"/>
      <c r="AZ492" s="90"/>
      <c r="BA492" s="90"/>
      <c r="BB492" s="1082">
        <f>+BB491-AW491</f>
        <v>-891.83299999999917</v>
      </c>
      <c r="BC492" s="90"/>
      <c r="BD492" s="90"/>
      <c r="BE492" s="90"/>
      <c r="BF492" s="90"/>
      <c r="BG492" s="1082">
        <f>+BG491-BB491</f>
        <v>1283.4999999999986</v>
      </c>
      <c r="BH492" s="90"/>
      <c r="BI492" s="90"/>
      <c r="BJ492" s="90"/>
      <c r="BK492" s="90"/>
      <c r="BL492" s="1082">
        <f>+BL491-BG491</f>
        <v>-54.038308409456477</v>
      </c>
      <c r="BM492" s="90"/>
      <c r="BN492" s="90"/>
      <c r="BO492" s="90"/>
      <c r="BP492" s="90"/>
      <c r="BQ492" s="1082">
        <f>+BQ491-BL491</f>
        <v>-64.27534100603134</v>
      </c>
      <c r="BR492" s="90"/>
      <c r="BS492" s="90"/>
      <c r="BT492" s="90"/>
      <c r="BU492" s="90"/>
      <c r="BV492" s="1082">
        <f>+BV491-BQ491</f>
        <v>-72.735707393115263</v>
      </c>
      <c r="BW492" s="90"/>
      <c r="BX492" s="90"/>
      <c r="BY492" s="90"/>
      <c r="BZ492" s="90"/>
      <c r="CA492" s="1082">
        <f>+CA491-BV491</f>
        <v>-65.89643310997144</v>
      </c>
      <c r="CC492" s="29"/>
      <c r="CD492" s="29"/>
      <c r="CE492" s="92"/>
      <c r="CF492" s="92"/>
      <c r="CG492" s="92"/>
      <c r="CH492" s="92"/>
      <c r="CI492" s="92"/>
      <c r="CJ492" s="92"/>
      <c r="CK492" s="92"/>
      <c r="CL492" s="92"/>
      <c r="CM492" s="92"/>
      <c r="CN492" s="92"/>
      <c r="CO492" s="92"/>
      <c r="CP492" s="188"/>
      <c r="CQ492" s="188"/>
      <c r="CR492" s="188"/>
      <c r="CS492" s="188"/>
      <c r="CT492" s="188"/>
      <c r="CU492" s="188"/>
      <c r="DB492" s="1961"/>
      <c r="DC492" s="1961"/>
      <c r="DD492" s="1961"/>
      <c r="DE492" s="1961"/>
      <c r="DF492" s="1961"/>
      <c r="DG492" s="1961"/>
      <c r="DH492" s="1961"/>
      <c r="DI492" s="1083"/>
    </row>
    <row r="493" spans="1:113" hidden="1" x14ac:dyDescent="0.25">
      <c r="A493" s="1" t="s">
        <v>324</v>
      </c>
      <c r="B493" s="90"/>
      <c r="C493" s="90"/>
      <c r="D493" s="90"/>
      <c r="E493" s="90"/>
      <c r="F493" s="90"/>
      <c r="G493" s="90"/>
      <c r="H493" s="90"/>
      <c r="I493" s="90"/>
      <c r="J493" s="147"/>
      <c r="K493" s="147"/>
      <c r="L493" s="147"/>
      <c r="M493" s="147"/>
      <c r="N493" s="147"/>
      <c r="O493" s="90"/>
      <c r="P493" s="90"/>
      <c r="Q493" s="90"/>
      <c r="R493" s="90"/>
      <c r="S493" s="90"/>
      <c r="T493" s="90"/>
      <c r="U493" s="90"/>
      <c r="V493" s="90"/>
      <c r="W493" s="90"/>
      <c r="X493" s="90"/>
      <c r="Y493" s="90"/>
      <c r="Z493" s="90"/>
      <c r="AA493" s="90"/>
      <c r="AB493" s="90"/>
      <c r="AC493" s="90"/>
      <c r="AD493" s="90"/>
      <c r="AE493" s="90"/>
      <c r="AF493" s="90"/>
      <c r="AG493" s="90"/>
      <c r="AH493" s="1084">
        <f>+AH61/AC223</f>
        <v>-3.6655300436592597</v>
      </c>
      <c r="AI493" s="1085"/>
      <c r="AJ493" s="1085"/>
      <c r="AK493" s="1085"/>
      <c r="AL493" s="1085"/>
      <c r="AM493" s="1084">
        <f>+AM61/AH223</f>
        <v>1.4973891881952019</v>
      </c>
      <c r="AN493" s="1085"/>
      <c r="AO493" s="1085"/>
      <c r="AP493" s="1085"/>
      <c r="AQ493" s="1085"/>
      <c r="AR493" s="1084">
        <f>+AR61/AM223</f>
        <v>0.79784495305785941</v>
      </c>
      <c r="AS493" s="1085"/>
      <c r="AT493" s="1085"/>
      <c r="AU493" s="1085"/>
      <c r="AV493" s="1085"/>
      <c r="AW493" s="1084">
        <f>+AW61/AR223</f>
        <v>2.4654027852143905</v>
      </c>
      <c r="AX493" s="1085"/>
      <c r="AY493" s="1085"/>
      <c r="AZ493" s="1085"/>
      <c r="BA493" s="1085"/>
      <c r="BB493" s="1086">
        <f>+BB61/AW223</f>
        <v>0.3873139501068138</v>
      </c>
      <c r="BC493" s="1085"/>
      <c r="BD493" s="1085"/>
      <c r="BE493" s="1085"/>
      <c r="BF493" s="1085"/>
      <c r="BG493" s="1086">
        <f>+BG61/BB223</f>
        <v>0.47313119183428393</v>
      </c>
      <c r="BH493" s="1085"/>
      <c r="BI493" s="1085"/>
      <c r="BJ493" s="1085"/>
      <c r="BK493" s="1085"/>
      <c r="BL493" s="1086">
        <f>+BL61/BG223</f>
        <v>0.34340670856992633</v>
      </c>
      <c r="BM493" s="1085"/>
      <c r="BN493" s="1085"/>
      <c r="BO493" s="1085"/>
      <c r="BP493" s="1085"/>
      <c r="BQ493" s="1086">
        <f>+BQ61/BL223</f>
        <v>0.35983546457580229</v>
      </c>
      <c r="BR493" s="1085"/>
      <c r="BS493" s="1085"/>
      <c r="BT493" s="1085"/>
      <c r="BU493" s="1085"/>
      <c r="BV493" s="1086">
        <f>+BV61/BQ223</f>
        <v>0.3968401310977655</v>
      </c>
      <c r="BW493" s="1085"/>
      <c r="BX493" s="1085"/>
      <c r="BY493" s="1085"/>
      <c r="BZ493" s="1085"/>
      <c r="CA493" s="1086">
        <f>+CA61/BV223</f>
        <v>0.44511593726225696</v>
      </c>
      <c r="CC493" s="29"/>
      <c r="CD493" s="29"/>
      <c r="CE493" s="92"/>
      <c r="CF493" s="92"/>
      <c r="CG493" s="92"/>
      <c r="CH493" s="92"/>
      <c r="CI493" s="92"/>
      <c r="CJ493" s="92"/>
      <c r="CK493" s="92"/>
      <c r="CL493" s="92"/>
      <c r="CM493" s="92"/>
      <c r="CN493" s="92"/>
      <c r="CO493" s="92"/>
      <c r="CP493" s="188"/>
      <c r="CQ493" s="188"/>
      <c r="CR493" s="188"/>
      <c r="CS493" s="188"/>
      <c r="CT493" s="188"/>
      <c r="CU493" s="188"/>
      <c r="DB493" s="1961"/>
      <c r="DC493" s="1961"/>
      <c r="DD493" s="1961"/>
      <c r="DE493" s="1961"/>
      <c r="DF493" s="1961"/>
      <c r="DG493" s="1961"/>
      <c r="DH493" s="1961"/>
      <c r="DI493" s="1085"/>
    </row>
    <row r="494" spans="1:113" hidden="1" x14ac:dyDescent="0.25">
      <c r="A494" s="1" t="s">
        <v>325</v>
      </c>
      <c r="B494" s="90"/>
      <c r="C494" s="90"/>
      <c r="D494" s="90"/>
      <c r="E494" s="90"/>
      <c r="F494" s="90"/>
      <c r="G494" s="90"/>
      <c r="H494" s="90"/>
      <c r="I494" s="90"/>
      <c r="J494" s="147"/>
      <c r="K494" s="147"/>
      <c r="L494" s="147"/>
      <c r="M494" s="147"/>
      <c r="N494" s="147"/>
      <c r="O494" s="90"/>
      <c r="P494" s="90"/>
      <c r="Q494" s="90"/>
      <c r="R494" s="90"/>
      <c r="S494" s="90"/>
      <c r="T494" s="90"/>
      <c r="U494" s="90"/>
      <c r="V494" s="90"/>
      <c r="W494" s="90"/>
      <c r="X494" s="90"/>
      <c r="Y494" s="90"/>
      <c r="Z494" s="90"/>
      <c r="AA494" s="90"/>
      <c r="AB494" s="90"/>
      <c r="AC494" s="1085">
        <f>+AC42/X491</f>
        <v>0.58025646480861881</v>
      </c>
      <c r="AD494" s="1085"/>
      <c r="AE494" s="1085"/>
      <c r="AF494" s="1085"/>
      <c r="AG494" s="1085"/>
      <c r="AH494" s="1084">
        <f>+AH42/AC491</f>
        <v>0.58840648612949797</v>
      </c>
      <c r="AI494" s="1085"/>
      <c r="AJ494" s="1085"/>
      <c r="AK494" s="1085"/>
      <c r="AL494" s="1085"/>
      <c r="AM494" s="1084">
        <f>+AM42/AH491</f>
        <v>0.32666943199161891</v>
      </c>
      <c r="AN494" s="1085"/>
      <c r="AO494" s="1085"/>
      <c r="AP494" s="1085"/>
      <c r="AQ494" s="1085"/>
      <c r="AR494" s="1084">
        <f>+AR42/AM491</f>
        <v>0.34543618218135802</v>
      </c>
      <c r="AS494" s="1085"/>
      <c r="AT494" s="1085"/>
      <c r="AU494" s="1085"/>
      <c r="AV494" s="1085"/>
      <c r="AW494" s="1084">
        <f>+AW42/AR491</f>
        <v>0.393589981392579</v>
      </c>
      <c r="AX494" s="1085"/>
      <c r="AY494" s="1085"/>
      <c r="AZ494" s="1085"/>
      <c r="BA494" s="1085"/>
      <c r="BB494" s="1086">
        <f>+BB42/AW491</f>
        <v>0.15752289133089531</v>
      </c>
      <c r="BC494" s="1085"/>
      <c r="BD494" s="1085"/>
      <c r="BE494" s="1085"/>
      <c r="BF494" s="1085"/>
      <c r="BG494" s="1086">
        <f>+BG42/BB491</f>
        <v>0.20124080074347581</v>
      </c>
      <c r="BH494" s="1085"/>
      <c r="BI494" s="1085"/>
      <c r="BJ494" s="1085"/>
      <c r="BK494" s="1085"/>
      <c r="BL494" s="1086">
        <f>+BL42/BG491</f>
        <v>0.16082562012858048</v>
      </c>
      <c r="BM494" s="1085"/>
      <c r="BN494" s="1085"/>
      <c r="BO494" s="1085"/>
      <c r="BP494" s="1085"/>
      <c r="BQ494" s="1086">
        <f>+BQ42/BL491</f>
        <v>0.17650165250933061</v>
      </c>
      <c r="BR494" s="1085"/>
      <c r="BS494" s="1085"/>
      <c r="BT494" s="1085"/>
      <c r="BU494" s="1085"/>
      <c r="BV494" s="1086">
        <f>+BV42/BQ491</f>
        <v>0.19371929493035794</v>
      </c>
      <c r="BW494" s="1085"/>
      <c r="BX494" s="1085"/>
      <c r="BY494" s="1085"/>
      <c r="BZ494" s="1085"/>
      <c r="CA494" s="1086">
        <f>+CA42/BV491</f>
        <v>0.21386098973816275</v>
      </c>
      <c r="CC494" s="29"/>
      <c r="CD494" s="29"/>
      <c r="CE494" s="92"/>
      <c r="CF494" s="92"/>
      <c r="CG494" s="92"/>
      <c r="CH494" s="92"/>
      <c r="CI494" s="92"/>
      <c r="CJ494" s="92"/>
      <c r="CK494" s="92"/>
      <c r="CL494" s="92"/>
      <c r="CM494" s="92"/>
      <c r="CN494" s="92"/>
      <c r="CO494" s="92"/>
      <c r="CP494" s="188"/>
      <c r="CQ494" s="188"/>
      <c r="CR494" s="188"/>
      <c r="CS494" s="188"/>
      <c r="CT494" s="188"/>
      <c r="CU494" s="188"/>
      <c r="DB494" s="1961"/>
      <c r="DC494" s="1961"/>
      <c r="DD494" s="1961"/>
      <c r="DE494" s="1961"/>
      <c r="DF494" s="1961"/>
      <c r="DG494" s="1961"/>
      <c r="DH494" s="1961"/>
      <c r="DI494" s="1085"/>
    </row>
    <row r="495" spans="1:113" ht="15.75" thickBot="1" x14ac:dyDescent="0.3">
      <c r="A495" s="1087"/>
      <c r="B495" s="1087"/>
      <c r="C495" s="1087"/>
      <c r="D495" s="1087"/>
      <c r="E495" s="1087"/>
      <c r="F495" s="1087"/>
      <c r="G495" s="1087"/>
      <c r="H495" s="1087"/>
      <c r="I495" s="1087"/>
      <c r="J495" s="1087"/>
      <c r="K495" s="1087"/>
      <c r="L495" s="1087"/>
      <c r="M495" s="1087"/>
      <c r="N495" s="1087"/>
      <c r="O495" s="1087"/>
      <c r="P495" s="1087"/>
      <c r="Q495" s="1087"/>
      <c r="R495" s="1087"/>
      <c r="S495" s="1087"/>
      <c r="T495" s="1087"/>
      <c r="U495" s="1087"/>
      <c r="V495" s="1087"/>
      <c r="W495" s="1087"/>
      <c r="X495" s="1087"/>
      <c r="Y495" s="1087"/>
      <c r="Z495" s="1087"/>
      <c r="AA495" s="1087"/>
      <c r="AB495" s="1087"/>
      <c r="AC495" s="1087"/>
      <c r="AD495" s="1087"/>
      <c r="AE495" s="1087"/>
      <c r="AF495" s="1087"/>
      <c r="AG495" s="1087"/>
      <c r="AH495" s="1087"/>
      <c r="AI495" s="1087"/>
      <c r="AJ495" s="1087"/>
      <c r="AK495" s="1087"/>
      <c r="AL495" s="1087"/>
      <c r="AM495" s="1087"/>
      <c r="AN495" s="1087"/>
      <c r="AO495" s="1087"/>
      <c r="AP495" s="1087"/>
      <c r="AQ495" s="1087"/>
      <c r="AR495" s="1087"/>
      <c r="AS495" s="1087"/>
      <c r="AT495" s="1087"/>
      <c r="AU495" s="1087"/>
      <c r="AV495" s="1087"/>
      <c r="AW495" s="1087"/>
      <c r="AX495" s="1087"/>
      <c r="AY495" s="1087"/>
      <c r="AZ495" s="1087"/>
      <c r="BA495" s="1087"/>
      <c r="BB495" s="1088"/>
      <c r="BC495" s="1087"/>
      <c r="BD495" s="1087"/>
      <c r="BE495" s="1087"/>
      <c r="BF495" s="1087"/>
      <c r="BG495" s="1088"/>
      <c r="BH495" s="1087"/>
      <c r="BI495" s="1087"/>
      <c r="BJ495" s="1087"/>
      <c r="BK495" s="1087"/>
      <c r="BL495" s="1088"/>
      <c r="BM495" s="1087"/>
      <c r="BN495" s="1087"/>
      <c r="BO495" s="1087"/>
      <c r="BP495" s="1087"/>
      <c r="BQ495" s="1088"/>
      <c r="BR495" s="1087"/>
      <c r="BS495" s="1087"/>
      <c r="BT495" s="1087"/>
      <c r="BU495" s="1087"/>
      <c r="BV495" s="1088"/>
      <c r="BW495" s="1087"/>
      <c r="BX495" s="1087"/>
      <c r="BY495" s="1087"/>
      <c r="BZ495" s="1087"/>
      <c r="CA495" s="1088"/>
      <c r="CC495" s="29"/>
      <c r="CD495" s="29"/>
      <c r="CE495" s="29"/>
      <c r="CF495" s="29"/>
      <c r="CG495" s="29"/>
      <c r="CH495" s="29"/>
      <c r="CI495" s="29"/>
      <c r="CJ495" s="29"/>
      <c r="CK495" s="29"/>
      <c r="CL495" s="29"/>
      <c r="CM495" s="29"/>
      <c r="CN495" s="29"/>
      <c r="CO495" s="29"/>
      <c r="CP495" s="188"/>
      <c r="CQ495" s="188"/>
      <c r="CR495" s="188"/>
      <c r="CS495" s="188"/>
      <c r="CT495" s="188"/>
      <c r="CU495" s="188"/>
      <c r="DB495" s="1961"/>
      <c r="DC495" s="1961"/>
      <c r="DD495" s="1961"/>
      <c r="DE495" s="1961"/>
      <c r="DF495" s="1961"/>
      <c r="DG495" s="1961"/>
      <c r="DH495" s="1961"/>
      <c r="DI495" s="9"/>
    </row>
    <row r="496" spans="1:113" hidden="1" outlineLevel="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1089"/>
      <c r="AN496" s="9"/>
      <c r="AO496" s="9"/>
      <c r="AP496" s="9"/>
      <c r="AQ496" s="9"/>
      <c r="AR496" s="1089"/>
      <c r="AS496" s="9"/>
      <c r="AT496" s="9"/>
      <c r="AU496" s="9"/>
      <c r="AV496" s="9"/>
      <c r="AW496" s="1089"/>
      <c r="AX496" s="9"/>
      <c r="AY496" s="9"/>
      <c r="AZ496" s="9"/>
      <c r="BA496" s="9"/>
      <c r="BB496" s="1090"/>
      <c r="BC496" s="9"/>
      <c r="BD496" s="9"/>
      <c r="BE496" s="9"/>
      <c r="BF496" s="9"/>
      <c r="BG496" s="1090"/>
      <c r="BH496" s="9"/>
      <c r="BI496" s="9"/>
      <c r="BJ496" s="9"/>
      <c r="BK496" s="9"/>
      <c r="BL496" s="1090"/>
      <c r="BM496" s="9"/>
      <c r="BN496" s="9"/>
      <c r="BO496" s="9"/>
      <c r="BP496" s="9"/>
      <c r="BQ496" s="1090"/>
      <c r="BR496" s="9"/>
      <c r="BS496" s="9"/>
      <c r="BT496" s="9"/>
      <c r="BU496" s="9"/>
      <c r="BV496" s="1090"/>
      <c r="BW496" s="9"/>
      <c r="BX496" s="9"/>
      <c r="BY496" s="9"/>
      <c r="BZ496" s="9"/>
      <c r="CA496" s="1090"/>
      <c r="CC496" s="29"/>
      <c r="CD496" s="29"/>
      <c r="CE496" s="29"/>
      <c r="CF496" s="29"/>
      <c r="CG496" s="29"/>
      <c r="CH496" s="29"/>
      <c r="CI496" s="29"/>
      <c r="CJ496" s="29"/>
      <c r="CK496" s="29"/>
      <c r="CL496" s="29"/>
      <c r="CM496" s="29"/>
      <c r="CN496" s="29"/>
      <c r="CO496" s="29"/>
      <c r="CP496" s="14"/>
      <c r="CQ496" s="14"/>
      <c r="CR496" s="14"/>
      <c r="CS496" s="14"/>
      <c r="CT496" s="14"/>
      <c r="CU496" s="1961"/>
      <c r="DB496" s="1961"/>
      <c r="DC496" s="1961"/>
      <c r="DD496" s="1961"/>
      <c r="DE496" s="1961"/>
      <c r="DF496" s="1961"/>
      <c r="DG496" s="1961"/>
      <c r="DH496" s="1961"/>
      <c r="DI496" s="9"/>
    </row>
    <row r="497" spans="1:113" hidden="1" outlineLevel="1" x14ac:dyDescent="0.25">
      <c r="A497" s="9" t="s">
        <v>257</v>
      </c>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634"/>
      <c r="AN497" s="9"/>
      <c r="AO497" s="9"/>
      <c r="AP497" s="9"/>
      <c r="AQ497" s="9"/>
      <c r="AR497" s="634"/>
      <c r="AS497" s="9"/>
      <c r="AT497" s="9"/>
      <c r="AU497" s="9"/>
      <c r="AV497" s="9"/>
      <c r="AW497" s="634"/>
      <c r="AX497" s="9"/>
      <c r="AY497" s="9"/>
      <c r="AZ497" s="9"/>
      <c r="BA497" s="9"/>
      <c r="BB497" s="635"/>
      <c r="BC497" s="9"/>
      <c r="BD497" s="9"/>
      <c r="BE497" s="9"/>
      <c r="BF497" s="9"/>
      <c r="BG497" s="635"/>
      <c r="BH497" s="9"/>
      <c r="BI497" s="9"/>
      <c r="BJ497" s="9"/>
      <c r="BK497" s="9"/>
      <c r="BL497" s="635"/>
      <c r="BM497" s="9"/>
      <c r="BN497" s="9"/>
      <c r="BO497" s="9"/>
      <c r="BP497" s="9"/>
      <c r="BQ497" s="635"/>
      <c r="BR497" s="9"/>
      <c r="BS497" s="9"/>
      <c r="BT497" s="9"/>
      <c r="BU497" s="9"/>
      <c r="BV497" s="635"/>
      <c r="BW497" s="9"/>
      <c r="BX497" s="9"/>
      <c r="BY497" s="9"/>
      <c r="BZ497" s="9"/>
      <c r="CA497" s="635"/>
      <c r="CC497" s="29"/>
      <c r="CD497" s="29"/>
      <c r="CE497" s="29"/>
      <c r="CF497" s="29"/>
      <c r="CG497" s="29"/>
      <c r="CH497" s="29"/>
      <c r="CI497" s="29"/>
      <c r="CJ497" s="29"/>
      <c r="CK497" s="29"/>
      <c r="CL497" s="29"/>
      <c r="CM497" s="29"/>
      <c r="CN497" s="29"/>
      <c r="CO497" s="29"/>
      <c r="CP497" s="14"/>
      <c r="CQ497" s="14"/>
      <c r="CR497" s="14"/>
      <c r="CS497" s="14"/>
      <c r="CT497" s="14"/>
      <c r="CU497" s="1961"/>
      <c r="DB497" s="1961"/>
      <c r="DC497" s="1961"/>
      <c r="DD497" s="1961"/>
      <c r="DE497" s="1961"/>
      <c r="DF497" s="1961"/>
      <c r="DG497" s="1961"/>
      <c r="DH497" s="1961"/>
      <c r="DI497" s="9"/>
    </row>
    <row r="498" spans="1:113" hidden="1" outlineLevel="1" x14ac:dyDescent="0.25">
      <c r="A498" s="632"/>
      <c r="B498" s="1091"/>
      <c r="C498" s="1091"/>
      <c r="D498" s="1091"/>
      <c r="E498" s="3"/>
      <c r="F498" s="3"/>
      <c r="G498" s="3"/>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1092"/>
      <c r="AN498" s="2"/>
      <c r="AO498" s="2"/>
      <c r="AP498" s="2"/>
      <c r="AQ498" s="2"/>
      <c r="AR498" s="1092"/>
      <c r="AS498" s="2"/>
      <c r="AT498" s="2"/>
      <c r="AU498" s="2"/>
      <c r="AV498" s="2"/>
      <c r="AW498" s="1092"/>
      <c r="AX498" s="2"/>
      <c r="AY498" s="2"/>
      <c r="AZ498" s="2"/>
      <c r="BA498" s="2"/>
      <c r="BB498" s="1092"/>
      <c r="BC498" s="2"/>
      <c r="BD498" s="2"/>
      <c r="BE498" s="2"/>
      <c r="BF498" s="2"/>
      <c r="BG498" s="1092"/>
      <c r="BH498" s="2"/>
      <c r="BI498" s="2"/>
      <c r="BJ498" s="2"/>
      <c r="BK498" s="2"/>
      <c r="BL498" s="1092"/>
      <c r="BM498" s="2"/>
      <c r="BN498" s="2"/>
      <c r="BO498" s="2"/>
      <c r="BP498" s="2"/>
      <c r="BQ498" s="1092"/>
      <c r="BR498" s="2"/>
      <c r="BS498" s="2"/>
      <c r="BT498" s="2"/>
      <c r="BU498" s="2"/>
      <c r="BV498" s="1092"/>
      <c r="BW498" s="2"/>
      <c r="BX498" s="2"/>
      <c r="BY498" s="2"/>
      <c r="BZ498" s="2"/>
      <c r="CA498" s="1092"/>
      <c r="CC498" s="29"/>
      <c r="CD498" s="29"/>
      <c r="CE498" s="13"/>
      <c r="CF498" s="13"/>
      <c r="CG498" s="13"/>
      <c r="CH498" s="13"/>
      <c r="CI498" s="13"/>
      <c r="CJ498" s="13"/>
      <c r="CK498" s="13"/>
      <c r="CL498" s="13"/>
      <c r="CM498" s="13"/>
      <c r="CN498" s="13"/>
      <c r="CO498" s="13"/>
      <c r="CP498" s="14"/>
      <c r="CQ498" s="14"/>
      <c r="CR498" s="14"/>
      <c r="CS498" s="14"/>
      <c r="CT498" s="14"/>
      <c r="CU498" s="1961"/>
      <c r="DB498" s="1961"/>
      <c r="DC498" s="1961"/>
      <c r="DD498" s="1961"/>
      <c r="DE498" s="1961"/>
      <c r="DF498" s="1961"/>
      <c r="DG498" s="1961"/>
      <c r="DH498" s="1961"/>
      <c r="DI498" s="2"/>
    </row>
    <row r="499" spans="1:113" hidden="1" outlineLevel="1" x14ac:dyDescent="0.25">
      <c r="A499" s="1093" t="s">
        <v>326</v>
      </c>
      <c r="B499" s="1094">
        <v>8</v>
      </c>
      <c r="C499" s="9"/>
      <c r="D499" s="1095"/>
      <c r="E499" s="1095"/>
      <c r="F499" s="1095"/>
      <c r="G499" s="1095"/>
      <c r="H499" s="1095"/>
      <c r="I499" s="1095"/>
      <c r="J499" s="9"/>
      <c r="K499" s="9"/>
      <c r="L499" s="9"/>
      <c r="M499" s="9"/>
      <c r="N499" s="1095"/>
      <c r="O499" s="9"/>
      <c r="P499" s="1095"/>
      <c r="Q499" s="1095"/>
      <c r="R499" s="1095"/>
      <c r="S499" s="1095"/>
      <c r="T499" s="9"/>
      <c r="U499" s="1095"/>
      <c r="V499" s="1095"/>
      <c r="W499" s="1095"/>
      <c r="X499" s="1095"/>
      <c r="Y499" s="1095"/>
      <c r="Z499" s="1095"/>
      <c r="AA499" s="1095"/>
      <c r="AB499" s="1095"/>
      <c r="AC499" s="1095"/>
      <c r="AD499" s="1095"/>
      <c r="AE499" s="1095"/>
      <c r="AF499" s="1095"/>
      <c r="AG499" s="1095"/>
      <c r="AH499" s="1095"/>
      <c r="AI499" s="1095"/>
      <c r="AJ499" s="1095"/>
      <c r="AK499" s="1095"/>
      <c r="AL499" s="1095"/>
      <c r="AM499" s="634"/>
      <c r="AN499" s="1095"/>
      <c r="AO499" s="1095"/>
      <c r="AP499" s="1095"/>
      <c r="AQ499" s="1095"/>
      <c r="AR499" s="634"/>
      <c r="AS499" s="1095"/>
      <c r="AT499" s="1095"/>
      <c r="AU499" s="1095"/>
      <c r="AV499" s="1095"/>
      <c r="AW499" s="634"/>
      <c r="AX499" s="1095"/>
      <c r="AY499" s="1095"/>
      <c r="AZ499" s="1095"/>
      <c r="BA499" s="1095"/>
      <c r="BB499" s="635"/>
      <c r="BC499" s="1095"/>
      <c r="BD499" s="1095"/>
      <c r="BE499" s="1095"/>
      <c r="BF499" s="1095"/>
      <c r="BG499" s="635"/>
      <c r="BH499" s="9"/>
      <c r="BI499" s="1095"/>
      <c r="BJ499" s="1095"/>
      <c r="BK499" s="1095"/>
      <c r="BL499" s="635"/>
      <c r="BM499" s="9"/>
      <c r="BN499" s="1095"/>
      <c r="BO499" s="1095"/>
      <c r="BP499" s="1095"/>
      <c r="BQ499" s="635"/>
      <c r="BR499" s="9"/>
      <c r="BS499" s="1095"/>
      <c r="BT499" s="1095"/>
      <c r="BU499" s="1095"/>
      <c r="BV499" s="635"/>
      <c r="BW499" s="9"/>
      <c r="BX499" s="1095"/>
      <c r="BY499" s="1095"/>
      <c r="BZ499" s="1095"/>
      <c r="CA499" s="635"/>
      <c r="CC499" s="1096"/>
      <c r="CD499" s="1096"/>
      <c r="CE499" s="1095"/>
      <c r="CF499" s="1095"/>
      <c r="CG499" s="1095"/>
      <c r="CH499" s="1095"/>
      <c r="CI499" s="1095"/>
      <c r="CJ499" s="1095"/>
      <c r="CK499" s="1095"/>
      <c r="CL499" s="1095"/>
      <c r="CM499" s="1095"/>
      <c r="CN499" s="1095"/>
      <c r="CO499" s="1095"/>
      <c r="CP499" s="14"/>
      <c r="CQ499" s="14"/>
      <c r="CR499" s="14"/>
      <c r="CS499" s="14"/>
      <c r="CT499" s="14"/>
      <c r="CU499" s="1961"/>
      <c r="DB499" s="1961"/>
      <c r="DC499" s="1961"/>
      <c r="DD499" s="1961"/>
      <c r="DE499" s="1961"/>
      <c r="DF499" s="1961"/>
      <c r="DG499" s="1961"/>
      <c r="DH499" s="1961"/>
      <c r="DI499" s="9"/>
    </row>
    <row r="500" spans="1:113" hidden="1" outlineLevel="1" x14ac:dyDescent="0.25">
      <c r="A500" s="1097" t="s">
        <v>110</v>
      </c>
      <c r="B500" s="1098"/>
      <c r="C500" s="1098">
        <v>0</v>
      </c>
      <c r="D500" s="1098">
        <v>0</v>
      </c>
      <c r="E500" s="1098">
        <v>0</v>
      </c>
      <c r="F500" s="1098">
        <v>0</v>
      </c>
      <c r="G500" s="1098">
        <v>0</v>
      </c>
      <c r="H500" s="1098">
        <v>0</v>
      </c>
      <c r="I500" s="1098"/>
      <c r="J500" s="1098">
        <v>0</v>
      </c>
      <c r="K500" s="1098">
        <v>0</v>
      </c>
      <c r="L500" s="1098">
        <v>0</v>
      </c>
      <c r="M500" s="1098">
        <v>0</v>
      </c>
      <c r="N500" s="1098"/>
      <c r="O500" s="1098">
        <v>0</v>
      </c>
      <c r="P500" s="1098">
        <v>0</v>
      </c>
      <c r="Q500" s="1098">
        <v>0</v>
      </c>
      <c r="R500" s="1093">
        <v>0</v>
      </c>
      <c r="S500" s="1098"/>
      <c r="T500" s="1098">
        <v>0</v>
      </c>
      <c r="U500" s="1094">
        <v>0</v>
      </c>
      <c r="V500" s="1094">
        <v>0</v>
      </c>
      <c r="W500" s="1093">
        <f>W383-(W138*W392)</f>
        <v>16.434999999999999</v>
      </c>
      <c r="X500" s="1098"/>
      <c r="Y500" s="1093">
        <f>Y383-(Y138*Y392)</f>
        <v>13.648</v>
      </c>
      <c r="Z500" s="1093">
        <f>Z383-(Z138*Z392)</f>
        <v>14.523</v>
      </c>
      <c r="AA500" s="1093">
        <f>AA383-(AA138*AA392)</f>
        <v>13.753999999999998</v>
      </c>
      <c r="AB500" s="1093">
        <f>AB383-(AB138*AB392)</f>
        <v>17.904000000000003</v>
      </c>
      <c r="AC500" s="1093"/>
      <c r="AD500" s="1093">
        <f>AD383-(AD138*AD392)</f>
        <v>17.442</v>
      </c>
      <c r="AE500" s="1093">
        <f>AE383-(AE138*AE392)</f>
        <v>19.089999999999996</v>
      </c>
      <c r="AF500" s="1093">
        <f>AF383-(AF138*AF392)</f>
        <v>19.192</v>
      </c>
      <c r="AG500" s="1093">
        <f>AG383-(AG138*AG392)</f>
        <v>18.649000000000008</v>
      </c>
      <c r="AH500" s="1093"/>
      <c r="AI500" s="1093">
        <f t="shared" ref="AI500:BB500" si="624">AI383-(AI138*AI392)</f>
        <v>28.065000000000001</v>
      </c>
      <c r="AJ500" s="1093">
        <f t="shared" si="624"/>
        <v>35.44</v>
      </c>
      <c r="AK500" s="1093">
        <f t="shared" si="624"/>
        <v>44.410000000000011</v>
      </c>
      <c r="AL500" s="1093">
        <f t="shared" si="624"/>
        <v>38.060999999999993</v>
      </c>
      <c r="AM500" s="1025">
        <f t="shared" si="624"/>
        <v>145.976</v>
      </c>
      <c r="AN500" s="1093">
        <f t="shared" si="624"/>
        <v>36.143999999999998</v>
      </c>
      <c r="AO500" s="1093">
        <f t="shared" si="624"/>
        <v>39.619999999999997</v>
      </c>
      <c r="AP500" s="1093">
        <f t="shared" si="624"/>
        <v>27.228000000000009</v>
      </c>
      <c r="AQ500" s="1093">
        <f t="shared" si="624"/>
        <v>43.826000000000008</v>
      </c>
      <c r="AR500" s="1025">
        <f t="shared" si="624"/>
        <v>146.81800000000001</v>
      </c>
      <c r="AS500" s="1093">
        <f t="shared" si="624"/>
        <v>24.76</v>
      </c>
      <c r="AT500" s="1093">
        <f t="shared" si="624"/>
        <v>35.331999999999994</v>
      </c>
      <c r="AU500" s="1093">
        <f t="shared" si="624"/>
        <v>45.673000000000002</v>
      </c>
      <c r="AV500" s="1093">
        <f t="shared" si="624"/>
        <v>60.373000000000005</v>
      </c>
      <c r="AW500" s="1025">
        <f t="shared" si="624"/>
        <v>166.13800000000001</v>
      </c>
      <c r="AX500" s="1093">
        <f t="shared" si="624"/>
        <v>30.763000000000002</v>
      </c>
      <c r="AY500" s="1093">
        <f t="shared" si="624"/>
        <v>31.468</v>
      </c>
      <c r="AZ500" s="1093">
        <f t="shared" si="624"/>
        <v>36.338999999999992</v>
      </c>
      <c r="BA500" s="1093">
        <f t="shared" si="624"/>
        <v>57.930000000000007</v>
      </c>
      <c r="BB500" s="1026">
        <f t="shared" si="624"/>
        <v>156.5</v>
      </c>
      <c r="BC500" s="1093">
        <f t="shared" ref="BC500:CA500" si="625">BC383-(BC138*BC392)</f>
        <v>31.1</v>
      </c>
      <c r="BD500" s="1093">
        <f t="shared" si="625"/>
        <v>41.4</v>
      </c>
      <c r="BE500" s="1093">
        <f t="shared" si="625"/>
        <v>41.300000000000004</v>
      </c>
      <c r="BF500" s="1093">
        <f t="shared" si="625"/>
        <v>69.699999999999989</v>
      </c>
      <c r="BG500" s="1026">
        <f t="shared" si="625"/>
        <v>183.5</v>
      </c>
      <c r="BH500" s="1">
        <f t="shared" si="625"/>
        <v>40.837905698368488</v>
      </c>
      <c r="BI500" s="1093">
        <f t="shared" si="625"/>
        <v>51.933537889908244</v>
      </c>
      <c r="BJ500" s="1093">
        <f t="shared" si="625"/>
        <v>50.977421134583878</v>
      </c>
      <c r="BK500" s="1093">
        <f t="shared" si="625"/>
        <v>80.698133696300175</v>
      </c>
      <c r="BL500" s="1026">
        <f t="shared" si="625"/>
        <v>224.44699841916079</v>
      </c>
      <c r="BM500" s="1">
        <f t="shared" si="625"/>
        <v>37.148866154994032</v>
      </c>
      <c r="BN500" s="1093">
        <f t="shared" si="625"/>
        <v>48.762677047018336</v>
      </c>
      <c r="BO500" s="1093">
        <f t="shared" si="625"/>
        <v>47.59921678177929</v>
      </c>
      <c r="BP500" s="1093">
        <f t="shared" si="625"/>
        <v>78.976880564615115</v>
      </c>
      <c r="BQ500" s="1026">
        <f t="shared" si="625"/>
        <v>212.48764054840677</v>
      </c>
      <c r="BR500" s="1">
        <f t="shared" si="625"/>
        <v>33.524981871501538</v>
      </c>
      <c r="BS500" s="1093">
        <f t="shared" si="625"/>
        <v>45.642172652306421</v>
      </c>
      <c r="BT500" s="1093">
        <f t="shared" si="625"/>
        <v>44.262345799311653</v>
      </c>
      <c r="BU500" s="1093">
        <f t="shared" si="625"/>
        <v>77.27504914828188</v>
      </c>
      <c r="BV500" s="1026">
        <f t="shared" si="625"/>
        <v>200.70454947140149</v>
      </c>
      <c r="BW500" s="1">
        <f t="shared" si="625"/>
        <v>32.060319684863096</v>
      </c>
      <c r="BX500" s="1093">
        <f t="shared" si="625"/>
        <v>44.772861956146265</v>
      </c>
      <c r="BY500" s="1093">
        <f t="shared" si="625"/>
        <v>43.228814161451965</v>
      </c>
      <c r="BZ500" s="1093">
        <f t="shared" si="625"/>
        <v>78.025619720317792</v>
      </c>
      <c r="CA500" s="1026">
        <f t="shared" si="625"/>
        <v>198.08761552277912</v>
      </c>
      <c r="CC500" s="1099"/>
      <c r="CD500" s="1099"/>
      <c r="CE500" s="1100"/>
      <c r="CF500" s="1100"/>
      <c r="CG500" s="1100"/>
      <c r="CH500" s="1100"/>
      <c r="CI500" s="1100"/>
      <c r="CJ500" s="1100"/>
      <c r="CK500" s="1100"/>
      <c r="CL500" s="1100"/>
      <c r="CM500" s="1100"/>
      <c r="CN500" s="1100"/>
      <c r="CO500" s="1100"/>
      <c r="CP500" s="14"/>
      <c r="CQ500" s="14"/>
      <c r="CR500" s="14"/>
      <c r="CS500" s="14"/>
      <c r="CT500" s="14"/>
      <c r="CU500" s="1961"/>
      <c r="DB500" s="1961"/>
      <c r="DC500" s="1961"/>
      <c r="DD500" s="1961"/>
      <c r="DE500" s="1961"/>
      <c r="DF500" s="1961"/>
      <c r="DG500" s="1961"/>
      <c r="DH500" s="1961"/>
      <c r="DI500" s="1"/>
    </row>
    <row r="501" spans="1:113" hidden="1" outlineLevel="1" x14ac:dyDescent="0.25">
      <c r="A501" s="487" t="s">
        <v>70</v>
      </c>
      <c r="B501" s="1101"/>
      <c r="C501" s="1102">
        <f t="shared" ref="C501:H501" si="626">C114</f>
        <v>22.123000000000001</v>
      </c>
      <c r="D501" s="1102">
        <f t="shared" si="626"/>
        <v>28.119</v>
      </c>
      <c r="E501" s="1102">
        <f t="shared" si="626"/>
        <v>7.6050000000000004</v>
      </c>
      <c r="F501" s="1102">
        <f t="shared" si="626"/>
        <v>7.9409999999999989</v>
      </c>
      <c r="G501" s="1102">
        <f t="shared" si="626"/>
        <v>7.8270000000000017</v>
      </c>
      <c r="H501" s="1102">
        <f t="shared" si="626"/>
        <v>8.4699999999999989</v>
      </c>
      <c r="I501" s="1093"/>
      <c r="J501" s="1102">
        <f>J114</f>
        <v>7.907</v>
      </c>
      <c r="K501" s="1102">
        <f>K114</f>
        <v>8.5169999999999995</v>
      </c>
      <c r="L501" s="1102">
        <f>L114</f>
        <v>9.054000000000002</v>
      </c>
      <c r="M501" s="1102">
        <f>M114</f>
        <v>9.8389999999999986</v>
      </c>
      <c r="N501" s="1093"/>
      <c r="O501" s="1102">
        <f>O114</f>
        <v>9.1950000000000003</v>
      </c>
      <c r="P501" s="1102">
        <f>P114</f>
        <v>9.718</v>
      </c>
      <c r="Q501" s="1102">
        <f>Q114</f>
        <v>9.6209999999999987</v>
      </c>
      <c r="R501" s="1102">
        <f>R114</f>
        <v>10.044000000000004</v>
      </c>
      <c r="S501" s="1093"/>
      <c r="T501" s="1102">
        <f>T114</f>
        <v>9.9290000000000003</v>
      </c>
      <c r="U501" s="1102">
        <f>U114</f>
        <v>9.9439999999999991</v>
      </c>
      <c r="V501" s="1102">
        <f>V114</f>
        <v>10.035</v>
      </c>
      <c r="W501" s="1102">
        <f>+MAX(0,V501-(1/$B$499/4*$V$501))</f>
        <v>9.7214062499999994</v>
      </c>
      <c r="X501" s="1093"/>
      <c r="Y501" s="1102">
        <f>+MAX(0,W501-(1/$B$499/4*$V$501))</f>
        <v>9.4078124999999986</v>
      </c>
      <c r="Z501" s="1102">
        <f>+MAX(0,Y501-(1/$B$499/4*$V$501))</f>
        <v>9.0942187499999978</v>
      </c>
      <c r="AA501" s="1102">
        <f>+MAX(0,Z501-(1/$B$499/4*$V$501))</f>
        <v>8.780624999999997</v>
      </c>
      <c r="AB501" s="1102">
        <f>+MAX(0,AA501-(1/$B$499/4*$V$501))</f>
        <v>8.4670312499999962</v>
      </c>
      <c r="AC501" s="1102">
        <v>35</v>
      </c>
      <c r="AD501" s="1102">
        <f>+MAX(0,AB501-(1/$B$499/4*$V$501))</f>
        <v>8.1534374999999955</v>
      </c>
      <c r="AE501" s="1102">
        <f>+MAX(0,AD501-(1/$B$499/4*$V$501))</f>
        <v>7.8398437499999956</v>
      </c>
      <c r="AF501" s="1102">
        <f>+MAX(0,AE501-(1/$B$499/4*$V$501))</f>
        <v>7.5262499999999957</v>
      </c>
      <c r="AG501" s="1102">
        <f>+MAX(0,AF501-(1/$B$499/4*$V$501))</f>
        <v>7.2126562499999958</v>
      </c>
      <c r="AH501" s="1102">
        <v>35</v>
      </c>
      <c r="AI501" s="1102">
        <f>+MAX(0,AH501-(1/$B$499/4*$V$501))</f>
        <v>34.686406249999997</v>
      </c>
      <c r="AJ501" s="1102">
        <f>+MAX(0,AI501-(1/$B$499/4*$V$501))</f>
        <v>34.372812499999995</v>
      </c>
      <c r="AK501" s="1102">
        <f>+MAX(0,AJ501-(1/$B$499/4*$V$501))</f>
        <v>34.059218749999992</v>
      </c>
      <c r="AL501" s="1102">
        <f>+MAX(0,AK501-(1/$B$499/4*$V$501))</f>
        <v>33.74562499999999</v>
      </c>
      <c r="AM501" s="1026">
        <f t="shared" ref="AM501:BB501" si="627">+MAX(0,AH501-(1/$B$499*$V$501))</f>
        <v>33.745624999999997</v>
      </c>
      <c r="AN501" s="1102">
        <f t="shared" si="627"/>
        <v>33.432031249999994</v>
      </c>
      <c r="AO501" s="1102">
        <f t="shared" si="627"/>
        <v>33.118437499999992</v>
      </c>
      <c r="AP501" s="1102">
        <f t="shared" si="627"/>
        <v>32.804843749999989</v>
      </c>
      <c r="AQ501" s="1102">
        <f t="shared" si="627"/>
        <v>32.491249999999987</v>
      </c>
      <c r="AR501" s="1026">
        <f t="shared" si="627"/>
        <v>32.491249999999994</v>
      </c>
      <c r="AS501" s="1102">
        <f t="shared" si="627"/>
        <v>32.177656249999991</v>
      </c>
      <c r="AT501" s="1102">
        <f t="shared" si="627"/>
        <v>31.864062499999992</v>
      </c>
      <c r="AU501" s="1102">
        <f t="shared" si="627"/>
        <v>31.55046874999999</v>
      </c>
      <c r="AV501" s="1102">
        <f t="shared" si="627"/>
        <v>31.236874999999987</v>
      </c>
      <c r="AW501" s="1103">
        <f t="shared" si="627"/>
        <v>31.236874999999994</v>
      </c>
      <c r="AX501" s="1102">
        <f t="shared" si="627"/>
        <v>30.923281249999992</v>
      </c>
      <c r="AY501" s="1102">
        <f t="shared" si="627"/>
        <v>30.609687499999993</v>
      </c>
      <c r="AZ501" s="1102">
        <f t="shared" si="627"/>
        <v>30.29609374999999</v>
      </c>
      <c r="BA501" s="1102">
        <f t="shared" si="627"/>
        <v>29.982499999999987</v>
      </c>
      <c r="BB501" s="1103">
        <f t="shared" si="627"/>
        <v>29.982499999999995</v>
      </c>
      <c r="BC501" s="1102">
        <f t="shared" ref="BC501:CA501" si="628">+MAX(0,AX501-(1/$B$499*$V$501))</f>
        <v>29.668906249999992</v>
      </c>
      <c r="BD501" s="1102">
        <f t="shared" si="628"/>
        <v>29.355312499999993</v>
      </c>
      <c r="BE501" s="1102">
        <f t="shared" si="628"/>
        <v>29.04171874999999</v>
      </c>
      <c r="BF501" s="1102">
        <f t="shared" si="628"/>
        <v>28.728124999999988</v>
      </c>
      <c r="BG501" s="1103">
        <f t="shared" si="628"/>
        <v>28.728124999999995</v>
      </c>
      <c r="BH501" s="1102">
        <f t="shared" si="628"/>
        <v>28.414531249999992</v>
      </c>
      <c r="BI501" s="1102">
        <f t="shared" si="628"/>
        <v>28.100937499999993</v>
      </c>
      <c r="BJ501" s="1102">
        <f t="shared" si="628"/>
        <v>27.787343749999991</v>
      </c>
      <c r="BK501" s="1102">
        <f t="shared" si="628"/>
        <v>27.473749999999988</v>
      </c>
      <c r="BL501" s="1103">
        <f t="shared" si="628"/>
        <v>27.473749999999995</v>
      </c>
      <c r="BM501" s="1102">
        <f t="shared" si="628"/>
        <v>27.160156249999993</v>
      </c>
      <c r="BN501" s="1102">
        <f t="shared" si="628"/>
        <v>26.846562499999994</v>
      </c>
      <c r="BO501" s="1102">
        <f t="shared" si="628"/>
        <v>26.532968749999991</v>
      </c>
      <c r="BP501" s="1102">
        <f t="shared" si="628"/>
        <v>26.219374999999989</v>
      </c>
      <c r="BQ501" s="1103">
        <f t="shared" si="628"/>
        <v>26.219374999999996</v>
      </c>
      <c r="BR501" s="1102">
        <f t="shared" si="628"/>
        <v>25.905781249999993</v>
      </c>
      <c r="BS501" s="1102">
        <f t="shared" si="628"/>
        <v>25.592187499999994</v>
      </c>
      <c r="BT501" s="1102">
        <f t="shared" si="628"/>
        <v>25.278593749999992</v>
      </c>
      <c r="BU501" s="1102">
        <f t="shared" si="628"/>
        <v>24.964999999999989</v>
      </c>
      <c r="BV501" s="1103">
        <f t="shared" si="628"/>
        <v>24.964999999999996</v>
      </c>
      <c r="BW501" s="1102">
        <f t="shared" si="628"/>
        <v>24.651406249999994</v>
      </c>
      <c r="BX501" s="1102">
        <f t="shared" si="628"/>
        <v>24.337812499999995</v>
      </c>
      <c r="BY501" s="1102">
        <f t="shared" si="628"/>
        <v>24.024218749999992</v>
      </c>
      <c r="BZ501" s="1102">
        <f t="shared" si="628"/>
        <v>23.71062499999999</v>
      </c>
      <c r="CA501" s="1103">
        <f t="shared" si="628"/>
        <v>23.710624999999997</v>
      </c>
      <c r="CC501" s="1099"/>
      <c r="CD501" s="1099"/>
      <c r="CE501" s="1104"/>
      <c r="CF501" s="1104"/>
      <c r="CG501" s="1104"/>
      <c r="CH501" s="1104"/>
      <c r="CI501" s="1104"/>
      <c r="CJ501" s="1104"/>
      <c r="CK501" s="1104"/>
      <c r="CL501" s="1104"/>
      <c r="CM501" s="1104"/>
      <c r="CN501" s="1104"/>
      <c r="CO501" s="1104"/>
      <c r="CP501" s="14"/>
      <c r="CQ501" s="14"/>
      <c r="CR501" s="14"/>
      <c r="CS501" s="14"/>
      <c r="CT501" s="14"/>
      <c r="CU501" s="1961"/>
      <c r="DB501" s="1961"/>
      <c r="DC501" s="1961"/>
      <c r="DD501" s="1961"/>
      <c r="DE501" s="1961"/>
      <c r="DF501" s="1961"/>
      <c r="DG501" s="1961"/>
      <c r="DH501" s="1961"/>
      <c r="DI501" s="1961"/>
    </row>
    <row r="502" spans="1:113" hidden="1" outlineLevel="1" x14ac:dyDescent="0.25">
      <c r="A502" s="487" t="s">
        <v>327</v>
      </c>
      <c r="B502" s="1105"/>
      <c r="C502" s="1105">
        <f>C500/B499*1/2</f>
        <v>0</v>
      </c>
      <c r="D502" s="1105">
        <f>MAX(0,MIN(C502*2,C500-SUM(C502:C502)))</f>
        <v>0</v>
      </c>
      <c r="E502" s="1105">
        <f>MAX(0,MIN($C502/2,$C$500-SUM($C502:D502)))</f>
        <v>0</v>
      </c>
      <c r="F502" s="1105">
        <f>MAX(0,MIN($C502/2,$C$500-SUM($C502:E502)))</f>
        <v>0</v>
      </c>
      <c r="G502" s="1105">
        <f>MAX(0,MIN($C502/2,$C$500-SUM($C502:F502)))</f>
        <v>0</v>
      </c>
      <c r="H502" s="1105">
        <f>MAX(0,MIN($C502/2,$C$500-SUM($C502:G502)))</f>
        <v>0</v>
      </c>
      <c r="I502" s="1105"/>
      <c r="J502" s="1105">
        <f>MAX(0,MIN($C502/2,$C$500-SUM($C502:I502)))</f>
        <v>0</v>
      </c>
      <c r="K502" s="1105">
        <f>MAX(0,MIN($C502/2,$C$500-SUM($C502:J502)))</f>
        <v>0</v>
      </c>
      <c r="L502" s="1105">
        <f>MAX(0,MIN($C502/2,$C$500-SUM($C502:K502)))</f>
        <v>0</v>
      </c>
      <c r="M502" s="1105">
        <f>MAX(0,MIN($C502/2,$C$500-SUM($C502:L502)))</f>
        <v>0</v>
      </c>
      <c r="N502" s="1105"/>
      <c r="O502" s="1105">
        <f>MAX(0,MIN($C502/2,$C$500-SUM($C502:N502)))</f>
        <v>0</v>
      </c>
      <c r="P502" s="1105">
        <f>MAX(0,MIN($C502/2,$C$500-SUM($C502:O502)))</f>
        <v>0</v>
      </c>
      <c r="Q502" s="1105">
        <f>MAX(0,MIN($C502/2,$C$500-SUM($C502:P502)))</f>
        <v>0</v>
      </c>
      <c r="R502" s="1105">
        <f>MAX(0,MIN($C502/2,$C$500-SUM($C502:Q502)))</f>
        <v>0</v>
      </c>
      <c r="S502" s="1105"/>
      <c r="T502" s="1105">
        <f>MAX(0,MIN($C502/2,$C$500-SUM($C502:S502)))</f>
        <v>0</v>
      </c>
      <c r="U502" s="1105">
        <f>MAX(0,MIN($C502/2,$C$500-SUM($C502:T502)))</f>
        <v>0</v>
      </c>
      <c r="V502" s="1105">
        <f>MAX(0,MIN($C502/2,$C$500-SUM($C502:U502)))</f>
        <v>0</v>
      </c>
      <c r="W502" s="1105">
        <f>MAX(0,MIN($C502/2,$C$500-SUM($C502:V502)))</f>
        <v>0</v>
      </c>
      <c r="X502" s="1105"/>
      <c r="Y502" s="1105">
        <f>MAX(0,MIN($C502/2,$C$500-SUM($C502:X502)))</f>
        <v>0</v>
      </c>
      <c r="Z502" s="1105">
        <f>MAX(0,MIN($C502/2,$C$500-SUM($C502:Y502)))</f>
        <v>0</v>
      </c>
      <c r="AA502" s="1105">
        <f>MAX(0,MIN($C502/2,$C$500-SUM($C502:Z502)))</f>
        <v>0</v>
      </c>
      <c r="AB502" s="1105">
        <f>MAX(0,MIN($C502/2,$C$500-SUM($C502:AA502)))</f>
        <v>0</v>
      </c>
      <c r="AC502" s="1105"/>
      <c r="AD502" s="1105">
        <f>MAX(0,MIN($C502/2,$C$500-SUM($C502:AC502)))</f>
        <v>0</v>
      </c>
      <c r="AE502" s="1105">
        <f>MAX(0,MIN($C502/2,$C$500-SUM($C502:AD502)))</f>
        <v>0</v>
      </c>
      <c r="AF502" s="1105">
        <f>MAX(0,MIN($C502/2,$C$500-SUM($C502:AE502)))</f>
        <v>0</v>
      </c>
      <c r="AG502" s="1105">
        <f>MAX(0,MIN($C502/2,$C$500-SUM($C502:AF502)))</f>
        <v>0</v>
      </c>
      <c r="AH502" s="1105"/>
      <c r="AI502" s="1105">
        <f>MAX(0,MIN($C502/2,$C$500-SUM($C502:AH502)))</f>
        <v>0</v>
      </c>
      <c r="AJ502" s="1105">
        <f>MAX(0,MIN($C502/2,$C$500-SUM($C502:AI502)))</f>
        <v>0</v>
      </c>
      <c r="AK502" s="1105">
        <f>MAX(0,MIN($C502/2,$C$500-SUM($C502:AJ502)))</f>
        <v>0</v>
      </c>
      <c r="AL502" s="1105">
        <f>MAX(0,MIN($C502/2,$C$500-SUM($C502:AK502)))</f>
        <v>0</v>
      </c>
      <c r="AM502" s="1106">
        <f>MAX(0,MIN($C502*2,$C$500-SUM($C502:AH502)))</f>
        <v>0</v>
      </c>
      <c r="AN502" s="1105">
        <f>MAX(0,MIN($C502*2,$C$500-SUM($C502:AI502)))</f>
        <v>0</v>
      </c>
      <c r="AO502" s="1105">
        <f>MAX(0,MIN($C502*2,$C$500-SUM($C502:AJ502)))</f>
        <v>0</v>
      </c>
      <c r="AP502" s="1105">
        <f>MAX(0,MIN($C502*2,$C$500-SUM($C502:AK502)))</f>
        <v>0</v>
      </c>
      <c r="AQ502" s="1105">
        <f>MAX(0,MIN($C502*2,$C$500-SUM($C502:AL502)))</f>
        <v>0</v>
      </c>
      <c r="AR502" s="1106">
        <f>MAX(0,MIN($C502*2,$C$500-SUM($C502:AM502)))</f>
        <v>0</v>
      </c>
      <c r="AS502" s="1105">
        <f>MAX(0,MIN($C502*2,$C$500-SUM($C502:AN502)))</f>
        <v>0</v>
      </c>
      <c r="AT502" s="1105">
        <f>MAX(0,MIN($C502*2,$C$500-SUM($C502:AO502)))</f>
        <v>0</v>
      </c>
      <c r="AU502" s="1105">
        <f>MAX(0,MIN($C502*2,$C$500-SUM($C502:AP502)))</f>
        <v>0</v>
      </c>
      <c r="AV502" s="1105">
        <f>MAX(0,MIN($C502*2,$C$500-SUM($C502:AQ502)))</f>
        <v>0</v>
      </c>
      <c r="AW502" s="1106">
        <f>MAX(0,MIN($C502*2,$C$500-SUM($C502:AR502)))</f>
        <v>0</v>
      </c>
      <c r="AX502" s="1105">
        <f>MAX(0,MIN($C502*2,$C$500-SUM($C502:AS502)))</f>
        <v>0</v>
      </c>
      <c r="AY502" s="1105">
        <f>MAX(0,MIN($C502*2,$C$500-SUM($C502:AT502)))</f>
        <v>0</v>
      </c>
      <c r="AZ502" s="1105">
        <f>MAX(0,MIN($C502*2,$C$500-SUM($C502:AU502)))</f>
        <v>0</v>
      </c>
      <c r="BA502" s="1105">
        <f>MAX(0,MIN($C502*2,$C$500-SUM($C502:AV502)))</f>
        <v>0</v>
      </c>
      <c r="BB502" s="1107">
        <f>MAX(0,MIN($C502*2,$C$500-SUM($C502:AW502)))</f>
        <v>0</v>
      </c>
      <c r="BC502" s="1105">
        <f>MAX(0,MIN($C502*2,$C$500-SUM($C502:AX502)))</f>
        <v>0</v>
      </c>
      <c r="BD502" s="1105">
        <f>MAX(0,MIN($C502*2,$C$500-SUM($C502:AY502)))</f>
        <v>0</v>
      </c>
      <c r="BE502" s="1105">
        <f>MAX(0,MIN($C502*2,$C$500-SUM($C502:AZ502)))</f>
        <v>0</v>
      </c>
      <c r="BF502" s="1105">
        <f>MAX(0,MIN($C502*2,$C$500-SUM($C502:BA502)))</f>
        <v>0</v>
      </c>
      <c r="BG502" s="1107">
        <f>MAX(0,MIN($C502*2,$C$500-SUM($C502:BB502)))</f>
        <v>0</v>
      </c>
      <c r="BH502" s="1105">
        <f>MAX(0,MIN($C502*2,$C$500-SUM($C502:BC502)))</f>
        <v>0</v>
      </c>
      <c r="BI502" s="1105">
        <f>MAX(0,MIN($C502*2,$C$500-SUM($C502:BD502)))</f>
        <v>0</v>
      </c>
      <c r="BJ502" s="1105">
        <f>MAX(0,MIN($C502*2,$C$500-SUM($C502:BE502)))</f>
        <v>0</v>
      </c>
      <c r="BK502" s="1105">
        <f>MAX(0,MIN($C502*2,$C$500-SUM($C502:BF502)))</f>
        <v>0</v>
      </c>
      <c r="BL502" s="1107">
        <f>MAX(0,MIN($C502*2,$C$500-SUM($C502:BG502)))</f>
        <v>0</v>
      </c>
      <c r="BM502" s="1102">
        <f>MAX(0,MIN($C502*2,$C$500-SUM($C502:BH502)))</f>
        <v>0</v>
      </c>
      <c r="BN502" s="1102">
        <f>MAX(0,MIN($C502*2,$C$500-SUM($C502:BI502)))</f>
        <v>0</v>
      </c>
      <c r="BO502" s="1102">
        <f>MAX(0,MIN($C502*2,$C$500-SUM($C502:BJ502)))</f>
        <v>0</v>
      </c>
      <c r="BP502" s="1102">
        <f>MAX(0,MIN($C502*2,$C$500-SUM($C502:BK502)))</f>
        <v>0</v>
      </c>
      <c r="BQ502" s="1107">
        <f>MAX(0,MIN($C502*2,$C$500-SUM($C502:BL502)))</f>
        <v>0</v>
      </c>
      <c r="BR502" s="1105">
        <f>MAX(0,MIN($C502*2,$C$500-SUM($C502:BM502)))</f>
        <v>0</v>
      </c>
      <c r="BS502" s="1105">
        <f>MAX(0,MIN($C502*2,$C$500-SUM($C502:BN502)))</f>
        <v>0</v>
      </c>
      <c r="BT502" s="1105">
        <f>MAX(0,MIN($C502*2,$C$500-SUM($C502:BO502)))</f>
        <v>0</v>
      </c>
      <c r="BU502" s="1105">
        <f>MAX(0,MIN($C502*2,$C$500-SUM($C502:BP502)))</f>
        <v>0</v>
      </c>
      <c r="BV502" s="1107">
        <f>MAX(0,MIN($C502*2,$C$500-SUM($C502:BQ502)))</f>
        <v>0</v>
      </c>
      <c r="BW502" s="1105">
        <f>MAX(0,MIN($C502*2,$C$500-SUM($C502:BR502)))</f>
        <v>0</v>
      </c>
      <c r="BX502" s="1105">
        <f>MAX(0,MIN($C502*2,$C$500-SUM($C502:BS502)))</f>
        <v>0</v>
      </c>
      <c r="BY502" s="1105">
        <f>MAX(0,MIN($C502*2,$C$500-SUM($C502:BT502)))</f>
        <v>0</v>
      </c>
      <c r="BZ502" s="1105">
        <f>MAX(0,MIN($C502*2,$C$500-SUM($C502:BU502)))</f>
        <v>0</v>
      </c>
      <c r="CA502" s="1107">
        <f>MAX(0,MIN($C502*2,$C$500-SUM($C502:BV502)))</f>
        <v>0</v>
      </c>
      <c r="CC502" s="383"/>
      <c r="CD502" s="383"/>
      <c r="CE502" s="1105"/>
      <c r="CF502" s="1105"/>
      <c r="CG502" s="1105"/>
      <c r="CH502" s="1105"/>
      <c r="CI502" s="1105"/>
      <c r="CJ502" s="1105"/>
      <c r="CK502" s="1105"/>
      <c r="CL502" s="1105"/>
      <c r="CM502" s="1105"/>
      <c r="CN502" s="1105"/>
      <c r="CO502" s="1105"/>
      <c r="CP502" s="14"/>
      <c r="CQ502" s="14"/>
      <c r="CR502" s="14"/>
      <c r="CS502" s="14"/>
      <c r="CT502" s="14"/>
      <c r="CU502" s="1961"/>
      <c r="DB502" s="1961"/>
      <c r="DC502" s="1961"/>
      <c r="DD502" s="1961"/>
      <c r="DE502" s="1961"/>
      <c r="DF502" s="1961"/>
      <c r="DG502" s="1961"/>
      <c r="DH502" s="1961"/>
      <c r="DI502" s="1105"/>
    </row>
    <row r="503" spans="1:113" hidden="1" outlineLevel="1" x14ac:dyDescent="0.25">
      <c r="A503" s="628"/>
      <c r="B503" s="1108"/>
      <c r="C503" s="1109"/>
      <c r="D503" s="383">
        <f>D500/B499*1/2</f>
        <v>0</v>
      </c>
      <c r="E503" s="1105">
        <f>MAX(0,MIN($D503/2,$D$500-SUM($D503:D503)))</f>
        <v>0</v>
      </c>
      <c r="F503" s="1105">
        <f>MAX(0,MIN($D503/2,$D$500-SUM($D503:E503)))</f>
        <v>0</v>
      </c>
      <c r="G503" s="1105">
        <f>MAX(0,MIN($D503/2,$D$500-SUM($D503:F503)))</f>
        <v>0</v>
      </c>
      <c r="H503" s="1105">
        <f>MAX(0,MIN($D503/2,$D$500-SUM($D503:G503)))</f>
        <v>0</v>
      </c>
      <c r="I503" s="1110"/>
      <c r="J503" s="1105">
        <f>MAX(0,MIN($D503/2,$D$500-SUM($D503:I503)))</f>
        <v>0</v>
      </c>
      <c r="K503" s="1105">
        <f>MAX(0,MIN($D503/2,$D$500-SUM($D503:J503)))</f>
        <v>0</v>
      </c>
      <c r="L503" s="1105">
        <f>MAX(0,MIN($D503/2,$D$500-SUM($D503:K503)))</f>
        <v>0</v>
      </c>
      <c r="M503" s="1105">
        <f>MAX(0,MIN($D503/2,$D$500-SUM($D503:L503)))</f>
        <v>0</v>
      </c>
      <c r="N503" s="1110"/>
      <c r="O503" s="1105">
        <f>MAX(0,MIN($D503/2,$D$500-SUM($D503:N503)))</f>
        <v>0</v>
      </c>
      <c r="P503" s="1105">
        <f>MAX(0,MIN($D503/2,$D$500-SUM($D503:O503)))</f>
        <v>0</v>
      </c>
      <c r="Q503" s="1105">
        <f>MAX(0,MIN($D503/2,$D$500-SUM($D503:P503)))</f>
        <v>0</v>
      </c>
      <c r="R503" s="1105">
        <f>MAX(0,MIN($D503/2,$D$500-SUM($D503:Q503)))</f>
        <v>0</v>
      </c>
      <c r="S503" s="1110"/>
      <c r="T503" s="1105">
        <f>MAX(0,MIN($D503/2,$D$500-SUM($D503:S503)))</f>
        <v>0</v>
      </c>
      <c r="U503" s="1105">
        <f>MAX(0,MIN($D503/2,$D$500-SUM($D503:T503)))</f>
        <v>0</v>
      </c>
      <c r="V503" s="1105">
        <f>MAX(0,MIN($D503/2,$D$500-SUM($D503:U503)))</f>
        <v>0</v>
      </c>
      <c r="W503" s="1105">
        <f>MAX(0,MIN($D503/2,$D$500-SUM($D503:V503)))</f>
        <v>0</v>
      </c>
      <c r="X503" s="1110"/>
      <c r="Y503" s="1105">
        <f>MAX(0,MIN($D503/2,$D$500-SUM($D503:X503)))</f>
        <v>0</v>
      </c>
      <c r="Z503" s="1105">
        <f>MAX(0,MIN($D503/2,$D$500-SUM($D503:Y503)))</f>
        <v>0</v>
      </c>
      <c r="AA503" s="1105">
        <f>MAX(0,MIN($D503/2,$D$500-SUM($D503:Z503)))</f>
        <v>0</v>
      </c>
      <c r="AB503" s="1105">
        <f>MAX(0,MIN($D503/2,$D$500-SUM($D503:AA503)))</f>
        <v>0</v>
      </c>
      <c r="AC503" s="1110"/>
      <c r="AD503" s="1105">
        <f>MAX(0,MIN($D503/2,$D$500-SUM($D503:AC503)))</f>
        <v>0</v>
      </c>
      <c r="AE503" s="1105">
        <f>MAX(0,MIN($D503/2,$D$500-SUM($D503:AD503)))</f>
        <v>0</v>
      </c>
      <c r="AF503" s="1105">
        <f>MAX(0,MIN($D503/2,$D$500-SUM($D503:AE503)))</f>
        <v>0</v>
      </c>
      <c r="AG503" s="1105">
        <f>MAX(0,MIN($D503/2,$D$500-SUM($D503:AF503)))</f>
        <v>0</v>
      </c>
      <c r="AH503" s="1110"/>
      <c r="AI503" s="1105">
        <f>MAX(0,MIN($D503/2,$D$500-SUM($D503:AH503)))</f>
        <v>0</v>
      </c>
      <c r="AJ503" s="1105">
        <f>MAX(0,MIN($D503/2,$D$500-SUM($D503:AI503)))</f>
        <v>0</v>
      </c>
      <c r="AK503" s="1105">
        <f>MAX(0,MIN($D503/2,$D$500-SUM($D503:AJ503)))</f>
        <v>0</v>
      </c>
      <c r="AL503" s="1105">
        <f>MAX(0,MIN($D503/2,$D$500-SUM($D503:AK503)))</f>
        <v>0</v>
      </c>
      <c r="AM503" s="1111">
        <f>MAX(0,MIN($D503*2,$D$500-SUM($D503:AH503)))</f>
        <v>0</v>
      </c>
      <c r="AN503" s="1105">
        <f>MAX(0,MIN($D503*2,$D$500-SUM($D503:AI503)))</f>
        <v>0</v>
      </c>
      <c r="AO503" s="1105">
        <f>MAX(0,MIN($D503*2,$D$500-SUM($D503:AJ503)))</f>
        <v>0</v>
      </c>
      <c r="AP503" s="1105">
        <f>MAX(0,MIN($D503*2,$D$500-SUM($D503:AK503)))</f>
        <v>0</v>
      </c>
      <c r="AQ503" s="1105">
        <f>MAX(0,MIN($D503*2,$D$500-SUM($D503:AL503)))</f>
        <v>0</v>
      </c>
      <c r="AR503" s="1111">
        <f>MAX(0,MIN($D503*2,$D$500-SUM($D503:AM503)))</f>
        <v>0</v>
      </c>
      <c r="AS503" s="1105">
        <f>MAX(0,MIN($D503*2,$D$500-SUM($D503:AN503)))</f>
        <v>0</v>
      </c>
      <c r="AT503" s="1105">
        <f>MAX(0,MIN($D503*2,$D$500-SUM($D503:AO503)))</f>
        <v>0</v>
      </c>
      <c r="AU503" s="1105">
        <f>MAX(0,MIN($D503*2,$D$500-SUM($D503:AP503)))</f>
        <v>0</v>
      </c>
      <c r="AV503" s="1105">
        <f>MAX(0,MIN($D503*2,$D$500-SUM($D503:AQ503)))</f>
        <v>0</v>
      </c>
      <c r="AW503" s="1106">
        <f>MAX(0,MIN($D503*2,$D$500-SUM($D503:AR503)))</f>
        <v>0</v>
      </c>
      <c r="AX503" s="1105">
        <f>MAX(0,MIN($D503*2,$D$500-SUM($D503:AS503)))</f>
        <v>0</v>
      </c>
      <c r="AY503" s="1105">
        <f>MAX(0,MIN($D503*2,$D$500-SUM($D503:AT503)))</f>
        <v>0</v>
      </c>
      <c r="AZ503" s="1105">
        <f>MAX(0,MIN($D503*2,$D$500-SUM($D503:AU503)))</f>
        <v>0</v>
      </c>
      <c r="BA503" s="1105">
        <f>MAX(0,MIN($D503*2,$D$500-SUM($D503:AV503)))</f>
        <v>0</v>
      </c>
      <c r="BB503" s="1107">
        <f>MAX(0,MIN($D503*2,$D$500-SUM($D503:AW503)))</f>
        <v>0</v>
      </c>
      <c r="BC503" s="1105">
        <f>MAX(0,MIN($D503*2,$D$500-SUM($D503:AX503)))</f>
        <v>0</v>
      </c>
      <c r="BD503" s="1105">
        <f>MAX(0,MIN($D503*2,$D$500-SUM($D503:AY503)))</f>
        <v>0</v>
      </c>
      <c r="BE503" s="1105">
        <f>MAX(0,MIN($D503*2,$D$500-SUM($D503:AZ503)))</f>
        <v>0</v>
      </c>
      <c r="BF503" s="1105">
        <f>MAX(0,MIN($D503*2,$D$500-SUM($D503:BA503)))</f>
        <v>0</v>
      </c>
      <c r="BG503" s="1107">
        <f>MAX(0,MIN($D503*2,$D$500-SUM($D503:BB503)))</f>
        <v>0</v>
      </c>
      <c r="BH503" s="1105">
        <f>MAX(0,MIN($D503*2,$D$500-SUM($D503:BC503)))</f>
        <v>0</v>
      </c>
      <c r="BI503" s="1105">
        <f>MAX(0,MIN($D503*2,$D$500-SUM($D503:BD503)))</f>
        <v>0</v>
      </c>
      <c r="BJ503" s="1105">
        <f>MAX(0,MIN($D503*2,$D$500-SUM($D503:BE503)))</f>
        <v>0</v>
      </c>
      <c r="BK503" s="1105">
        <f>MAX(0,MIN($D503*2,$D$500-SUM($D503:BF503)))</f>
        <v>0</v>
      </c>
      <c r="BL503" s="1107">
        <f>MAX(0,MIN($D503*2,$D$500-SUM($D503:BG503)))</f>
        <v>0</v>
      </c>
      <c r="BM503" s="1105">
        <f>MAX(0,MIN($D503*2,$D$500-SUM($D503:BH503)))</f>
        <v>0</v>
      </c>
      <c r="BN503" s="1105">
        <f>MAX(0,MIN($D503*2,$D$500-SUM($D503:BI503)))</f>
        <v>0</v>
      </c>
      <c r="BO503" s="1105">
        <f>MAX(0,MIN($D503*2,$D$500-SUM($D503:BJ503)))</f>
        <v>0</v>
      </c>
      <c r="BP503" s="1105">
        <f>MAX(0,MIN($D503*2,$D$500-SUM($D503:BK503)))</f>
        <v>0</v>
      </c>
      <c r="BQ503" s="1107">
        <f>MAX(0,MIN($D503*2,$D$500-SUM($D503:BL503)))</f>
        <v>0</v>
      </c>
      <c r="BR503" s="1105">
        <f>MAX(0,MIN($D503*2,$D$500-SUM($D503:BM503)))</f>
        <v>0</v>
      </c>
      <c r="BS503" s="1105">
        <f>MAX(0,MIN($D503*2,$D$500-SUM($D503:BN503)))</f>
        <v>0</v>
      </c>
      <c r="BT503" s="1105">
        <f>MAX(0,MIN($D503*2,$D$500-SUM($D503:BO503)))</f>
        <v>0</v>
      </c>
      <c r="BU503" s="1105">
        <f>MAX(0,MIN($D503*2,$D$500-SUM($D503:BP503)))</f>
        <v>0</v>
      </c>
      <c r="BV503" s="1107">
        <f>MAX(0,MIN($D503*2,$D$500-SUM($D503:BQ503)))</f>
        <v>0</v>
      </c>
      <c r="BW503" s="1105">
        <f>MAX(0,MIN($D503*2,$D$500-SUM($D503:BR503)))</f>
        <v>0</v>
      </c>
      <c r="BX503" s="1105">
        <f>MAX(0,MIN($D503*2,$D$500-SUM($D503:BS503)))</f>
        <v>0</v>
      </c>
      <c r="BY503" s="1105">
        <f>MAX(0,MIN($D503*2,$D$500-SUM($D503:BT503)))</f>
        <v>0</v>
      </c>
      <c r="BZ503" s="1105">
        <f>MAX(0,MIN($D503*2,$D$500-SUM($D503:BU503)))</f>
        <v>0</v>
      </c>
      <c r="CA503" s="1107">
        <f>MAX(0,MIN($D503*2,$D$500-SUM($D503:BV503)))</f>
        <v>0</v>
      </c>
      <c r="CC503" s="383"/>
      <c r="CD503" s="383"/>
      <c r="CE503" s="1105"/>
      <c r="CF503" s="1105"/>
      <c r="CG503" s="1105"/>
      <c r="CH503" s="1105"/>
      <c r="CI503" s="1105"/>
      <c r="CJ503" s="1105"/>
      <c r="CK503" s="1105"/>
      <c r="CL503" s="1105"/>
      <c r="CM503" s="1105"/>
      <c r="CN503" s="1105"/>
      <c r="CO503" s="1105"/>
      <c r="CP503" s="14"/>
      <c r="CQ503" s="14"/>
      <c r="CR503" s="14"/>
      <c r="CS503" s="14"/>
      <c r="CT503" s="14"/>
      <c r="CU503" s="1961"/>
      <c r="DB503" s="1961"/>
      <c r="DC503" s="1961"/>
      <c r="DD503" s="1961"/>
      <c r="DE503" s="1961"/>
      <c r="DF503" s="1961"/>
      <c r="DG503" s="1961"/>
      <c r="DH503" s="1961"/>
      <c r="DI503" s="1105"/>
    </row>
    <row r="504" spans="1:113" hidden="1" outlineLevel="1" x14ac:dyDescent="0.25">
      <c r="A504" s="628"/>
      <c r="B504" s="1112"/>
      <c r="C504" s="1105"/>
      <c r="D504" s="1105"/>
      <c r="E504" s="383">
        <f>E500/B499*1/8</f>
        <v>0</v>
      </c>
      <c r="F504" s="383">
        <f>MAX(0,MIN($E504*2,$E$500-SUM($E504:E504)))</f>
        <v>0</v>
      </c>
      <c r="G504" s="383">
        <f>MAX(0,MIN($E504*2,$E$500-SUM($E504:F504)))</f>
        <v>0</v>
      </c>
      <c r="H504" s="383">
        <f>MAX(0,MIN($E504*2,$E$500-SUM($E504:G504)))</f>
        <v>0</v>
      </c>
      <c r="I504" s="1110"/>
      <c r="J504" s="383">
        <f>MAX(0,MIN($E504*2,$E$500-SUM($E504:I504)))</f>
        <v>0</v>
      </c>
      <c r="K504" s="383">
        <f>MAX(0,MIN($E504*2,$E$500-SUM($E504:J504)))</f>
        <v>0</v>
      </c>
      <c r="L504" s="383">
        <f>MAX(0,MIN($E504*2,$E$500-SUM($E504:K504)))</f>
        <v>0</v>
      </c>
      <c r="M504" s="383">
        <f>MAX(0,MIN(E504*2,E500-SUM(E504:L504)))</f>
        <v>0</v>
      </c>
      <c r="N504" s="1110"/>
      <c r="O504" s="383">
        <f>MAX(0,MIN($E504*2,$E$500-SUM($E504:N504)))</f>
        <v>0</v>
      </c>
      <c r="P504" s="383">
        <f>MAX(0,MIN($E504*2,$E$500-SUM($E504:O504)))</f>
        <v>0</v>
      </c>
      <c r="Q504" s="383">
        <f>MAX(0,MIN($E504*2,$E$500-SUM($E504:P504)))</f>
        <v>0</v>
      </c>
      <c r="R504" s="383">
        <f>MAX(0,MIN($E504*2,$E$500-SUM($E504:Q504)))</f>
        <v>0</v>
      </c>
      <c r="S504" s="1110"/>
      <c r="T504" s="383">
        <f>MAX(0,MIN($E504*2,$E$500-SUM($E504:S504)))</f>
        <v>0</v>
      </c>
      <c r="U504" s="383">
        <f>MAX(0,MIN($E504*2,$E$500-SUM($E504:T504)))</f>
        <v>0</v>
      </c>
      <c r="V504" s="383">
        <f>MAX(0,MIN($E504*2,$E$500-SUM($E504:U504)))</f>
        <v>0</v>
      </c>
      <c r="W504" s="383">
        <f>MAX(0,MIN($E504*2,$E$500-SUM($E504:V504)))</f>
        <v>0</v>
      </c>
      <c r="X504" s="1110"/>
      <c r="Y504" s="383">
        <f>MAX(0,MIN($E504*2,$E$500-SUM($E504:X504)))</f>
        <v>0</v>
      </c>
      <c r="Z504" s="383">
        <f>MAX(0,MIN($E504*2,$E$500-SUM($E504:Y504)))</f>
        <v>0</v>
      </c>
      <c r="AA504" s="383">
        <f>MAX(0,MIN($E504*2,$E$500-SUM($E504:Z504)))</f>
        <v>0</v>
      </c>
      <c r="AB504" s="383">
        <f>MAX(0,MIN($E504*2,$E$500-SUM($E504:AA504)))</f>
        <v>0</v>
      </c>
      <c r="AC504" s="1110"/>
      <c r="AD504" s="383">
        <f>MAX(0,MIN($E504*2,$E$500-SUM($E504:AC504)))</f>
        <v>0</v>
      </c>
      <c r="AE504" s="383">
        <f>MAX(0,MIN($E504*2,$E$500-SUM($E504:AD504)))</f>
        <v>0</v>
      </c>
      <c r="AF504" s="383">
        <f>MAX(0,MIN($E504*2,$E$500-SUM($E504:AE504)))</f>
        <v>0</v>
      </c>
      <c r="AG504" s="383">
        <f>MAX(0,MIN($E504*2,$E$500-SUM($E504:AF504)))</f>
        <v>0</v>
      </c>
      <c r="AH504" s="1110"/>
      <c r="AI504" s="383">
        <f>MAX(0,MIN($E504*2,$E$500-SUM($E504:AH504)))</f>
        <v>0</v>
      </c>
      <c r="AJ504" s="383">
        <f>MAX(0,MIN($E504*2,$E$500-SUM($E504:AI504)))</f>
        <v>0</v>
      </c>
      <c r="AK504" s="383">
        <f>MAX(0,MIN($E504*2,$E$500-SUM($E504:AJ504)))</f>
        <v>0</v>
      </c>
      <c r="AL504" s="383">
        <f>MAX(0,MIN($E504*2,$E$500-SUM($E504:AK504)))</f>
        <v>0</v>
      </c>
      <c r="AM504" s="1111">
        <f>MAX(0,MIN($E504*8,$E$500-SUM($E504:AH504)))</f>
        <v>0</v>
      </c>
      <c r="AN504" s="383">
        <f>MAX(0,MIN($E504*8,$E$500-SUM($E504:AI504)))</f>
        <v>0</v>
      </c>
      <c r="AO504" s="383">
        <f>MAX(0,MIN($E504*8,$E$500-SUM($E504:AJ504)))</f>
        <v>0</v>
      </c>
      <c r="AP504" s="383">
        <f>MAX(0,MIN($E504*8,$E$500-SUM($E504:AK504)))</f>
        <v>0</v>
      </c>
      <c r="AQ504" s="383">
        <f>MAX(0,MIN($E504*8,$E$500-SUM($E504:AL504)))</f>
        <v>0</v>
      </c>
      <c r="AR504" s="1111">
        <f>MAX(0,MIN($E504*8,$E$500-SUM($E504:AM504)))</f>
        <v>0</v>
      </c>
      <c r="AS504" s="383">
        <f>MAX(0,MIN($E504*8,$E$500-SUM($E504:AN504)))</f>
        <v>0</v>
      </c>
      <c r="AT504" s="383">
        <f>MAX(0,MIN($E504*8,$E$500-SUM($E504:AO504)))</f>
        <v>0</v>
      </c>
      <c r="AU504" s="383">
        <f>MAX(0,MIN($E504*8,$E$500-SUM($E504:AP504)))</f>
        <v>0</v>
      </c>
      <c r="AV504" s="383">
        <f>MAX(0,MIN($E504*8,$E$500-SUM($E504:AQ504)))</f>
        <v>0</v>
      </c>
      <c r="AW504" s="1106">
        <f>MAX(0,MIN($E504*8,$E$500-SUM($E504:AR504)))</f>
        <v>0</v>
      </c>
      <c r="AX504" s="383">
        <f>MAX(0,MIN($E504*8,$E$500-SUM($E504:AS504)))</f>
        <v>0</v>
      </c>
      <c r="AY504" s="383">
        <f>MAX(0,MIN($E504*8,$E$500-SUM($E504:AT504)))</f>
        <v>0</v>
      </c>
      <c r="AZ504" s="383">
        <f>MAX(0,MIN($E504*8,$E$500-SUM($E504:AU504)))</f>
        <v>0</v>
      </c>
      <c r="BA504" s="383">
        <f>MAX(0,MIN($E504*8,$E$500-SUM($E504:AV504)))</f>
        <v>0</v>
      </c>
      <c r="BB504" s="1107">
        <f>MAX(0,MIN($E504*8,$E$500-SUM($E504:AW504)))</f>
        <v>0</v>
      </c>
      <c r="BC504" s="383">
        <f>MAX(0,MIN($E504*8,$E$500-SUM($E504:AX504)))</f>
        <v>0</v>
      </c>
      <c r="BD504" s="383">
        <f>MAX(0,MIN($E504*8,$E$500-SUM($E504:AY504)))</f>
        <v>0</v>
      </c>
      <c r="BE504" s="383">
        <f>MAX(0,MIN($E504*8,$E$500-SUM($E504:AZ504)))</f>
        <v>0</v>
      </c>
      <c r="BF504" s="383">
        <f>MAX(0,MIN($E504*8,$E$500-SUM($E504:BA504)))</f>
        <v>0</v>
      </c>
      <c r="BG504" s="1107">
        <f>MAX(0,MIN($E504*8,$E$500-SUM($E504:BB504)))</f>
        <v>0</v>
      </c>
      <c r="BH504" s="383">
        <f>MAX(0,MIN($E504*8,$E$500-SUM($E504:BC504)))</f>
        <v>0</v>
      </c>
      <c r="BI504" s="383">
        <f>MAX(0,MIN($E504*8,$E$500-SUM($E504:BD504)))</f>
        <v>0</v>
      </c>
      <c r="BJ504" s="383">
        <f>MAX(0,MIN($E504*8,$E$500-SUM($E504:BE504)))</f>
        <v>0</v>
      </c>
      <c r="BK504" s="383">
        <f>MAX(0,MIN($E504*8,$E$500-SUM($E504:BF504)))</f>
        <v>0</v>
      </c>
      <c r="BL504" s="1107">
        <f>MAX(0,MIN($E504*8,$E$500-SUM($E504:BG504)))</f>
        <v>0</v>
      </c>
      <c r="BM504" s="383">
        <f>MAX(0,MIN($E504*8,$E$500-SUM($E504:BH504)))</f>
        <v>0</v>
      </c>
      <c r="BN504" s="383">
        <f>MAX(0,MIN($E504*8,$E$500-SUM($E504:BI504)))</f>
        <v>0</v>
      </c>
      <c r="BO504" s="383">
        <f>MAX(0,MIN($E504*8,$E$500-SUM($E504:BJ504)))</f>
        <v>0</v>
      </c>
      <c r="BP504" s="383">
        <f>MAX(0,MIN($E504*8,$E$500-SUM($E504:BK504)))</f>
        <v>0</v>
      </c>
      <c r="BQ504" s="1107">
        <f>MAX(0,MIN($E504*8,$E$500-SUM($E504:BL504)))</f>
        <v>0</v>
      </c>
      <c r="BR504" s="383">
        <f>MAX(0,MIN($E504*8,$E$500-SUM($E504:BM504)))</f>
        <v>0</v>
      </c>
      <c r="BS504" s="383">
        <f>MAX(0,MIN($E504*8,$E$500-SUM($E504:BN504)))</f>
        <v>0</v>
      </c>
      <c r="BT504" s="383">
        <f>MAX(0,MIN($E504*8,$E$500-SUM($E504:BO504)))</f>
        <v>0</v>
      </c>
      <c r="BU504" s="383">
        <f>MAX(0,MIN($E504*8,$E$500-SUM($E504:BP504)))</f>
        <v>0</v>
      </c>
      <c r="BV504" s="1107">
        <f>MAX(0,MIN($E504*8,$E$500-SUM($E504:BQ504)))</f>
        <v>0</v>
      </c>
      <c r="BW504" s="383">
        <f>MAX(0,MIN($E504*8,$E$500-SUM($E504:BR504)))</f>
        <v>0</v>
      </c>
      <c r="BX504" s="383">
        <f>MAX(0,MIN($E504*8,$E$500-SUM($E504:BS504)))</f>
        <v>0</v>
      </c>
      <c r="BY504" s="383">
        <f>MAX(0,MIN($E504*8,$E$500-SUM($E504:BT504)))</f>
        <v>0</v>
      </c>
      <c r="BZ504" s="383">
        <f>MAX(0,MIN($E504*8,$E$500-SUM($E504:BU504)))</f>
        <v>0</v>
      </c>
      <c r="CA504" s="1107">
        <f>MAX(0,MIN($E504*8,$E$500-SUM($E504:BV504)))</f>
        <v>0</v>
      </c>
      <c r="CC504" s="383"/>
      <c r="CD504" s="383"/>
      <c r="CE504" s="383"/>
      <c r="CF504" s="383"/>
      <c r="CG504" s="383"/>
      <c r="CH504" s="383"/>
      <c r="CI504" s="383"/>
      <c r="CJ504" s="383"/>
      <c r="CK504" s="383"/>
      <c r="CL504" s="383"/>
      <c r="CM504" s="383"/>
      <c r="CN504" s="383"/>
      <c r="CO504" s="383"/>
      <c r="CP504" s="14"/>
      <c r="CQ504" s="14"/>
      <c r="CR504" s="14"/>
      <c r="CS504" s="14"/>
      <c r="CT504" s="14"/>
      <c r="CU504" s="1961"/>
      <c r="DB504" s="1961"/>
      <c r="DC504" s="1961"/>
      <c r="DD504" s="1961"/>
      <c r="DE504" s="1961"/>
      <c r="DF504" s="1961"/>
      <c r="DG504" s="1961"/>
      <c r="DH504" s="1961"/>
      <c r="DI504" s="1105"/>
    </row>
    <row r="505" spans="1:113" hidden="1" outlineLevel="1" x14ac:dyDescent="0.25">
      <c r="A505" s="628"/>
      <c r="B505" s="1112"/>
      <c r="C505" s="1105"/>
      <c r="D505" s="1105"/>
      <c r="E505" s="1100"/>
      <c r="F505" s="383">
        <f>F500/B499*1/8</f>
        <v>0</v>
      </c>
      <c r="G505" s="383">
        <f>MAX(0,MIN(F505*2,F500-SUM(F505:F505)))</f>
        <v>0</v>
      </c>
      <c r="H505" s="383">
        <f>MAX(0,MIN($F505*2,$F$500-SUM($F505:G505)))</f>
        <v>0</v>
      </c>
      <c r="I505" s="1110"/>
      <c r="J505" s="383">
        <f>MAX(0,MIN($F505*2,$F$500-SUM($F505:I505)))</f>
        <v>0</v>
      </c>
      <c r="K505" s="383">
        <f>MAX(0,MIN($F505*2,$F$500-SUM($F505:J505)))</f>
        <v>0</v>
      </c>
      <c r="L505" s="383">
        <f>MAX(0,MIN($F505*2,$F$500-SUM($F505:K505)))</f>
        <v>0</v>
      </c>
      <c r="M505" s="383">
        <f>MAX(0,MIN($F505*2,$F$500-SUM($F505:L505)))</f>
        <v>0</v>
      </c>
      <c r="N505" s="1110"/>
      <c r="O505" s="383">
        <f>MAX(0,MIN($F505*2,$F$500-SUM($F505:N505)))</f>
        <v>0</v>
      </c>
      <c r="P505" s="383">
        <f>MAX(0,MIN($F505*2,$F$500-SUM($F505:O505)))</f>
        <v>0</v>
      </c>
      <c r="Q505" s="383">
        <f>MAX(0,MIN($F505*2,$F$500-SUM($F505:P505)))</f>
        <v>0</v>
      </c>
      <c r="R505" s="383">
        <f>MAX(0,MIN($F505*2,$F$500-SUM($F505:Q505)))</f>
        <v>0</v>
      </c>
      <c r="S505" s="1110"/>
      <c r="T505" s="383">
        <f>MAX(0,MIN($F505*2,$F$500-SUM($F505:S505)))</f>
        <v>0</v>
      </c>
      <c r="U505" s="383">
        <f>MAX(0,MIN($F505*2,$F$500-SUM($F505:T505)))</f>
        <v>0</v>
      </c>
      <c r="V505" s="383">
        <f>MAX(0,MIN($F505*2,$F$500-SUM($F505:U505)))</f>
        <v>0</v>
      </c>
      <c r="W505" s="383">
        <f>MAX(0,MIN($F505*2,$F$500-SUM($F505:V505)))</f>
        <v>0</v>
      </c>
      <c r="X505" s="1110"/>
      <c r="Y505" s="383">
        <f>MAX(0,MIN($F505*2,$F$500-SUM($F505:X505)))</f>
        <v>0</v>
      </c>
      <c r="Z505" s="383">
        <f>MAX(0,MIN($F505*2,$F$500-SUM($F505:Y505)))</f>
        <v>0</v>
      </c>
      <c r="AA505" s="383">
        <f>MAX(0,MIN($F505*2,$F$500-SUM($F505:Z505)))</f>
        <v>0</v>
      </c>
      <c r="AB505" s="383">
        <f>MAX(0,MIN($F505*2,$F$500-SUM($F505:AA505)))</f>
        <v>0</v>
      </c>
      <c r="AC505" s="1110"/>
      <c r="AD505" s="383">
        <f>MAX(0,MIN($F505*2,$F$500-SUM($F505:AC505)))</f>
        <v>0</v>
      </c>
      <c r="AE505" s="383">
        <f>MAX(0,MIN($F505*2,$F$500-SUM($F505:AD505)))</f>
        <v>0</v>
      </c>
      <c r="AF505" s="383">
        <f>MAX(0,MIN($F505*2,$F$500-SUM($F505:AE505)))</f>
        <v>0</v>
      </c>
      <c r="AG505" s="383">
        <f>MAX(0,MIN($F505*2,$F$500-SUM($F505:AF505)))</f>
        <v>0</v>
      </c>
      <c r="AH505" s="1110"/>
      <c r="AI505" s="383">
        <f>MAX(0,MIN($F505*2,$F$500-SUM($F505:AH505)))</f>
        <v>0</v>
      </c>
      <c r="AJ505" s="383">
        <f>MAX(0,MIN($F505*2,$F$500-SUM($F505:AI505)))</f>
        <v>0</v>
      </c>
      <c r="AK505" s="383">
        <f>MAX(0,MIN($F505*2,$F$500-SUM($F505:AJ505)))</f>
        <v>0</v>
      </c>
      <c r="AL505" s="383">
        <f>MAX(0,MIN($F505*2,$F$500-SUM($F505:AK505)))</f>
        <v>0</v>
      </c>
      <c r="AM505" s="1111">
        <f>MAX(0,MIN($F505*8,$F$500-SUM($F505:AH505)))</f>
        <v>0</v>
      </c>
      <c r="AN505" s="383">
        <f>MAX(0,MIN($F505*8,$F$500-SUM($F505:AI505)))</f>
        <v>0</v>
      </c>
      <c r="AO505" s="383">
        <f>MAX(0,MIN($F505*8,$F$500-SUM($F505:AJ505)))</f>
        <v>0</v>
      </c>
      <c r="AP505" s="383">
        <f>MAX(0,MIN($F505*8,$F$500-SUM($F505:AK505)))</f>
        <v>0</v>
      </c>
      <c r="AQ505" s="383">
        <f>MAX(0,MIN($F505*8,$F$500-SUM($F505:AL505)))</f>
        <v>0</v>
      </c>
      <c r="AR505" s="1111">
        <f>MAX(0,MIN($F505*8,$F$500-SUM($F505:AM505)))</f>
        <v>0</v>
      </c>
      <c r="AS505" s="383">
        <f>MAX(0,MIN($F505*8,$F$500-SUM($F505:AN505)))</f>
        <v>0</v>
      </c>
      <c r="AT505" s="383">
        <f>MAX(0,MIN($F505*8,$F$500-SUM($F505:AO505)))</f>
        <v>0</v>
      </c>
      <c r="AU505" s="383">
        <f>MAX(0,MIN($F505*8,$F$500-SUM($F505:AP505)))</f>
        <v>0</v>
      </c>
      <c r="AV505" s="383">
        <f>MAX(0,MIN($F505*8,$F$500-SUM($F505:AQ505)))</f>
        <v>0</v>
      </c>
      <c r="AW505" s="1106">
        <f>MAX(0,MIN($F505*8,$F$500-SUM($F505:AR505)))</f>
        <v>0</v>
      </c>
      <c r="AX505" s="383">
        <f>MAX(0,MIN($F505*8,$F$500-SUM($F505:AS505)))</f>
        <v>0</v>
      </c>
      <c r="AY505" s="383">
        <f>MAX(0,MIN($F505*8,$F$500-SUM($F505:AT505)))</f>
        <v>0</v>
      </c>
      <c r="AZ505" s="383">
        <f>MAX(0,MIN($F505*8,$F$500-SUM($F505:AU505)))</f>
        <v>0</v>
      </c>
      <c r="BA505" s="383">
        <f>MAX(0,MIN($F505*8,$F$500-SUM($F505:AV505)))</f>
        <v>0</v>
      </c>
      <c r="BB505" s="1107">
        <f>MAX(0,MIN($F505*8,$F$500-SUM($F505:AW505)))</f>
        <v>0</v>
      </c>
      <c r="BC505" s="383">
        <f>MAX(0,MIN($F505*8,$F$500-SUM($F505:AX505)))</f>
        <v>0</v>
      </c>
      <c r="BD505" s="383">
        <f>MAX(0,MIN($F505*8,$F$500-SUM($F505:AY505)))</f>
        <v>0</v>
      </c>
      <c r="BE505" s="383">
        <f>MAX(0,MIN($F505*8,$F$500-SUM($F505:AZ505)))</f>
        <v>0</v>
      </c>
      <c r="BF505" s="383">
        <f>MAX(0,MIN($F505*8,$F$500-SUM($F505:BA505)))</f>
        <v>0</v>
      </c>
      <c r="BG505" s="1107">
        <f>MAX(0,MIN($F505*8,$F$500-SUM($F505:BB505)))</f>
        <v>0</v>
      </c>
      <c r="BH505" s="383">
        <f>MAX(0,MIN($F505*8,$F$500-SUM($F505:BC505)))</f>
        <v>0</v>
      </c>
      <c r="BI505" s="383">
        <f>MAX(0,MIN($F505*8,$F$500-SUM($F505:BD505)))</f>
        <v>0</v>
      </c>
      <c r="BJ505" s="383">
        <f>MAX(0,MIN($F505*8,$F$500-SUM($F505:BE505)))</f>
        <v>0</v>
      </c>
      <c r="BK505" s="383">
        <f>MAX(0,MIN($F505*8,$F$500-SUM($F505:BF505)))</f>
        <v>0</v>
      </c>
      <c r="BL505" s="1107">
        <f>MAX(0,MIN($F505*8,$F$500-SUM($F505:BG505)))</f>
        <v>0</v>
      </c>
      <c r="BM505" s="383">
        <f>MAX(0,MIN($F505*8,$F$500-SUM($F505:BH505)))</f>
        <v>0</v>
      </c>
      <c r="BN505" s="383">
        <f>MAX(0,MIN($F505*8,$F$500-SUM($F505:BI505)))</f>
        <v>0</v>
      </c>
      <c r="BO505" s="383">
        <f>MAX(0,MIN($F505*8,$F$500-SUM($F505:BJ505)))</f>
        <v>0</v>
      </c>
      <c r="BP505" s="383">
        <f>MAX(0,MIN($F505*8,$F$500-SUM($F505:BK505)))</f>
        <v>0</v>
      </c>
      <c r="BQ505" s="1107">
        <f>MAX(0,MIN($F505*8,$F$500-SUM($F505:BL505)))</f>
        <v>0</v>
      </c>
      <c r="BR505" s="383">
        <f>MAX(0,MIN($F505*8,$F$500-SUM($F505:BM505)))</f>
        <v>0</v>
      </c>
      <c r="BS505" s="383">
        <f>MAX(0,MIN($F505*8,$F$500-SUM($F505:BN505)))</f>
        <v>0</v>
      </c>
      <c r="BT505" s="383">
        <f>MAX(0,MIN($F505*8,$F$500-SUM($F505:BO505)))</f>
        <v>0</v>
      </c>
      <c r="BU505" s="383">
        <f>MAX(0,MIN($F505*8,$F$500-SUM($F505:BP505)))</f>
        <v>0</v>
      </c>
      <c r="BV505" s="1107">
        <f>MAX(0,MIN($F505*8,$F$500-SUM($F505:BQ505)))</f>
        <v>0</v>
      </c>
      <c r="BW505" s="383">
        <f>MAX(0,MIN($F505*8,$F$500-SUM($F505:BR505)))</f>
        <v>0</v>
      </c>
      <c r="BX505" s="383">
        <f>MAX(0,MIN($F505*8,$F$500-SUM($F505:BS505)))</f>
        <v>0</v>
      </c>
      <c r="BY505" s="383">
        <f>MAX(0,MIN($F505*8,$F$500-SUM($F505:BT505)))</f>
        <v>0</v>
      </c>
      <c r="BZ505" s="383">
        <f>MAX(0,MIN($F505*8,$F$500-SUM($F505:BU505)))</f>
        <v>0</v>
      </c>
      <c r="CA505" s="1107">
        <f>MAX(0,MIN($F505*8,$F$500-SUM($F505:BV505)))</f>
        <v>0</v>
      </c>
      <c r="CC505" s="383"/>
      <c r="CD505" s="383"/>
      <c r="CE505" s="383"/>
      <c r="CF505" s="383"/>
      <c r="CG505" s="383"/>
      <c r="CH505" s="383"/>
      <c r="CI505" s="383"/>
      <c r="CJ505" s="383"/>
      <c r="CK505" s="383"/>
      <c r="CL505" s="383"/>
      <c r="CM505" s="383"/>
      <c r="CN505" s="383"/>
      <c r="CO505" s="383"/>
      <c r="CP505" s="14"/>
      <c r="CQ505" s="14"/>
      <c r="CR505" s="14"/>
      <c r="CS505" s="14"/>
      <c r="CT505" s="14"/>
      <c r="CU505" s="1961"/>
      <c r="DB505" s="1961"/>
      <c r="DC505" s="1961"/>
      <c r="DD505" s="1961"/>
      <c r="DE505" s="1961"/>
      <c r="DF505" s="1961"/>
      <c r="DG505" s="1961"/>
      <c r="DH505" s="1961"/>
      <c r="DI505" s="1105"/>
    </row>
    <row r="506" spans="1:113" hidden="1" outlineLevel="1" x14ac:dyDescent="0.25">
      <c r="A506" s="628"/>
      <c r="B506" s="1112"/>
      <c r="C506" s="1105"/>
      <c r="D506" s="1105"/>
      <c r="E506" s="1100"/>
      <c r="F506" s="1100"/>
      <c r="G506" s="383">
        <f>G500/B499*1/8</f>
        <v>0</v>
      </c>
      <c r="H506" s="1105">
        <f>MAX(0,MIN($G506*2,$G$500-SUM($G506:G506)))</f>
        <v>0</v>
      </c>
      <c r="I506" s="1110"/>
      <c r="J506" s="1105">
        <f>MAX(0,MIN($G506*2,$G$500-SUM($G506:I506)))</f>
        <v>0</v>
      </c>
      <c r="K506" s="1105">
        <f>MAX(0,MIN($G506*2,$G$500-SUM($G506:J506)))</f>
        <v>0</v>
      </c>
      <c r="L506" s="1105">
        <f>MAX(0,MIN($G506*2,$G$500-SUM($G506:K506)))</f>
        <v>0</v>
      </c>
      <c r="M506" s="1105">
        <f>MAX(0,MIN($G506*2,$G$500-SUM($G506:L506)))</f>
        <v>0</v>
      </c>
      <c r="N506" s="1110"/>
      <c r="O506" s="1105">
        <f>MAX(0,MIN($G506*2,$G$500-SUM($G506:N506)))</f>
        <v>0</v>
      </c>
      <c r="P506" s="1105">
        <f>MAX(0,MIN($G506*2,$G$500-SUM($G506:O506)))</f>
        <v>0</v>
      </c>
      <c r="Q506" s="1105">
        <f>MAX(0,MIN($G506*2,$G$500-SUM($G506:P506)))</f>
        <v>0</v>
      </c>
      <c r="R506" s="1105">
        <f>MAX(0,MIN($G506*2,$G$500-SUM($G506:Q506)))</f>
        <v>0</v>
      </c>
      <c r="S506" s="1110"/>
      <c r="T506" s="1105">
        <f>MAX(0,MIN($G506*2,$G$500-SUM($G506:S506)))</f>
        <v>0</v>
      </c>
      <c r="U506" s="1105">
        <f>MAX(0,MIN($G506*2,$G$500-SUM($G506:T506)))</f>
        <v>0</v>
      </c>
      <c r="V506" s="1105">
        <f>MAX(0,MIN($G506*2,$G$500-SUM($G506:U506)))</f>
        <v>0</v>
      </c>
      <c r="W506" s="1105">
        <f>MAX(0,MIN($G506*2,$G$500-SUM($G506:V506)))</f>
        <v>0</v>
      </c>
      <c r="X506" s="1110"/>
      <c r="Y506" s="1105">
        <f>MAX(0,MIN($G506*2,$G$500-SUM($G506:X506)))</f>
        <v>0</v>
      </c>
      <c r="Z506" s="1105">
        <f>MAX(0,MIN($G506*2,$G$500-SUM($G506:Y506)))</f>
        <v>0</v>
      </c>
      <c r="AA506" s="1105">
        <f>MAX(0,MIN($G506*2,$G$500-SUM($G506:Z506)))</f>
        <v>0</v>
      </c>
      <c r="AB506" s="1105">
        <f>MAX(0,MIN($G506*2,$G$500-SUM($G506:AA506)))</f>
        <v>0</v>
      </c>
      <c r="AC506" s="1110"/>
      <c r="AD506" s="1105">
        <f>MAX(0,MIN($G506*2,$G$500-SUM($G506:AC506)))</f>
        <v>0</v>
      </c>
      <c r="AE506" s="1105">
        <f>MAX(0,MIN($G506*2,$G$500-SUM($G506:AD506)))</f>
        <v>0</v>
      </c>
      <c r="AF506" s="1105">
        <f>MAX(0,MIN($G506*2,$G$500-SUM($G506:AE506)))</f>
        <v>0</v>
      </c>
      <c r="AG506" s="1105">
        <f>MAX(0,MIN($G506*2,$G$500-SUM($G506:AF506)))</f>
        <v>0</v>
      </c>
      <c r="AH506" s="1110"/>
      <c r="AI506" s="1105">
        <f>MAX(0,MIN($G506*2,$G$500-SUM($G506:AH506)))</f>
        <v>0</v>
      </c>
      <c r="AJ506" s="1105">
        <f>MAX(0,MIN($G506*2,$G$500-SUM($G506:AI506)))</f>
        <v>0</v>
      </c>
      <c r="AK506" s="1105">
        <f>MAX(0,MIN($G506*2,$G$500-SUM($G506:AJ506)))</f>
        <v>0</v>
      </c>
      <c r="AL506" s="1105">
        <f>MAX(0,MIN($G506*2,$G$500-SUM($G506:AK506)))</f>
        <v>0</v>
      </c>
      <c r="AM506" s="1111">
        <f>MAX(0,MIN($G506*8,$G$500-SUM($G506:AH506)))</f>
        <v>0</v>
      </c>
      <c r="AN506" s="1105">
        <f>MAX(0,MIN($G506*8,$G$500-SUM($G506:AI506)))</f>
        <v>0</v>
      </c>
      <c r="AO506" s="1105">
        <f>MAX(0,MIN($G506*8,$G$500-SUM($G506:AJ506)))</f>
        <v>0</v>
      </c>
      <c r="AP506" s="1105">
        <f>MAX(0,MIN($G506*8,$G$500-SUM($G506:AK506)))</f>
        <v>0</v>
      </c>
      <c r="AQ506" s="1105">
        <f>MAX(0,MIN($G506*8,$G$500-SUM($G506:AL506)))</f>
        <v>0</v>
      </c>
      <c r="AR506" s="1111">
        <f>MAX(0,MIN($G506*8,$G$500-SUM($G506:AM506)))</f>
        <v>0</v>
      </c>
      <c r="AS506" s="1105">
        <f>MAX(0,MIN($G506*8,$G$500-SUM($G506:AN506)))</f>
        <v>0</v>
      </c>
      <c r="AT506" s="1105">
        <f>MAX(0,MIN($G506*8,$G$500-SUM($G506:AO506)))</f>
        <v>0</v>
      </c>
      <c r="AU506" s="1105">
        <f>MAX(0,MIN($G506*8,$G$500-SUM($G506:AP506)))</f>
        <v>0</v>
      </c>
      <c r="AV506" s="1105">
        <f>MAX(0,MIN($G506*8,$G$500-SUM($G506:AQ506)))</f>
        <v>0</v>
      </c>
      <c r="AW506" s="1106">
        <f>MAX(0,MIN($G506*8,$G$500-SUM($G506:AR506)))</f>
        <v>0</v>
      </c>
      <c r="AX506" s="1105">
        <f>MAX(0,MIN($G506*8,$G$500-SUM($G506:AS506)))</f>
        <v>0</v>
      </c>
      <c r="AY506" s="1105">
        <f>MAX(0,MIN($G506*8,$G$500-SUM($G506:AT506)))</f>
        <v>0</v>
      </c>
      <c r="AZ506" s="1105">
        <f>MAX(0,MIN($G506*8,$G$500-SUM($G506:AU506)))</f>
        <v>0</v>
      </c>
      <c r="BA506" s="1105">
        <f>MAX(0,MIN($G506*8,$G$500-SUM($G506:AV506)))</f>
        <v>0</v>
      </c>
      <c r="BB506" s="1107">
        <f>MAX(0,MIN($G506*8,$G$500-SUM($G506:AW506)))</f>
        <v>0</v>
      </c>
      <c r="BC506" s="1105">
        <f>MAX(0,MIN($G506*8,$G$500-SUM($G506:AX506)))</f>
        <v>0</v>
      </c>
      <c r="BD506" s="1105">
        <f>MAX(0,MIN($G506*8,$G$500-SUM($G506:AY506)))</f>
        <v>0</v>
      </c>
      <c r="BE506" s="1105">
        <f>MAX(0,MIN($G506*8,$G$500-SUM($G506:AZ506)))</f>
        <v>0</v>
      </c>
      <c r="BF506" s="1105">
        <f>MAX(0,MIN($G506*8,$G$500-SUM($G506:BA506)))</f>
        <v>0</v>
      </c>
      <c r="BG506" s="1107">
        <f>MAX(0,MIN($G506*8,$G$500-SUM($G506:BB506)))</f>
        <v>0</v>
      </c>
      <c r="BH506" s="1105">
        <f>MAX(0,MIN($G506*8,$G$500-SUM($G506:BC506)))</f>
        <v>0</v>
      </c>
      <c r="BI506" s="1105">
        <f>MAX(0,MIN($G506*8,$G$500-SUM($G506:BD506)))</f>
        <v>0</v>
      </c>
      <c r="BJ506" s="1105">
        <f>MAX(0,MIN($G506*8,$G$500-SUM($G506:BE506)))</f>
        <v>0</v>
      </c>
      <c r="BK506" s="1105">
        <f>MAX(0,MIN($G506*8,$G$500-SUM($G506:BF506)))</f>
        <v>0</v>
      </c>
      <c r="BL506" s="1107">
        <f>MAX(0,MIN($G506*8,$G$500-SUM($G506:BG506)))</f>
        <v>0</v>
      </c>
      <c r="BM506" s="1105">
        <f>MAX(0,MIN($G506*8,$G$500-SUM($G506:BH506)))</f>
        <v>0</v>
      </c>
      <c r="BN506" s="1105">
        <f>MAX(0,MIN($G506*8,$G$500-SUM($G506:BI506)))</f>
        <v>0</v>
      </c>
      <c r="BO506" s="1105">
        <f>MAX(0,MIN($G506*8,$G$500-SUM($G506:BJ506)))</f>
        <v>0</v>
      </c>
      <c r="BP506" s="1105">
        <f>MAX(0,MIN($G506*8,$G$500-SUM($G506:BK506)))</f>
        <v>0</v>
      </c>
      <c r="BQ506" s="1107">
        <f>MAX(0,MIN($G506*8,$G$500-SUM($G506:BL506)))</f>
        <v>0</v>
      </c>
      <c r="BR506" s="1105">
        <f>MAX(0,MIN($G506*8,$G$500-SUM($G506:BM506)))</f>
        <v>0</v>
      </c>
      <c r="BS506" s="1105">
        <f>MAX(0,MIN($G506*8,$G$500-SUM($G506:BN506)))</f>
        <v>0</v>
      </c>
      <c r="BT506" s="1105">
        <f>MAX(0,MIN($G506*8,$G$500-SUM($G506:BO506)))</f>
        <v>0</v>
      </c>
      <c r="BU506" s="1105">
        <f>MAX(0,MIN($G506*8,$G$500-SUM($G506:BP506)))</f>
        <v>0</v>
      </c>
      <c r="BV506" s="1107">
        <f>MAX(0,MIN($G506*8,$G$500-SUM($G506:BQ506)))</f>
        <v>0</v>
      </c>
      <c r="BW506" s="1105">
        <f>MAX(0,MIN($G506*8,$G$500-SUM($G506:BR506)))</f>
        <v>0</v>
      </c>
      <c r="BX506" s="1105">
        <f>MAX(0,MIN($G506*8,$G$500-SUM($G506:BS506)))</f>
        <v>0</v>
      </c>
      <c r="BY506" s="1105">
        <f>MAX(0,MIN($G506*8,$G$500-SUM($G506:BT506)))</f>
        <v>0</v>
      </c>
      <c r="BZ506" s="1105">
        <f>MAX(0,MIN($G506*8,$G$500-SUM($G506:BU506)))</f>
        <v>0</v>
      </c>
      <c r="CA506" s="1107">
        <f>MAX(0,MIN($G506*8,$G$500-SUM($G506:BV506)))</f>
        <v>0</v>
      </c>
      <c r="CC506" s="383"/>
      <c r="CD506" s="383"/>
      <c r="CE506" s="1105"/>
      <c r="CF506" s="1105"/>
      <c r="CG506" s="1105"/>
      <c r="CH506" s="1105"/>
      <c r="CI506" s="1105"/>
      <c r="CJ506" s="1105"/>
      <c r="CK506" s="1105"/>
      <c r="CL506" s="1105"/>
      <c r="CM506" s="1105"/>
      <c r="CN506" s="1105"/>
      <c r="CO506" s="1105"/>
      <c r="CP506" s="14"/>
      <c r="CQ506" s="14"/>
      <c r="CR506" s="14"/>
      <c r="CS506" s="14"/>
      <c r="CT506" s="14"/>
      <c r="CU506" s="1961"/>
      <c r="DB506" s="1961"/>
      <c r="DC506" s="1961"/>
      <c r="DD506" s="1961"/>
      <c r="DE506" s="1961"/>
      <c r="DF506" s="1961"/>
      <c r="DG506" s="1961"/>
      <c r="DH506" s="1961"/>
      <c r="DI506" s="1105"/>
    </row>
    <row r="507" spans="1:113" hidden="1" outlineLevel="1" x14ac:dyDescent="0.25">
      <c r="A507" s="628"/>
      <c r="B507" s="1113"/>
      <c r="C507" s="1093"/>
      <c r="D507" s="1093"/>
      <c r="E507" s="1100"/>
      <c r="F507" s="1100"/>
      <c r="G507" s="1100"/>
      <c r="H507" s="383">
        <f>H500/B499*1/8</f>
        <v>0</v>
      </c>
      <c r="I507" s="1114"/>
      <c r="J507" s="383">
        <f>MAX(0,MIN($H507*2,$H$500-SUM($H507:I507)))</f>
        <v>0</v>
      </c>
      <c r="K507" s="383">
        <f>MAX(0,MIN($H507*2,$H$500-SUM($H507:J507)))</f>
        <v>0</v>
      </c>
      <c r="L507" s="383">
        <f>MAX(0,MIN($H507*2,$H$500-SUM($H507:K507)))</f>
        <v>0</v>
      </c>
      <c r="M507" s="383">
        <f>MAX(0,MIN($H507*2,$H$500-SUM($H507:L507)))</f>
        <v>0</v>
      </c>
      <c r="N507" s="1114"/>
      <c r="O507" s="383">
        <f>MAX(0,MIN($H507*2,$H$500-SUM($H507:N507)))</f>
        <v>0</v>
      </c>
      <c r="P507" s="383">
        <f>MAX(0,MIN($H507*2,$H$500-SUM($H507:O507)))</f>
        <v>0</v>
      </c>
      <c r="Q507" s="383">
        <f>MAX(0,MIN($H507*2,$H$500-SUM($H507:P507)))</f>
        <v>0</v>
      </c>
      <c r="R507" s="383">
        <f>MAX(0,MIN($H507*2,$H$500-SUM($H507:Q507)))</f>
        <v>0</v>
      </c>
      <c r="S507" s="1114"/>
      <c r="T507" s="383">
        <f>MAX(0,MIN($H507*2,$H$500-SUM($H507:S507)))</f>
        <v>0</v>
      </c>
      <c r="U507" s="383">
        <f>MAX(0,MIN($H507*2,$H$500-SUM($H507:T507)))</f>
        <v>0</v>
      </c>
      <c r="V507" s="383">
        <f>MAX(0,MIN($H507*2,$H$500-SUM($H507:U507)))</f>
        <v>0</v>
      </c>
      <c r="W507" s="383">
        <f>MAX(0,MIN($H507*2,$H$500-SUM($H507:V507)))</f>
        <v>0</v>
      </c>
      <c r="X507" s="1114"/>
      <c r="Y507" s="383">
        <f>MAX(0,MIN($H507*2,$H$500-SUM($H507:X507)))</f>
        <v>0</v>
      </c>
      <c r="Z507" s="383">
        <f>MAX(0,MIN($H507*2,$H$500-SUM($H507:Y507)))</f>
        <v>0</v>
      </c>
      <c r="AA507" s="383">
        <f>MAX(0,MIN($H507*2,$H$500-SUM($H507:Z507)))</f>
        <v>0</v>
      </c>
      <c r="AB507" s="383">
        <f>MAX(0,MIN($H507*2,$H$500-SUM($H507:AA507)))</f>
        <v>0</v>
      </c>
      <c r="AC507" s="1110"/>
      <c r="AD507" s="383">
        <f>MAX(0,MIN($H507*2,$H$500-SUM($H507:AC507)))</f>
        <v>0</v>
      </c>
      <c r="AE507" s="383">
        <f>MAX(0,MIN($H507*2,$H$500-SUM($H507:AD507)))</f>
        <v>0</v>
      </c>
      <c r="AF507" s="383">
        <f>MAX(0,MIN($H507*2,$H$500-SUM($H507:AE507)))</f>
        <v>0</v>
      </c>
      <c r="AG507" s="383">
        <f>MAX(0,MIN($H507*2,$H$500-SUM($H507:AF507)))</f>
        <v>0</v>
      </c>
      <c r="AH507" s="1110"/>
      <c r="AI507" s="383">
        <f>MAX(0,MIN($H507*2,$H$500-SUM($H507:AH507)))</f>
        <v>0</v>
      </c>
      <c r="AJ507" s="383">
        <f>MAX(0,MIN($H507*2,$H$500-SUM($H507:AI507)))</f>
        <v>0</v>
      </c>
      <c r="AK507" s="383">
        <f>MAX(0,MIN($H507*2,$H$500-SUM($H507:AJ507)))</f>
        <v>0</v>
      </c>
      <c r="AL507" s="383">
        <f>MAX(0,MIN($H507*2,$H$500-SUM($H507:AK507)))</f>
        <v>0</v>
      </c>
      <c r="AM507" s="1111">
        <f>MAX(0,MIN($H507*8,$H$500-SUM($H507:AH507)))</f>
        <v>0</v>
      </c>
      <c r="AN507" s="383">
        <f>MAX(0,MIN($H507*8,$H$500-SUM($H507:AI507)))</f>
        <v>0</v>
      </c>
      <c r="AO507" s="383">
        <f>MAX(0,MIN($H507*8,$H$500-SUM($H507:AJ507)))</f>
        <v>0</v>
      </c>
      <c r="AP507" s="383">
        <f>MAX(0,MIN($H507*8,$H$500-SUM($H507:AK507)))</f>
        <v>0</v>
      </c>
      <c r="AQ507" s="383">
        <f>MAX(0,MIN($H507*8,$H$500-SUM($H507:AL507)))</f>
        <v>0</v>
      </c>
      <c r="AR507" s="1111">
        <f>MAX(0,MIN($H507*8,$H$500-SUM($H507:AM507)))</f>
        <v>0</v>
      </c>
      <c r="AS507" s="383">
        <f>MAX(0,MIN($H507*8,$H$500-SUM($H507:AN507)))</f>
        <v>0</v>
      </c>
      <c r="AT507" s="383">
        <f>MAX(0,MIN($H507*8,$H$500-SUM($H507:AO507)))</f>
        <v>0</v>
      </c>
      <c r="AU507" s="383">
        <f>MAX(0,MIN($H507*8,$H$500-SUM($H507:AP507)))</f>
        <v>0</v>
      </c>
      <c r="AV507" s="383">
        <f>MAX(0,MIN($H507*8,$H$500-SUM($H507:AQ507)))</f>
        <v>0</v>
      </c>
      <c r="AW507" s="1106">
        <f>MAX(0,MIN($H507*8,$H$500-SUM($H507:AR507)))</f>
        <v>0</v>
      </c>
      <c r="AX507" s="383">
        <f>MAX(0,MIN($H507*8,$H$500-SUM($H507:AS507)))</f>
        <v>0</v>
      </c>
      <c r="AY507" s="383">
        <f>MAX(0,MIN($H507*8,$H$500-SUM($H507:AT507)))</f>
        <v>0</v>
      </c>
      <c r="AZ507" s="383">
        <f>MAX(0,MIN($H507*8,$H$500-SUM($H507:AU507)))</f>
        <v>0</v>
      </c>
      <c r="BA507" s="383">
        <f>MAX(0,MIN($H507*8,$H$500-SUM($H507:AV507)))</f>
        <v>0</v>
      </c>
      <c r="BB507" s="1107">
        <f>MAX(0,MIN($H507*8,$H$500-SUM($H507:AW507)))</f>
        <v>0</v>
      </c>
      <c r="BC507" s="383">
        <f>MAX(0,MIN($H507*8,$H$500-SUM($H507:AX507)))</f>
        <v>0</v>
      </c>
      <c r="BD507" s="383">
        <f>MAX(0,MIN($H507*8,$H$500-SUM($H507:AY507)))</f>
        <v>0</v>
      </c>
      <c r="BE507" s="383">
        <f>MAX(0,MIN($H507*8,$H$500-SUM($H507:AZ507)))</f>
        <v>0</v>
      </c>
      <c r="BF507" s="383">
        <f>MAX(0,MIN($H507*8,$H$500-SUM($H507:BA507)))</f>
        <v>0</v>
      </c>
      <c r="BG507" s="1107">
        <f>MAX(0,MIN($H507*8,$H$500-SUM($H507:BB507)))</f>
        <v>0</v>
      </c>
      <c r="BH507" s="383">
        <f>MAX(0,MIN($H507*8,$H$500-SUM($H507:BC507)))</f>
        <v>0</v>
      </c>
      <c r="BI507" s="383">
        <f>MAX(0,MIN($H507*8,$H$500-SUM($H507:BD507)))</f>
        <v>0</v>
      </c>
      <c r="BJ507" s="383">
        <f>MAX(0,MIN($H507*8,$H$500-SUM($H507:BE507)))</f>
        <v>0</v>
      </c>
      <c r="BK507" s="383">
        <f>MAX(0,MIN($H507*8,$H$500-SUM($H507:BF507)))</f>
        <v>0</v>
      </c>
      <c r="BL507" s="1107">
        <f>MAX(0,MIN($H507*8,$H$500-SUM($H507:BG507)))</f>
        <v>0</v>
      </c>
      <c r="BM507" s="383">
        <f>MAX(0,MIN($H507*8,$H$500-SUM($H507:BH507)))</f>
        <v>0</v>
      </c>
      <c r="BN507" s="383">
        <f>MAX(0,MIN($H507*8,$H$500-SUM($H507:BI507)))</f>
        <v>0</v>
      </c>
      <c r="BO507" s="383">
        <f>MAX(0,MIN($H507*8,$H$500-SUM($H507:BJ507)))</f>
        <v>0</v>
      </c>
      <c r="BP507" s="383">
        <f>MAX(0,MIN($H507*8,$H$500-SUM($H507:BK507)))</f>
        <v>0</v>
      </c>
      <c r="BQ507" s="1107">
        <f>MAX(0,MIN($H507*8,$H$500-SUM($H507:BL507)))</f>
        <v>0</v>
      </c>
      <c r="BR507" s="383">
        <f>MAX(0,MIN($H507*8,$H$500-SUM($H507:BM507)))</f>
        <v>0</v>
      </c>
      <c r="BS507" s="383">
        <f>MAX(0,MIN($H507*8,$H$500-SUM($H507:BN507)))</f>
        <v>0</v>
      </c>
      <c r="BT507" s="383">
        <f>MAX(0,MIN($H507*8,$H$500-SUM($H507:BO507)))</f>
        <v>0</v>
      </c>
      <c r="BU507" s="383">
        <f>MAX(0,MIN($H507*8,$H$500-SUM($H507:BP507)))</f>
        <v>0</v>
      </c>
      <c r="BV507" s="1107">
        <f>MAX(0,MIN($H507*8,$H$500-SUM($H507:BQ507)))</f>
        <v>0</v>
      </c>
      <c r="BW507" s="383">
        <f>MAX(0,MIN($H507*8,$H$500-SUM($H507:BR507)))</f>
        <v>0</v>
      </c>
      <c r="BX507" s="383">
        <f>MAX(0,MIN($H507*8,$H$500-SUM($H507:BS507)))</f>
        <v>0</v>
      </c>
      <c r="BY507" s="383">
        <f>MAX(0,MIN($H507*8,$H$500-SUM($H507:BT507)))</f>
        <v>0</v>
      </c>
      <c r="BZ507" s="383">
        <f>MAX(0,MIN($H507*8,$H$500-SUM($H507:BU507)))</f>
        <v>0</v>
      </c>
      <c r="CA507" s="1107">
        <f>MAX(0,MIN($H507*8,$H$500-SUM($H507:BV507)))</f>
        <v>0</v>
      </c>
      <c r="CC507" s="383"/>
      <c r="CD507" s="383"/>
      <c r="CE507" s="383"/>
      <c r="CF507" s="383"/>
      <c r="CG507" s="383"/>
      <c r="CH507" s="383"/>
      <c r="CI507" s="383"/>
      <c r="CJ507" s="383"/>
      <c r="CK507" s="383"/>
      <c r="CL507" s="383"/>
      <c r="CM507" s="383"/>
      <c r="CN507" s="383"/>
      <c r="CO507" s="383"/>
      <c r="CP507" s="14"/>
      <c r="CQ507" s="14"/>
      <c r="CR507" s="14"/>
      <c r="CS507" s="14"/>
      <c r="CT507" s="14"/>
      <c r="CU507" s="1961"/>
      <c r="DB507" s="1961"/>
      <c r="DC507" s="1961"/>
      <c r="DD507" s="1961"/>
      <c r="DE507" s="1961"/>
      <c r="DF507" s="1961"/>
      <c r="DG507" s="1961"/>
      <c r="DH507" s="1961"/>
      <c r="DI507" s="1105"/>
    </row>
    <row r="508" spans="1:113" hidden="1" outlineLevel="1" x14ac:dyDescent="0.25">
      <c r="A508" s="628"/>
      <c r="B508" s="1113"/>
      <c r="C508" s="1093"/>
      <c r="D508" s="1093"/>
      <c r="E508" s="383"/>
      <c r="F508" s="383"/>
      <c r="G508" s="383"/>
      <c r="H508" s="383"/>
      <c r="I508" s="1114"/>
      <c r="J508" s="383">
        <f>J500/B499*1/8</f>
        <v>0</v>
      </c>
      <c r="K508" s="383">
        <f>MAX(0,MIN($J508*2,$J$500-SUM($J508:J508)))</f>
        <v>0</v>
      </c>
      <c r="L508" s="383">
        <f>MAX(0,MIN($J508*2,$J$500-SUM($J508:K508)))</f>
        <v>0</v>
      </c>
      <c r="M508" s="383">
        <f>MAX(0,MIN($J508*2,$J$500-SUM($J508:L508)))</f>
        <v>0</v>
      </c>
      <c r="N508" s="1114"/>
      <c r="O508" s="383">
        <f>MAX(0,MIN($J508*2,$J$500-SUM($J508:N508)))</f>
        <v>0</v>
      </c>
      <c r="P508" s="383">
        <f>MAX(0,MIN($J508*2,$J$500-SUM($J508:O508)))</f>
        <v>0</v>
      </c>
      <c r="Q508" s="383">
        <f>MAX(0,MIN($J508*2,$J$500-SUM($J508:P508)))</f>
        <v>0</v>
      </c>
      <c r="R508" s="383">
        <f>MAX(0,MIN($J508*2,$J$500-SUM($J508:Q508)))</f>
        <v>0</v>
      </c>
      <c r="S508" s="1114"/>
      <c r="T508" s="383">
        <f>MAX(0,MIN($J508*2,$J$500-SUM($J508:S508)))</f>
        <v>0</v>
      </c>
      <c r="U508" s="383">
        <f>MAX(0,MIN($J508*2,$J$500-SUM($J508:T508)))</f>
        <v>0</v>
      </c>
      <c r="V508" s="383">
        <f>MAX(0,MIN($J508*2,$J$500-SUM($J508:U508)))</f>
        <v>0</v>
      </c>
      <c r="W508" s="383">
        <f>MAX(0,MIN($J508*2,$J$500-SUM($J508:V508)))</f>
        <v>0</v>
      </c>
      <c r="X508" s="1114"/>
      <c r="Y508" s="383">
        <f>MAX(0,MIN($J508*2,$J$500-SUM($J508:X508)))</f>
        <v>0</v>
      </c>
      <c r="Z508" s="383">
        <f>MAX(0,MIN($J508*2,$J$500-SUM($J508:Y508)))</f>
        <v>0</v>
      </c>
      <c r="AA508" s="383">
        <f>MAX(0,MIN($J508*2,$J$500-SUM($J508:Z508)))</f>
        <v>0</v>
      </c>
      <c r="AB508" s="383">
        <f>MAX(0,MIN($J508*2,$J$500-SUM($J508:AA508)))</f>
        <v>0</v>
      </c>
      <c r="AC508" s="1110"/>
      <c r="AD508" s="383">
        <f>MAX(0,MIN($J508*2,$J$500-SUM($J508:AC508)))</f>
        <v>0</v>
      </c>
      <c r="AE508" s="383">
        <f>MAX(0,MIN($J508*2,$J$500-SUM($J508:AD508)))</f>
        <v>0</v>
      </c>
      <c r="AF508" s="383">
        <f>MAX(0,MIN($J508*2,$J$500-SUM($J508:AE508)))</f>
        <v>0</v>
      </c>
      <c r="AG508" s="383">
        <f>MAX(0,MIN($J508*2,$J$500-SUM($J508:AF508)))</f>
        <v>0</v>
      </c>
      <c r="AH508" s="1110"/>
      <c r="AI508" s="383">
        <f>MAX(0,MIN($J508*2,$J$500-SUM($J508:AH508)))</f>
        <v>0</v>
      </c>
      <c r="AJ508" s="383">
        <f>MAX(0,MIN($J508*2,$J$500-SUM($J508:AI508)))</f>
        <v>0</v>
      </c>
      <c r="AK508" s="383">
        <f>MAX(0,MIN($J508*2,$J$500-SUM($J508:AJ508)))</f>
        <v>0</v>
      </c>
      <c r="AL508" s="383">
        <f>MAX(0,MIN($J508*2,$J$500-SUM($J508:AK508)))</f>
        <v>0</v>
      </c>
      <c r="AM508" s="1111">
        <f>MAX(0,MIN($J508*8,$J$500-SUM($J508:AH508)))</f>
        <v>0</v>
      </c>
      <c r="AN508" s="383">
        <f>MAX(0,MIN($J508*8,$J$500-SUM($J508:AI508)))</f>
        <v>0</v>
      </c>
      <c r="AO508" s="383">
        <f>MAX(0,MIN($J508*8,$J$500-SUM($J508:AJ508)))</f>
        <v>0</v>
      </c>
      <c r="AP508" s="383">
        <f>MAX(0,MIN($J508*8,$J$500-SUM($J508:AK508)))</f>
        <v>0</v>
      </c>
      <c r="AQ508" s="383">
        <f>MAX(0,MIN($J508*8,$J$500-SUM($J508:AL508)))</f>
        <v>0</v>
      </c>
      <c r="AR508" s="1111">
        <f>MAX(0,MIN($J508*8,$J$500-SUM($J508:AM508)))</f>
        <v>0</v>
      </c>
      <c r="AS508" s="383">
        <f>MAX(0,MIN($J508*8,$J$500-SUM($J508:AN508)))</f>
        <v>0</v>
      </c>
      <c r="AT508" s="383">
        <f>MAX(0,MIN($J508*8,$J$500-SUM($J508:AO508)))</f>
        <v>0</v>
      </c>
      <c r="AU508" s="383">
        <f>MAX(0,MIN($J508*8,$J$500-SUM($J508:AP508)))</f>
        <v>0</v>
      </c>
      <c r="AV508" s="383">
        <f>MAX(0,MIN($J508*8,$J$500-SUM($J508:AQ508)))</f>
        <v>0</v>
      </c>
      <c r="AW508" s="1106">
        <f>MAX(0,MIN($J508*8,$J$500-SUM($J508:AR508)))</f>
        <v>0</v>
      </c>
      <c r="AX508" s="383">
        <f>MAX(0,MIN($J508*8,$J$500-SUM($J508:AS508)))</f>
        <v>0</v>
      </c>
      <c r="AY508" s="383">
        <f>MAX(0,MIN($J508*8,$J$500-SUM($J508:AT508)))</f>
        <v>0</v>
      </c>
      <c r="AZ508" s="383">
        <f>MAX(0,MIN($J508*8,$J$500-SUM($J508:AU508)))</f>
        <v>0</v>
      </c>
      <c r="BA508" s="383">
        <f>MAX(0,MIN($J508*8,$J$500-SUM($J508:AV508)))</f>
        <v>0</v>
      </c>
      <c r="BB508" s="1107">
        <f>MAX(0,MIN($J508*8,$J$500-SUM($J508:AW508)))</f>
        <v>0</v>
      </c>
      <c r="BC508" s="383">
        <f>MAX(0,MIN($J508*8,$J$500-SUM($J508:AX508)))</f>
        <v>0</v>
      </c>
      <c r="BD508" s="383">
        <f>MAX(0,MIN($J508*8,$J$500-SUM($J508:AY508)))</f>
        <v>0</v>
      </c>
      <c r="BE508" s="383">
        <f>MAX(0,MIN($J508*8,$J$500-SUM($J508:AZ508)))</f>
        <v>0</v>
      </c>
      <c r="BF508" s="383">
        <f>MAX(0,MIN($J508*8,$J$500-SUM($J508:BA508)))</f>
        <v>0</v>
      </c>
      <c r="BG508" s="1107">
        <f>MAX(0,MIN($J508*8,$J$500-SUM($J508:BB508)))</f>
        <v>0</v>
      </c>
      <c r="BH508" s="383">
        <f>MAX(0,MIN($J508*8,$J$500-SUM($J508:BC508)))</f>
        <v>0</v>
      </c>
      <c r="BI508" s="383">
        <f>MAX(0,MIN($J508*8,$J$500-SUM($J508:BD508)))</f>
        <v>0</v>
      </c>
      <c r="BJ508" s="383">
        <f>MAX(0,MIN($J508*8,$J$500-SUM($J508:BE508)))</f>
        <v>0</v>
      </c>
      <c r="BK508" s="383">
        <f>MAX(0,MIN($J508*8,$J$500-SUM($J508:BF508)))</f>
        <v>0</v>
      </c>
      <c r="BL508" s="1107">
        <f>MAX(0,MIN($J508*8,$J$500-SUM($J508:BG508)))</f>
        <v>0</v>
      </c>
      <c r="BM508" s="383">
        <f>MAX(0,MIN($J508*8,$J$500-SUM($J508:BH508)))</f>
        <v>0</v>
      </c>
      <c r="BN508" s="383">
        <f>MAX(0,MIN($J508*8,$J$500-SUM($J508:BI508)))</f>
        <v>0</v>
      </c>
      <c r="BO508" s="383">
        <f>MAX(0,MIN($J508*8,$J$500-SUM($J508:BJ508)))</f>
        <v>0</v>
      </c>
      <c r="BP508" s="383">
        <f>MAX(0,MIN($J508*8,$J$500-SUM($J508:BK508)))</f>
        <v>0</v>
      </c>
      <c r="BQ508" s="1107">
        <f>MAX(0,MIN($J508*8,$J$500-SUM($J508:BL508)))</f>
        <v>0</v>
      </c>
      <c r="BR508" s="383">
        <f>MAX(0,MIN($J508*8,$J$500-SUM($J508:BM508)))</f>
        <v>0</v>
      </c>
      <c r="BS508" s="383">
        <f>MAX(0,MIN($J508*8,$J$500-SUM($J508:BN508)))</f>
        <v>0</v>
      </c>
      <c r="BT508" s="383">
        <f>MAX(0,MIN($J508*8,$J$500-SUM($J508:BO508)))</f>
        <v>0</v>
      </c>
      <c r="BU508" s="383">
        <f>MAX(0,MIN($J508*8,$J$500-SUM($J508:BP508)))</f>
        <v>0</v>
      </c>
      <c r="BV508" s="1107">
        <f>MAX(0,MIN($J508*8,$J$500-SUM($J508:BQ508)))</f>
        <v>0</v>
      </c>
      <c r="BW508" s="383">
        <f>MAX(0,MIN($J508*8,$J$500-SUM($J508:BR508)))</f>
        <v>0</v>
      </c>
      <c r="BX508" s="383">
        <f>MAX(0,MIN($J508*8,$J$500-SUM($J508:BS508)))</f>
        <v>0</v>
      </c>
      <c r="BY508" s="383">
        <f>MAX(0,MIN($J508*8,$J$500-SUM($J508:BT508)))</f>
        <v>0</v>
      </c>
      <c r="BZ508" s="383">
        <f>MAX(0,MIN($J508*8,$J$500-SUM($J508:BU508)))</f>
        <v>0</v>
      </c>
      <c r="CA508" s="1107">
        <f>MAX(0,MIN($J508*8,$J$500-SUM($J508:BV508)))</f>
        <v>0</v>
      </c>
      <c r="CC508" s="383"/>
      <c r="CD508" s="383"/>
      <c r="CE508" s="383"/>
      <c r="CF508" s="383"/>
      <c r="CG508" s="383"/>
      <c r="CH508" s="383"/>
      <c r="CI508" s="383"/>
      <c r="CJ508" s="383"/>
      <c r="CK508" s="383"/>
      <c r="CL508" s="383"/>
      <c r="CM508" s="383"/>
      <c r="CN508" s="383"/>
      <c r="CO508" s="383"/>
      <c r="CP508" s="14"/>
      <c r="CQ508" s="14"/>
      <c r="CR508" s="14"/>
      <c r="CS508" s="14"/>
      <c r="CT508" s="14"/>
      <c r="CU508" s="1961"/>
      <c r="DB508" s="1961"/>
      <c r="DC508" s="1961"/>
      <c r="DD508" s="1961"/>
      <c r="DE508" s="1961"/>
      <c r="DF508" s="1961"/>
      <c r="DG508" s="1961"/>
      <c r="DH508" s="1961"/>
      <c r="DI508" s="1105"/>
    </row>
    <row r="509" spans="1:113" hidden="1" outlineLevel="1" x14ac:dyDescent="0.25">
      <c r="A509" s="628"/>
      <c r="B509" s="1113"/>
      <c r="C509" s="1093"/>
      <c r="D509" s="1093"/>
      <c r="E509" s="1100"/>
      <c r="F509" s="383"/>
      <c r="G509" s="383"/>
      <c r="H509" s="383"/>
      <c r="I509" s="1114"/>
      <c r="J509" s="1100"/>
      <c r="K509" s="383">
        <f>K500/B499*1/8</f>
        <v>0</v>
      </c>
      <c r="L509" s="383">
        <f>MAX(0,MIN($K509*2,$K$500-SUM($K509:K509)))</f>
        <v>0</v>
      </c>
      <c r="M509" s="383">
        <f>MAX(0,MIN($K509*2,$K$500-SUM($K509:L509)))</f>
        <v>0</v>
      </c>
      <c r="N509" s="1114"/>
      <c r="O509" s="383">
        <f>MAX(0,MIN($K509*2,$K$500-SUM($K509:N509)))</f>
        <v>0</v>
      </c>
      <c r="P509" s="383">
        <f>MAX(0,MIN($K509*2,$K$500-SUM($K509:O509)))</f>
        <v>0</v>
      </c>
      <c r="Q509" s="383">
        <f>MAX(0,MIN($K509*2,$K$500-SUM($K509:P509)))</f>
        <v>0</v>
      </c>
      <c r="R509" s="383">
        <f>MAX(0,MIN($K509*2,$K$500-SUM($K509:Q509)))</f>
        <v>0</v>
      </c>
      <c r="S509" s="1114"/>
      <c r="T509" s="383">
        <f>MAX(0,MIN($K509*2,$K$500-SUM($K509:S509)))</f>
        <v>0</v>
      </c>
      <c r="U509" s="383">
        <f>MAX(0,MIN($K509*2,$K$500-SUM($K509:T509)))</f>
        <v>0</v>
      </c>
      <c r="V509" s="383">
        <f>MAX(0,MIN($K509*2,$K$500-SUM($K509:U509)))</f>
        <v>0</v>
      </c>
      <c r="W509" s="383">
        <f>MAX(0,MIN($K509*2,$K$500-SUM($K509:V509)))</f>
        <v>0</v>
      </c>
      <c r="X509" s="1114"/>
      <c r="Y509" s="383">
        <f>MAX(0,MIN($K509*2,$K$500-SUM($K509:X509)))</f>
        <v>0</v>
      </c>
      <c r="Z509" s="383">
        <f>MAX(0,MIN($K509*2,$K$500-SUM($K509:Y509)))</f>
        <v>0</v>
      </c>
      <c r="AA509" s="383">
        <f>MAX(0,MIN($K509*2,$K$500-SUM($K509:Z509)))</f>
        <v>0</v>
      </c>
      <c r="AB509" s="383">
        <f>MAX(0,MIN($K509*2,$K$500-SUM($K509:AA509)))</f>
        <v>0</v>
      </c>
      <c r="AC509" s="1110"/>
      <c r="AD509" s="383">
        <f>MAX(0,MIN($K509*2,$K$500-SUM($K509:AC509)))</f>
        <v>0</v>
      </c>
      <c r="AE509" s="383">
        <f>MAX(0,MIN($K509*2,$K$500-SUM($K509:AD509)))</f>
        <v>0</v>
      </c>
      <c r="AF509" s="383">
        <f>MAX(0,MIN($K509*2,$K$500-SUM($K509:AE509)))</f>
        <v>0</v>
      </c>
      <c r="AG509" s="383">
        <f>MAX(0,MIN($K509*2,$K$500-SUM($K509:AF509)))</f>
        <v>0</v>
      </c>
      <c r="AH509" s="1110"/>
      <c r="AI509" s="383">
        <f>MAX(0,MIN($K509*2,$K$500-SUM($K509:AH509)))</f>
        <v>0</v>
      </c>
      <c r="AJ509" s="383">
        <f>MAX(0,MIN($K509*2,$K$500-SUM($K509:AI509)))</f>
        <v>0</v>
      </c>
      <c r="AK509" s="383">
        <f>MAX(0,MIN($K509*2,$K$500-SUM($K509:AJ509)))</f>
        <v>0</v>
      </c>
      <c r="AL509" s="383">
        <f>MAX(0,MIN($K509*2,$K$500-SUM($K509:AK509)))</f>
        <v>0</v>
      </c>
      <c r="AM509" s="1111">
        <f>MAX(0,MIN($K509*8,$K$500-SUM($K509:AH509)))</f>
        <v>0</v>
      </c>
      <c r="AN509" s="383">
        <f>MAX(0,MIN($K509*8,$K$500-SUM($K509:AI509)))</f>
        <v>0</v>
      </c>
      <c r="AO509" s="383">
        <f>MAX(0,MIN($K509*8,$K$500-SUM($K509:AJ509)))</f>
        <v>0</v>
      </c>
      <c r="AP509" s="383">
        <f>MAX(0,MIN($K509*8,$K$500-SUM($K509:AK509)))</f>
        <v>0</v>
      </c>
      <c r="AQ509" s="383">
        <f>MAX(0,MIN($K509*8,$K$500-SUM($K509:AL509)))</f>
        <v>0</v>
      </c>
      <c r="AR509" s="1111">
        <f>MAX(0,MIN($K509*8,$K$500-SUM($K509:AM509)))</f>
        <v>0</v>
      </c>
      <c r="AS509" s="383">
        <f>MAX(0,MIN($K509*8,$K$500-SUM($K509:AN509)))</f>
        <v>0</v>
      </c>
      <c r="AT509" s="383">
        <f>MAX(0,MIN($K509*8,$K$500-SUM($K509:AO509)))</f>
        <v>0</v>
      </c>
      <c r="AU509" s="383">
        <f>MAX(0,MIN($K509*8,$K$500-SUM($K509:AP509)))</f>
        <v>0</v>
      </c>
      <c r="AV509" s="383">
        <f>MAX(0,MIN($K509*8,$K$500-SUM($K509:AQ509)))</f>
        <v>0</v>
      </c>
      <c r="AW509" s="1106">
        <f>MAX(0,MIN($K509*8,$K$500-SUM($K509:AR509)))</f>
        <v>0</v>
      </c>
      <c r="AX509" s="383">
        <f>MAX(0,MIN($K509*8,$K$500-SUM($K509:AS509)))</f>
        <v>0</v>
      </c>
      <c r="AY509" s="383">
        <f>MAX(0,MIN($K509*8,$K$500-SUM($K509:AT509)))</f>
        <v>0</v>
      </c>
      <c r="AZ509" s="383">
        <f>MAX(0,MIN($K509*8,$K$500-SUM($K509:AU509)))</f>
        <v>0</v>
      </c>
      <c r="BA509" s="383">
        <f>MAX(0,MIN($K509*8,$K$500-SUM($K509:AV509)))</f>
        <v>0</v>
      </c>
      <c r="BB509" s="1107">
        <f>MAX(0,MIN($K509*8,$K$500-SUM($K509:AW509)))</f>
        <v>0</v>
      </c>
      <c r="BC509" s="383">
        <f>MAX(0,MIN($K509*8,$K$500-SUM($K509:AX509)))</f>
        <v>0</v>
      </c>
      <c r="BD509" s="383">
        <f>MAX(0,MIN($K509*8,$K$500-SUM($K509:AY509)))</f>
        <v>0</v>
      </c>
      <c r="BE509" s="383">
        <f>MAX(0,MIN($K509*8,$K$500-SUM($K509:AZ509)))</f>
        <v>0</v>
      </c>
      <c r="BF509" s="383">
        <f>MAX(0,MIN($K509*8,$K$500-SUM($K509:BA509)))</f>
        <v>0</v>
      </c>
      <c r="BG509" s="1107">
        <f>MAX(0,MIN($K509*8,$K$500-SUM($K509:BB509)))</f>
        <v>0</v>
      </c>
      <c r="BH509" s="383">
        <f>MAX(0,MIN($K509*8,$K$500-SUM($K509:BC509)))</f>
        <v>0</v>
      </c>
      <c r="BI509" s="383">
        <f>MAX(0,MIN($K509*8,$K$500-SUM($K509:BD509)))</f>
        <v>0</v>
      </c>
      <c r="BJ509" s="383">
        <f>MAX(0,MIN($K509*8,$K$500-SUM($K509:BE509)))</f>
        <v>0</v>
      </c>
      <c r="BK509" s="383">
        <f>MAX(0,MIN($K509*8,$K$500-SUM($K509:BF509)))</f>
        <v>0</v>
      </c>
      <c r="BL509" s="1107">
        <f>MAX(0,MIN($K509*8,$K$500-SUM($K509:BG509)))</f>
        <v>0</v>
      </c>
      <c r="BM509" s="383">
        <f>MAX(0,MIN($K509*8,$K$500-SUM($K509:BH509)))</f>
        <v>0</v>
      </c>
      <c r="BN509" s="383">
        <f>MAX(0,MIN($K509*8,$K$500-SUM($K509:BI509)))</f>
        <v>0</v>
      </c>
      <c r="BO509" s="383">
        <f>MAX(0,MIN($K509*8,$K$500-SUM($K509:BJ509)))</f>
        <v>0</v>
      </c>
      <c r="BP509" s="383">
        <f>MAX(0,MIN($K509*8,$K$500-SUM($K509:BK509)))</f>
        <v>0</v>
      </c>
      <c r="BQ509" s="1107">
        <f>MAX(0,MIN($K509*8,$K$500-SUM($K509:BL509)))</f>
        <v>0</v>
      </c>
      <c r="BR509" s="383">
        <f>MAX(0,MIN($K509*8,$K$500-SUM($K509:BM509)))</f>
        <v>0</v>
      </c>
      <c r="BS509" s="383">
        <f>MAX(0,MIN($K509*8,$K$500-SUM($K509:BN509)))</f>
        <v>0</v>
      </c>
      <c r="BT509" s="383">
        <f>MAX(0,MIN($K509*8,$K$500-SUM($K509:BO509)))</f>
        <v>0</v>
      </c>
      <c r="BU509" s="383">
        <f>MAX(0,MIN($K509*8,$K$500-SUM($K509:BP509)))</f>
        <v>0</v>
      </c>
      <c r="BV509" s="1107">
        <f>MAX(0,MIN($K509*8,$K$500-SUM($K509:BQ509)))</f>
        <v>0</v>
      </c>
      <c r="BW509" s="383">
        <f>MAX(0,MIN($K509*8,$K$500-SUM($K509:BR509)))</f>
        <v>0</v>
      </c>
      <c r="BX509" s="383">
        <f>MAX(0,MIN($K509*8,$K$500-SUM($K509:BS509)))</f>
        <v>0</v>
      </c>
      <c r="BY509" s="383">
        <f>MAX(0,MIN($K509*8,$K$500-SUM($K509:BT509)))</f>
        <v>0</v>
      </c>
      <c r="BZ509" s="383">
        <f>MAX(0,MIN($K509*8,$K$500-SUM($K509:BU509)))</f>
        <v>0</v>
      </c>
      <c r="CA509" s="1107">
        <f>MAX(0,MIN($K509*8,$K$500-SUM($K509:BV509)))</f>
        <v>0</v>
      </c>
      <c r="CC509" s="383"/>
      <c r="CD509" s="383"/>
      <c r="CE509" s="383"/>
      <c r="CF509" s="383"/>
      <c r="CG509" s="383"/>
      <c r="CH509" s="383"/>
      <c r="CI509" s="383"/>
      <c r="CJ509" s="383"/>
      <c r="CK509" s="383"/>
      <c r="CL509" s="383"/>
      <c r="CM509" s="383"/>
      <c r="CN509" s="383"/>
      <c r="CO509" s="383"/>
      <c r="CP509" s="14"/>
      <c r="CQ509" s="14"/>
      <c r="CR509" s="14"/>
      <c r="CS509" s="14"/>
      <c r="CT509" s="14"/>
      <c r="CU509" s="1961"/>
      <c r="DB509" s="1961"/>
      <c r="DC509" s="1961"/>
      <c r="DD509" s="1961"/>
      <c r="DE509" s="1961"/>
      <c r="DF509" s="1961"/>
      <c r="DG509" s="1961"/>
      <c r="DH509" s="1961"/>
      <c r="DI509" s="1105"/>
    </row>
    <row r="510" spans="1:113" hidden="1" outlineLevel="1" x14ac:dyDescent="0.25">
      <c r="A510" s="628"/>
      <c r="B510" s="1113"/>
      <c r="C510" s="1093"/>
      <c r="D510" s="1093"/>
      <c r="E510" s="1100"/>
      <c r="F510" s="1100"/>
      <c r="G510" s="383"/>
      <c r="H510" s="383"/>
      <c r="I510" s="1114"/>
      <c r="J510" s="1100"/>
      <c r="K510" s="1100"/>
      <c r="L510" s="383">
        <f>L500/B499*1/8</f>
        <v>0</v>
      </c>
      <c r="M510" s="1105">
        <f>MAX(0,MIN($L510*2,$L$500-SUM($L510:L510)))</f>
        <v>0</v>
      </c>
      <c r="N510" s="1114"/>
      <c r="O510" s="1105">
        <f>MAX(0,MIN($L510*2,$L$500-SUM($L510:N510)))</f>
        <v>0</v>
      </c>
      <c r="P510" s="1105">
        <f>MAX(0,MIN($L510*2,$L$500-SUM($L510:O510)))</f>
        <v>0</v>
      </c>
      <c r="Q510" s="1105">
        <f>MAX(0,MIN($L510*2,$L$500-SUM($L510:P510)))</f>
        <v>0</v>
      </c>
      <c r="R510" s="1105">
        <f>MAX(0,MIN($L510*2,$L$500-SUM($L510:Q510)))</f>
        <v>0</v>
      </c>
      <c r="S510" s="1114"/>
      <c r="T510" s="1105">
        <f>MAX(0,MIN($L510*2,$L$500-SUM($L510:S510)))</f>
        <v>0</v>
      </c>
      <c r="U510" s="1105">
        <f>MAX(0,MIN($L510*2,$L$500-SUM($L510:T510)))</f>
        <v>0</v>
      </c>
      <c r="V510" s="1105">
        <f>MAX(0,MIN($L510*2,$L$500-SUM($L510:U510)))</f>
        <v>0</v>
      </c>
      <c r="W510" s="1105">
        <f>MAX(0,MIN($L510*2,$L$500-SUM($L510:V510)))</f>
        <v>0</v>
      </c>
      <c r="X510" s="1114"/>
      <c r="Y510" s="1105">
        <f>MAX(0,MIN($L510*2,$L$500-SUM($L510:X510)))</f>
        <v>0</v>
      </c>
      <c r="Z510" s="1105">
        <f>MAX(0,MIN($L510*2,$L$500-SUM($L510:Y510)))</f>
        <v>0</v>
      </c>
      <c r="AA510" s="1105">
        <f>MAX(0,MIN($L510*2,$L$500-SUM($L510:Z510)))</f>
        <v>0</v>
      </c>
      <c r="AB510" s="1105">
        <f>MAX(0,MIN($L510*2,$L$500-SUM($L510:AA510)))</f>
        <v>0</v>
      </c>
      <c r="AC510" s="1110"/>
      <c r="AD510" s="1105">
        <f>MAX(0,MIN($L510*2,$L$500-SUM($L510:AC510)))</f>
        <v>0</v>
      </c>
      <c r="AE510" s="1105">
        <f>MAX(0,MIN($L510*2,$L$500-SUM($L510:AD510)))</f>
        <v>0</v>
      </c>
      <c r="AF510" s="1105">
        <f>MAX(0,MIN($L510*2,$L$500-SUM($L510:AE510)))</f>
        <v>0</v>
      </c>
      <c r="AG510" s="1105">
        <f>MAX(0,MIN($L510*2,$L$500-SUM($L510:AF510)))</f>
        <v>0</v>
      </c>
      <c r="AH510" s="1110"/>
      <c r="AI510" s="1105">
        <f>MAX(0,MIN($L510*2,$L$500-SUM($L510:AH510)))</f>
        <v>0</v>
      </c>
      <c r="AJ510" s="1105">
        <f>MAX(0,MIN($L510*2,$L$500-SUM($L510:AI510)))</f>
        <v>0</v>
      </c>
      <c r="AK510" s="1105">
        <f>MAX(0,MIN($L510*2,$L$500-SUM($L510:AJ510)))</f>
        <v>0</v>
      </c>
      <c r="AL510" s="1105">
        <f>MAX(0,MIN($L510*2,$L$500-SUM($L510:AK510)))</f>
        <v>0</v>
      </c>
      <c r="AM510" s="1111">
        <f>MAX(0,MIN($L510*8,$L$500-SUM($L510:AH510)))</f>
        <v>0</v>
      </c>
      <c r="AN510" s="1105">
        <f>MAX(0,MIN($L510*8,$L$500-SUM($L510:AI510)))</f>
        <v>0</v>
      </c>
      <c r="AO510" s="1105">
        <f>MAX(0,MIN($L510*8,$L$500-SUM($L510:AJ510)))</f>
        <v>0</v>
      </c>
      <c r="AP510" s="1105">
        <f>MAX(0,MIN($L510*8,$L$500-SUM($L510:AK510)))</f>
        <v>0</v>
      </c>
      <c r="AQ510" s="1105">
        <f>MAX(0,MIN($L510*8,$L$500-SUM($L510:AL510)))</f>
        <v>0</v>
      </c>
      <c r="AR510" s="1111">
        <f>MAX(0,MIN($L510*8,$L$500-SUM($L510:AM510)))</f>
        <v>0</v>
      </c>
      <c r="AS510" s="1105">
        <f>MAX(0,MIN($L510*8,$L$500-SUM($L510:AN510)))</f>
        <v>0</v>
      </c>
      <c r="AT510" s="1105">
        <f>MAX(0,MIN($L510*8,$L$500-SUM($L510:AO510)))</f>
        <v>0</v>
      </c>
      <c r="AU510" s="1105">
        <f>MAX(0,MIN($L510*8,$L$500-SUM($L510:AP510)))</f>
        <v>0</v>
      </c>
      <c r="AV510" s="1105">
        <f>MAX(0,MIN($L510*8,$L$500-SUM($L510:AQ510)))</f>
        <v>0</v>
      </c>
      <c r="AW510" s="1106">
        <f>MAX(0,MIN($L510*8,$L$500-SUM($L510:AR510)))</f>
        <v>0</v>
      </c>
      <c r="AX510" s="1105">
        <f>MAX(0,MIN($L510*8,$L$500-SUM($L510:AS510)))</f>
        <v>0</v>
      </c>
      <c r="AY510" s="1105">
        <f>MAX(0,MIN($L510*8,$L$500-SUM($L510:AT510)))</f>
        <v>0</v>
      </c>
      <c r="AZ510" s="1105">
        <f>MAX(0,MIN($L510*8,$L$500-SUM($L510:AU510)))</f>
        <v>0</v>
      </c>
      <c r="BA510" s="1105">
        <f>MAX(0,MIN($L510*8,$L$500-SUM($L510:AV510)))</f>
        <v>0</v>
      </c>
      <c r="BB510" s="1107">
        <f>MAX(0,MIN($L510*8,$L$500-SUM($L510:AW510)))</f>
        <v>0</v>
      </c>
      <c r="BC510" s="1105">
        <f>MAX(0,MIN($L510*8,$L$500-SUM($L510:AX510)))</f>
        <v>0</v>
      </c>
      <c r="BD510" s="1105">
        <f>MAX(0,MIN($L510*8,$L$500-SUM($L510:AY510)))</f>
        <v>0</v>
      </c>
      <c r="BE510" s="1105">
        <f>MAX(0,MIN($L510*8,$L$500-SUM($L510:AZ510)))</f>
        <v>0</v>
      </c>
      <c r="BF510" s="1105">
        <f>MAX(0,MIN($L510*8,$L$500-SUM($L510:BA510)))</f>
        <v>0</v>
      </c>
      <c r="BG510" s="1107">
        <f>MAX(0,MIN($L510*8,$L$500-SUM($L510:BB510)))</f>
        <v>0</v>
      </c>
      <c r="BH510" s="1105">
        <f>MAX(0,MIN($L510*8,$L$500-SUM($L510:BC510)))</f>
        <v>0</v>
      </c>
      <c r="BI510" s="1105">
        <f>MAX(0,MIN($L510*8,$L$500-SUM($L510:BD510)))</f>
        <v>0</v>
      </c>
      <c r="BJ510" s="1105">
        <f>MAX(0,MIN($L510*8,$L$500-SUM($L510:BE510)))</f>
        <v>0</v>
      </c>
      <c r="BK510" s="1105">
        <f>MAX(0,MIN($L510*8,$L$500-SUM($L510:BF510)))</f>
        <v>0</v>
      </c>
      <c r="BL510" s="1107">
        <f>MAX(0,MIN($L510*8,$L$500-SUM($L510:BG510)))</f>
        <v>0</v>
      </c>
      <c r="BM510" s="1105">
        <f>MAX(0,MIN($L510*8,$L$500-SUM($L510:BH510)))</f>
        <v>0</v>
      </c>
      <c r="BN510" s="1105">
        <f>MAX(0,MIN($L510*8,$L$500-SUM($L510:BI510)))</f>
        <v>0</v>
      </c>
      <c r="BO510" s="1105">
        <f>MAX(0,MIN($L510*8,$L$500-SUM($L510:BJ510)))</f>
        <v>0</v>
      </c>
      <c r="BP510" s="1105">
        <f>MAX(0,MIN($L510*8,$L$500-SUM($L510:BK510)))</f>
        <v>0</v>
      </c>
      <c r="BQ510" s="1107">
        <f>MAX(0,MIN($L510*8,$L$500-SUM($L510:BL510)))</f>
        <v>0</v>
      </c>
      <c r="BR510" s="1105">
        <f>MAX(0,MIN($L510*8,$L$500-SUM($L510:BM510)))</f>
        <v>0</v>
      </c>
      <c r="BS510" s="1105">
        <f>MAX(0,MIN($L510*8,$L$500-SUM($L510:BN510)))</f>
        <v>0</v>
      </c>
      <c r="BT510" s="1105">
        <f>MAX(0,MIN($L510*8,$L$500-SUM($L510:BO510)))</f>
        <v>0</v>
      </c>
      <c r="BU510" s="1105">
        <f>MAX(0,MIN($L510*8,$L$500-SUM($L510:BP510)))</f>
        <v>0</v>
      </c>
      <c r="BV510" s="1107">
        <f>MAX(0,MIN($L510*8,$L$500-SUM($L510:BQ510)))</f>
        <v>0</v>
      </c>
      <c r="BW510" s="1105">
        <f>MAX(0,MIN($L510*8,$L$500-SUM($L510:BR510)))</f>
        <v>0</v>
      </c>
      <c r="BX510" s="1105">
        <f>MAX(0,MIN($L510*8,$L$500-SUM($L510:BS510)))</f>
        <v>0</v>
      </c>
      <c r="BY510" s="1105">
        <f>MAX(0,MIN($L510*8,$L$500-SUM($L510:BT510)))</f>
        <v>0</v>
      </c>
      <c r="BZ510" s="1105">
        <f>MAX(0,MIN($L510*8,$L$500-SUM($L510:BU510)))</f>
        <v>0</v>
      </c>
      <c r="CA510" s="1107">
        <f>MAX(0,MIN($L510*8,$L$500-SUM($L510:BV510)))</f>
        <v>0</v>
      </c>
      <c r="CC510" s="383"/>
      <c r="CD510" s="383"/>
      <c r="CE510" s="1105"/>
      <c r="CF510" s="1105"/>
      <c r="CG510" s="1105"/>
      <c r="CH510" s="1105"/>
      <c r="CI510" s="1105"/>
      <c r="CJ510" s="1105"/>
      <c r="CK510" s="1105"/>
      <c r="CL510" s="1105"/>
      <c r="CM510" s="1105"/>
      <c r="CN510" s="1105"/>
      <c r="CO510" s="1105"/>
      <c r="CP510" s="14"/>
      <c r="CQ510" s="14"/>
      <c r="CR510" s="14"/>
      <c r="CS510" s="14"/>
      <c r="CT510" s="14"/>
      <c r="CU510" s="1961"/>
      <c r="DB510" s="1961"/>
      <c r="DC510" s="1961"/>
      <c r="DD510" s="1961"/>
      <c r="DE510" s="1961"/>
      <c r="DF510" s="1961"/>
      <c r="DG510" s="1961"/>
      <c r="DH510" s="1961"/>
      <c r="DI510" s="1105"/>
    </row>
    <row r="511" spans="1:113" hidden="1" outlineLevel="1" x14ac:dyDescent="0.25">
      <c r="A511" s="628"/>
      <c r="B511" s="1113"/>
      <c r="C511" s="1093"/>
      <c r="D511" s="1093"/>
      <c r="E511" s="1100"/>
      <c r="F511" s="1100"/>
      <c r="G511" s="1100"/>
      <c r="H511" s="383"/>
      <c r="I511" s="1114"/>
      <c r="J511" s="1100"/>
      <c r="K511" s="1100"/>
      <c r="L511" s="1100"/>
      <c r="M511" s="383">
        <f>M500/B499*1/8</f>
        <v>0</v>
      </c>
      <c r="N511" s="1114"/>
      <c r="O511" s="1105">
        <f>MAX(0,MIN($M511*2,$M$500-SUM($M511:N511)))</f>
        <v>0</v>
      </c>
      <c r="P511" s="1105">
        <f>MAX(0,MIN($M511*2,$M$500-SUM($M511:O511)))</f>
        <v>0</v>
      </c>
      <c r="Q511" s="1105">
        <f>MAX(0,MIN($M511*2,$M$500-SUM($M511:P511)))</f>
        <v>0</v>
      </c>
      <c r="R511" s="1105">
        <f>MAX(0,MIN($M511*2,$M$500-SUM($M511:Q511)))</f>
        <v>0</v>
      </c>
      <c r="S511" s="1114"/>
      <c r="T511" s="1105">
        <f>MAX(0,MIN($M511*2,$M$500-SUM($M511:S511)))</f>
        <v>0</v>
      </c>
      <c r="U511" s="1105">
        <f>MAX(0,MIN($M511*2,$M$500-SUM($M511:T511)))</f>
        <v>0</v>
      </c>
      <c r="V511" s="1105">
        <f>MAX(0,MIN($M511*2,$M$500-SUM($M511:U511)))</f>
        <v>0</v>
      </c>
      <c r="W511" s="1105">
        <f>MAX(0,MIN($M511*2,$M$500-SUM($M511:V511)))</f>
        <v>0</v>
      </c>
      <c r="X511" s="1114"/>
      <c r="Y511" s="1105">
        <f>MAX(0,MIN($M511*2,$M$500-SUM($M511:X511)))</f>
        <v>0</v>
      </c>
      <c r="Z511" s="1105">
        <f>MAX(0,MIN($M511*2,$M$500-SUM($M511:Y511)))</f>
        <v>0</v>
      </c>
      <c r="AA511" s="1105">
        <f>MAX(0,MIN($M511*2,$M$500-SUM($M511:Z511)))</f>
        <v>0</v>
      </c>
      <c r="AB511" s="1105">
        <f>MAX(0,MIN($M511*2,$M$500-SUM($M511:AA511)))</f>
        <v>0</v>
      </c>
      <c r="AC511" s="1110"/>
      <c r="AD511" s="1105">
        <f>MAX(0,MIN($M511*2,$M$500-SUM($M511:AC511)))</f>
        <v>0</v>
      </c>
      <c r="AE511" s="1105">
        <f>MAX(0,MIN($M511*2,$M$500-SUM($M511:AD511)))</f>
        <v>0</v>
      </c>
      <c r="AF511" s="1105">
        <f>MAX(0,MIN($M511*2,$M$500-SUM($M511:AE511)))</f>
        <v>0</v>
      </c>
      <c r="AG511" s="1105">
        <f>MAX(0,MIN($M511*2,$M$500-SUM($M511:AF511)))</f>
        <v>0</v>
      </c>
      <c r="AH511" s="1110"/>
      <c r="AI511" s="1105">
        <f>MAX(0,MIN($M511*2,$M$500-SUM($M511:AH511)))</f>
        <v>0</v>
      </c>
      <c r="AJ511" s="1105">
        <f>MAX(0,MIN($M511*2,$M$500-SUM($M511:AI511)))</f>
        <v>0</v>
      </c>
      <c r="AK511" s="1105">
        <f>MAX(0,MIN($M511*2,$M$500-SUM($M511:AJ511)))</f>
        <v>0</v>
      </c>
      <c r="AL511" s="1105">
        <f>MAX(0,MIN($M511*2,$M$500-SUM($M511:AK511)))</f>
        <v>0</v>
      </c>
      <c r="AM511" s="1111">
        <f>MAX(0,MIN($M511*8,$M$500-SUM($M511:AH511)))</f>
        <v>0</v>
      </c>
      <c r="AN511" s="1105">
        <f>MAX(0,MIN($M511*8,$M$500-SUM($M511:AI511)))</f>
        <v>0</v>
      </c>
      <c r="AO511" s="1105">
        <f>MAX(0,MIN($M511*8,$M$500-SUM($M511:AJ511)))</f>
        <v>0</v>
      </c>
      <c r="AP511" s="1105">
        <f>MAX(0,MIN($M511*8,$M$500-SUM($M511:AK511)))</f>
        <v>0</v>
      </c>
      <c r="AQ511" s="1105">
        <f>MAX(0,MIN($M511*8,$M$500-SUM($M511:AL511)))</f>
        <v>0</v>
      </c>
      <c r="AR511" s="1111">
        <f>MAX(0,MIN($M511*8,$M$500-SUM($M511:AM511)))</f>
        <v>0</v>
      </c>
      <c r="AS511" s="1105">
        <f>MAX(0,MIN($M511*8,$M$500-SUM($M511:AN511)))</f>
        <v>0</v>
      </c>
      <c r="AT511" s="1105">
        <f>MAX(0,MIN($M511*8,$M$500-SUM($M511:AO511)))</f>
        <v>0</v>
      </c>
      <c r="AU511" s="1105">
        <f>MAX(0,MIN($M511*8,$M$500-SUM($M511:AP511)))</f>
        <v>0</v>
      </c>
      <c r="AV511" s="1105">
        <f>MAX(0,MIN($M511*8,$M$500-SUM($M511:AQ511)))</f>
        <v>0</v>
      </c>
      <c r="AW511" s="1106">
        <f>MAX(0,MIN($M511*8,$M$500-SUM($M511:AR511)))</f>
        <v>0</v>
      </c>
      <c r="AX511" s="1105">
        <f>MAX(0,MIN($M511*8,$M$500-SUM($M511:AS511)))</f>
        <v>0</v>
      </c>
      <c r="AY511" s="1105">
        <f>MAX(0,MIN($M511*8,$M$500-SUM($M511:AT511)))</f>
        <v>0</v>
      </c>
      <c r="AZ511" s="1105">
        <f>MAX(0,MIN($M511*8,$M$500-SUM($M511:AU511)))</f>
        <v>0</v>
      </c>
      <c r="BA511" s="1105">
        <f>MAX(0,MIN($M511*8,$M$500-SUM($M511:AV511)))</f>
        <v>0</v>
      </c>
      <c r="BB511" s="1107">
        <f>MAX(0,MIN($M511*8,$M$500-SUM($M511:AW511)))</f>
        <v>0</v>
      </c>
      <c r="BC511" s="1105">
        <f>MAX(0,MIN($M511*8,$M$500-SUM($M511:AX511)))</f>
        <v>0</v>
      </c>
      <c r="BD511" s="1105">
        <f>MAX(0,MIN($M511*8,$M$500-SUM($M511:AY511)))</f>
        <v>0</v>
      </c>
      <c r="BE511" s="1105">
        <f>MAX(0,MIN($M511*8,$M$500-SUM($M511:AZ511)))</f>
        <v>0</v>
      </c>
      <c r="BF511" s="1105">
        <f>MAX(0,MIN($M511*8,$M$500-SUM($M511:BA511)))</f>
        <v>0</v>
      </c>
      <c r="BG511" s="1107">
        <f>MAX(0,MIN($M511*8,$M$500-SUM($M511:BB511)))</f>
        <v>0</v>
      </c>
      <c r="BH511" s="1105">
        <f>MAX(0,MIN($M511*8,$M$500-SUM($M511:BC511)))</f>
        <v>0</v>
      </c>
      <c r="BI511" s="1105">
        <f>MAX(0,MIN($M511*8,$M$500-SUM($M511:BD511)))</f>
        <v>0</v>
      </c>
      <c r="BJ511" s="1105">
        <f>MAX(0,MIN($M511*8,$M$500-SUM($M511:BE511)))</f>
        <v>0</v>
      </c>
      <c r="BK511" s="1105">
        <f>MAX(0,MIN($M511*8,$M$500-SUM($M511:BF511)))</f>
        <v>0</v>
      </c>
      <c r="BL511" s="1107">
        <f>MAX(0,MIN($M511*8,$M$500-SUM($M511:BG511)))</f>
        <v>0</v>
      </c>
      <c r="BM511" s="1105">
        <f>MAX(0,MIN($M511*8,$M$500-SUM($M511:BH511)))</f>
        <v>0</v>
      </c>
      <c r="BN511" s="1105">
        <f>MAX(0,MIN($M511*8,$M$500-SUM($M511:BI511)))</f>
        <v>0</v>
      </c>
      <c r="BO511" s="1105">
        <f>MAX(0,MIN($M511*8,$M$500-SUM($M511:BJ511)))</f>
        <v>0</v>
      </c>
      <c r="BP511" s="1105">
        <f>MAX(0,MIN($M511*8,$M$500-SUM($M511:BK511)))</f>
        <v>0</v>
      </c>
      <c r="BQ511" s="1107">
        <f>MAX(0,MIN($M511*8,$M$500-SUM($M511:BL511)))</f>
        <v>0</v>
      </c>
      <c r="BR511" s="1105">
        <f>MAX(0,MIN($M511*8,$M$500-SUM($M511:BM511)))</f>
        <v>0</v>
      </c>
      <c r="BS511" s="1105">
        <f>MAX(0,MIN($M511*8,$M$500-SUM($M511:BN511)))</f>
        <v>0</v>
      </c>
      <c r="BT511" s="1105">
        <f>MAX(0,MIN($M511*8,$M$500-SUM($M511:BO511)))</f>
        <v>0</v>
      </c>
      <c r="BU511" s="1105">
        <f>MAX(0,MIN($M511*8,$M$500-SUM($M511:BP511)))</f>
        <v>0</v>
      </c>
      <c r="BV511" s="1107">
        <f>MAX(0,MIN($M511*8,$M$500-SUM($M511:BQ511)))</f>
        <v>0</v>
      </c>
      <c r="BW511" s="1105">
        <f>MAX(0,MIN($M511*8,$M$500-SUM($M511:BR511)))</f>
        <v>0</v>
      </c>
      <c r="BX511" s="1105">
        <f>MAX(0,MIN($M511*8,$M$500-SUM($M511:BS511)))</f>
        <v>0</v>
      </c>
      <c r="BY511" s="1105">
        <f>MAX(0,MIN($M511*8,$M$500-SUM($M511:BT511)))</f>
        <v>0</v>
      </c>
      <c r="BZ511" s="1105">
        <f>MAX(0,MIN($M511*8,$M$500-SUM($M511:BU511)))</f>
        <v>0</v>
      </c>
      <c r="CA511" s="1107">
        <f>MAX(0,MIN($M511*8,$M$500-SUM($M511:BV511)))</f>
        <v>0</v>
      </c>
      <c r="CC511" s="383"/>
      <c r="CD511" s="383"/>
      <c r="CE511" s="1105"/>
      <c r="CF511" s="1105"/>
      <c r="CG511" s="1105"/>
      <c r="CH511" s="1105"/>
      <c r="CI511" s="1105"/>
      <c r="CJ511" s="1105"/>
      <c r="CK511" s="1105"/>
      <c r="CL511" s="1105"/>
      <c r="CM511" s="1105"/>
      <c r="CN511" s="1105"/>
      <c r="CO511" s="1105"/>
      <c r="CP511" s="14"/>
      <c r="CQ511" s="14"/>
      <c r="CR511" s="14"/>
      <c r="CS511" s="14"/>
      <c r="CT511" s="14"/>
      <c r="CU511" s="1961"/>
      <c r="DB511" s="1961"/>
      <c r="DC511" s="1961"/>
      <c r="DD511" s="1961"/>
      <c r="DE511" s="1961"/>
      <c r="DF511" s="1961"/>
      <c r="DG511" s="1961"/>
      <c r="DH511" s="1961"/>
      <c r="DI511" s="1105"/>
    </row>
    <row r="512" spans="1:113" hidden="1" outlineLevel="1" x14ac:dyDescent="0.25">
      <c r="A512" s="628"/>
      <c r="B512" s="1113"/>
      <c r="C512" s="1093"/>
      <c r="D512" s="1093"/>
      <c r="E512" s="1100"/>
      <c r="F512" s="1100"/>
      <c r="G512" s="1100"/>
      <c r="H512" s="1100"/>
      <c r="I512" s="1114"/>
      <c r="J512" s="383"/>
      <c r="K512" s="383"/>
      <c r="L512" s="383"/>
      <c r="M512" s="383"/>
      <c r="N512" s="1114"/>
      <c r="O512" s="383">
        <f>O500/B499*1/8</f>
        <v>0</v>
      </c>
      <c r="P512" s="1105">
        <f>MAX(0,MIN($O512*2,$O$500-SUM($O512:O512)))</f>
        <v>0</v>
      </c>
      <c r="Q512" s="1105">
        <f>MAX(0,MIN($O512*2,$O$500-SUM($O512:P512)))</f>
        <v>0</v>
      </c>
      <c r="R512" s="1105">
        <f>MAX(0,MIN($O512*2,$O$500-SUM($O512:Q512)))</f>
        <v>0</v>
      </c>
      <c r="S512" s="1114"/>
      <c r="T512" s="1105">
        <f>MAX(0,MIN($O512*2,$O$500-SUM($O512:S512)))</f>
        <v>0</v>
      </c>
      <c r="U512" s="1105">
        <f>MAX(0,MIN($O512*2,$O$500-SUM($O512:T512)))</f>
        <v>0</v>
      </c>
      <c r="V512" s="1105">
        <f>MAX(0,MIN($O512*2,$O$500-SUM($O512:U512)))</f>
        <v>0</v>
      </c>
      <c r="W512" s="1105">
        <f>MAX(0,MIN($O512*2,$O$500-SUM($O512:V512)))</f>
        <v>0</v>
      </c>
      <c r="X512" s="1114"/>
      <c r="Y512" s="1105">
        <f>MAX(0,MIN($O512*2,$O$500-SUM($O512:X512)))</f>
        <v>0</v>
      </c>
      <c r="Z512" s="1105">
        <f>MAX(0,MIN($O512*2,$O$500-SUM($O512:Y512)))</f>
        <v>0</v>
      </c>
      <c r="AA512" s="1105">
        <f>MAX(0,MIN($O512*2,$O$500-SUM($O512:Z512)))</f>
        <v>0</v>
      </c>
      <c r="AB512" s="1105">
        <f>MAX(0,MIN($O512*2,$O$500-SUM($O512:AA512)))</f>
        <v>0</v>
      </c>
      <c r="AC512" s="1110"/>
      <c r="AD512" s="1105">
        <f>MAX(0,MIN($O512*2,$O$500-SUM($O512:AC512)))</f>
        <v>0</v>
      </c>
      <c r="AE512" s="1105">
        <f>MAX(0,MIN($O512*2,$O$500-SUM($O512:AD512)))</f>
        <v>0</v>
      </c>
      <c r="AF512" s="1105">
        <f>MAX(0,MIN($O512*2,$O$500-SUM($O512:AE512)))</f>
        <v>0</v>
      </c>
      <c r="AG512" s="1105">
        <f>MAX(0,MIN($O512*2,$O$500-SUM($O512:AF512)))</f>
        <v>0</v>
      </c>
      <c r="AH512" s="1110"/>
      <c r="AI512" s="1105">
        <f>MAX(0,MIN($O512*2,$O$500-SUM($O512:AH512)))</f>
        <v>0</v>
      </c>
      <c r="AJ512" s="1105">
        <f>MAX(0,MIN($O512*2,$O$500-SUM($O512:AI512)))</f>
        <v>0</v>
      </c>
      <c r="AK512" s="1105">
        <f>MAX(0,MIN($O512*2,$O$500-SUM($O512:AJ512)))</f>
        <v>0</v>
      </c>
      <c r="AL512" s="1105">
        <f>MAX(0,MIN($O512*2,$O$500-SUM($O512:AK512)))</f>
        <v>0</v>
      </c>
      <c r="AM512" s="1111">
        <f>MAX(0,MIN($O512*8,$O$500-SUM($O512:AH512)))</f>
        <v>0</v>
      </c>
      <c r="AN512" s="1105">
        <f>MAX(0,MIN($O512*8,$O$500-SUM($O512:AI512)))</f>
        <v>0</v>
      </c>
      <c r="AO512" s="1105">
        <f>MAX(0,MIN($O512*8,$O$500-SUM($O512:AJ512)))</f>
        <v>0</v>
      </c>
      <c r="AP512" s="1105">
        <f>MAX(0,MIN($O512*8,$O$500-SUM($O512:AK512)))</f>
        <v>0</v>
      </c>
      <c r="AQ512" s="1105">
        <f>MAX(0,MIN($O512*8,$O$500-SUM($O512:AL512)))</f>
        <v>0</v>
      </c>
      <c r="AR512" s="1111">
        <f>MAX(0,MIN($O512*8,$O$500-SUM($O512:AM512)))</f>
        <v>0</v>
      </c>
      <c r="AS512" s="1105">
        <f>MAX(0,MIN($O512*8,$O$500-SUM($O512:AN512)))</f>
        <v>0</v>
      </c>
      <c r="AT512" s="1105">
        <f>MAX(0,MIN($O512*8,$O$500-SUM($O512:AO512)))</f>
        <v>0</v>
      </c>
      <c r="AU512" s="1105">
        <f>MAX(0,MIN($O512*8,$O$500-SUM($O512:AP512)))</f>
        <v>0</v>
      </c>
      <c r="AV512" s="1105">
        <f>MAX(0,MIN($O512*8,$O$500-SUM($O512:AQ512)))</f>
        <v>0</v>
      </c>
      <c r="AW512" s="1106">
        <f>MAX(0,MIN($O512*8,$O$500-SUM($O512:AR512)))</f>
        <v>0</v>
      </c>
      <c r="AX512" s="1105">
        <f>MAX(0,MIN($O512*8,$O$500-SUM($O512:AS512)))</f>
        <v>0</v>
      </c>
      <c r="AY512" s="1105">
        <f>MAX(0,MIN($O512*8,$O$500-SUM($O512:AT512)))</f>
        <v>0</v>
      </c>
      <c r="AZ512" s="1105">
        <f>MAX(0,MIN($O512*8,$O$500-SUM($O512:AU512)))</f>
        <v>0</v>
      </c>
      <c r="BA512" s="1105">
        <f>MAX(0,MIN($O512*8,$O$500-SUM($O512:AV512)))</f>
        <v>0</v>
      </c>
      <c r="BB512" s="1107">
        <f>MAX(0,MIN($O512*8,$O$500-SUM($O512:AW512)))</f>
        <v>0</v>
      </c>
      <c r="BC512" s="1105">
        <f>MAX(0,MIN($O512*8,$O$500-SUM($O512:AX512)))</f>
        <v>0</v>
      </c>
      <c r="BD512" s="1105">
        <f>MAX(0,MIN($O512*8,$O$500-SUM($O512:AY512)))</f>
        <v>0</v>
      </c>
      <c r="BE512" s="1105">
        <f>MAX(0,MIN($O512*8,$O$500-SUM($O512:AZ512)))</f>
        <v>0</v>
      </c>
      <c r="BF512" s="1105">
        <f>MAX(0,MIN($O512*8,$O$500-SUM($O512:BA512)))</f>
        <v>0</v>
      </c>
      <c r="BG512" s="1107">
        <f>MAX(0,MIN($O512*8,$O$500-SUM($O512:BB512)))</f>
        <v>0</v>
      </c>
      <c r="BH512" s="1105">
        <f>MAX(0,MIN($O512*8,$O$500-SUM($O512:BC512)))</f>
        <v>0</v>
      </c>
      <c r="BI512" s="1105">
        <f>MAX(0,MIN($O512*8,$O$500-SUM($O512:BD512)))</f>
        <v>0</v>
      </c>
      <c r="BJ512" s="1105">
        <f>MAX(0,MIN($O512*8,$O$500-SUM($O512:BE512)))</f>
        <v>0</v>
      </c>
      <c r="BK512" s="1105">
        <f>MAX(0,MIN($O512*8,$O$500-SUM($O512:BF512)))</f>
        <v>0</v>
      </c>
      <c r="BL512" s="1107">
        <f>MAX(0,MIN($O512*8,$O$500-SUM($O512:BG512)))</f>
        <v>0</v>
      </c>
      <c r="BM512" s="1105">
        <f>MAX(0,MIN($O512*8,$O$500-SUM($O512:BH512)))</f>
        <v>0</v>
      </c>
      <c r="BN512" s="1105">
        <f>MAX(0,MIN($O512*8,$O$500-SUM($O512:BI512)))</f>
        <v>0</v>
      </c>
      <c r="BO512" s="1105">
        <f>MAX(0,MIN($O512*8,$O$500-SUM($O512:BJ512)))</f>
        <v>0</v>
      </c>
      <c r="BP512" s="1105">
        <f>MAX(0,MIN($O512*8,$O$500-SUM($O512:BK512)))</f>
        <v>0</v>
      </c>
      <c r="BQ512" s="1107">
        <f>MAX(0,MIN($O512*8,$O$500-SUM($O512:BL512)))</f>
        <v>0</v>
      </c>
      <c r="BR512" s="1105">
        <f>MAX(0,MIN($O512*8,$O$500-SUM($O512:BM512)))</f>
        <v>0</v>
      </c>
      <c r="BS512" s="1105">
        <f>MAX(0,MIN($O512*8,$O$500-SUM($O512:BN512)))</f>
        <v>0</v>
      </c>
      <c r="BT512" s="1105">
        <f>MAX(0,MIN($O512*8,$O$500-SUM($O512:BO512)))</f>
        <v>0</v>
      </c>
      <c r="BU512" s="1105">
        <f>MAX(0,MIN($O512*8,$O$500-SUM($O512:BP512)))</f>
        <v>0</v>
      </c>
      <c r="BV512" s="1107">
        <f>MAX(0,MIN($O512*8,$O$500-SUM($O512:BQ512)))</f>
        <v>0</v>
      </c>
      <c r="BW512" s="1105">
        <f>MAX(0,MIN($O512*8,$O$500-SUM($O512:BR512)))</f>
        <v>0</v>
      </c>
      <c r="BX512" s="1105">
        <f>MAX(0,MIN($O512*8,$O$500-SUM($O512:BS512)))</f>
        <v>0</v>
      </c>
      <c r="BY512" s="1105">
        <f>MAX(0,MIN($O512*8,$O$500-SUM($O512:BT512)))</f>
        <v>0</v>
      </c>
      <c r="BZ512" s="1105">
        <f>MAX(0,MIN($O512*8,$O$500-SUM($O512:BU512)))</f>
        <v>0</v>
      </c>
      <c r="CA512" s="1107">
        <f>MAX(0,MIN($O512*8,$O$500-SUM($O512:BV512)))</f>
        <v>0</v>
      </c>
      <c r="CC512" s="383"/>
      <c r="CD512" s="383"/>
      <c r="CE512" s="1105"/>
      <c r="CF512" s="1105"/>
      <c r="CG512" s="1105"/>
      <c r="CH512" s="1105"/>
      <c r="CI512" s="1105"/>
      <c r="CJ512" s="1105"/>
      <c r="CK512" s="1105"/>
      <c r="CL512" s="1105"/>
      <c r="CM512" s="1105"/>
      <c r="CN512" s="1105"/>
      <c r="CO512" s="1105"/>
      <c r="CP512" s="14"/>
      <c r="CQ512" s="14"/>
      <c r="CR512" s="14"/>
      <c r="CS512" s="14"/>
      <c r="CT512" s="14"/>
      <c r="CU512" s="1961"/>
      <c r="DB512" s="1961"/>
      <c r="DC512" s="1961"/>
      <c r="DD512" s="1961"/>
      <c r="DE512" s="1961"/>
      <c r="DF512" s="1961"/>
      <c r="DG512" s="1961"/>
      <c r="DH512" s="1961"/>
      <c r="DI512" s="1105"/>
    </row>
    <row r="513" spans="1:113" hidden="1" outlineLevel="1" x14ac:dyDescent="0.25">
      <c r="A513" s="628"/>
      <c r="B513" s="1113"/>
      <c r="C513" s="1093"/>
      <c r="D513" s="1093"/>
      <c r="E513" s="1100"/>
      <c r="F513" s="1100"/>
      <c r="G513" s="1100"/>
      <c r="H513" s="1100"/>
      <c r="I513" s="1114"/>
      <c r="J513" s="19"/>
      <c r="K513" s="383"/>
      <c r="L513" s="383"/>
      <c r="M513" s="383"/>
      <c r="N513" s="1114"/>
      <c r="O513" s="19"/>
      <c r="P513" s="383">
        <f>P$500/$B$499*1/8</f>
        <v>0</v>
      </c>
      <c r="Q513" s="1105">
        <f>MAX(0,MIN($P513*2,$P$500-SUM($P513:P513)))</f>
        <v>0</v>
      </c>
      <c r="R513" s="1105">
        <f>MAX(0,MIN($P513*2,$P$500-SUM($P513:Q513)))</f>
        <v>0</v>
      </c>
      <c r="S513" s="1114"/>
      <c r="T513" s="1105">
        <f>MAX(0,MIN($P513*2,$P$500-SUM($P513:S513)))</f>
        <v>0</v>
      </c>
      <c r="U513" s="1105">
        <f>MAX(0,MIN($P513*2,$P$500-SUM($P513:T513)))</f>
        <v>0</v>
      </c>
      <c r="V513" s="1105">
        <f>MAX(0,MIN($P513*2,$P$500-SUM($P513:U513)))</f>
        <v>0</v>
      </c>
      <c r="W513" s="1105">
        <f>MAX(0,MIN($P513*2,$P$500-SUM($P513:V513)))</f>
        <v>0</v>
      </c>
      <c r="X513" s="1114"/>
      <c r="Y513" s="1105">
        <f>MAX(0,MIN($P513*2,$P$500-SUM($P513:X513)))</f>
        <v>0</v>
      </c>
      <c r="Z513" s="1105">
        <f>MAX(0,MIN($P513*2,$P$500-SUM($P513:Y513)))</f>
        <v>0</v>
      </c>
      <c r="AA513" s="1105">
        <f>MAX(0,MIN($P513*2,$P$500-SUM($P513:Z513)))</f>
        <v>0</v>
      </c>
      <c r="AB513" s="1105">
        <f>MAX(0,MIN($P513*2,$P$500-SUM($P513:AA513)))</f>
        <v>0</v>
      </c>
      <c r="AC513" s="1110"/>
      <c r="AD513" s="1105">
        <f>MAX(0,MIN($P513*2,$P$500-SUM($P513:AC513)))</f>
        <v>0</v>
      </c>
      <c r="AE513" s="1105">
        <f>MAX(0,MIN($P513*2,$P$500-SUM($P513:AD513)))</f>
        <v>0</v>
      </c>
      <c r="AF513" s="1105">
        <f>MAX(0,MIN($P513*2,$P$500-SUM($P513:AE513)))</f>
        <v>0</v>
      </c>
      <c r="AG513" s="1105">
        <f>MAX(0,MIN($P513*2,$P$500-SUM($P513:AF513)))</f>
        <v>0</v>
      </c>
      <c r="AH513" s="1110"/>
      <c r="AI513" s="1105">
        <f>MAX(0,MIN($P513*2,$P$500-SUM($P513:AH513)))</f>
        <v>0</v>
      </c>
      <c r="AJ513" s="1105">
        <f>MAX(0,MIN($P513*2,$P$500-SUM($P513:AI513)))</f>
        <v>0</v>
      </c>
      <c r="AK513" s="1105">
        <f>MAX(0,MIN($P513*2,$P$500-SUM($P513:AJ513)))</f>
        <v>0</v>
      </c>
      <c r="AL513" s="1105">
        <f>MAX(0,MIN($P513*2,$P$500-SUM($P513:AK513)))</f>
        <v>0</v>
      </c>
      <c r="AM513" s="1111">
        <f>MAX(0,MIN($P513*8,$P$500-SUM($P513:AH513)))</f>
        <v>0</v>
      </c>
      <c r="AN513" s="1105">
        <f>MAX(0,MIN($P513*8,$P$500-SUM($P513:AI513)))</f>
        <v>0</v>
      </c>
      <c r="AO513" s="1105">
        <f>MAX(0,MIN($P513*8,$P$500-SUM($P513:AJ513)))</f>
        <v>0</v>
      </c>
      <c r="AP513" s="1105">
        <f>MAX(0,MIN($P513*8,$P$500-SUM($P513:AK513)))</f>
        <v>0</v>
      </c>
      <c r="AQ513" s="1105">
        <f>MAX(0,MIN($P513*8,$P$500-SUM($P513:AL513)))</f>
        <v>0</v>
      </c>
      <c r="AR513" s="1111">
        <f>MAX(0,MIN($P513*8,$P$500-SUM($P513:AM513)))</f>
        <v>0</v>
      </c>
      <c r="AS513" s="1105">
        <f>MAX(0,MIN($P513*8,$P$500-SUM($P513:AN513)))</f>
        <v>0</v>
      </c>
      <c r="AT513" s="1105">
        <f>MAX(0,MIN($P513*8,$P$500-SUM($P513:AO513)))</f>
        <v>0</v>
      </c>
      <c r="AU513" s="1105">
        <f>MAX(0,MIN($P513*8,$P$500-SUM($P513:AP513)))</f>
        <v>0</v>
      </c>
      <c r="AV513" s="1105">
        <f>MAX(0,MIN($P513*8,$P$500-SUM($P513:AQ513)))</f>
        <v>0</v>
      </c>
      <c r="AW513" s="1106">
        <f>MAX(0,MIN($P513*8,$P$500-SUM($P513:AR513)))</f>
        <v>0</v>
      </c>
      <c r="AX513" s="1105">
        <f>MAX(0,MIN($P513*8,$P$500-SUM($P513:AS513)))</f>
        <v>0</v>
      </c>
      <c r="AY513" s="1105">
        <f>MAX(0,MIN($P513*8,$P$500-SUM($P513:AT513)))</f>
        <v>0</v>
      </c>
      <c r="AZ513" s="1105">
        <f>MAX(0,MIN($P513*8,$P$500-SUM($P513:AU513)))</f>
        <v>0</v>
      </c>
      <c r="BA513" s="1105">
        <f>MAX(0,MIN($P513*8,$P$500-SUM($P513:AV513)))</f>
        <v>0</v>
      </c>
      <c r="BB513" s="1107">
        <f>MAX(0,MIN($P513*8,$P$500-SUM($P513:AW513)))</f>
        <v>0</v>
      </c>
      <c r="BC513" s="1105">
        <f>MAX(0,MIN($P513*8,$P$500-SUM($P513:AX513)))</f>
        <v>0</v>
      </c>
      <c r="BD513" s="1105">
        <f>MAX(0,MIN($P513*8,$P$500-SUM($P513:AY513)))</f>
        <v>0</v>
      </c>
      <c r="BE513" s="1105">
        <f>MAX(0,MIN($P513*8,$P$500-SUM($P513:AZ513)))</f>
        <v>0</v>
      </c>
      <c r="BF513" s="1105">
        <f>MAX(0,MIN($P513*8,$P$500-SUM($P513:BA513)))</f>
        <v>0</v>
      </c>
      <c r="BG513" s="1107">
        <f>MAX(0,MIN($P513*8,$P$500-SUM($P513:BB513)))</f>
        <v>0</v>
      </c>
      <c r="BH513" s="1105">
        <f>MAX(0,MIN($P513*8,$P$500-SUM($P513:BC513)))</f>
        <v>0</v>
      </c>
      <c r="BI513" s="1105">
        <f>MAX(0,MIN($P513*8,$P$500-SUM($P513:BD513)))</f>
        <v>0</v>
      </c>
      <c r="BJ513" s="1105">
        <f>MAX(0,MIN($P513*8,$P$500-SUM($P513:BE513)))</f>
        <v>0</v>
      </c>
      <c r="BK513" s="1105">
        <f>MAX(0,MIN($P513*8,$P$500-SUM($P513:BF513)))</f>
        <v>0</v>
      </c>
      <c r="BL513" s="1107">
        <f>MAX(0,MIN($P513*8,$P$500-SUM($P513:BG513)))</f>
        <v>0</v>
      </c>
      <c r="BM513" s="1105">
        <f>MAX(0,MIN($P513*8,$P$500-SUM($P513:BH513)))</f>
        <v>0</v>
      </c>
      <c r="BN513" s="1105">
        <f>MAX(0,MIN($P513*8,$P$500-SUM($P513:BI513)))</f>
        <v>0</v>
      </c>
      <c r="BO513" s="1105">
        <f>MAX(0,MIN($P513*8,$P$500-SUM($P513:BJ513)))</f>
        <v>0</v>
      </c>
      <c r="BP513" s="1105">
        <f>MAX(0,MIN($P513*8,$P$500-SUM($P513:BK513)))</f>
        <v>0</v>
      </c>
      <c r="BQ513" s="1107">
        <f>MAX(0,MIN($P513*8,$P$500-SUM($P513:BL513)))</f>
        <v>0</v>
      </c>
      <c r="BR513" s="1105">
        <f>MAX(0,MIN($P513*8,$P$500-SUM($P513:BM513)))</f>
        <v>0</v>
      </c>
      <c r="BS513" s="1105">
        <f>MAX(0,MIN($P513*8,$P$500-SUM($P513:BN513)))</f>
        <v>0</v>
      </c>
      <c r="BT513" s="1105">
        <f>MAX(0,MIN($P513*8,$P$500-SUM($P513:BO513)))</f>
        <v>0</v>
      </c>
      <c r="BU513" s="1105">
        <f>MAX(0,MIN($P513*8,$P$500-SUM($P513:BP513)))</f>
        <v>0</v>
      </c>
      <c r="BV513" s="1107">
        <f>MAX(0,MIN($P513*8,$P$500-SUM($P513:BQ513)))</f>
        <v>0</v>
      </c>
      <c r="BW513" s="1105">
        <f>MAX(0,MIN($P513*8,$P$500-SUM($P513:BR513)))</f>
        <v>0</v>
      </c>
      <c r="BX513" s="1105">
        <f>MAX(0,MIN($P513*8,$P$500-SUM($P513:BS513)))</f>
        <v>0</v>
      </c>
      <c r="BY513" s="1105">
        <f>MAX(0,MIN($P513*8,$P$500-SUM($P513:BT513)))</f>
        <v>0</v>
      </c>
      <c r="BZ513" s="1105">
        <f>MAX(0,MIN($P513*8,$P$500-SUM($P513:BU513)))</f>
        <v>0</v>
      </c>
      <c r="CA513" s="1107">
        <f>MAX(0,MIN($P513*8,$P$500-SUM($P513:BV513)))</f>
        <v>0</v>
      </c>
      <c r="CC513" s="383"/>
      <c r="CD513" s="383"/>
      <c r="CE513" s="1105"/>
      <c r="CF513" s="1105"/>
      <c r="CG513" s="1105"/>
      <c r="CH513" s="1105"/>
      <c r="CI513" s="1105"/>
      <c r="CJ513" s="1105"/>
      <c r="CK513" s="1105"/>
      <c r="CL513" s="1105"/>
      <c r="CM513" s="1105"/>
      <c r="CN513" s="1105"/>
      <c r="CO513" s="1105"/>
      <c r="CP513" s="14"/>
      <c r="CQ513" s="14"/>
      <c r="CR513" s="14"/>
      <c r="CS513" s="14"/>
      <c r="CT513" s="14"/>
      <c r="CU513" s="1961"/>
      <c r="DB513" s="1961"/>
      <c r="DC513" s="1961"/>
      <c r="DD513" s="1961"/>
      <c r="DE513" s="1961"/>
      <c r="DF513" s="1961"/>
      <c r="DG513" s="1961"/>
      <c r="DH513" s="1961"/>
      <c r="DI513" s="1105"/>
    </row>
    <row r="514" spans="1:113" hidden="1" outlineLevel="1" x14ac:dyDescent="0.25">
      <c r="A514" s="628"/>
      <c r="B514" s="1113"/>
      <c r="C514" s="1093"/>
      <c r="D514" s="1093"/>
      <c r="E514" s="1100"/>
      <c r="F514" s="1100"/>
      <c r="G514" s="1100"/>
      <c r="H514" s="1100"/>
      <c r="I514" s="1114"/>
      <c r="J514" s="19"/>
      <c r="K514" s="1"/>
      <c r="L514" s="1"/>
      <c r="M514" s="383"/>
      <c r="N514" s="1114"/>
      <c r="O514" s="19"/>
      <c r="P514" s="383"/>
      <c r="Q514" s="383">
        <f>Q$500/$B$499*1/8</f>
        <v>0</v>
      </c>
      <c r="R514" s="1105">
        <f>MAX(0,MIN($Q514*2,$Q$500-SUM($Q514:Q514)))</f>
        <v>0</v>
      </c>
      <c r="S514" s="1114"/>
      <c r="T514" s="1105">
        <f>MAX(0,MIN($Q514*2,$Q$500-SUM($Q514:S514)))</f>
        <v>0</v>
      </c>
      <c r="U514" s="1105">
        <f>MAX(0,MIN($Q514*2,$Q$500-SUM($Q514:T514)))</f>
        <v>0</v>
      </c>
      <c r="V514" s="1105">
        <f>MAX(0,MIN($Q514*2,$Q$500-SUM($Q514:U514)))</f>
        <v>0</v>
      </c>
      <c r="W514" s="1105">
        <f>MAX(0,MIN($Q514*2,$Q$500-SUM($Q514:V514)))</f>
        <v>0</v>
      </c>
      <c r="X514" s="1114"/>
      <c r="Y514" s="1105">
        <f>MAX(0,MIN($Q514*2,$Q$500-SUM($Q514:X514)))</f>
        <v>0</v>
      </c>
      <c r="Z514" s="1105">
        <f>MAX(0,MIN($Q514*2,$Q$500-SUM($Q514:Y514)))</f>
        <v>0</v>
      </c>
      <c r="AA514" s="1105">
        <f>MAX(0,MIN($Q514*2,$Q$500-SUM($Q514:Z514)))</f>
        <v>0</v>
      </c>
      <c r="AB514" s="1105">
        <f>MAX(0,MIN($Q514*2,$Q$500-SUM($Q514:AA514)))</f>
        <v>0</v>
      </c>
      <c r="AC514" s="1110"/>
      <c r="AD514" s="1105">
        <f>MAX(0,MIN($Q514*2,$Q$500-SUM($Q514:AC514)))</f>
        <v>0</v>
      </c>
      <c r="AE514" s="1105">
        <f>MAX(0,MIN($Q514*2,$Q$500-SUM($Q514:AD514)))</f>
        <v>0</v>
      </c>
      <c r="AF514" s="1105">
        <f>MAX(0,MIN($Q514*2,$Q$500-SUM($Q514:AE514)))</f>
        <v>0</v>
      </c>
      <c r="AG514" s="1105">
        <f>MAX(0,MIN($Q514*2,$Q$500-SUM($Q514:AF514)))</f>
        <v>0</v>
      </c>
      <c r="AH514" s="1110"/>
      <c r="AI514" s="1105">
        <f>MAX(0,MIN($Q514*2,$Q$500-SUM($Q514:AH514)))</f>
        <v>0</v>
      </c>
      <c r="AJ514" s="1105">
        <f>MAX(0,MIN($Q514*2,$Q$500-SUM($Q514:AI514)))</f>
        <v>0</v>
      </c>
      <c r="AK514" s="1105">
        <f>MAX(0,MIN($Q514*2,$Q$500-SUM($Q514:AJ514)))</f>
        <v>0</v>
      </c>
      <c r="AL514" s="1105">
        <f>MAX(0,MIN($Q514*2,$Q$500-SUM($Q514:AK514)))</f>
        <v>0</v>
      </c>
      <c r="AM514" s="1111">
        <f>MAX(0,MIN($Q514*8,$Q$500-SUM($Q514:AH514)))</f>
        <v>0</v>
      </c>
      <c r="AN514" s="1105">
        <f>MAX(0,MIN($Q514*8,$Q$500-SUM($Q514:AI514)))</f>
        <v>0</v>
      </c>
      <c r="AO514" s="1105">
        <f>MAX(0,MIN($Q514*8,$Q$500-SUM($Q514:AJ514)))</f>
        <v>0</v>
      </c>
      <c r="AP514" s="1105">
        <f>MAX(0,MIN($Q514*8,$Q$500-SUM($Q514:AK514)))</f>
        <v>0</v>
      </c>
      <c r="AQ514" s="1105">
        <f>MAX(0,MIN($Q514*8,$Q$500-SUM($Q514:AL514)))</f>
        <v>0</v>
      </c>
      <c r="AR514" s="1111">
        <f>MAX(0,MIN($Q514*8,$Q$500-SUM($Q514:AM514)))</f>
        <v>0</v>
      </c>
      <c r="AS514" s="1105">
        <f>MAX(0,MIN($Q514*8,$Q$500-SUM($Q514:AN514)))</f>
        <v>0</v>
      </c>
      <c r="AT514" s="1105">
        <f>MAX(0,MIN($Q514*8,$Q$500-SUM($Q514:AO514)))</f>
        <v>0</v>
      </c>
      <c r="AU514" s="1105">
        <f>MAX(0,MIN($Q514*8,$Q$500-SUM($Q514:AP514)))</f>
        <v>0</v>
      </c>
      <c r="AV514" s="1105">
        <f>MAX(0,MIN($Q514*8,$Q$500-SUM($Q514:AQ514)))</f>
        <v>0</v>
      </c>
      <c r="AW514" s="1106">
        <f>MAX(0,MIN($Q514*8,$Q$500-SUM($Q514:AR514)))</f>
        <v>0</v>
      </c>
      <c r="AX514" s="1105">
        <f>MAX(0,MIN($Q514*8,$Q$500-SUM($Q514:AS514)))</f>
        <v>0</v>
      </c>
      <c r="AY514" s="1105">
        <f>MAX(0,MIN($Q514*8,$Q$500-SUM($Q514:AT514)))</f>
        <v>0</v>
      </c>
      <c r="AZ514" s="1105">
        <f>MAX(0,MIN($Q514*8,$Q$500-SUM($Q514:AU514)))</f>
        <v>0</v>
      </c>
      <c r="BA514" s="1105">
        <f>MAX(0,MIN($Q514*8,$Q$500-SUM($Q514:AV514)))</f>
        <v>0</v>
      </c>
      <c r="BB514" s="1107">
        <f>MAX(0,MIN($Q514*8,$Q$500-SUM($Q514:AW514)))</f>
        <v>0</v>
      </c>
      <c r="BC514" s="1105">
        <f>MAX(0,MIN($Q514*8,$Q$500-SUM($Q514:AX514)))</f>
        <v>0</v>
      </c>
      <c r="BD514" s="1105">
        <f>MAX(0,MIN($Q514*8,$Q$500-SUM($Q514:AY514)))</f>
        <v>0</v>
      </c>
      <c r="BE514" s="1105">
        <f>MAX(0,MIN($Q514*8,$Q$500-SUM($Q514:AZ514)))</f>
        <v>0</v>
      </c>
      <c r="BF514" s="1105">
        <f>MAX(0,MIN($Q514*8,$Q$500-SUM($Q514:BA514)))</f>
        <v>0</v>
      </c>
      <c r="BG514" s="1107">
        <f>MAX(0,MIN($Q514*8,$Q$500-SUM($Q514:BB514)))</f>
        <v>0</v>
      </c>
      <c r="BH514" s="1105">
        <f>MAX(0,MIN($Q514*8,$Q$500-SUM($Q514:BC514)))</f>
        <v>0</v>
      </c>
      <c r="BI514" s="1105">
        <f>MAX(0,MIN($Q514*8,$Q$500-SUM($Q514:BD514)))</f>
        <v>0</v>
      </c>
      <c r="BJ514" s="1105">
        <f>MAX(0,MIN($Q514*8,$Q$500-SUM($Q514:BE514)))</f>
        <v>0</v>
      </c>
      <c r="BK514" s="1105">
        <f>MAX(0,MIN($Q514*8,$Q$500-SUM($Q514:BF514)))</f>
        <v>0</v>
      </c>
      <c r="BL514" s="1107">
        <f>MAX(0,MIN($Q514*8,$Q$500-SUM($Q514:BG514)))</f>
        <v>0</v>
      </c>
      <c r="BM514" s="1105">
        <f>MAX(0,MIN($Q514*8,$Q$500-SUM($Q514:BH514)))</f>
        <v>0</v>
      </c>
      <c r="BN514" s="1105">
        <f>MAX(0,MIN($Q514*8,$Q$500-SUM($Q514:BI514)))</f>
        <v>0</v>
      </c>
      <c r="BO514" s="1105">
        <f>MAX(0,MIN($Q514*8,$Q$500-SUM($Q514:BJ514)))</f>
        <v>0</v>
      </c>
      <c r="BP514" s="1105">
        <f>MAX(0,MIN($Q514*8,$Q$500-SUM($Q514:BK514)))</f>
        <v>0</v>
      </c>
      <c r="BQ514" s="1107">
        <f>MAX(0,MIN($Q514*8,$Q$500-SUM($Q514:BL514)))</f>
        <v>0</v>
      </c>
      <c r="BR514" s="1105">
        <f>MAX(0,MIN($Q514*8,$Q$500-SUM($Q514:BM514)))</f>
        <v>0</v>
      </c>
      <c r="BS514" s="1105">
        <f>MAX(0,MIN($Q514*8,$Q$500-SUM($Q514:BN514)))</f>
        <v>0</v>
      </c>
      <c r="BT514" s="1105">
        <f>MAX(0,MIN($Q514*8,$Q$500-SUM($Q514:BO514)))</f>
        <v>0</v>
      </c>
      <c r="BU514" s="1105">
        <f>MAX(0,MIN($Q514*8,$Q$500-SUM($Q514:BP514)))</f>
        <v>0</v>
      </c>
      <c r="BV514" s="1107">
        <f>MAX(0,MIN($Q514*8,$Q$500-SUM($Q514:BQ514)))</f>
        <v>0</v>
      </c>
      <c r="BW514" s="1105">
        <f>MAX(0,MIN($Q514*8,$Q$500-SUM($Q514:BR514)))</f>
        <v>0</v>
      </c>
      <c r="BX514" s="1105">
        <f>MAX(0,MIN($Q514*8,$Q$500-SUM($Q514:BS514)))</f>
        <v>0</v>
      </c>
      <c r="BY514" s="1105">
        <f>MAX(0,MIN($Q514*8,$Q$500-SUM($Q514:BT514)))</f>
        <v>0</v>
      </c>
      <c r="BZ514" s="1105">
        <f>MAX(0,MIN($Q514*8,$Q$500-SUM($Q514:BU514)))</f>
        <v>0</v>
      </c>
      <c r="CA514" s="1107">
        <f>MAX(0,MIN($Q514*8,$Q$500-SUM($Q514:BV514)))</f>
        <v>0</v>
      </c>
      <c r="CC514" s="383"/>
      <c r="CD514" s="383"/>
      <c r="CE514" s="1105"/>
      <c r="CF514" s="1105"/>
      <c r="CG514" s="1105"/>
      <c r="CH514" s="1105"/>
      <c r="CI514" s="1105"/>
      <c r="CJ514" s="1105"/>
      <c r="CK514" s="1105"/>
      <c r="CL514" s="1105"/>
      <c r="CM514" s="1105"/>
      <c r="CN514" s="1105"/>
      <c r="CO514" s="1105"/>
      <c r="CP514" s="14"/>
      <c r="CQ514" s="14"/>
      <c r="CR514" s="14"/>
      <c r="CS514" s="14"/>
      <c r="CT514" s="14"/>
      <c r="CU514" s="1961"/>
      <c r="DB514" s="1961"/>
      <c r="DC514" s="1961"/>
      <c r="DD514" s="1961"/>
      <c r="DE514" s="1961"/>
      <c r="DF514" s="1961"/>
      <c r="DG514" s="1961"/>
      <c r="DH514" s="1961"/>
      <c r="DI514" s="1105"/>
    </row>
    <row r="515" spans="1:113" hidden="1" outlineLevel="1" x14ac:dyDescent="0.25">
      <c r="A515" s="628"/>
      <c r="B515" s="1113"/>
      <c r="C515" s="1093"/>
      <c r="D515" s="1093"/>
      <c r="E515" s="1100"/>
      <c r="F515" s="1100"/>
      <c r="G515" s="1100"/>
      <c r="H515" s="1100"/>
      <c r="I515" s="1114"/>
      <c r="J515" s="19"/>
      <c r="K515" s="1"/>
      <c r="L515" s="1"/>
      <c r="M515" s="1"/>
      <c r="N515" s="1114"/>
      <c r="O515" s="19"/>
      <c r="P515" s="383"/>
      <c r="Q515" s="383"/>
      <c r="R515" s="383">
        <f>R$500/$B$499*1/8</f>
        <v>0</v>
      </c>
      <c r="S515" s="1114"/>
      <c r="T515" s="1105">
        <f>MAX(0,MIN($R515*2,$R$500-SUM($R515:S515)))</f>
        <v>0</v>
      </c>
      <c r="U515" s="1105">
        <f>MAX(0,MIN($R515*2,$R$500-SUM($R515:T515)))</f>
        <v>0</v>
      </c>
      <c r="V515" s="1105">
        <f>MAX(0,MIN($R515*2,$R$500-SUM($R515:U515)))</f>
        <v>0</v>
      </c>
      <c r="W515" s="1105">
        <f>MAX(0,MIN($R515*2,$R$500-SUM($R515:V515)))</f>
        <v>0</v>
      </c>
      <c r="X515" s="1114"/>
      <c r="Y515" s="1105">
        <f>MAX(0,MIN($R515*2,$R$500-SUM($R515:X515)))</f>
        <v>0</v>
      </c>
      <c r="Z515" s="1105">
        <f>MAX(0,MIN($R515*2,$R$500-SUM($R515:Y515)))</f>
        <v>0</v>
      </c>
      <c r="AA515" s="1105">
        <f>MAX(0,MIN($R515*2,$R$500-SUM($R515:Z515)))</f>
        <v>0</v>
      </c>
      <c r="AB515" s="1105">
        <f>MAX(0,MIN($R515*2,$R$500-SUM($R515:AA515)))</f>
        <v>0</v>
      </c>
      <c r="AC515" s="1110"/>
      <c r="AD515" s="1105">
        <f>MAX(0,MIN($R515*2,$R$500-SUM($R515:AC515)))</f>
        <v>0</v>
      </c>
      <c r="AE515" s="1105">
        <f>MAX(0,MIN($R515*2,$R$500-SUM($R515:AD515)))</f>
        <v>0</v>
      </c>
      <c r="AF515" s="1105">
        <f>MAX(0,MIN($R515*2,$R$500-SUM($R515:AE515)))</f>
        <v>0</v>
      </c>
      <c r="AG515" s="1105">
        <f>MAX(0,MIN($R515*2,$R$500-SUM($R515:AF515)))</f>
        <v>0</v>
      </c>
      <c r="AH515" s="1110"/>
      <c r="AI515" s="1105">
        <f>MAX(0,MIN($R515*2,$R$500-SUM($R515:AH515)))</f>
        <v>0</v>
      </c>
      <c r="AJ515" s="1105">
        <f>MAX(0,MIN($R515*2,$R$500-SUM($R515:AI515)))</f>
        <v>0</v>
      </c>
      <c r="AK515" s="1105">
        <f>MAX(0,MIN($R515*2,$R$500-SUM($R515:AJ515)))</f>
        <v>0</v>
      </c>
      <c r="AL515" s="1105">
        <f>MAX(0,MIN($R515*2,$R$500-SUM($R515:AK515)))</f>
        <v>0</v>
      </c>
      <c r="AM515" s="1111">
        <f>MAX(0,MIN($R515*8,$R$500-SUM($R515:AH515)))</f>
        <v>0</v>
      </c>
      <c r="AN515" s="1105">
        <f>MAX(0,MIN($R515*8,$R$500-SUM($R515:AI515)))</f>
        <v>0</v>
      </c>
      <c r="AO515" s="1105">
        <f>MAX(0,MIN($R515*8,$R$500-SUM($R515:AJ515)))</f>
        <v>0</v>
      </c>
      <c r="AP515" s="1105">
        <f>MAX(0,MIN($R515*8,$R$500-SUM($R515:AK515)))</f>
        <v>0</v>
      </c>
      <c r="AQ515" s="1105">
        <f>MAX(0,MIN($R515*8,$R$500-SUM($R515:AL515)))</f>
        <v>0</v>
      </c>
      <c r="AR515" s="1111">
        <f>MAX(0,MIN($R515*8,$R$500-SUM($R515:AM515)))</f>
        <v>0</v>
      </c>
      <c r="AS515" s="1105">
        <f>MAX(0,MIN($R515*8,$R$500-SUM($R515:AN515)))</f>
        <v>0</v>
      </c>
      <c r="AT515" s="1105">
        <f>MAX(0,MIN($R515*8,$R$500-SUM($R515:AO515)))</f>
        <v>0</v>
      </c>
      <c r="AU515" s="1105">
        <f>MAX(0,MIN($R515*8,$R$500-SUM($R515:AP515)))</f>
        <v>0</v>
      </c>
      <c r="AV515" s="1105">
        <f>MAX(0,MIN($R515*8,$R$500-SUM($R515:AQ515)))</f>
        <v>0</v>
      </c>
      <c r="AW515" s="1106">
        <f>MAX(0,MIN($R515*8,$R$500-SUM($R515:AR515)))</f>
        <v>0</v>
      </c>
      <c r="AX515" s="1105">
        <f>MAX(0,MIN($R515*8,$R$500-SUM($R515:AS515)))</f>
        <v>0</v>
      </c>
      <c r="AY515" s="1105">
        <f>MAX(0,MIN($R515*8,$R$500-SUM($R515:AT515)))</f>
        <v>0</v>
      </c>
      <c r="AZ515" s="1105">
        <f>MAX(0,MIN($R515*8,$R$500-SUM($R515:AU515)))</f>
        <v>0</v>
      </c>
      <c r="BA515" s="1105">
        <f>MAX(0,MIN($R515*8,$R$500-SUM($R515:AV515)))</f>
        <v>0</v>
      </c>
      <c r="BB515" s="1107">
        <f>MAX(0,MIN($R515*8,$R$500-SUM($R515:AW515)))</f>
        <v>0</v>
      </c>
      <c r="BC515" s="1105">
        <f>MAX(0,MIN($R515*8,$R$500-SUM($R515:AX515)))</f>
        <v>0</v>
      </c>
      <c r="BD515" s="1105">
        <f>MAX(0,MIN($R515*8,$R$500-SUM($R515:AY515)))</f>
        <v>0</v>
      </c>
      <c r="BE515" s="1105">
        <f>MAX(0,MIN($R515*8,$R$500-SUM($R515:AZ515)))</f>
        <v>0</v>
      </c>
      <c r="BF515" s="1105">
        <f>MAX(0,MIN($R515*8,$R$500-SUM($R515:BA515)))</f>
        <v>0</v>
      </c>
      <c r="BG515" s="1107">
        <f>MAX(0,MIN($R515*8,$R$500-SUM($R515:BB515)))</f>
        <v>0</v>
      </c>
      <c r="BH515" s="1105">
        <f>MAX(0,MIN($R515*8,$R$500-SUM($R515:BC515)))</f>
        <v>0</v>
      </c>
      <c r="BI515" s="1105">
        <f>MAX(0,MIN($R515*8,$R$500-SUM($R515:BD515)))</f>
        <v>0</v>
      </c>
      <c r="BJ515" s="1105">
        <f>MAX(0,MIN($R515*8,$R$500-SUM($R515:BE515)))</f>
        <v>0</v>
      </c>
      <c r="BK515" s="1105">
        <f>MAX(0,MIN($R515*8,$R$500-SUM($R515:BF515)))</f>
        <v>0</v>
      </c>
      <c r="BL515" s="1107">
        <f>MAX(0,MIN($R515*8,$R$500-SUM($R515:BG515)))</f>
        <v>0</v>
      </c>
      <c r="BM515" s="1105">
        <f>MAX(0,MIN($R515*8,$R$500-SUM($R515:BH515)))</f>
        <v>0</v>
      </c>
      <c r="BN515" s="1105">
        <f>MAX(0,MIN($R515*8,$R$500-SUM($R515:BI515)))</f>
        <v>0</v>
      </c>
      <c r="BO515" s="1105">
        <f>MAX(0,MIN($R515*8,$R$500-SUM($R515:BJ515)))</f>
        <v>0</v>
      </c>
      <c r="BP515" s="1105">
        <f>MAX(0,MIN($R515*8,$R$500-SUM($R515:BK515)))</f>
        <v>0</v>
      </c>
      <c r="BQ515" s="1107">
        <f>MAX(0,MIN($R515*8,$R$500-SUM($R515:BL515)))</f>
        <v>0</v>
      </c>
      <c r="BR515" s="1105">
        <f>MAX(0,MIN($R515*8,$R$500-SUM($R515:BM515)))</f>
        <v>0</v>
      </c>
      <c r="BS515" s="1105">
        <f>MAX(0,MIN($R515*8,$R$500-SUM($R515:BN515)))</f>
        <v>0</v>
      </c>
      <c r="BT515" s="1105">
        <f>MAX(0,MIN($R515*8,$R$500-SUM($R515:BO515)))</f>
        <v>0</v>
      </c>
      <c r="BU515" s="1105">
        <f>MAX(0,MIN($R515*8,$R$500-SUM($R515:BP515)))</f>
        <v>0</v>
      </c>
      <c r="BV515" s="1107">
        <f>MAX(0,MIN($R515*8,$R$500-SUM($R515:BQ515)))</f>
        <v>0</v>
      </c>
      <c r="BW515" s="1105">
        <f>MAX(0,MIN($R515*8,$R$500-SUM($R515:BR515)))</f>
        <v>0</v>
      </c>
      <c r="BX515" s="1105">
        <f>MAX(0,MIN($R515*8,$R$500-SUM($R515:BS515)))</f>
        <v>0</v>
      </c>
      <c r="BY515" s="1105">
        <f>MAX(0,MIN($R515*8,$R$500-SUM($R515:BT515)))</f>
        <v>0</v>
      </c>
      <c r="BZ515" s="1105">
        <f>MAX(0,MIN($R515*8,$R$500-SUM($R515:BU515)))</f>
        <v>0</v>
      </c>
      <c r="CA515" s="1107">
        <f>MAX(0,MIN($R515*8,$R$500-SUM($R515:BV515)))</f>
        <v>0</v>
      </c>
      <c r="CC515" s="383"/>
      <c r="CD515" s="383"/>
      <c r="CE515" s="1105"/>
      <c r="CF515" s="1105"/>
      <c r="CG515" s="1105"/>
      <c r="CH515" s="1105"/>
      <c r="CI515" s="1105"/>
      <c r="CJ515" s="1105"/>
      <c r="CK515" s="1105"/>
      <c r="CL515" s="1105"/>
      <c r="CM515" s="1105"/>
      <c r="CN515" s="1105"/>
      <c r="CO515" s="1105"/>
      <c r="CP515" s="14"/>
      <c r="CQ515" s="14"/>
      <c r="CR515" s="14"/>
      <c r="CS515" s="14"/>
      <c r="CT515" s="14"/>
      <c r="CU515" s="1961"/>
      <c r="DB515" s="1961"/>
      <c r="DC515" s="1961"/>
      <c r="DD515" s="1961"/>
      <c r="DE515" s="1961"/>
      <c r="DF515" s="1961"/>
      <c r="DG515" s="1961"/>
      <c r="DH515" s="1961"/>
      <c r="DI515" s="1105"/>
    </row>
    <row r="516" spans="1:113" hidden="1" outlineLevel="1" x14ac:dyDescent="0.25">
      <c r="A516" s="628"/>
      <c r="B516" s="1113"/>
      <c r="C516" s="1093"/>
      <c r="D516" s="1093"/>
      <c r="E516" s="1100"/>
      <c r="F516" s="1100"/>
      <c r="G516" s="1100"/>
      <c r="H516" s="1100"/>
      <c r="I516" s="1114"/>
      <c r="J516" s="19"/>
      <c r="K516" s="1"/>
      <c r="L516" s="1"/>
      <c r="M516" s="1"/>
      <c r="N516" s="1114"/>
      <c r="O516" s="19"/>
      <c r="P516" s="1"/>
      <c r="Q516" s="383"/>
      <c r="R516" s="383"/>
      <c r="S516" s="1114"/>
      <c r="T516" s="383">
        <f>T$500/$B$499*1/8</f>
        <v>0</v>
      </c>
      <c r="U516" s="1105">
        <f>MAX(0,MIN($T516*2,$T$500-SUM($T516:T516)))</f>
        <v>0</v>
      </c>
      <c r="V516" s="1105">
        <f>MAX(0,MIN($T516*2,$T$500-SUM($T516:U516)))</f>
        <v>0</v>
      </c>
      <c r="W516" s="1105">
        <f>MAX(0,MIN($T516*2,$T$500-SUM($T516:V516)))</f>
        <v>0</v>
      </c>
      <c r="X516" s="1114"/>
      <c r="Y516" s="1105">
        <f>MAX(0,MIN($T516*2,$T$500-SUM($T516:X516)))</f>
        <v>0</v>
      </c>
      <c r="Z516" s="1105">
        <f>MAX(0,MIN($T516*2,$T$500-SUM($T516:Y516)))</f>
        <v>0</v>
      </c>
      <c r="AA516" s="1105">
        <f>MAX(0,MIN($T516*2,$T$500-SUM($T516:Z516)))</f>
        <v>0</v>
      </c>
      <c r="AB516" s="1105">
        <f>MAX(0,MIN($T516*2,$T$500-SUM($T516:AA516)))</f>
        <v>0</v>
      </c>
      <c r="AC516" s="1110"/>
      <c r="AD516" s="1105">
        <f>MAX(0,MIN($T516*2,$T$500-SUM($T516:AC516)))</f>
        <v>0</v>
      </c>
      <c r="AE516" s="1105">
        <f>MAX(0,MIN($T516*2,$T$500-SUM($T516:AD516)))</f>
        <v>0</v>
      </c>
      <c r="AF516" s="1105">
        <f>MAX(0,MIN($T516*2,$T$500-SUM($T516:AE516)))</f>
        <v>0</v>
      </c>
      <c r="AG516" s="1105">
        <f>MAX(0,MIN($T516*2,$T$500-SUM($T516:AF516)))</f>
        <v>0</v>
      </c>
      <c r="AH516" s="1110"/>
      <c r="AI516" s="1105">
        <f>MAX(0,MIN($T516*2,$T$500-SUM($T516:AH516)))</f>
        <v>0</v>
      </c>
      <c r="AJ516" s="1105">
        <f>MAX(0,MIN($T516*2,$T$500-SUM($T516:AI516)))</f>
        <v>0</v>
      </c>
      <c r="AK516" s="1105">
        <f>MAX(0,MIN($T516*2,$T$500-SUM($T516:AJ516)))</f>
        <v>0</v>
      </c>
      <c r="AL516" s="1105">
        <f>MAX(0,MIN($T516*2,$T$500-SUM($T516:AK516)))</f>
        <v>0</v>
      </c>
      <c r="AM516" s="1111">
        <f>MAX(0,MIN($T516*8,$T$500-SUM($T516:AH516)))</f>
        <v>0</v>
      </c>
      <c r="AN516" s="1105">
        <f>MAX(0,MIN($T516*8,$T$500-SUM($T516:AI516)))</f>
        <v>0</v>
      </c>
      <c r="AO516" s="1105">
        <f>MAX(0,MIN($T516*8,$T$500-SUM($T516:AJ516)))</f>
        <v>0</v>
      </c>
      <c r="AP516" s="1105">
        <f>MAX(0,MIN($T516*8,$T$500-SUM($T516:AK516)))</f>
        <v>0</v>
      </c>
      <c r="AQ516" s="1105">
        <f>MAX(0,MIN($T516*8,$T$500-SUM($T516:AL516)))</f>
        <v>0</v>
      </c>
      <c r="AR516" s="1111">
        <f>MAX(0,MIN($T516*8,$T$500-SUM($T516:AM516)))</f>
        <v>0</v>
      </c>
      <c r="AS516" s="1105">
        <f>MAX(0,MIN($T516*8,$T$500-SUM($T516:AN516)))</f>
        <v>0</v>
      </c>
      <c r="AT516" s="1105">
        <f>MAX(0,MIN($T516*8,$T$500-SUM($T516:AO516)))</f>
        <v>0</v>
      </c>
      <c r="AU516" s="1105">
        <f>MAX(0,MIN($T516*8,$T$500-SUM($T516:AP516)))</f>
        <v>0</v>
      </c>
      <c r="AV516" s="1105">
        <f>MAX(0,MIN($T516*8,$T$500-SUM($T516:AQ516)))</f>
        <v>0</v>
      </c>
      <c r="AW516" s="1106">
        <f>MAX(0,MIN($T516*8,$T$500-SUM($T516:AR516)))</f>
        <v>0</v>
      </c>
      <c r="AX516" s="1105">
        <f>MAX(0,MIN($T516*8,$T$500-SUM($T516:AS516)))</f>
        <v>0</v>
      </c>
      <c r="AY516" s="1105">
        <f>MAX(0,MIN($T516*8,$T$500-SUM($T516:AT516)))</f>
        <v>0</v>
      </c>
      <c r="AZ516" s="1105">
        <f>MAX(0,MIN($T516*8,$T$500-SUM($T516:AU516)))</f>
        <v>0</v>
      </c>
      <c r="BA516" s="1105">
        <f>MAX(0,MIN($T516*8,$T$500-SUM($T516:AV516)))</f>
        <v>0</v>
      </c>
      <c r="BB516" s="1107">
        <f>MAX(0,MIN($T516*8,$T$500-SUM($T516:AW516)))</f>
        <v>0</v>
      </c>
      <c r="BC516" s="1105">
        <f>MAX(0,MIN($T516*8,$T$500-SUM($T516:AX516)))</f>
        <v>0</v>
      </c>
      <c r="BD516" s="1105">
        <f>MAX(0,MIN($T516*8,$T$500-SUM($T516:AY516)))</f>
        <v>0</v>
      </c>
      <c r="BE516" s="1105">
        <f>MAX(0,MIN($T516*8,$T$500-SUM($T516:AZ516)))</f>
        <v>0</v>
      </c>
      <c r="BF516" s="1105">
        <f>MAX(0,MIN($T516*8,$T$500-SUM($T516:BA516)))</f>
        <v>0</v>
      </c>
      <c r="BG516" s="1107">
        <f>MAX(0,MIN($T516*8,$T$500-SUM($T516:BB516)))</f>
        <v>0</v>
      </c>
      <c r="BH516" s="1105">
        <f>MAX(0,MIN($T516*8,$T$500-SUM($T516:BC516)))</f>
        <v>0</v>
      </c>
      <c r="BI516" s="1105">
        <f>MAX(0,MIN($T516*8,$T$500-SUM($T516:BD516)))</f>
        <v>0</v>
      </c>
      <c r="BJ516" s="1105">
        <f>MAX(0,MIN($T516*8,$T$500-SUM($T516:BE516)))</f>
        <v>0</v>
      </c>
      <c r="BK516" s="1105">
        <f>MAX(0,MIN($T516*8,$T$500-SUM($T516:BF516)))</f>
        <v>0</v>
      </c>
      <c r="BL516" s="1107">
        <f>MAX(0,MIN($T516*8,$T$500-SUM($T516:BG516)))</f>
        <v>0</v>
      </c>
      <c r="BM516" s="1105">
        <f>MAX(0,MIN($T516*8,$T$500-SUM($T516:BH516)))</f>
        <v>0</v>
      </c>
      <c r="BN516" s="1105">
        <f>MAX(0,MIN($T516*8,$T$500-SUM($T516:BI516)))</f>
        <v>0</v>
      </c>
      <c r="BO516" s="1105">
        <f>MAX(0,MIN($T516*8,$T$500-SUM($T516:BJ516)))</f>
        <v>0</v>
      </c>
      <c r="BP516" s="1105">
        <f>MAX(0,MIN($T516*8,$T$500-SUM($T516:BK516)))</f>
        <v>0</v>
      </c>
      <c r="BQ516" s="1107">
        <f>MAX(0,MIN($T516*8,$T$500-SUM($T516:BL516)))</f>
        <v>0</v>
      </c>
      <c r="BR516" s="1105">
        <f>MAX(0,MIN($T516*8,$T$500-SUM($T516:BM516)))</f>
        <v>0</v>
      </c>
      <c r="BS516" s="1105">
        <f>MAX(0,MIN($T516*8,$T$500-SUM($T516:BN516)))</f>
        <v>0</v>
      </c>
      <c r="BT516" s="1105">
        <f>MAX(0,MIN($T516*8,$T$500-SUM($T516:BO516)))</f>
        <v>0</v>
      </c>
      <c r="BU516" s="1105">
        <f>MAX(0,MIN($T516*8,$T$500-SUM($T516:BP516)))</f>
        <v>0</v>
      </c>
      <c r="BV516" s="1107">
        <f>MAX(0,MIN($T516*8,$T$500-SUM($T516:BQ516)))</f>
        <v>0</v>
      </c>
      <c r="BW516" s="1105">
        <f>MAX(0,MIN($T516*8,$T$500-SUM($T516:BR516)))</f>
        <v>0</v>
      </c>
      <c r="BX516" s="1105">
        <f>MAX(0,MIN($T516*8,$T$500-SUM($T516:BS516)))</f>
        <v>0</v>
      </c>
      <c r="BY516" s="1105">
        <f>MAX(0,MIN($T516*8,$T$500-SUM($T516:BT516)))</f>
        <v>0</v>
      </c>
      <c r="BZ516" s="1105">
        <f>MAX(0,MIN($T516*8,$T$500-SUM($T516:BU516)))</f>
        <v>0</v>
      </c>
      <c r="CA516" s="1107">
        <f>MAX(0,MIN($T516*8,$T$500-SUM($T516:BV516)))</f>
        <v>0</v>
      </c>
      <c r="CC516" s="383"/>
      <c r="CD516" s="383"/>
      <c r="CE516" s="1105"/>
      <c r="CF516" s="1105"/>
      <c r="CG516" s="1105"/>
      <c r="CH516" s="1105"/>
      <c r="CI516" s="1105"/>
      <c r="CJ516" s="1105"/>
      <c r="CK516" s="1105"/>
      <c r="CL516" s="1105"/>
      <c r="CM516" s="1105"/>
      <c r="CN516" s="1105"/>
      <c r="CO516" s="1105"/>
      <c r="CP516" s="14"/>
      <c r="CQ516" s="14"/>
      <c r="CR516" s="14"/>
      <c r="CS516" s="14"/>
      <c r="CT516" s="14"/>
      <c r="CU516" s="1961"/>
      <c r="DB516" s="1961"/>
      <c r="DC516" s="1961"/>
      <c r="DD516" s="1961"/>
      <c r="DE516" s="1961"/>
      <c r="DF516" s="1961"/>
      <c r="DG516" s="1961"/>
      <c r="DH516" s="1961"/>
      <c r="DI516" s="1105"/>
    </row>
    <row r="517" spans="1:113" hidden="1" outlineLevel="1" x14ac:dyDescent="0.25">
      <c r="A517" s="628"/>
      <c r="B517" s="1113"/>
      <c r="C517" s="1093"/>
      <c r="D517" s="1093"/>
      <c r="E517" s="1100"/>
      <c r="F517" s="1100"/>
      <c r="G517" s="1100"/>
      <c r="H517" s="1100"/>
      <c r="I517" s="1114"/>
      <c r="J517" s="19"/>
      <c r="K517" s="1"/>
      <c r="L517" s="1"/>
      <c r="M517" s="1"/>
      <c r="N517" s="1114"/>
      <c r="O517" s="19"/>
      <c r="P517" s="1093"/>
      <c r="Q517" s="1"/>
      <c r="R517" s="383"/>
      <c r="S517" s="1114"/>
      <c r="T517" s="1093"/>
      <c r="U517" s="383">
        <f>U$500/$B$499*1/8</f>
        <v>0</v>
      </c>
      <c r="V517" s="1105">
        <f>MAX(0,MIN($U517*2,$U$500-SUM($U517:U517)))</f>
        <v>0</v>
      </c>
      <c r="W517" s="1105">
        <f>MAX(0,MIN($U517*2,$U$501-SUM($U517:V517)))</f>
        <v>0</v>
      </c>
      <c r="X517" s="1114"/>
      <c r="Y517" s="1105">
        <f>MAX(0,MIN($U517*2,$U$500-SUM($U517:X517)))</f>
        <v>0</v>
      </c>
      <c r="Z517" s="1105">
        <f>MAX(0,MIN($U517*2,$U$500-SUM($U517:Y517)))</f>
        <v>0</v>
      </c>
      <c r="AA517" s="1105">
        <f>MAX(0,MIN($U517*2,$U$500-SUM($U517:Z517)))</f>
        <v>0</v>
      </c>
      <c r="AB517" s="1105">
        <f>MAX(0,MIN($U517*2,$U$500-SUM($U517:AA517)))</f>
        <v>0</v>
      </c>
      <c r="AC517" s="1110"/>
      <c r="AD517" s="1105">
        <f>MAX(0,MIN($U517*2,$U$500-SUM($U517:AC517)))</f>
        <v>0</v>
      </c>
      <c r="AE517" s="1105">
        <f>MAX(0,MIN($U517*2,$U$500-SUM($U517:AD517)))</f>
        <v>0</v>
      </c>
      <c r="AF517" s="1105">
        <f>MAX(0,MIN($U517*2,$U$500-SUM($U517:AE517)))</f>
        <v>0</v>
      </c>
      <c r="AG517" s="1105">
        <f>MAX(0,MIN($U517*2,$U$500-SUM($U517:AF517)))</f>
        <v>0</v>
      </c>
      <c r="AH517" s="1110"/>
      <c r="AI517" s="1105">
        <f>MAX(0,MIN($U517*2,$U$500-SUM($U517:AH517)))</f>
        <v>0</v>
      </c>
      <c r="AJ517" s="1105">
        <f>MAX(0,MIN($U517*2,$U$500-SUM($U517:AI517)))</f>
        <v>0</v>
      </c>
      <c r="AK517" s="1105">
        <f>MAX(0,MIN($U517*2,$U$500-SUM($U517:AJ517)))</f>
        <v>0</v>
      </c>
      <c r="AL517" s="1105">
        <f>MAX(0,MIN($U517*2,$U$500-SUM($U517:AK517)))</f>
        <v>0</v>
      </c>
      <c r="AM517" s="1111">
        <f>MAX(0,MIN($U517*8,$U$500-SUM($U517:AH517)))</f>
        <v>0</v>
      </c>
      <c r="AN517" s="1105">
        <f>MAX(0,MIN($U517*8,$U$500-SUM($U517:AI517)))</f>
        <v>0</v>
      </c>
      <c r="AO517" s="1105">
        <f>MAX(0,MIN($U517*8,$U$500-SUM($U517:AJ517)))</f>
        <v>0</v>
      </c>
      <c r="AP517" s="1105">
        <f>MAX(0,MIN($U517*8,$U$500-SUM($U517:AK517)))</f>
        <v>0</v>
      </c>
      <c r="AQ517" s="1105">
        <f>MAX(0,MIN($U517*8,$U$500-SUM($U517:AL517)))</f>
        <v>0</v>
      </c>
      <c r="AR517" s="1111">
        <f>MAX(0,MIN($U517*8,$U$500-SUM($U517:AM517)))</f>
        <v>0</v>
      </c>
      <c r="AS517" s="1105">
        <f>MAX(0,MIN($U517*8,$U$500-SUM($U517:AN517)))</f>
        <v>0</v>
      </c>
      <c r="AT517" s="1105">
        <f>MAX(0,MIN($U517*8,$U$500-SUM($U517:AO517)))</f>
        <v>0</v>
      </c>
      <c r="AU517" s="1105">
        <f>MAX(0,MIN($U517*8,$U$500-SUM($U517:AP517)))</f>
        <v>0</v>
      </c>
      <c r="AV517" s="1105">
        <f>MAX(0,MIN($U517*8,$U$500-SUM($U517:AQ517)))</f>
        <v>0</v>
      </c>
      <c r="AW517" s="1106">
        <f>MAX(0,MIN($U517*8,$U$500-SUM($U517:AR517)))</f>
        <v>0</v>
      </c>
      <c r="AX517" s="1105">
        <f>MAX(0,MIN($U517*8,$U$500-SUM($U517:AS517)))</f>
        <v>0</v>
      </c>
      <c r="AY517" s="1105">
        <f>MAX(0,MIN($U517*8,$U$500-SUM($U517:AT517)))</f>
        <v>0</v>
      </c>
      <c r="AZ517" s="1105">
        <f>MAX(0,MIN($U517*8,$U$500-SUM($U517:AU517)))</f>
        <v>0</v>
      </c>
      <c r="BA517" s="1105">
        <f>MAX(0,MIN($U517*8,$U$500-SUM($U517:AV517)))</f>
        <v>0</v>
      </c>
      <c r="BB517" s="1107">
        <f>MAX(0,MIN($U517*8,$U$500-SUM($U517:AW517)))</f>
        <v>0</v>
      </c>
      <c r="BC517" s="1105">
        <f>MAX(0,MIN($U517*8,$U$500-SUM($U517:AX517)))</f>
        <v>0</v>
      </c>
      <c r="BD517" s="1105">
        <f>MAX(0,MIN($U517*8,$U$500-SUM($U517:AY517)))</f>
        <v>0</v>
      </c>
      <c r="BE517" s="1105">
        <f>MAX(0,MIN($U517*8,$U$500-SUM($U517:AZ517)))</f>
        <v>0</v>
      </c>
      <c r="BF517" s="1105">
        <f>MAX(0,MIN($U517*8,$U$500-SUM($U517:BA517)))</f>
        <v>0</v>
      </c>
      <c r="BG517" s="1107">
        <f>MAX(0,MIN($U517*8,$U$500-SUM($U517:BB517)))</f>
        <v>0</v>
      </c>
      <c r="BH517" s="1105">
        <f>MAX(0,MIN($U517*8,$U$500-SUM($U517:BC517)))</f>
        <v>0</v>
      </c>
      <c r="BI517" s="1105">
        <f>MAX(0,MIN($U517*8,$U$500-SUM($U517:BD517)))</f>
        <v>0</v>
      </c>
      <c r="BJ517" s="1105">
        <f>MAX(0,MIN($U517*8,$U$500-SUM($U517:BE517)))</f>
        <v>0</v>
      </c>
      <c r="BK517" s="1105">
        <f>MAX(0,MIN($U517*8,$U$500-SUM($U517:BF517)))</f>
        <v>0</v>
      </c>
      <c r="BL517" s="1107">
        <f>MAX(0,MIN($U517*8,$U$500-SUM($U517:BG517)))</f>
        <v>0</v>
      </c>
      <c r="BM517" s="1105">
        <f>MAX(0,MIN($U517*8,$U$500-SUM($U517:BH517)))</f>
        <v>0</v>
      </c>
      <c r="BN517" s="1105">
        <f>MAX(0,MIN($U517*8,$U$500-SUM($U517:BI517)))</f>
        <v>0</v>
      </c>
      <c r="BO517" s="1105">
        <f>MAX(0,MIN($U517*8,$U$500-SUM($U517:BJ517)))</f>
        <v>0</v>
      </c>
      <c r="BP517" s="1105">
        <f>MAX(0,MIN($U517*8,$U$500-SUM($U517:BK517)))</f>
        <v>0</v>
      </c>
      <c r="BQ517" s="1107">
        <f>MAX(0,MIN($U517*8,$U$500-SUM($U517:BL517)))</f>
        <v>0</v>
      </c>
      <c r="BR517" s="1105">
        <f>MAX(0,MIN($U517*8,$U$500-SUM($U517:BM517)))</f>
        <v>0</v>
      </c>
      <c r="BS517" s="1105">
        <f>MAX(0,MIN($U517*8,$U$500-SUM($U517:BN517)))</f>
        <v>0</v>
      </c>
      <c r="BT517" s="1105">
        <f>MAX(0,MIN($U517*8,$U$500-SUM($U517:BO517)))</f>
        <v>0</v>
      </c>
      <c r="BU517" s="1105">
        <f>MAX(0,MIN($U517*8,$U$500-SUM($U517:BP517)))</f>
        <v>0</v>
      </c>
      <c r="BV517" s="1107">
        <f>MAX(0,MIN($U517*8,$U$500-SUM($U517:BQ517)))</f>
        <v>0</v>
      </c>
      <c r="BW517" s="1105">
        <f>MAX(0,MIN($U517*8,$U$500-SUM($U517:BR517)))</f>
        <v>0</v>
      </c>
      <c r="BX517" s="1105">
        <f>MAX(0,MIN($U517*8,$U$500-SUM($U517:BS517)))</f>
        <v>0</v>
      </c>
      <c r="BY517" s="1105">
        <f>MAX(0,MIN($U517*8,$U$500-SUM($U517:BT517)))</f>
        <v>0</v>
      </c>
      <c r="BZ517" s="1105">
        <f>MAX(0,MIN($U517*8,$U$500-SUM($U517:BU517)))</f>
        <v>0</v>
      </c>
      <c r="CA517" s="1107">
        <f>MAX(0,MIN($U517*8,$U$500-SUM($U517:BV517)))</f>
        <v>0</v>
      </c>
      <c r="CC517" s="383"/>
      <c r="CD517" s="383"/>
      <c r="CE517" s="1105"/>
      <c r="CF517" s="1105"/>
      <c r="CG517" s="1105"/>
      <c r="CH517" s="1105"/>
      <c r="CI517" s="1105"/>
      <c r="CJ517" s="1105"/>
      <c r="CK517" s="1105"/>
      <c r="CL517" s="1105"/>
      <c r="CM517" s="1105"/>
      <c r="CN517" s="1105"/>
      <c r="CO517" s="1105"/>
      <c r="CP517" s="14"/>
      <c r="CQ517" s="14"/>
      <c r="CR517" s="14"/>
      <c r="CS517" s="14"/>
      <c r="CT517" s="14"/>
      <c r="CU517" s="1961"/>
      <c r="DB517" s="1961"/>
      <c r="DC517" s="1961"/>
      <c r="DD517" s="1961"/>
      <c r="DE517" s="1961"/>
      <c r="DF517" s="1961"/>
      <c r="DG517" s="1961"/>
      <c r="DH517" s="1961"/>
      <c r="DI517" s="1105"/>
    </row>
    <row r="518" spans="1:113" hidden="1" outlineLevel="1" x14ac:dyDescent="0.25">
      <c r="A518" s="628"/>
      <c r="B518" s="1113"/>
      <c r="C518" s="1093"/>
      <c r="D518" s="1093"/>
      <c r="E518" s="1100"/>
      <c r="F518" s="1100"/>
      <c r="G518" s="1100"/>
      <c r="H518" s="1100"/>
      <c r="I518" s="1114"/>
      <c r="J518" s="19"/>
      <c r="K518" s="1"/>
      <c r="L518" s="1"/>
      <c r="M518" s="1"/>
      <c r="N518" s="1114"/>
      <c r="O518" s="19"/>
      <c r="P518" s="1093"/>
      <c r="Q518" s="1093"/>
      <c r="R518" s="1"/>
      <c r="S518" s="1114"/>
      <c r="T518" s="1093"/>
      <c r="U518" s="1093"/>
      <c r="V518" s="383">
        <f>V$500/$B$499*1/8</f>
        <v>0</v>
      </c>
      <c r="W518" s="1105">
        <f>MAX(0,MIN($V518*2,$V$500-SUM($V518:V518)))</f>
        <v>0</v>
      </c>
      <c r="X518" s="1114"/>
      <c r="Y518" s="1105">
        <f>MAX(0,MIN($V518*2,$V$500-SUM($V518:X518)))</f>
        <v>0</v>
      </c>
      <c r="Z518" s="1105">
        <f>MAX(0,MIN($V518*2,$V$500-SUM($V518:Y518)))</f>
        <v>0</v>
      </c>
      <c r="AA518" s="1105">
        <f>MAX(0,MIN($V518*2,$V$500-SUM($V518:Z518)))</f>
        <v>0</v>
      </c>
      <c r="AB518" s="1105">
        <f>MAX(0,MIN($V518*2,$V$500-SUM($V518:AA518)))</f>
        <v>0</v>
      </c>
      <c r="AC518" s="1110"/>
      <c r="AD518" s="1105">
        <f>MAX(0,MIN($V518*2,$V$500-SUM($V518:AC518)))</f>
        <v>0</v>
      </c>
      <c r="AE518" s="1105">
        <f>MAX(0,MIN($V518*2,$V$500-SUM($V518:AD518)))</f>
        <v>0</v>
      </c>
      <c r="AF518" s="1105">
        <f>MAX(0,MIN($V518*2,$V$500-SUM($V518:AE518)))</f>
        <v>0</v>
      </c>
      <c r="AG518" s="1105">
        <f>MAX(0,MIN($V518*2,$V$500-SUM($V518:AF518)))</f>
        <v>0</v>
      </c>
      <c r="AH518" s="1110"/>
      <c r="AI518" s="1105">
        <f>MAX(0,MIN($V518*2,$V$500-SUM($V518:AH518)))</f>
        <v>0</v>
      </c>
      <c r="AJ518" s="1105">
        <f>MAX(0,MIN($V518*2,$V$500-SUM($V518:AI518)))</f>
        <v>0</v>
      </c>
      <c r="AK518" s="1105">
        <f>MAX(0,MIN($V518*2,$V$500-SUM($V518:AJ518)))</f>
        <v>0</v>
      </c>
      <c r="AL518" s="1105">
        <f>MAX(0,MIN($V518*2,$V$500-SUM($V518:AK518)))</f>
        <v>0</v>
      </c>
      <c r="AM518" s="1111">
        <f>MAX(0,MIN($V518*8,$V$500-SUM($V518:AH518)))</f>
        <v>0</v>
      </c>
      <c r="AN518" s="1105">
        <f>MAX(0,MIN($V518*8,$V$500-SUM($V518:AI518)))</f>
        <v>0</v>
      </c>
      <c r="AO518" s="1105">
        <f>MAX(0,MIN($V518*8,$V$500-SUM($V518:AJ518)))</f>
        <v>0</v>
      </c>
      <c r="AP518" s="1105">
        <f>MAX(0,MIN($V518*8,$V$500-SUM($V518:AK518)))</f>
        <v>0</v>
      </c>
      <c r="AQ518" s="1105">
        <f>MAX(0,MIN($V518*8,$V$500-SUM($V518:AL518)))</f>
        <v>0</v>
      </c>
      <c r="AR518" s="1111">
        <f>MAX(0,MIN($V518*8,$V$500-SUM($V518:AM518)))</f>
        <v>0</v>
      </c>
      <c r="AS518" s="1105">
        <f>MAX(0,MIN($V518*8,$V$500-SUM($V518:AN518)))</f>
        <v>0</v>
      </c>
      <c r="AT518" s="1105">
        <f>MAX(0,MIN($V518*8,$V$500-SUM($V518:AO518)))</f>
        <v>0</v>
      </c>
      <c r="AU518" s="1105">
        <f>MAX(0,MIN($V518*8,$V$500-SUM($V518:AP518)))</f>
        <v>0</v>
      </c>
      <c r="AV518" s="1105">
        <f>MAX(0,MIN($V518*8,$V$500-SUM($V518:AQ518)))</f>
        <v>0</v>
      </c>
      <c r="AW518" s="1106">
        <f>MAX(0,MIN($V518*8,$V$500-SUM($V518:AR518)))</f>
        <v>0</v>
      </c>
      <c r="AX518" s="1105">
        <f>MAX(0,MIN($V518*8,$V$500-SUM($V518:AS518)))</f>
        <v>0</v>
      </c>
      <c r="AY518" s="1105">
        <f>MAX(0,MIN($V518*8,$V$500-SUM($V518:AT518)))</f>
        <v>0</v>
      </c>
      <c r="AZ518" s="1105">
        <f>MAX(0,MIN($V518*8,$V$500-SUM($V518:AU518)))</f>
        <v>0</v>
      </c>
      <c r="BA518" s="1105">
        <f>MAX(0,MIN($V518*8,$V$500-SUM($V518:AV518)))</f>
        <v>0</v>
      </c>
      <c r="BB518" s="1107">
        <f>MAX(0,MIN($V518*8,$V$500-SUM($V518:AW518)))</f>
        <v>0</v>
      </c>
      <c r="BC518" s="1105">
        <f>MAX(0,MIN($V518*8,$V$500-SUM($V518:AX518)))</f>
        <v>0</v>
      </c>
      <c r="BD518" s="1105">
        <f>MAX(0,MIN($V518*8,$V$500-SUM($V518:AY518)))</f>
        <v>0</v>
      </c>
      <c r="BE518" s="1105">
        <f>MAX(0,MIN($V518*8,$V$500-SUM($V518:AZ518)))</f>
        <v>0</v>
      </c>
      <c r="BF518" s="1105">
        <f>MAX(0,MIN($V518*8,$V$500-SUM($V518:BA518)))</f>
        <v>0</v>
      </c>
      <c r="BG518" s="1107">
        <f>MAX(0,MIN($V518*8,$V$500-SUM($V518:BB518)))</f>
        <v>0</v>
      </c>
      <c r="BH518" s="1105">
        <f>MAX(0,MIN($V518*8,$V$500-SUM($V518:BC518)))</f>
        <v>0</v>
      </c>
      <c r="BI518" s="1105">
        <f>MAX(0,MIN($V518*8,$V$500-SUM($V518:BD518)))</f>
        <v>0</v>
      </c>
      <c r="BJ518" s="1105">
        <f>MAX(0,MIN($V518*8,$V$500-SUM($V518:BE518)))</f>
        <v>0</v>
      </c>
      <c r="BK518" s="1105">
        <f>MAX(0,MIN($V518*8,$V$500-SUM($V518:BF518)))</f>
        <v>0</v>
      </c>
      <c r="BL518" s="1107">
        <f>MAX(0,MIN($V518*8,$V$500-SUM($V518:BG518)))</f>
        <v>0</v>
      </c>
      <c r="BM518" s="1105">
        <f>MAX(0,MIN($V518*8,$V$500-SUM($V518:BH518)))</f>
        <v>0</v>
      </c>
      <c r="BN518" s="1105">
        <f>MAX(0,MIN($V518*8,$V$500-SUM($V518:BI518)))</f>
        <v>0</v>
      </c>
      <c r="BO518" s="1105">
        <f>MAX(0,MIN($V518*8,$V$500-SUM($V518:BJ518)))</f>
        <v>0</v>
      </c>
      <c r="BP518" s="1105">
        <f>MAX(0,MIN($V518*8,$V$500-SUM($V518:BK518)))</f>
        <v>0</v>
      </c>
      <c r="BQ518" s="1107">
        <f>MAX(0,MIN($V518*8,$V$500-SUM($V518:BL518)))</f>
        <v>0</v>
      </c>
      <c r="BR518" s="1105">
        <f>MAX(0,MIN($V518*8,$V$500-SUM($V518:BM518)))</f>
        <v>0</v>
      </c>
      <c r="BS518" s="1105">
        <f>MAX(0,MIN($V518*8,$V$500-SUM($V518:BN518)))</f>
        <v>0</v>
      </c>
      <c r="BT518" s="1105">
        <f>MAX(0,MIN($V518*8,$V$500-SUM($V518:BO518)))</f>
        <v>0</v>
      </c>
      <c r="BU518" s="1105">
        <f>MAX(0,MIN($V518*8,$V$500-SUM($V518:BP518)))</f>
        <v>0</v>
      </c>
      <c r="BV518" s="1107">
        <f>MAX(0,MIN($V518*8,$V$500-SUM($V518:BQ518)))</f>
        <v>0</v>
      </c>
      <c r="BW518" s="1105">
        <f>MAX(0,MIN($V518*8,$V$500-SUM($V518:BR518)))</f>
        <v>0</v>
      </c>
      <c r="BX518" s="1105">
        <f>MAX(0,MIN($V518*8,$V$500-SUM($V518:BS518)))</f>
        <v>0</v>
      </c>
      <c r="BY518" s="1105">
        <f>MAX(0,MIN($V518*8,$V$500-SUM($V518:BT518)))</f>
        <v>0</v>
      </c>
      <c r="BZ518" s="1105">
        <f>MAX(0,MIN($V518*8,$V$500-SUM($V518:BU518)))</f>
        <v>0</v>
      </c>
      <c r="CA518" s="1107">
        <f>MAX(0,MIN($V518*8,$V$500-SUM($V518:BV518)))</f>
        <v>0</v>
      </c>
      <c r="CC518" s="383"/>
      <c r="CD518" s="383"/>
      <c r="CE518" s="1105"/>
      <c r="CF518" s="1105"/>
      <c r="CG518" s="1105"/>
      <c r="CH518" s="1105"/>
      <c r="CI518" s="1105"/>
      <c r="CJ518" s="1105"/>
      <c r="CK518" s="1105"/>
      <c r="CL518" s="1105"/>
      <c r="CM518" s="1105"/>
      <c r="CN518" s="1105"/>
      <c r="CO518" s="1105"/>
      <c r="CP518" s="14"/>
      <c r="CQ518" s="14"/>
      <c r="CR518" s="14"/>
      <c r="CS518" s="14"/>
      <c r="CT518" s="14"/>
      <c r="CU518" s="1961"/>
      <c r="DB518" s="1961"/>
      <c r="DC518" s="1961"/>
      <c r="DD518" s="1961"/>
      <c r="DE518" s="1961"/>
      <c r="DF518" s="1961"/>
      <c r="DG518" s="1961"/>
      <c r="DH518" s="1961"/>
      <c r="DI518" s="1105"/>
    </row>
    <row r="519" spans="1:113" hidden="1" outlineLevel="1" x14ac:dyDescent="0.25">
      <c r="A519" s="628"/>
      <c r="B519" s="1113"/>
      <c r="C519" s="1093"/>
      <c r="D519" s="1093"/>
      <c r="E519" s="1100"/>
      <c r="F519" s="1100"/>
      <c r="G519" s="1100"/>
      <c r="H519" s="1100"/>
      <c r="I519" s="1114"/>
      <c r="J519" s="19"/>
      <c r="K519" s="1"/>
      <c r="L519" s="1"/>
      <c r="M519" s="1"/>
      <c r="N519" s="1114"/>
      <c r="O519" s="19"/>
      <c r="P519" s="1093"/>
      <c r="Q519" s="1093"/>
      <c r="R519" s="1093"/>
      <c r="S519" s="1114"/>
      <c r="T519" s="1093"/>
      <c r="U519" s="1093"/>
      <c r="V519" s="1093"/>
      <c r="W519" s="383">
        <f>W$500/$B$499*1/8</f>
        <v>0.25679687499999998</v>
      </c>
      <c r="X519" s="1114"/>
      <c r="Y519" s="1105">
        <f>MAX(0,MIN($W519*2,$W$500-SUM($W519:X519)))</f>
        <v>0.51359374999999996</v>
      </c>
      <c r="Z519" s="1105">
        <f>MAX(0,MIN($W519*2,$W$500-SUM($W519:Y519)))</f>
        <v>0.51359374999999996</v>
      </c>
      <c r="AA519" s="1105">
        <f>MAX(0,MIN($W519*2,$W$500-SUM($W519:Z519)))</f>
        <v>0.51359374999999996</v>
      </c>
      <c r="AB519" s="1105">
        <f>MAX(0,MIN($W519*2,$W$500-SUM($W519:AA519)))</f>
        <v>0.51359374999999996</v>
      </c>
      <c r="AC519" s="1110"/>
      <c r="AD519" s="1105">
        <f>MAX(0,MIN($W519*2,$W$500-SUM($W519:AC519)))</f>
        <v>0.51359374999999996</v>
      </c>
      <c r="AE519" s="1105">
        <f>MAX(0,MIN($W519*2,$W$500-SUM($W519:AD519)))</f>
        <v>0.51359374999999996</v>
      </c>
      <c r="AF519" s="1105">
        <f>MAX(0,MIN($W519*2,$W$500-SUM($W519:AE519)))</f>
        <v>0.51359374999999996</v>
      </c>
      <c r="AG519" s="1105">
        <f>MAX(0,MIN($W519*2,$W$500-SUM($W519:AF519)))</f>
        <v>0.51359374999999996</v>
      </c>
      <c r="AH519" s="1110"/>
      <c r="AI519" s="1105">
        <f>MAX(0,MIN($W519*2,$W$500-SUM($W519:AH519)))</f>
        <v>0.51359374999999996</v>
      </c>
      <c r="AJ519" s="1105">
        <f>MAX(0,MIN($W519*2,$W$500-SUM($W519:AI519)))</f>
        <v>0.51359374999999996</v>
      </c>
      <c r="AK519" s="1105">
        <f>MAX(0,MIN($W519*2,$W$500-SUM($W519:AJ519)))</f>
        <v>0.51359374999999996</v>
      </c>
      <c r="AL519" s="1105">
        <f>MAX(0,MIN($W519*2,$W$500-SUM($W519:AK519)))</f>
        <v>0.51359374999999996</v>
      </c>
      <c r="AM519" s="1111">
        <f>MAX(0,MIN($W519*8,$W$500-SUM($W519:AH519)))</f>
        <v>2.0543749999999998</v>
      </c>
      <c r="AN519" s="1105">
        <f>MAX(0,MIN($W519*8,$W$500-SUM($W519:AI519)))</f>
        <v>2.0543749999999998</v>
      </c>
      <c r="AO519" s="1105">
        <f>MAX(0,MIN($W519*8,$W$500-SUM($W519:AJ519)))</f>
        <v>2.0543749999999998</v>
      </c>
      <c r="AP519" s="1105">
        <f>MAX(0,MIN($W519*8,$W$500-SUM($W519:AK519)))</f>
        <v>2.0543749999999998</v>
      </c>
      <c r="AQ519" s="1105">
        <f>MAX(0,MIN($W519*8,$W$500-SUM($W519:AL519)))</f>
        <v>2.0543749999999998</v>
      </c>
      <c r="AR519" s="1111">
        <f>MAX(0,MIN($W519*8,$W$500-SUM($W519:AM519)))</f>
        <v>2.0543749999999998</v>
      </c>
      <c r="AS519" s="1105">
        <f>MAX(0,MIN($W519*8,$W$500-SUM($W519:AN519)))</f>
        <v>2.0543749999999998</v>
      </c>
      <c r="AT519" s="1105">
        <f>MAX(0,MIN($W519*8,$W$500-SUM($W519:AO519)))</f>
        <v>2.0543749999999998</v>
      </c>
      <c r="AU519" s="1105">
        <f>MAX(0,MIN($W519*8,$W$500-SUM($W519:AP519)))</f>
        <v>1.7975781249999976</v>
      </c>
      <c r="AV519" s="1105">
        <f>MAX(0,MIN($W519*8,$W$500-SUM($W519:AQ519)))</f>
        <v>0</v>
      </c>
      <c r="AW519" s="1106">
        <f>MAX(0,MIN($W519*8,$W$500-SUM($W519:AR519)))</f>
        <v>0</v>
      </c>
      <c r="AX519" s="1105">
        <f>MAX(0,MIN($W519*8,$W$500-SUM($W519:AS519)))</f>
        <v>0</v>
      </c>
      <c r="AY519" s="1105">
        <f>MAX(0,MIN($W519*8,$W$500-SUM($W519:AT519)))</f>
        <v>0</v>
      </c>
      <c r="AZ519" s="1105">
        <f>MAX(0,MIN($W519*8,$W$500-SUM($W519:AU519)))</f>
        <v>0</v>
      </c>
      <c r="BA519" s="1105">
        <f>MAX(0,MIN($W519*8,$W$500-SUM($W519:AV519)))</f>
        <v>0</v>
      </c>
      <c r="BB519" s="1107">
        <f>MAX(0,MIN($W519*8,$W$500-SUM($W519:AW519)))</f>
        <v>0</v>
      </c>
      <c r="BC519" s="1105">
        <f>MAX(0,MIN($W519*8,$W$500-SUM($W519:AX519)))</f>
        <v>0</v>
      </c>
      <c r="BD519" s="1105">
        <f>MAX(0,MIN($W519*8,$W$500-SUM($W519:AY519)))</f>
        <v>0</v>
      </c>
      <c r="BE519" s="1105">
        <f>MAX(0,MIN($W519*8,$W$500-SUM($W519:AZ519)))</f>
        <v>0</v>
      </c>
      <c r="BF519" s="1105">
        <f>MAX(0,MIN($W519*8,$W$500-SUM($W519:BA519)))</f>
        <v>0</v>
      </c>
      <c r="BG519" s="1107">
        <f>MAX(0,MIN($W519*8,$W$500-SUM($W519:BB519)))</f>
        <v>0</v>
      </c>
      <c r="BH519" s="1105">
        <f>MAX(0,MIN($W519*8,$W$500-SUM($W519:BC519)))</f>
        <v>0</v>
      </c>
      <c r="BI519" s="1105">
        <f>MAX(0,MIN($W519*8,$W$500-SUM($W519:BD519)))</f>
        <v>0</v>
      </c>
      <c r="BJ519" s="1105">
        <f>MAX(0,MIN($W519*8,$W$500-SUM($W519:BE519)))</f>
        <v>0</v>
      </c>
      <c r="BK519" s="1105">
        <f>MAX(0,MIN($W519*8,$W$500-SUM($W519:BF519)))</f>
        <v>0</v>
      </c>
      <c r="BL519" s="1107">
        <f>MAX(0,MIN($W519*8,$W$500-SUM($W519:BG519)))</f>
        <v>0</v>
      </c>
      <c r="BM519" s="1105">
        <f>MAX(0,MIN($W519*8,$W$500-SUM($W519:BH519)))</f>
        <v>0</v>
      </c>
      <c r="BN519" s="1105">
        <f>MAX(0,MIN($W519*8,$W$500-SUM($W519:BI519)))</f>
        <v>0</v>
      </c>
      <c r="BO519" s="1105">
        <f>MAX(0,MIN($W519*8,$W$500-SUM($W519:BJ519)))</f>
        <v>0</v>
      </c>
      <c r="BP519" s="1105">
        <f>MAX(0,MIN($W519*8,$W$500-SUM($W519:BK519)))</f>
        <v>0</v>
      </c>
      <c r="BQ519" s="1107">
        <f>MAX(0,MIN($W519*8,$W$500-SUM($W519:BL519)))</f>
        <v>0</v>
      </c>
      <c r="BR519" s="1105">
        <f>MAX(0,MIN($W519*8,$W$500-SUM($W519:BM519)))</f>
        <v>0</v>
      </c>
      <c r="BS519" s="1105">
        <f>MAX(0,MIN($W519*8,$W$500-SUM($W519:BN519)))</f>
        <v>0</v>
      </c>
      <c r="BT519" s="1105">
        <f>MAX(0,MIN($W519*8,$W$500-SUM($W519:BO519)))</f>
        <v>0</v>
      </c>
      <c r="BU519" s="1105">
        <f>MAX(0,MIN($W519*8,$W$500-SUM($W519:BP519)))</f>
        <v>0</v>
      </c>
      <c r="BV519" s="1107">
        <f>MAX(0,MIN($W519*8,$W$500-SUM($W519:BQ519)))</f>
        <v>0</v>
      </c>
      <c r="BW519" s="1105">
        <f>MAX(0,MIN($W519*8,$W$500-SUM($W519:BR519)))</f>
        <v>0</v>
      </c>
      <c r="BX519" s="1105">
        <f>MAX(0,MIN($W519*8,$W$500-SUM($W519:BS519)))</f>
        <v>0</v>
      </c>
      <c r="BY519" s="1105">
        <f>MAX(0,MIN($W519*8,$W$500-SUM($W519:BT519)))</f>
        <v>0</v>
      </c>
      <c r="BZ519" s="1105">
        <f>MAX(0,MIN($W519*8,$W$500-SUM($W519:BU519)))</f>
        <v>0</v>
      </c>
      <c r="CA519" s="1107">
        <f>MAX(0,MIN($W519*8,$W$500-SUM($W519:BV519)))</f>
        <v>0</v>
      </c>
      <c r="CC519" s="383"/>
      <c r="CD519" s="383"/>
      <c r="CE519" s="1105"/>
      <c r="CF519" s="1105"/>
      <c r="CG519" s="1105"/>
      <c r="CH519" s="1105"/>
      <c r="CI519" s="1105"/>
      <c r="CJ519" s="1105"/>
      <c r="CK519" s="1105"/>
      <c r="CL519" s="1105"/>
      <c r="CM519" s="1105"/>
      <c r="CN519" s="1105"/>
      <c r="CO519" s="1105"/>
      <c r="CP519" s="14"/>
      <c r="CQ519" s="14"/>
      <c r="CR519" s="14"/>
      <c r="CS519" s="14"/>
      <c r="CT519" s="14"/>
      <c r="CU519" s="1961"/>
      <c r="DB519" s="1961"/>
      <c r="DC519" s="1961"/>
      <c r="DD519" s="1961"/>
      <c r="DE519" s="1961"/>
      <c r="DF519" s="1961"/>
      <c r="DG519" s="1961"/>
      <c r="DH519" s="1961"/>
      <c r="DI519" s="1105"/>
    </row>
    <row r="520" spans="1:113" hidden="1" outlineLevel="1" x14ac:dyDescent="0.25">
      <c r="A520" s="628"/>
      <c r="B520" s="1113"/>
      <c r="C520" s="1093"/>
      <c r="D520" s="1093"/>
      <c r="E520" s="1100"/>
      <c r="F520" s="1100"/>
      <c r="G520" s="1100"/>
      <c r="H520" s="1100"/>
      <c r="I520" s="1114"/>
      <c r="J520" s="19"/>
      <c r="K520" s="1"/>
      <c r="L520" s="1"/>
      <c r="M520" s="1"/>
      <c r="N520" s="1114"/>
      <c r="O520" s="19"/>
      <c r="P520" s="1093"/>
      <c r="Q520" s="1093"/>
      <c r="R520" s="1093"/>
      <c r="S520" s="1114"/>
      <c r="T520" s="19"/>
      <c r="U520" s="1093"/>
      <c r="V520" s="1093"/>
      <c r="W520" s="1093"/>
      <c r="X520" s="1114"/>
      <c r="Y520" s="383">
        <f>Y$500/$B$499*1/8</f>
        <v>0.21325</v>
      </c>
      <c r="Z520" s="1105">
        <f>MAX(0,MIN($Y520*2,$Y$500-SUM($Y520:Y520)))</f>
        <v>0.42649999999999999</v>
      </c>
      <c r="AA520" s="1105">
        <f>MAX(0,MIN($Y520*2,$Y$500-SUM($Y520:Z520)))</f>
        <v>0.42649999999999999</v>
      </c>
      <c r="AB520" s="1105">
        <f>MAX(0,MIN($Y520*2,$Y$500-SUM($Y520:AA520)))</f>
        <v>0.42649999999999999</v>
      </c>
      <c r="AC520" s="1110"/>
      <c r="AD520" s="383">
        <f>AD$500/$B$499*1/8</f>
        <v>0.27253125</v>
      </c>
      <c r="AE520" s="1105">
        <f>MAX(0,MIN($Y520*2,$Y$500-SUM($Y520:AD520)))</f>
        <v>0.42649999999999999</v>
      </c>
      <c r="AF520" s="1105">
        <f>MAX(0,MIN($Y520*2,$Y$500-SUM($Y520:AE520)))</f>
        <v>0.42649999999999999</v>
      </c>
      <c r="AG520" s="1105">
        <f>MAX(0,MIN($Y520*2,$Y$500-SUM($Y520:AF520)))</f>
        <v>0.42649999999999999</v>
      </c>
      <c r="AH520" s="1110"/>
      <c r="AI520" s="1105">
        <f>MAX(0,MIN($Y520*2,$Y$500-SUM($Y520:AH520)))</f>
        <v>0.42649999999999999</v>
      </c>
      <c r="AJ520" s="1105">
        <f>MAX(0,MIN($Y520*2,$Y$500-SUM($Y520:AI520)))</f>
        <v>0.42649999999999999</v>
      </c>
      <c r="AK520" s="1105">
        <f>MAX(0,MIN($Y520*2,$Y$500-SUM($Y520:AJ520)))</f>
        <v>0.42649999999999999</v>
      </c>
      <c r="AL520" s="1105">
        <f>MAX(0,MIN($Y520*2,$Y$500-SUM($Y520:AK520)))</f>
        <v>0.42649999999999999</v>
      </c>
      <c r="AM520" s="1111">
        <f>MAX(0,MIN($Y520*2,$Y$500-SUM($Y520:AH520)))</f>
        <v>0.42649999999999999</v>
      </c>
      <c r="AN520" s="1105">
        <f>MAX(0,MIN($Y520*2,$Y$500-SUM($Y520:AI520)))</f>
        <v>0.42649999999999999</v>
      </c>
      <c r="AO520" s="1105">
        <f>MAX(0,MIN($Y520*2,$Y$500-SUM($Y520:AJ520)))</f>
        <v>0.42649999999999999</v>
      </c>
      <c r="AP520" s="1105">
        <f>MAX(0,MIN($Y520*2,$Y$500-SUM($Y520:AK520)))</f>
        <v>0.42649999999999999</v>
      </c>
      <c r="AQ520" s="1105">
        <f>MAX(0,MIN($Y520*2,$Y$500-SUM($Y520:AL520)))</f>
        <v>0.42649999999999999</v>
      </c>
      <c r="AR520" s="1111">
        <f>MAX(0,MIN($Y520*2,$Y$500-SUM($Y520:AM520)))</f>
        <v>0.42649999999999999</v>
      </c>
      <c r="AS520" s="1105">
        <f>MAX(0,MIN($Y520*2,$Y$500-SUM($Y520:AN520)))</f>
        <v>0.42649999999999999</v>
      </c>
      <c r="AT520" s="1105">
        <f>MAX(0,MIN($Y520*2,$Y$500-SUM($Y520:AO520)))</f>
        <v>0.42649999999999999</v>
      </c>
      <c r="AU520" s="1105">
        <f>MAX(0,MIN($Y520*2,$Y$500-SUM($Y520:AP520)))</f>
        <v>0.42649999999999999</v>
      </c>
      <c r="AV520" s="1105">
        <f>MAX(0,MIN($Y520*2,$Y$500-SUM($Y520:AQ520)))</f>
        <v>0.42649999999999999</v>
      </c>
      <c r="AW520" s="1106">
        <f>MAX(0,MIN($Y520*2,$Y$500-SUM($Y520:AR520)))</f>
        <v>0.42649999999999999</v>
      </c>
      <c r="AX520" s="1105">
        <f>MAX(0,MIN($Y520*2,$Y$500-SUM($Y520:AS520)))</f>
        <v>0.42649999999999999</v>
      </c>
      <c r="AY520" s="1105">
        <f>MAX(0,MIN($Y520*2,$Y$500-SUM($Y520:AT520)))</f>
        <v>0.42649999999999999</v>
      </c>
      <c r="AZ520" s="1105">
        <f>MAX(0,MIN($Y520*2,$Y$500-SUM($Y520:AU520)))</f>
        <v>0.42649999999999999</v>
      </c>
      <c r="BA520" s="1105">
        <f>MAX(0,MIN($Y520*2,$Y$500-SUM($Y520:AV520)))</f>
        <v>0.42649999999999999</v>
      </c>
      <c r="BB520" s="1107">
        <f>MAX(0,MIN($Y520*2,$Y$500-SUM($Y520:AW520)))</f>
        <v>0.42649999999999999</v>
      </c>
      <c r="BC520" s="1105">
        <f>MAX(0,MIN($Y520*2,$Y$500-SUM($Y520:AX520)))</f>
        <v>0.42649999999999999</v>
      </c>
      <c r="BD520" s="1105">
        <f>MAX(0,MIN($Y520*2,$Y$500-SUM($Y520:AY520)))</f>
        <v>0.42649999999999999</v>
      </c>
      <c r="BE520" s="1105">
        <f>MAX(0,MIN($Y520*2,$Y$500-SUM($Y520:AZ520)))</f>
        <v>0.42649999999999999</v>
      </c>
      <c r="BF520" s="1105">
        <f>MAX(0,MIN($Y520*2,$Y$500-SUM($Y520:BA520)))</f>
        <v>0.42649999999999999</v>
      </c>
      <c r="BG520" s="1107">
        <f>MAX(0,MIN($Y520*2,$Y$500-SUM($Y520:BB520)))</f>
        <v>0.42649999999999999</v>
      </c>
      <c r="BH520" s="1105">
        <f>MAX(0,MIN($Y520*2,$Y$500-SUM($Y520:BC520)))</f>
        <v>0.42649999999999999</v>
      </c>
      <c r="BI520" s="1105">
        <f>MAX(0,MIN($Y520*2,$Y$500-SUM($Y520:BD520)))</f>
        <v>0.42649999999999999</v>
      </c>
      <c r="BJ520" s="1105">
        <f>MAX(0,MIN($Y520*2,$Y$500-SUM($Y520:BE520)))</f>
        <v>0.42649999999999999</v>
      </c>
      <c r="BK520" s="1105">
        <f>MAX(0,MIN($Y520*2,$Y$500-SUM($Y520:BF520)))</f>
        <v>0.36721874999999216</v>
      </c>
      <c r="BL520" s="1107">
        <f>MAX(0,MIN($Y520*2,$Y$500-SUM($Y520:BG520)))</f>
        <v>0</v>
      </c>
      <c r="BM520" s="1105">
        <f>MAX(0,MIN($Y520*2,$Y$500-SUM($Y520:BH520)))</f>
        <v>0</v>
      </c>
      <c r="BN520" s="1105">
        <f>MAX(0,MIN($Y520*2,$Y$500-SUM($Y520:BI520)))</f>
        <v>0</v>
      </c>
      <c r="BO520" s="1105">
        <f>MAX(0,MIN($Y520*2,$Y$500-SUM($Y520:BJ520)))</f>
        <v>0</v>
      </c>
      <c r="BP520" s="1105">
        <f>MAX(0,MIN($Y520*2,$Y$500-SUM($Y520:BK520)))</f>
        <v>0</v>
      </c>
      <c r="BQ520" s="1107">
        <f>MAX(0,MIN($Y520*2,$Y$500-SUM($Y520:BL520)))</f>
        <v>0</v>
      </c>
      <c r="BR520" s="1105">
        <f>MAX(0,MIN($Y520*2,$Y$500-SUM($Y520:BM520)))</f>
        <v>0</v>
      </c>
      <c r="BS520" s="1105">
        <f>MAX(0,MIN($Y520*2,$Y$500-SUM($Y520:BN520)))</f>
        <v>0</v>
      </c>
      <c r="BT520" s="1105">
        <f>MAX(0,MIN($Y520*2,$Y$500-SUM($Y520:BO520)))</f>
        <v>0</v>
      </c>
      <c r="BU520" s="1105">
        <f>MAX(0,MIN($Y520*2,$Y$500-SUM($Y520:BP520)))</f>
        <v>0</v>
      </c>
      <c r="BV520" s="1107">
        <f>MAX(0,MIN($Y520*2,$Y$500-SUM($Y520:BQ520)))</f>
        <v>0</v>
      </c>
      <c r="BW520" s="1105">
        <f>MAX(0,MIN($Y520*2,$Y$500-SUM($Y520:BR520)))</f>
        <v>0</v>
      </c>
      <c r="BX520" s="1105">
        <f>MAX(0,MIN($Y520*2,$Y$500-SUM($Y520:BS520)))</f>
        <v>0</v>
      </c>
      <c r="BY520" s="1105">
        <f>MAX(0,MIN($Y520*2,$Y$500-SUM($Y520:BT520)))</f>
        <v>0</v>
      </c>
      <c r="BZ520" s="1105">
        <f>MAX(0,MIN($Y520*2,$Y$500-SUM($Y520:BU520)))</f>
        <v>0</v>
      </c>
      <c r="CA520" s="1107">
        <f>MAX(0,MIN($Y520*2,$Y$500-SUM($Y520:BV520)))</f>
        <v>0</v>
      </c>
      <c r="CC520" s="383"/>
      <c r="CD520" s="383"/>
      <c r="CE520" s="1105"/>
      <c r="CF520" s="1105"/>
      <c r="CG520" s="1105"/>
      <c r="CH520" s="1105"/>
      <c r="CI520" s="1105"/>
      <c r="CJ520" s="1105"/>
      <c r="CK520" s="1105"/>
      <c r="CL520" s="1105"/>
      <c r="CM520" s="1105"/>
      <c r="CN520" s="1105"/>
      <c r="CO520" s="1105"/>
      <c r="CP520" s="14"/>
      <c r="CQ520" s="14"/>
      <c r="CR520" s="14"/>
      <c r="CS520" s="14"/>
      <c r="CT520" s="14"/>
      <c r="CU520" s="1961"/>
      <c r="DB520" s="1961"/>
      <c r="DC520" s="1961"/>
      <c r="DD520" s="1961"/>
      <c r="DE520" s="1961"/>
      <c r="DF520" s="1961"/>
      <c r="DG520" s="1961"/>
      <c r="DH520" s="1961"/>
      <c r="DI520" s="1105"/>
    </row>
    <row r="521" spans="1:113" hidden="1" outlineLevel="1" x14ac:dyDescent="0.25">
      <c r="A521" s="628"/>
      <c r="B521" s="1113"/>
      <c r="C521" s="1093"/>
      <c r="D521" s="1093"/>
      <c r="E521" s="1100"/>
      <c r="F521" s="1100"/>
      <c r="G521" s="1100"/>
      <c r="H521" s="1100"/>
      <c r="I521" s="1114"/>
      <c r="J521" s="19"/>
      <c r="K521" s="1"/>
      <c r="L521" s="1"/>
      <c r="M521" s="1"/>
      <c r="N521" s="1114"/>
      <c r="O521" s="19"/>
      <c r="P521" s="1093"/>
      <c r="Q521" s="1093"/>
      <c r="R521" s="1093"/>
      <c r="S521" s="1114"/>
      <c r="T521" s="19"/>
      <c r="U521" s="1093"/>
      <c r="V521" s="1093"/>
      <c r="W521" s="1093"/>
      <c r="X521" s="1114"/>
      <c r="Y521" s="1093"/>
      <c r="Z521" s="383">
        <f>Z$500/$B$499*1/8</f>
        <v>0.226921875</v>
      </c>
      <c r="AA521" s="1105">
        <f>MAX(0,MIN($Z521*2,$Z$500-SUM($Z521:Z521)))</f>
        <v>0.45384374999999999</v>
      </c>
      <c r="AB521" s="1105">
        <f>MAX(0,MIN($Z521*2,$Z$500-SUM($Z521:AA521)))</f>
        <v>0.45384374999999999</v>
      </c>
      <c r="AC521" s="1114"/>
      <c r="AD521" s="1093"/>
      <c r="AE521" s="383">
        <f>AE$500/$B$499*1/8</f>
        <v>0.29828124999999994</v>
      </c>
      <c r="AF521" s="1105">
        <f>MAX(0,MIN($Z521*2,$Z$500-SUM($Z521:AE521)))</f>
        <v>0.45384374999999999</v>
      </c>
      <c r="AG521" s="1105">
        <f>MAX(0,MIN($Z521*2,$Z$500-SUM($Z521:AF521)))</f>
        <v>0.45384374999999999</v>
      </c>
      <c r="AH521" s="1114"/>
      <c r="AI521" s="1105">
        <f>MAX(0,MIN($Z521*2,$Z$500-SUM($Z521:AH521)))</f>
        <v>0.45384374999999999</v>
      </c>
      <c r="AJ521" s="1105">
        <f>MAX(0,MIN($Z521*2,$Z$500-SUM($Z521:AI521)))</f>
        <v>0.45384374999999999</v>
      </c>
      <c r="AK521" s="1105">
        <f>MAX(0,MIN($Z521*2,$Z$500-SUM($Z521:AJ521)))</f>
        <v>0.45384374999999999</v>
      </c>
      <c r="AL521" s="1105">
        <f>MAX(0,MIN($Z521*2,$Z$500-SUM($Z521:AK521)))</f>
        <v>0.45384374999999999</v>
      </c>
      <c r="AM521" s="1115">
        <f>MAX(0,MIN($Z521*2,$Z$500-SUM($Z521:AH521)))</f>
        <v>0.45384374999999999</v>
      </c>
      <c r="AN521" s="1105">
        <f>MAX(0,MIN($Z521*2,$Z$500-SUM($Z521:AI521)))</f>
        <v>0.45384374999999999</v>
      </c>
      <c r="AO521" s="1105">
        <f>MAX(0,MIN($Z521*2,$Z$500-SUM($Z521:AJ521)))</f>
        <v>0.45384374999999999</v>
      </c>
      <c r="AP521" s="1105">
        <f>MAX(0,MIN($Z521*2,$Z$500-SUM($Z521:AK521)))</f>
        <v>0.45384374999999999</v>
      </c>
      <c r="AQ521" s="1105">
        <f>MAX(0,MIN($Z521*2,$Z$500-SUM($Z521:AL521)))</f>
        <v>0.45384374999999999</v>
      </c>
      <c r="AR521" s="1115">
        <f>MAX(0,MIN($Z521*2,$Z$500-SUM($Z521:AM521)))</f>
        <v>0.45384374999999999</v>
      </c>
      <c r="AS521" s="1105">
        <f>MAX(0,MIN($Z521*2,$Z$500-SUM($Z521:AN521)))</f>
        <v>0.45384374999999999</v>
      </c>
      <c r="AT521" s="1105">
        <f>MAX(0,MIN($Z521*2,$Z$500-SUM($Z521:AO521)))</f>
        <v>0.45384374999999999</v>
      </c>
      <c r="AU521" s="1105">
        <f>MAX(0,MIN($Z521*2,$Z$500-SUM($Z521:AP521)))</f>
        <v>0.45384374999999999</v>
      </c>
      <c r="AV521" s="1105">
        <f>MAX(0,MIN($Z521*2,$Z$500-SUM($Z521:AQ521)))</f>
        <v>0.45384374999999999</v>
      </c>
      <c r="AW521" s="1106">
        <f>MAX(0,MIN($Z521*2,$Z$500-SUM($Z521:AR521)))</f>
        <v>0.45384374999999999</v>
      </c>
      <c r="AX521" s="1105">
        <f>MAX(0,MIN($Z521*2,$Z$500-SUM($Z521:AS521)))</f>
        <v>0.45384374999999999</v>
      </c>
      <c r="AY521" s="1105">
        <f>MAX(0,MIN($Z521*2,$Z$500-SUM($Z521:AT521)))</f>
        <v>0.45384374999999999</v>
      </c>
      <c r="AZ521" s="1105">
        <f>MAX(0,MIN($Z521*2,$Z$500-SUM($Z521:AU521)))</f>
        <v>0.45384374999999999</v>
      </c>
      <c r="BA521" s="1105">
        <f>MAX(0,MIN($Z521*2,$Z$500-SUM($Z521:AV521)))</f>
        <v>0.45384374999999999</v>
      </c>
      <c r="BB521" s="1107">
        <f>MAX(0,MIN($Z521*2,$Z$500-SUM($Z521:AW521)))</f>
        <v>0.45384374999999999</v>
      </c>
      <c r="BC521" s="1105">
        <f>MAX(0,MIN($Z521*2,$Z$500-SUM($Z521:AX521)))</f>
        <v>0.45384374999999999</v>
      </c>
      <c r="BD521" s="1105">
        <f>MAX(0,MIN($Z521*2,$Z$500-SUM($Z521:AY521)))</f>
        <v>0.45384374999999999</v>
      </c>
      <c r="BE521" s="1105">
        <f>MAX(0,MIN($Z521*2,$Z$500-SUM($Z521:AZ521)))</f>
        <v>0.45384374999999999</v>
      </c>
      <c r="BF521" s="1105">
        <f>MAX(0,MIN($Z521*2,$Z$500-SUM($Z521:BA521)))</f>
        <v>0.45384374999999999</v>
      </c>
      <c r="BG521" s="1107">
        <f>MAX(0,MIN($Z521*2,$Z$500-SUM($Z521:BB521)))</f>
        <v>0.45384374999999999</v>
      </c>
      <c r="BH521" s="1105">
        <f>MAX(0,MIN($Z521*2,$Z$500-SUM($Z521:BC521)))</f>
        <v>0.45384374999999999</v>
      </c>
      <c r="BI521" s="1105">
        <f>MAX(0,MIN($Z521*2,$Z$500-SUM($Z521:BD521)))</f>
        <v>0.45384374999999999</v>
      </c>
      <c r="BJ521" s="1105">
        <f>MAX(0,MIN($Z521*2,$Z$500-SUM($Z521:BE521)))</f>
        <v>0.45384374999999999</v>
      </c>
      <c r="BK521" s="1105">
        <f>MAX(0,MIN($Z521*2,$Z$500-SUM($Z521:BF521)))</f>
        <v>0.45384374999999999</v>
      </c>
      <c r="BL521" s="1107">
        <f>MAX(0,MIN($Z521*2,$Z$500-SUM($Z521:BG521)))</f>
        <v>0.45384374999999999</v>
      </c>
      <c r="BM521" s="1105">
        <f>MAX(0,MIN($Z521*2,$Z$500-SUM($Z521:BH521)))</f>
        <v>0.38248437499999</v>
      </c>
      <c r="BN521" s="1105">
        <f>MAX(0,MIN($Z521*2,$Z$500-SUM($Z521:BI521)))</f>
        <v>0</v>
      </c>
      <c r="BO521" s="1105">
        <f>MAX(0,MIN($Z521*2,$Z$500-SUM($Z521:BJ521)))</f>
        <v>0</v>
      </c>
      <c r="BP521" s="1105">
        <f>MAX(0,MIN($Z521*2,$Z$500-SUM($Z521:BK521)))</f>
        <v>0</v>
      </c>
      <c r="BQ521" s="1107">
        <f>MAX(0,MIN($Z521*2,$Z$500-SUM($Z521:BL521)))</f>
        <v>0</v>
      </c>
      <c r="BR521" s="1105">
        <f>MAX(0,MIN($Z521*2,$Z$500-SUM($Z521:BM521)))</f>
        <v>0</v>
      </c>
      <c r="BS521" s="1105">
        <f>MAX(0,MIN($Z521*2,$Z$500-SUM($Z521:BN521)))</f>
        <v>0</v>
      </c>
      <c r="BT521" s="1105">
        <f>MAX(0,MIN($Z521*2,$Z$500-SUM($Z521:BO521)))</f>
        <v>0</v>
      </c>
      <c r="BU521" s="1105">
        <f>MAX(0,MIN($Z521*2,$Z$500-SUM($Z521:BP521)))</f>
        <v>0</v>
      </c>
      <c r="BV521" s="1107">
        <f>MAX(0,MIN($Z521*2,$Z$500-SUM($Z521:BQ521)))</f>
        <v>0</v>
      </c>
      <c r="BW521" s="1105">
        <f>MAX(0,MIN($Z521*2,$Z$500-SUM($Z521:BR521)))</f>
        <v>0</v>
      </c>
      <c r="BX521" s="1105">
        <f>MAX(0,MIN($Z521*2,$Z$500-SUM($Z521:BS521)))</f>
        <v>0</v>
      </c>
      <c r="BY521" s="1105">
        <f>MAX(0,MIN($Z521*2,$Z$500-SUM($Z521:BT521)))</f>
        <v>0</v>
      </c>
      <c r="BZ521" s="1105">
        <f>MAX(0,MIN($Z521*2,$Z$500-SUM($Z521:BU521)))</f>
        <v>0</v>
      </c>
      <c r="CA521" s="1107">
        <f>MAX(0,MIN($Z521*2,$Z$500-SUM($Z521:BV521)))</f>
        <v>0</v>
      </c>
      <c r="CC521" s="383"/>
      <c r="CD521" s="383"/>
      <c r="CE521" s="383"/>
      <c r="CF521" s="383"/>
      <c r="CG521" s="383"/>
      <c r="CH521" s="383"/>
      <c r="CI521" s="383"/>
      <c r="CJ521" s="383"/>
      <c r="CK521" s="383"/>
      <c r="CL521" s="383"/>
      <c r="CM521" s="383"/>
      <c r="CN521" s="383"/>
      <c r="CO521" s="383"/>
      <c r="CP521" s="14"/>
      <c r="CQ521" s="14"/>
      <c r="CR521" s="14"/>
      <c r="CS521" s="14"/>
      <c r="CT521" s="14"/>
      <c r="CU521" s="1961"/>
      <c r="DB521" s="1961"/>
      <c r="DC521" s="1961"/>
      <c r="DD521" s="1961"/>
      <c r="DE521" s="1961"/>
      <c r="DF521" s="1961"/>
      <c r="DG521" s="1961"/>
      <c r="DH521" s="1961"/>
      <c r="DI521" s="1105"/>
    </row>
    <row r="522" spans="1:113" hidden="1" outlineLevel="1" x14ac:dyDescent="0.25">
      <c r="A522" s="29"/>
      <c r="B522" s="1113"/>
      <c r="C522" s="1093"/>
      <c r="D522" s="1093"/>
      <c r="E522" s="1100"/>
      <c r="F522" s="1100"/>
      <c r="G522" s="1100"/>
      <c r="H522" s="1100"/>
      <c r="I522" s="1114"/>
      <c r="J522" s="19"/>
      <c r="K522" s="1"/>
      <c r="L522" s="1"/>
      <c r="M522" s="1"/>
      <c r="N522" s="1114"/>
      <c r="O522" s="19"/>
      <c r="P522" s="1093"/>
      <c r="Q522" s="1093"/>
      <c r="R522" s="1093"/>
      <c r="S522" s="1114"/>
      <c r="T522" s="19"/>
      <c r="U522" s="1093"/>
      <c r="V522" s="1093"/>
      <c r="W522" s="1093"/>
      <c r="X522" s="1114"/>
      <c r="Y522" s="1093"/>
      <c r="Z522" s="1093"/>
      <c r="AA522" s="383">
        <f>AA$500/$B$499*1/8</f>
        <v>0.21490624999999997</v>
      </c>
      <c r="AB522" s="1105">
        <f>MAX(0,MIN($AA522*2,$AA$500-SUM($AA522:AA522)))</f>
        <v>0.42981249999999993</v>
      </c>
      <c r="AC522" s="1114"/>
      <c r="AD522" s="1093"/>
      <c r="AE522" s="1093"/>
      <c r="AF522" s="383">
        <f>AF$500/$B$499*1/8</f>
        <v>0.299875</v>
      </c>
      <c r="AG522" s="1105">
        <f>MAX(0,MIN($AA522*2,$AA$500-SUM($AA522:AF522)))</f>
        <v>0.42981249999999993</v>
      </c>
      <c r="AH522" s="1114"/>
      <c r="AI522" s="383">
        <f>AI$500/$B$499*1/8</f>
        <v>0.43851562500000002</v>
      </c>
      <c r="AJ522" s="383">
        <f>AJ$500/$B$499*1/8</f>
        <v>0.55374999999999996</v>
      </c>
      <c r="AK522" s="383">
        <f>AK$500/$B$499*1/8</f>
        <v>0.69390625000000017</v>
      </c>
      <c r="AL522" s="383">
        <f>AL$500/$B$499*1/8</f>
        <v>0.59470312499999989</v>
      </c>
      <c r="AM522" s="1115">
        <f>MAX(0,MIN($AA522*2,$AA$500-SUM($AA522:AH522)))</f>
        <v>0.42981249999999993</v>
      </c>
      <c r="AN522" s="383">
        <f>MAX(0,MIN($AA522*2,$AA$500-SUM($AA522:AI522)))</f>
        <v>0.42981249999999993</v>
      </c>
      <c r="AO522" s="383">
        <f>MAX(0,MIN($AA522*2,$AA$500-SUM($AA522:AJ522)))</f>
        <v>0.42981249999999993</v>
      </c>
      <c r="AP522" s="383">
        <f>MAX(0,MIN($AA522*2,$AA$500-SUM($AA522:AK522)))</f>
        <v>0.42981249999999993</v>
      </c>
      <c r="AQ522" s="383">
        <f>MAX(0,MIN($AA522*2,$AA$500-SUM($AA522:AL522)))</f>
        <v>0.42981249999999993</v>
      </c>
      <c r="AR522" s="1115">
        <f>MAX(0,MIN($AA522*2,$AA$500-SUM($AA522:AM522)))</f>
        <v>0.42981249999999993</v>
      </c>
      <c r="AS522" s="383">
        <f>MAX(0,MIN($AA522*2,$AA$500-SUM($AA522:AN522)))</f>
        <v>0.42981249999999993</v>
      </c>
      <c r="AT522" s="383">
        <f>MAX(0,MIN($AA522*2,$AA$500-SUM($AA522:AO522)))</f>
        <v>0.42981249999999993</v>
      </c>
      <c r="AU522" s="383">
        <f>MAX(0,MIN($AA522*2,$AA$500-SUM($AA522:AP522)))</f>
        <v>0.42981249999999993</v>
      </c>
      <c r="AV522" s="383">
        <f>MAX(0,MIN($AA522*2,$AA$500-SUM($AA522:AQ522)))</f>
        <v>0.42981249999999993</v>
      </c>
      <c r="AW522" s="1106">
        <f>MAX(0,MIN($AA522*2,$AA$500-SUM($AA522:AR522)))</f>
        <v>0.42981249999999993</v>
      </c>
      <c r="AX522" s="383">
        <f>MAX(0,MIN($AA522*2,$AA$500-SUM($AA522:AS522)))</f>
        <v>0.42981249999999993</v>
      </c>
      <c r="AY522" s="383">
        <f>MAX(0,MIN($AA522*2,$AA$500-SUM($AA522:AT522)))</f>
        <v>0.42981249999999993</v>
      </c>
      <c r="AZ522" s="383">
        <f>MAX(0,MIN($AA522*2,$AA$500-SUM($AA522:AU522)))</f>
        <v>0.42981249999999993</v>
      </c>
      <c r="BA522" s="383">
        <f>MAX(0,MIN($AA522*2,$AA$500-SUM($AA522:AV522)))</f>
        <v>0.42981249999999993</v>
      </c>
      <c r="BB522" s="1107">
        <f>MAX(0,MIN($AA522*2,$AA$500-SUM($AA522:AW522)))</f>
        <v>0.42981249999999993</v>
      </c>
      <c r="BC522" s="383">
        <f>MAX(0,MIN($AA522*2,$AA$500-SUM($AA522:AX522)))</f>
        <v>0.42981249999999993</v>
      </c>
      <c r="BD522" s="383">
        <f>MAX(0,MIN($AA522*2,$AA$500-SUM($AA522:AY522)))</f>
        <v>0.42981249999999993</v>
      </c>
      <c r="BE522" s="383">
        <f>MAX(0,MIN($AA522*2,$AA$500-SUM($AA522:AZ522)))</f>
        <v>0.42981249999999993</v>
      </c>
      <c r="BF522" s="383">
        <f>MAX(0,MIN($AA522*2,$AA$500-SUM($AA522:BA522)))</f>
        <v>0.42981249999999993</v>
      </c>
      <c r="BG522" s="1107">
        <f>MAX(0,MIN($AA522*2,$AA$500-SUM($AA522:BB522)))</f>
        <v>0.42981249999999993</v>
      </c>
      <c r="BH522" s="383">
        <f>MAX(0,MIN($AA522*2,$AA$500-SUM($AA522:BC522)))</f>
        <v>0.42981249999999993</v>
      </c>
      <c r="BI522" s="383">
        <f>MAX(0,MIN($AA522*2,$AA$500-SUM($AA522:BD522)))</f>
        <v>0.42981249999999993</v>
      </c>
      <c r="BJ522" s="383">
        <f>MAX(0,MIN($AA522*2,$AA$500-SUM($AA522:BE522)))</f>
        <v>0.42981249999999993</v>
      </c>
      <c r="BK522" s="383">
        <f>MAX(0,MIN($AA522*2,$AA$500-SUM($AA522:BF522)))</f>
        <v>0.42981249999999993</v>
      </c>
      <c r="BL522" s="1107">
        <f>MAX(0,MIN($AA522*2,$AA$500-SUM($AA522:BG522)))</f>
        <v>0.42981249999999993</v>
      </c>
      <c r="BM522" s="383">
        <f>MAX(0,MIN($AA522*2,$AA$500-SUM($AA522:BH522)))</f>
        <v>0.42981249999999993</v>
      </c>
      <c r="BN522" s="383">
        <f>MAX(0,MIN($AA522*2,$AA$500-SUM($AA522:BI522)))</f>
        <v>0.21303124999999312</v>
      </c>
      <c r="BO522" s="383">
        <f>MAX(0,MIN($AA522*2,$AA$500-SUM($AA522:BJ522)))</f>
        <v>0</v>
      </c>
      <c r="BP522" s="383">
        <f>MAX(0,MIN($AA522*2,$AA$500-SUM($AA522:BK522)))</f>
        <v>0</v>
      </c>
      <c r="BQ522" s="1107">
        <f>MAX(0,MIN($AA522*2,$AA$500-SUM($AA522:BL522)))</f>
        <v>0</v>
      </c>
      <c r="BR522" s="383">
        <f>MAX(0,MIN($AA522*2,$AA$500-SUM($AA522:BM522)))</f>
        <v>0</v>
      </c>
      <c r="BS522" s="383">
        <f>MAX(0,MIN($AA522*2,$AA$500-SUM($AA522:BN522)))</f>
        <v>0</v>
      </c>
      <c r="BT522" s="383">
        <f>MAX(0,MIN($AA522*2,$AA$500-SUM($AA522:BO522)))</f>
        <v>0</v>
      </c>
      <c r="BU522" s="383">
        <f>MAX(0,MIN($AA522*2,$AA$500-SUM($AA522:BP522)))</f>
        <v>0</v>
      </c>
      <c r="BV522" s="1107">
        <f>MAX(0,MIN($AA522*2,$AA$500-SUM($AA522:BQ522)))</f>
        <v>0</v>
      </c>
      <c r="BW522" s="383">
        <f>MAX(0,MIN($AA522*2,$AA$500-SUM($AA522:BR522)))</f>
        <v>0</v>
      </c>
      <c r="BX522" s="383">
        <f>MAX(0,MIN($AA522*2,$AA$500-SUM($AA522:BS522)))</f>
        <v>0</v>
      </c>
      <c r="BY522" s="383">
        <f>MAX(0,MIN($AA522*2,$AA$500-SUM($AA522:BT522)))</f>
        <v>0</v>
      </c>
      <c r="BZ522" s="383">
        <f>MAX(0,MIN($AA522*2,$AA$500-SUM($AA522:BU522)))</f>
        <v>0</v>
      </c>
      <c r="CA522" s="1107">
        <f>MAX(0,MIN($AA522*2,$AA$500-SUM($AA522:BV522)))</f>
        <v>0</v>
      </c>
      <c r="CC522" s="383"/>
      <c r="CD522" s="383"/>
      <c r="CE522" s="1093"/>
      <c r="CF522" s="1093"/>
      <c r="CG522" s="1093"/>
      <c r="CH522" s="1093"/>
      <c r="CI522" s="1093"/>
      <c r="CJ522" s="1093"/>
      <c r="CK522" s="1093"/>
      <c r="CL522" s="1093"/>
      <c r="CM522" s="1093"/>
      <c r="CN522" s="1093"/>
      <c r="CO522" s="1093"/>
      <c r="CP522" s="14"/>
      <c r="CQ522" s="14"/>
      <c r="CR522" s="14"/>
      <c r="CS522" s="14"/>
      <c r="CT522" s="14"/>
      <c r="CU522" s="1961"/>
      <c r="DB522" s="1961"/>
      <c r="DC522" s="1961"/>
      <c r="DD522" s="1961"/>
      <c r="DE522" s="1961"/>
      <c r="DF522" s="1961"/>
      <c r="DG522" s="1961"/>
      <c r="DH522" s="1961"/>
      <c r="DI522" s="1105"/>
    </row>
    <row r="523" spans="1:113" hidden="1" outlineLevel="1" x14ac:dyDescent="0.25">
      <c r="A523" s="29"/>
      <c r="B523" s="1113"/>
      <c r="C523" s="1093"/>
      <c r="D523" s="1093"/>
      <c r="E523" s="1100"/>
      <c r="F523" s="1100"/>
      <c r="G523" s="1100"/>
      <c r="H523" s="1100"/>
      <c r="I523" s="1114"/>
      <c r="J523" s="19"/>
      <c r="K523" s="1"/>
      <c r="L523" s="1"/>
      <c r="M523" s="1"/>
      <c r="N523" s="1114"/>
      <c r="O523" s="19"/>
      <c r="P523" s="1093"/>
      <c r="Q523" s="1093"/>
      <c r="R523" s="1093"/>
      <c r="S523" s="1114"/>
      <c r="T523" s="19"/>
      <c r="U523" s="1093"/>
      <c r="V523" s="1093"/>
      <c r="W523" s="1093"/>
      <c r="X523" s="1114"/>
      <c r="Y523" s="1093"/>
      <c r="Z523" s="1093"/>
      <c r="AA523" s="1093"/>
      <c r="AB523" s="383">
        <f>AB$500/$B$499*1/8</f>
        <v>0.27975000000000005</v>
      </c>
      <c r="AC523" s="1114"/>
      <c r="AD523" s="1093"/>
      <c r="AE523" s="1093"/>
      <c r="AF523" s="1093"/>
      <c r="AG523" s="383">
        <f>AG$500/$B$499*1/8</f>
        <v>0.29139062500000013</v>
      </c>
      <c r="AH523" s="1114"/>
      <c r="AI523" s="1093"/>
      <c r="AJ523" s="1093"/>
      <c r="AK523" s="1093"/>
      <c r="AL523" s="1093"/>
      <c r="AM523" s="1115">
        <f>MAX(0,MIN($AB523*2,$AB$500-SUM($AB523:AH523)))</f>
        <v>0.55950000000000011</v>
      </c>
      <c r="AN523" s="1093">
        <f>MAX(0,MIN($AB523*2,$AB$500-SUM($AB523:AI523)))</f>
        <v>0.55950000000000011</v>
      </c>
      <c r="AO523" s="1093">
        <f>MAX(0,MIN($AB523*2,$AB$500-SUM($AB523:AJ523)))</f>
        <v>0.55950000000000011</v>
      </c>
      <c r="AP523" s="1093">
        <f>MAX(0,MIN($AB523*2,$AB$500-SUM($AB523:AK523)))</f>
        <v>0.55950000000000011</v>
      </c>
      <c r="AQ523" s="1093">
        <f>MAX(0,MIN($AB523*2,$AB$500-SUM($AB523:AL523)))</f>
        <v>0.55950000000000011</v>
      </c>
      <c r="AR523" s="1115">
        <f>MAX(0,MIN($AB523*2,$AB$500-SUM($AB523:AM523)))</f>
        <v>0.55950000000000011</v>
      </c>
      <c r="AS523" s="1093">
        <f>MAX(0,MIN($AB523*2,$AB$500-SUM($AB523:AN523)))</f>
        <v>0.55950000000000011</v>
      </c>
      <c r="AT523" s="1093">
        <f>MAX(0,MIN($AB523*2,$AB$500-SUM($AB523:AO523)))</f>
        <v>0.55950000000000011</v>
      </c>
      <c r="AU523" s="1093">
        <f>MAX(0,MIN($AB523*2,$AB$500-SUM($AB523:AP523)))</f>
        <v>0.55950000000000011</v>
      </c>
      <c r="AV523" s="1093">
        <f>MAX(0,MIN($AB523*2,$AB$500-SUM($AB523:AQ523)))</f>
        <v>0.55950000000000011</v>
      </c>
      <c r="AW523" s="1106">
        <f>MAX(0,MIN($AB523*2,$AB$500-SUM($AB523:AR523)))</f>
        <v>0.55950000000000011</v>
      </c>
      <c r="AX523" s="1093">
        <f>MAX(0,MIN($AB523*2,$AB$500-SUM($AB523:AS523)))</f>
        <v>0.55950000000000011</v>
      </c>
      <c r="AY523" s="1093">
        <f>MAX(0,MIN($AB523*2,$AB$500-SUM($AB523:AT523)))</f>
        <v>0.55950000000000011</v>
      </c>
      <c r="AZ523" s="1093">
        <f>MAX(0,MIN($AB523*2,$AB$500-SUM($AB523:AU523)))</f>
        <v>0.55950000000000011</v>
      </c>
      <c r="BA523" s="1093">
        <f>MAX(0,MIN($AB523*2,$AB$500-SUM($AB523:AV523)))</f>
        <v>0.55950000000000011</v>
      </c>
      <c r="BB523" s="1107">
        <f>MAX(0,MIN($AB523*2,$AB$500-SUM($AB523:AW523)))</f>
        <v>0.55950000000000011</v>
      </c>
      <c r="BC523" s="1093">
        <f>MAX(0,MIN($AB523*2,$AB$500-SUM($AB523:AX523)))</f>
        <v>0.55950000000000011</v>
      </c>
      <c r="BD523" s="1093">
        <f>MAX(0,MIN($AB523*2,$AB$500-SUM($AB523:AY523)))</f>
        <v>0.55950000000000011</v>
      </c>
      <c r="BE523" s="1093">
        <f>MAX(0,MIN($AB523*2,$AB$500-SUM($AB523:AZ523)))</f>
        <v>0.55950000000000011</v>
      </c>
      <c r="BF523" s="1093">
        <f>MAX(0,MIN($AB523*2,$AB$500-SUM($AB523:BA523)))</f>
        <v>0.55950000000000011</v>
      </c>
      <c r="BG523" s="1107">
        <f>MAX(0,MIN($AB523*2,$AB$500-SUM($AB523:BB523)))</f>
        <v>0.55950000000000011</v>
      </c>
      <c r="BH523" s="1">
        <f>MAX(0,MIN($AB523*2,$AB$500-SUM($AB523:BC523)))</f>
        <v>0.55950000000000011</v>
      </c>
      <c r="BI523" s="1093">
        <f>MAX(0,MIN($AB523*2,$AB$500-SUM($AB523:BD523)))</f>
        <v>0.55950000000000011</v>
      </c>
      <c r="BJ523" s="1093">
        <f>MAX(0,MIN($AB523*2,$AB$500-SUM($AB523:BE523)))</f>
        <v>0.55950000000000011</v>
      </c>
      <c r="BK523" s="1093">
        <f>MAX(0,MIN($AB523*2,$AB$500-SUM($AB523:BF523)))</f>
        <v>0.55950000000000011</v>
      </c>
      <c r="BL523" s="1107">
        <f>MAX(0,MIN($AB523*2,$AB$500-SUM($AB523:BG523)))</f>
        <v>0.55950000000000011</v>
      </c>
      <c r="BM523" s="1">
        <f>MAX(0,MIN($AB523*2,$AB$500-SUM($AB523:BH523)))</f>
        <v>0.55950000000000011</v>
      </c>
      <c r="BN523" s="1093">
        <f>MAX(0,MIN($AB523*2,$AB$500-SUM($AB523:BI523)))</f>
        <v>0.55950000000000011</v>
      </c>
      <c r="BO523" s="1093">
        <f>MAX(0,MIN($AB523*2,$AB$500-SUM($AB523:BJ523)))</f>
        <v>0.55950000000000011</v>
      </c>
      <c r="BP523" s="1093">
        <f>MAX(0,MIN($AB523*2,$AB$500-SUM($AB523:BK523)))</f>
        <v>0.55950000000000011</v>
      </c>
      <c r="BQ523" s="1107">
        <f>MAX(0,MIN($AB523*2,$AB$500-SUM($AB523:BL523)))</f>
        <v>0.55950000000000011</v>
      </c>
      <c r="BR523" s="1">
        <f>MAX(0,MIN($AB523*2,$AB$500-SUM($AB523:BM523)))</f>
        <v>0.55950000000000011</v>
      </c>
      <c r="BS523" s="1093">
        <f>MAX(0,MIN($AB523*2,$AB$500-SUM($AB523:BN523)))</f>
        <v>0.55950000000000011</v>
      </c>
      <c r="BT523" s="1093">
        <f>MAX(0,MIN($AB523*2,$AB$500-SUM($AB523:BO523)))</f>
        <v>0.55950000000000011</v>
      </c>
      <c r="BU523" s="1093">
        <f>MAX(0,MIN($AB523*2,$AB$500-SUM($AB523:BP523)))</f>
        <v>0.54785937500000514</v>
      </c>
      <c r="BV523" s="1107">
        <f>MAX(0,MIN($AB523*2,$AB$500-SUM($AB523:BQ523)))</f>
        <v>0</v>
      </c>
      <c r="BW523" s="1">
        <f>MAX(0,MIN($AB523*2,$AB$500-SUM($AB523:BR523)))</f>
        <v>0</v>
      </c>
      <c r="BX523" s="1093">
        <f>MAX(0,MIN($AB523*2,$AB$500-SUM($AB523:BS523)))</f>
        <v>0</v>
      </c>
      <c r="BY523" s="1093">
        <f>MAX(0,MIN($AB523*2,$AB$500-SUM($AB523:BT523)))</f>
        <v>0</v>
      </c>
      <c r="BZ523" s="1093">
        <f>MAX(0,MIN($AB523*2,$AB$500-SUM($AB523:BU523)))</f>
        <v>0</v>
      </c>
      <c r="CA523" s="1107">
        <f>MAX(0,MIN($AB523*2,$AB$500-SUM($AB523:BV523)))</f>
        <v>0</v>
      </c>
      <c r="CC523" s="383"/>
      <c r="CD523" s="383"/>
      <c r="CE523" s="1093"/>
      <c r="CF523" s="1093"/>
      <c r="CG523" s="1093"/>
      <c r="CH523" s="1093"/>
      <c r="CI523" s="1093"/>
      <c r="CJ523" s="1093"/>
      <c r="CK523" s="1093"/>
      <c r="CL523" s="1093"/>
      <c r="CM523" s="1093"/>
      <c r="CN523" s="1093"/>
      <c r="CO523" s="1093"/>
      <c r="CP523" s="14"/>
      <c r="CQ523" s="14"/>
      <c r="CR523" s="14"/>
      <c r="CS523" s="14"/>
      <c r="CT523" s="14"/>
      <c r="CU523" s="1961"/>
      <c r="DB523" s="1961"/>
      <c r="DC523" s="1961"/>
      <c r="DD523" s="1961"/>
      <c r="DE523" s="1961"/>
      <c r="DF523" s="1961"/>
      <c r="DG523" s="1961"/>
      <c r="DH523" s="1961"/>
      <c r="DI523" s="1105"/>
    </row>
    <row r="524" spans="1:113" hidden="1" outlineLevel="1" x14ac:dyDescent="0.25">
      <c r="A524" s="29"/>
      <c r="B524" s="1113"/>
      <c r="C524" s="1093"/>
      <c r="D524" s="1093"/>
      <c r="E524" s="1100"/>
      <c r="F524" s="1100"/>
      <c r="G524" s="1100"/>
      <c r="H524" s="1100"/>
      <c r="I524" s="1114"/>
      <c r="J524" s="19"/>
      <c r="K524" s="1"/>
      <c r="L524" s="1"/>
      <c r="M524" s="1"/>
      <c r="N524" s="1114"/>
      <c r="O524" s="19"/>
      <c r="P524" s="1093"/>
      <c r="Q524" s="1093"/>
      <c r="R524" s="1093"/>
      <c r="S524" s="1114"/>
      <c r="T524" s="19"/>
      <c r="U524" s="1093"/>
      <c r="V524" s="1093"/>
      <c r="W524" s="1093"/>
      <c r="X524" s="1114"/>
      <c r="Y524" s="1093"/>
      <c r="Z524" s="1093"/>
      <c r="AA524" s="1093"/>
      <c r="AB524" s="383"/>
      <c r="AC524" s="1114"/>
      <c r="AD524" s="1093"/>
      <c r="AE524" s="1093"/>
      <c r="AF524" s="1093"/>
      <c r="AG524" s="383"/>
      <c r="AH524" s="1114"/>
      <c r="AI524" s="1093"/>
      <c r="AJ524" s="1093"/>
      <c r="AK524" s="1093"/>
      <c r="AL524" s="1093"/>
      <c r="AM524" s="1115">
        <f>MAX(0,MIN($AH524*2,$AH$500-SUM($AH524:AH524)))</f>
        <v>0</v>
      </c>
      <c r="AN524" s="1093">
        <f>MAX(0,MIN($AH524*2,$AH$500-SUM($AH524:AI524)))</f>
        <v>0</v>
      </c>
      <c r="AO524" s="1093">
        <f>MAX(0,MIN($AH524*2,$AH$500-SUM($AH524:AJ524)))</f>
        <v>0</v>
      </c>
      <c r="AP524" s="1093">
        <f>MAX(0,MIN($AH524*2,$AH$500-SUM($AH524:AK524)))</f>
        <v>0</v>
      </c>
      <c r="AQ524" s="1093">
        <f>MAX(0,MIN($AH524*2,$AH$500-SUM($AH524:AL524)))</f>
        <v>0</v>
      </c>
      <c r="AR524" s="1115">
        <f>MAX(0,MIN($AH524*2,$AH$500-SUM($AH524:AM524)))</f>
        <v>0</v>
      </c>
      <c r="AS524" s="1093">
        <f>MAX(0,MIN($AH524*2,$AH$500-SUM($AH524:AN524)))</f>
        <v>0</v>
      </c>
      <c r="AT524" s="1093">
        <f>MAX(0,MIN($AH524*2,$AH$500-SUM($AH524:AO524)))</f>
        <v>0</v>
      </c>
      <c r="AU524" s="1093">
        <f>MAX(0,MIN($AH524*2,$AH$500-SUM($AH524:AP524)))</f>
        <v>0</v>
      </c>
      <c r="AV524" s="1093">
        <f>MAX(0,MIN($AH524*2,$AH$500-SUM($AH524:AQ524)))</f>
        <v>0</v>
      </c>
      <c r="AW524" s="1106">
        <f>MAX(0,MIN($AH524*2,$AH$500-SUM($AH524:AR524)))</f>
        <v>0</v>
      </c>
      <c r="AX524" s="1093">
        <f>MAX(0,MIN($AH524*2,$AH$500-SUM($AH524:AS524)))</f>
        <v>0</v>
      </c>
      <c r="AY524" s="1093">
        <f>MAX(0,MIN($AH524*2,$AH$500-SUM($AH524:AT524)))</f>
        <v>0</v>
      </c>
      <c r="AZ524" s="1093">
        <f>MAX(0,MIN($AH524*2,$AH$500-SUM($AH524:AU524)))</f>
        <v>0</v>
      </c>
      <c r="BA524" s="1093">
        <f>MAX(0,MIN($AH524*2,$AH$500-SUM($AH524:AV524)))</f>
        <v>0</v>
      </c>
      <c r="BB524" s="1107">
        <f>MAX(0,MIN($AH524*2,$AH$500-SUM($AH524:AW524)))</f>
        <v>0</v>
      </c>
      <c r="BC524" s="1093">
        <f>MAX(0,MIN($AH524*2,$AH$500-SUM($AH524:AX524)))</f>
        <v>0</v>
      </c>
      <c r="BD524" s="1093">
        <f>MAX(0,MIN($AH524*2,$AH$500-SUM($AH524:AY524)))</f>
        <v>0</v>
      </c>
      <c r="BE524" s="1093">
        <f>MAX(0,MIN($AH524*2,$AH$500-SUM($AH524:AZ524)))</f>
        <v>0</v>
      </c>
      <c r="BF524" s="1093">
        <f>MAX(0,MIN($AH524*2,$AH$500-SUM($AH524:BA524)))</f>
        <v>0</v>
      </c>
      <c r="BG524" s="1107">
        <f>MAX(0,MIN($AH524*2,$AH$500-SUM($AH524:BB524)))</f>
        <v>0</v>
      </c>
      <c r="BH524" s="1">
        <f>MAX(0,MIN($AH524*2,$AH$500-SUM($AH524:BC524)))</f>
        <v>0</v>
      </c>
      <c r="BI524" s="1093">
        <f>MAX(0,MIN($AH524*2,$AH$500-SUM($AH524:BD524)))</f>
        <v>0</v>
      </c>
      <c r="BJ524" s="1093">
        <f>MAX(0,MIN($AH524*2,$AH$500-SUM($AH524:BE524)))</f>
        <v>0</v>
      </c>
      <c r="BK524" s="1093">
        <f>MAX(0,MIN($AH524*2,$AH$500-SUM($AH524:BF524)))</f>
        <v>0</v>
      </c>
      <c r="BL524" s="1107">
        <f>MAX(0,MIN($AH524*2,$AH$500-SUM($AH524:BG524)))</f>
        <v>0</v>
      </c>
      <c r="BM524" s="1">
        <f>MAX(0,MIN($AH524*2,$AH$500-SUM($AH524:BH524)))</f>
        <v>0</v>
      </c>
      <c r="BN524" s="1093">
        <f>MAX(0,MIN($AH524*2,$AH$500-SUM($AH524:BI524)))</f>
        <v>0</v>
      </c>
      <c r="BO524" s="1093">
        <f>MAX(0,MIN($AH524*2,$AH$500-SUM($AH524:BJ524)))</f>
        <v>0</v>
      </c>
      <c r="BP524" s="1093">
        <f>MAX(0,MIN($AH524*2,$AH$500-SUM($AH524:BK524)))</f>
        <v>0</v>
      </c>
      <c r="BQ524" s="1107">
        <f>MAX(0,MIN($AH524*2,$AH$500-SUM($AH524:BL524)))</f>
        <v>0</v>
      </c>
      <c r="BR524" s="1">
        <f>MAX(0,MIN($AH524*2,$AH$500-SUM($AH524:BM524)))</f>
        <v>0</v>
      </c>
      <c r="BS524" s="1093">
        <f>MAX(0,MIN($AH524*2,$AH$500-SUM($AH524:BN524)))</f>
        <v>0</v>
      </c>
      <c r="BT524" s="1093">
        <f>MAX(0,MIN($AH524*2,$AH$500-SUM($AH524:BO524)))</f>
        <v>0</v>
      </c>
      <c r="BU524" s="1093">
        <f>MAX(0,MIN($AH524*2,$AH$500-SUM($AH524:BP524)))</f>
        <v>0</v>
      </c>
      <c r="BV524" s="1107">
        <f>MAX(0,MIN($AH524*2,$AH$500-SUM($AH524:BQ524)))</f>
        <v>0</v>
      </c>
      <c r="BW524" s="1">
        <f>MAX(0,MIN($AH524*2,$AH$500-SUM($AH524:BR524)))</f>
        <v>0</v>
      </c>
      <c r="BX524" s="1093">
        <f>MAX(0,MIN($AH524*2,$AH$500-SUM($AH524:BS524)))</f>
        <v>0</v>
      </c>
      <c r="BY524" s="1093">
        <f>MAX(0,MIN($AH524*2,$AH$500-SUM($AH524:BT524)))</f>
        <v>0</v>
      </c>
      <c r="BZ524" s="1093">
        <f>MAX(0,MIN($AH524*2,$AH$500-SUM($AH524:BU524)))</f>
        <v>0</v>
      </c>
      <c r="CA524" s="1107">
        <f>MAX(0,MIN($AH524*2,$AH$500-SUM($AH524:BV524)))</f>
        <v>0</v>
      </c>
      <c r="CC524" s="383"/>
      <c r="CD524" s="383"/>
      <c r="CE524" s="1093"/>
      <c r="CF524" s="1093"/>
      <c r="CG524" s="1093"/>
      <c r="CH524" s="1093"/>
      <c r="CI524" s="1093"/>
      <c r="CJ524" s="1093"/>
      <c r="CK524" s="1093"/>
      <c r="CL524" s="1093"/>
      <c r="CM524" s="1093"/>
      <c r="CN524" s="1093"/>
      <c r="CO524" s="1093"/>
      <c r="CP524" s="14"/>
      <c r="CQ524" s="14"/>
      <c r="CR524" s="14"/>
      <c r="CS524" s="14"/>
      <c r="CT524" s="14"/>
      <c r="CU524" s="1961"/>
      <c r="DB524" s="1961"/>
      <c r="DC524" s="1961"/>
      <c r="DD524" s="1961"/>
      <c r="DE524" s="1961"/>
      <c r="DF524" s="1961"/>
      <c r="DG524" s="1961"/>
      <c r="DH524" s="1961"/>
      <c r="DI524" s="1105"/>
    </row>
    <row r="525" spans="1:113" hidden="1" outlineLevel="1" x14ac:dyDescent="0.25">
      <c r="A525" s="29"/>
      <c r="B525" s="1113"/>
      <c r="C525" s="1093"/>
      <c r="D525" s="1093"/>
      <c r="E525" s="1100"/>
      <c r="F525" s="1100"/>
      <c r="G525" s="1100"/>
      <c r="H525" s="1100"/>
      <c r="I525" s="1114"/>
      <c r="J525" s="19"/>
      <c r="K525" s="1"/>
      <c r="L525" s="1"/>
      <c r="M525" s="1"/>
      <c r="N525" s="1114"/>
      <c r="O525" s="19"/>
      <c r="P525" s="1093"/>
      <c r="Q525" s="1093"/>
      <c r="R525" s="1093"/>
      <c r="S525" s="1114"/>
      <c r="T525" s="19"/>
      <c r="U525" s="1093"/>
      <c r="V525" s="1093"/>
      <c r="W525" s="1093"/>
      <c r="X525" s="1114"/>
      <c r="Y525" s="1093"/>
      <c r="Z525" s="1093"/>
      <c r="AA525" s="1093"/>
      <c r="AB525" s="383"/>
      <c r="AC525" s="1114"/>
      <c r="AD525" s="1093"/>
      <c r="AE525" s="1093"/>
      <c r="AF525" s="1093"/>
      <c r="AG525" s="383"/>
      <c r="AH525" s="1114"/>
      <c r="AI525" s="1093"/>
      <c r="AJ525" s="1093"/>
      <c r="AK525" s="1093"/>
      <c r="AL525" s="1093"/>
      <c r="AM525" s="1115">
        <f>AM$500/$B$499*1/2</f>
        <v>9.1234999999999999</v>
      </c>
      <c r="AN525" s="1093">
        <f>MAX(0,MIN($AM525*2,$AM$500-SUM(AI525:$AM525)))</f>
        <v>18.247</v>
      </c>
      <c r="AO525" s="1093">
        <f>MAX(0,MIN($AM525*2,$AM$500-SUM(AJ525:$AM525)))</f>
        <v>18.247</v>
      </c>
      <c r="AP525" s="1093">
        <f>MAX(0,MIN($AM525*2,$AM$500-SUM(AK525:$AM525)))</f>
        <v>18.247</v>
      </c>
      <c r="AQ525" s="1093">
        <f>MAX(0,MIN($AM525*2,$AM$500-SUM(AL525:$AM525)))</f>
        <v>18.247</v>
      </c>
      <c r="AR525" s="1115">
        <f>AR$500/$B$499*1/2</f>
        <v>9.1761250000000008</v>
      </c>
      <c r="AS525" s="1093">
        <f>MAX(0,MIN($AM525*2,$AM$500-SUM($AM525:AN525)))</f>
        <v>18.247</v>
      </c>
      <c r="AT525" s="1093">
        <f>MAX(0,MIN($AM525*2,$AM$500-SUM($AM525:AO525)))</f>
        <v>18.247</v>
      </c>
      <c r="AU525" s="1093">
        <f>MAX(0,MIN($AM525*2,$AM$500-SUM($AM525:AP525)))</f>
        <v>18.247</v>
      </c>
      <c r="AV525" s="1093">
        <f>MAX(0,MIN($AM525*2,$AM$500-SUM($AM525:AQ525)))</f>
        <v>18.247</v>
      </c>
      <c r="AW525" s="1106">
        <f>MAX(0,MIN($AM525*2,$AM$500-SUM($AM525:AR525)))</f>
        <v>18.247</v>
      </c>
      <c r="AX525" s="1093">
        <f>MAX(0,MIN($AM525*2,$AM$500-SUM($AM525:AS525)))</f>
        <v>18.247</v>
      </c>
      <c r="AY525" s="1093">
        <f>MAX(0,MIN($AM525*2,$AM$500-SUM($AM525:AT525)))</f>
        <v>18.194374999999994</v>
      </c>
      <c r="AZ525" s="1093">
        <f>MAX(0,MIN($AM525*2,$AM$500-SUM($AM525:AU525)))</f>
        <v>0</v>
      </c>
      <c r="BA525" s="1093">
        <f>MAX(0,MIN($AM525*2,$AM$500-SUM($AM525:AV525)))</f>
        <v>0</v>
      </c>
      <c r="BB525" s="1107">
        <f>MAX(0,MIN($AM525*2,$AM$500-SUM($AM525:AW525)))</f>
        <v>0</v>
      </c>
      <c r="BC525" s="1093">
        <f>MAX(0,MIN($AM525*2,$AM$500-SUM($AM525:AX525)))</f>
        <v>0</v>
      </c>
      <c r="BD525" s="1093">
        <f>MAX(0,MIN($AM525*2,$AM$500-SUM($AM525:AY525)))</f>
        <v>0</v>
      </c>
      <c r="BE525" s="1093">
        <f>MAX(0,MIN($AM525*2,$AM$500-SUM($AM525:AZ525)))</f>
        <v>0</v>
      </c>
      <c r="BF525" s="1093">
        <f>MAX(0,MIN($AM525*2,$AM$500-SUM($AM525:BA525)))</f>
        <v>0</v>
      </c>
      <c r="BG525" s="1107">
        <f>MAX(0,MIN($AM525*2,$AM$500-SUM($AM525:BB525)))</f>
        <v>0</v>
      </c>
      <c r="BH525" s="1">
        <f>MAX(0,MIN($AM525*2,$AM$500-SUM($AM525:BC525)))</f>
        <v>0</v>
      </c>
      <c r="BI525" s="1093">
        <f>MAX(0,MIN($AM525*2,$AM$500-SUM($AM525:BD525)))</f>
        <v>0</v>
      </c>
      <c r="BJ525" s="1093">
        <f>MAX(0,MIN($AM525*2,$AM$500-SUM($AM525:BE525)))</f>
        <v>0</v>
      </c>
      <c r="BK525" s="1093">
        <f>MAX(0,MIN($AM525*2,$AM$500-SUM($AM525:BF525)))</f>
        <v>0</v>
      </c>
      <c r="BL525" s="1107">
        <f>MAX(0,MIN($AM525*2,$AM$500-SUM($AM525:BG525)))</f>
        <v>0</v>
      </c>
      <c r="BM525" s="1">
        <f>MAX(0,MIN($AM525*2,$AM$500-SUM($AM525:BH525)))</f>
        <v>0</v>
      </c>
      <c r="BN525" s="1093">
        <f>MAX(0,MIN($AM525*2,$AM$500-SUM($AM525:BI525)))</f>
        <v>0</v>
      </c>
      <c r="BO525" s="1093">
        <f>MAX(0,MIN($AM525*2,$AM$500-SUM($AM525:BJ525)))</f>
        <v>0</v>
      </c>
      <c r="BP525" s="1093">
        <f>MAX(0,MIN($AM525*2,$AM$500-SUM($AM525:BK525)))</f>
        <v>0</v>
      </c>
      <c r="BQ525" s="1107">
        <f>MAX(0,MIN($AM525*2,$AM$500-SUM($AM525:BL525)))</f>
        <v>0</v>
      </c>
      <c r="BR525" s="1">
        <f>MAX(0,MIN($AM525*2,$AM$500-SUM($AM525:BM525)))</f>
        <v>0</v>
      </c>
      <c r="BS525" s="1093">
        <f>MAX(0,MIN($AM525*2,$AM$500-SUM($AM525:BN525)))</f>
        <v>0</v>
      </c>
      <c r="BT525" s="1093">
        <f>MAX(0,MIN($AM525*2,$AM$500-SUM($AM525:BO525)))</f>
        <v>0</v>
      </c>
      <c r="BU525" s="1093">
        <f>MAX(0,MIN($AM525*2,$AM$500-SUM($AM525:BP525)))</f>
        <v>0</v>
      </c>
      <c r="BV525" s="1107">
        <f>MAX(0,MIN($AM525*2,$AM$500-SUM($AM525:BQ525)))</f>
        <v>0</v>
      </c>
      <c r="BW525" s="1">
        <f>MAX(0,MIN($AM525*2,$AM$500-SUM($AM525:BR525)))</f>
        <v>0</v>
      </c>
      <c r="BX525" s="1093">
        <f>MAX(0,MIN($AM525*2,$AM$500-SUM($AM525:BS525)))</f>
        <v>0</v>
      </c>
      <c r="BY525" s="1093">
        <f>MAX(0,MIN($AM525*2,$AM$500-SUM($AM525:BT525)))</f>
        <v>0</v>
      </c>
      <c r="BZ525" s="1093">
        <f>MAX(0,MIN($AM525*2,$AM$500-SUM($AM525:BU525)))</f>
        <v>0</v>
      </c>
      <c r="CA525" s="1107">
        <f>MAX(0,MIN($AM525*2,$AM$500-SUM($AM525:BV525)))</f>
        <v>0</v>
      </c>
      <c r="CC525" s="383"/>
      <c r="CD525" s="383"/>
      <c r="CE525" s="1093"/>
      <c r="CF525" s="1093"/>
      <c r="CG525" s="1093"/>
      <c r="CH525" s="1093"/>
      <c r="CI525" s="1093"/>
      <c r="CJ525" s="1093"/>
      <c r="CK525" s="1093"/>
      <c r="CL525" s="1093"/>
      <c r="CM525" s="1093"/>
      <c r="CN525" s="1093"/>
      <c r="CO525" s="1093"/>
      <c r="CP525" s="14"/>
      <c r="CQ525" s="14"/>
      <c r="CR525" s="14"/>
      <c r="CS525" s="14"/>
      <c r="CT525" s="14"/>
      <c r="CU525" s="1961"/>
      <c r="DB525" s="1961"/>
      <c r="DC525" s="1961"/>
      <c r="DD525" s="1961"/>
      <c r="DE525" s="1961"/>
      <c r="DF525" s="1961"/>
      <c r="DG525" s="1961"/>
      <c r="DH525" s="1961"/>
      <c r="DI525" s="1105"/>
    </row>
    <row r="526" spans="1:113" hidden="1" outlineLevel="1" x14ac:dyDescent="0.25">
      <c r="A526" s="29"/>
      <c r="B526" s="1113"/>
      <c r="C526" s="1093"/>
      <c r="D526" s="1093"/>
      <c r="E526" s="1100"/>
      <c r="F526" s="1100"/>
      <c r="G526" s="1100"/>
      <c r="H526" s="1100"/>
      <c r="I526" s="1114"/>
      <c r="J526" s="19"/>
      <c r="K526" s="1"/>
      <c r="L526" s="1"/>
      <c r="M526" s="1"/>
      <c r="N526" s="1114"/>
      <c r="O526" s="19"/>
      <c r="P526" s="1093"/>
      <c r="Q526" s="1093"/>
      <c r="R526" s="1093"/>
      <c r="S526" s="1114"/>
      <c r="T526" s="19"/>
      <c r="U526" s="1093"/>
      <c r="V526" s="1093"/>
      <c r="W526" s="1093"/>
      <c r="X526" s="1114"/>
      <c r="Y526" s="1093"/>
      <c r="Z526" s="1093"/>
      <c r="AA526" s="1093"/>
      <c r="AB526" s="383"/>
      <c r="AC526" s="1114"/>
      <c r="AD526" s="1093"/>
      <c r="AE526" s="1093"/>
      <c r="AF526" s="1093"/>
      <c r="AG526" s="383"/>
      <c r="AH526" s="1114"/>
      <c r="AI526" s="1093"/>
      <c r="AJ526" s="1093"/>
      <c r="AK526" s="1093"/>
      <c r="AL526" s="1093"/>
      <c r="AM526" s="1115"/>
      <c r="AN526" s="1093">
        <f>AN$500/$B$499*1/2</f>
        <v>2.2589999999999999</v>
      </c>
      <c r="AO526" s="1093">
        <f>AO$500/$B$499*1/2</f>
        <v>2.4762499999999998</v>
      </c>
      <c r="AP526" s="1093">
        <f>AP$500/$B$499*1/2</f>
        <v>1.7017500000000005</v>
      </c>
      <c r="AQ526" s="1093">
        <f>AQ$500/$B$499*1/2</f>
        <v>2.7391250000000005</v>
      </c>
      <c r="AR526" s="1115"/>
      <c r="AS526" s="1093">
        <f>AS$500/$B$499*1/2</f>
        <v>1.5475000000000001</v>
      </c>
      <c r="AT526" s="1093">
        <f>AT$500/$B$499*1/2</f>
        <v>2.2082499999999996</v>
      </c>
      <c r="AU526" s="1093">
        <f>AU$500/$B$499*1/2</f>
        <v>2.8545625000000001</v>
      </c>
      <c r="AV526" s="1093">
        <f>AV$500/$B$499*1/2</f>
        <v>3.7733125000000003</v>
      </c>
      <c r="AW526" s="1106">
        <f>MAX(0,MIN($AR526*2,$AR$500-SUM($AR526:AR526)))</f>
        <v>0</v>
      </c>
      <c r="AX526" s="1093">
        <f>AX$500/$B$499*1/2</f>
        <v>1.9226875000000001</v>
      </c>
      <c r="AY526" s="1093">
        <f>AY$500/$B$499*1/2</f>
        <v>1.96675</v>
      </c>
      <c r="AZ526" s="1093">
        <f>AZ$500/$B$499*1/2</f>
        <v>2.2711874999999995</v>
      </c>
      <c r="BA526" s="1093">
        <f>BA$500/$B$499*1/2</f>
        <v>3.6206250000000004</v>
      </c>
      <c r="BB526" s="1107">
        <f>MAX(0,MIN($AR526*2,$AR$500-SUM($AR526:AW526)))</f>
        <v>0</v>
      </c>
      <c r="BC526" s="1093">
        <f>BC$500/$B$499*1/2</f>
        <v>1.9437500000000001</v>
      </c>
      <c r="BD526" s="1093">
        <f>BD$500/$B$499*1/2</f>
        <v>2.5874999999999999</v>
      </c>
      <c r="BE526" s="1093">
        <f>BE$500/$B$499*1/2</f>
        <v>2.5812500000000003</v>
      </c>
      <c r="BF526" s="1093">
        <f>BF$500/$B$499*1/2</f>
        <v>4.3562499999999993</v>
      </c>
      <c r="BG526" s="1107">
        <f>MAX(0,MIN($AR526*2,$AR$500-SUM($AR526:BB526)))</f>
        <v>0</v>
      </c>
      <c r="BH526" s="1">
        <f t="shared" ref="BH526:BZ526" si="629">BH$500/$B$499*1/2</f>
        <v>2.5523691061480305</v>
      </c>
      <c r="BI526" s="1093">
        <f t="shared" si="629"/>
        <v>3.2458461181192653</v>
      </c>
      <c r="BJ526" s="1093">
        <f t="shared" si="629"/>
        <v>3.1860888209114924</v>
      </c>
      <c r="BK526" s="1093">
        <f t="shared" si="629"/>
        <v>5.0436333560187609</v>
      </c>
      <c r="BL526" s="1107">
        <f>MAX(0,MIN($AR526*2,$AR$500-SUM($AR526:BG526)))</f>
        <v>0</v>
      </c>
      <c r="BM526" s="1">
        <f t="shared" si="629"/>
        <v>2.321804134687127</v>
      </c>
      <c r="BN526" s="1093">
        <f t="shared" si="629"/>
        <v>3.047667315438646</v>
      </c>
      <c r="BO526" s="1093">
        <f t="shared" si="629"/>
        <v>2.9749510488612056</v>
      </c>
      <c r="BP526" s="1093">
        <f t="shared" si="629"/>
        <v>4.9360550352884447</v>
      </c>
      <c r="BQ526" s="1107">
        <f>MAX(0,MIN($AR526*2,$AR$500-SUM($AR526:BL526)))</f>
        <v>0</v>
      </c>
      <c r="BR526" s="1">
        <f t="shared" si="629"/>
        <v>2.0953113669688461</v>
      </c>
      <c r="BS526" s="1093">
        <f t="shared" si="629"/>
        <v>2.8526357907691513</v>
      </c>
      <c r="BT526" s="1093">
        <f t="shared" si="629"/>
        <v>2.7663966124569783</v>
      </c>
      <c r="BU526" s="1093">
        <f t="shared" si="629"/>
        <v>4.8296905717676175</v>
      </c>
      <c r="BV526" s="1107">
        <f>MAX(0,MIN($AR526*2,$AR$500-SUM($AR526:BQ526)))</f>
        <v>0</v>
      </c>
      <c r="BW526" s="1">
        <f t="shared" si="629"/>
        <v>2.0037699803039435</v>
      </c>
      <c r="BX526" s="1093">
        <f t="shared" si="629"/>
        <v>2.7983038722591416</v>
      </c>
      <c r="BY526" s="1093">
        <f t="shared" si="629"/>
        <v>2.7018008850907478</v>
      </c>
      <c r="BZ526" s="1093">
        <f t="shared" si="629"/>
        <v>4.876601232519862</v>
      </c>
      <c r="CA526" s="1107">
        <f>MAX(0,MIN($AR526*2,$AR$500-SUM($AR526:BV526)))</f>
        <v>0</v>
      </c>
      <c r="CC526" s="383"/>
      <c r="CD526" s="383"/>
      <c r="CE526" s="1093"/>
      <c r="CF526" s="1093"/>
      <c r="CG526" s="1093"/>
      <c r="CH526" s="1093"/>
      <c r="CI526" s="1093"/>
      <c r="CJ526" s="1093"/>
      <c r="CK526" s="1093"/>
      <c r="CL526" s="1093"/>
      <c r="CM526" s="1093"/>
      <c r="CN526" s="1093"/>
      <c r="CO526" s="1093"/>
      <c r="CP526" s="14"/>
      <c r="CQ526" s="14"/>
      <c r="CR526" s="14"/>
      <c r="CS526" s="14"/>
      <c r="CT526" s="14"/>
      <c r="CU526" s="1961"/>
      <c r="DB526" s="1961"/>
      <c r="DC526" s="1961"/>
      <c r="DD526" s="1961"/>
      <c r="DE526" s="1961"/>
      <c r="DF526" s="1961"/>
      <c r="DG526" s="1961"/>
      <c r="DH526" s="1961"/>
      <c r="DI526" s="1105"/>
    </row>
    <row r="527" spans="1:113" hidden="1" outlineLevel="1" x14ac:dyDescent="0.25">
      <c r="A527" s="29"/>
      <c r="B527" s="1113"/>
      <c r="C527" s="1093"/>
      <c r="D527" s="1093"/>
      <c r="E527" s="1100"/>
      <c r="F527" s="1100"/>
      <c r="G527" s="1100"/>
      <c r="H527" s="1100"/>
      <c r="I527" s="1114"/>
      <c r="J527" s="19"/>
      <c r="K527" s="1"/>
      <c r="L527" s="1"/>
      <c r="M527" s="1"/>
      <c r="N527" s="1114"/>
      <c r="O527" s="19"/>
      <c r="P527" s="1093"/>
      <c r="Q527" s="1093"/>
      <c r="R527" s="1093"/>
      <c r="S527" s="1114"/>
      <c r="T527" s="19"/>
      <c r="U527" s="1093"/>
      <c r="V527" s="1093"/>
      <c r="W527" s="1093"/>
      <c r="X527" s="1114"/>
      <c r="Y527" s="1093"/>
      <c r="Z527" s="1093"/>
      <c r="AA527" s="1093"/>
      <c r="AB527" s="383"/>
      <c r="AC527" s="1114"/>
      <c r="AD527" s="1093"/>
      <c r="AE527" s="1093"/>
      <c r="AF527" s="1093"/>
      <c r="AG527" s="383"/>
      <c r="AH527" s="1114"/>
      <c r="AI527" s="1093"/>
      <c r="AJ527" s="1093"/>
      <c r="AK527" s="1093"/>
      <c r="AL527" s="1093"/>
      <c r="AM527" s="1115"/>
      <c r="AN527" s="1093"/>
      <c r="AO527" s="1093"/>
      <c r="AP527" s="1093"/>
      <c r="AQ527" s="1093"/>
      <c r="AR527" s="1115"/>
      <c r="AS527" s="1093"/>
      <c r="AT527" s="1093"/>
      <c r="AU527" s="1093"/>
      <c r="AV527" s="1093"/>
      <c r="AW527" s="1106">
        <f>AW$500/$B$499*1/2</f>
        <v>10.383625</v>
      </c>
      <c r="AX527" s="1093"/>
      <c r="AY527" s="1093"/>
      <c r="AZ527" s="1093"/>
      <c r="BA527" s="1093"/>
      <c r="BB527" s="1107">
        <f>BB$500/$B$499*1/2</f>
        <v>9.78125</v>
      </c>
      <c r="BC527" s="1093"/>
      <c r="BD527" s="1093"/>
      <c r="BE527" s="1093"/>
      <c r="BF527" s="1093"/>
      <c r="BG527" s="1107">
        <f>BG$500/$B$499*1/2</f>
        <v>11.46875</v>
      </c>
      <c r="BH527" s="1"/>
      <c r="BI527" s="1093"/>
      <c r="BJ527" s="1093"/>
      <c r="BK527" s="1093"/>
      <c r="BL527" s="1107">
        <f>BL$500/$B$499*1/2</f>
        <v>14.02793740119755</v>
      </c>
      <c r="BM527" s="1"/>
      <c r="BN527" s="1093"/>
      <c r="BO527" s="1093"/>
      <c r="BP527" s="1093"/>
      <c r="BQ527" s="1107">
        <f>BQ$500/$B$499*1/2</f>
        <v>13.280477534275423</v>
      </c>
      <c r="BR527" s="1"/>
      <c r="BS527" s="1093"/>
      <c r="BT527" s="1093"/>
      <c r="BU527" s="1093"/>
      <c r="BV527" s="1107">
        <f>BV$500/$B$499*1/2</f>
        <v>12.544034341962593</v>
      </c>
      <c r="BW527" s="1"/>
      <c r="BX527" s="1093"/>
      <c r="BY527" s="1093"/>
      <c r="BZ527" s="1093"/>
      <c r="CA527" s="1107">
        <f>CA$500/$B$499*1/2</f>
        <v>12.380475970173695</v>
      </c>
      <c r="CC527" s="383"/>
      <c r="CD527" s="383"/>
      <c r="CE527" s="1093"/>
      <c r="CF527" s="1093"/>
      <c r="CG527" s="1093"/>
      <c r="CH527" s="1093"/>
      <c r="CI527" s="1093"/>
      <c r="CJ527" s="1093"/>
      <c r="CK527" s="1093"/>
      <c r="CL527" s="1093"/>
      <c r="CM527" s="1093"/>
      <c r="CN527" s="1093"/>
      <c r="CO527" s="1093"/>
      <c r="CP527" s="14"/>
      <c r="CQ527" s="14"/>
      <c r="CR527" s="14"/>
      <c r="CS527" s="14"/>
      <c r="CT527" s="14"/>
      <c r="CU527" s="1961"/>
      <c r="DB527" s="1961"/>
      <c r="DC527" s="1961"/>
      <c r="DD527" s="1961"/>
      <c r="DE527" s="1961"/>
      <c r="DF527" s="1961"/>
      <c r="DG527" s="1961"/>
      <c r="DH527" s="1961"/>
      <c r="DI527" s="1105"/>
    </row>
    <row r="528" spans="1:113" hidden="1" outlineLevel="1" x14ac:dyDescent="0.25">
      <c r="A528" s="29"/>
      <c r="B528" s="1113"/>
      <c r="C528" s="1093"/>
      <c r="D528" s="1093"/>
      <c r="E528" s="1100"/>
      <c r="F528" s="1100"/>
      <c r="G528" s="1100"/>
      <c r="H528" s="1100"/>
      <c r="I528" s="1114"/>
      <c r="J528" s="19"/>
      <c r="K528" s="1"/>
      <c r="L528" s="1"/>
      <c r="M528" s="1"/>
      <c r="N528" s="1114"/>
      <c r="O528" s="19"/>
      <c r="P528" s="1093"/>
      <c r="Q528" s="1093"/>
      <c r="R528" s="1093"/>
      <c r="S528" s="1114"/>
      <c r="T528" s="19"/>
      <c r="U528" s="1093"/>
      <c r="V528" s="1093"/>
      <c r="W528" s="1093"/>
      <c r="X528" s="1114"/>
      <c r="Y528" s="1093"/>
      <c r="Z528" s="1093"/>
      <c r="AA528" s="1093"/>
      <c r="AB528" s="383"/>
      <c r="AC528" s="1114"/>
      <c r="AD528" s="1093"/>
      <c r="AE528" s="1093"/>
      <c r="AF528" s="1093"/>
      <c r="AG528" s="383"/>
      <c r="AH528" s="1114"/>
      <c r="AI528" s="1093"/>
      <c r="AJ528" s="1093"/>
      <c r="AK528" s="1093"/>
      <c r="AL528" s="1093"/>
      <c r="AM528" s="1115"/>
      <c r="AN528" s="1093"/>
      <c r="AO528" s="1093"/>
      <c r="AP528" s="1093"/>
      <c r="AQ528" s="1093"/>
      <c r="AR528" s="1115"/>
      <c r="AS528" s="1093"/>
      <c r="AT528" s="1093"/>
      <c r="AU528" s="1093"/>
      <c r="AV528" s="1093"/>
      <c r="AW528" s="1106"/>
      <c r="AX528" s="1093"/>
      <c r="AY528" s="1093"/>
      <c r="AZ528" s="1093"/>
      <c r="BA528" s="1093"/>
      <c r="BB528" s="1107"/>
      <c r="BC528" s="1093"/>
      <c r="BD528" s="1093"/>
      <c r="BE528" s="1093"/>
      <c r="BF528" s="1093"/>
      <c r="BG528" s="1107"/>
      <c r="BH528" s="1"/>
      <c r="BI528" s="1093"/>
      <c r="BJ528" s="1093"/>
      <c r="BK528" s="1093"/>
      <c r="BL528" s="1107"/>
      <c r="BM528" s="1"/>
      <c r="BN528" s="1093"/>
      <c r="BO528" s="1093"/>
      <c r="BP528" s="1093"/>
      <c r="BQ528" s="1107"/>
      <c r="BR528" s="1"/>
      <c r="BS528" s="1093"/>
      <c r="BT528" s="1093"/>
      <c r="BU528" s="1093"/>
      <c r="BV528" s="1107"/>
      <c r="BW528" s="1"/>
      <c r="BX528" s="1093"/>
      <c r="BY528" s="1093"/>
      <c r="BZ528" s="1093"/>
      <c r="CA528" s="1107"/>
      <c r="CC528" s="383"/>
      <c r="CD528" s="383"/>
      <c r="CE528" s="1093"/>
      <c r="CF528" s="1093"/>
      <c r="CG528" s="1093"/>
      <c r="CH528" s="1093"/>
      <c r="CI528" s="1093"/>
      <c r="CJ528" s="1093"/>
      <c r="CK528" s="1093"/>
      <c r="CL528" s="1093"/>
      <c r="CM528" s="1093"/>
      <c r="CN528" s="1093"/>
      <c r="CO528" s="1093"/>
      <c r="CP528" s="14"/>
      <c r="CQ528" s="14"/>
      <c r="CR528" s="14"/>
      <c r="CS528" s="14"/>
      <c r="CT528" s="14"/>
      <c r="CU528" s="1961"/>
      <c r="DB528" s="1961"/>
      <c r="DC528" s="1961"/>
      <c r="DD528" s="1961"/>
      <c r="DE528" s="1961"/>
      <c r="DF528" s="1961"/>
      <c r="DG528" s="1961"/>
      <c r="DH528" s="1961"/>
      <c r="DI528" s="1105"/>
    </row>
    <row r="529" spans="1:113" hidden="1" outlineLevel="1" x14ac:dyDescent="0.25">
      <c r="A529" s="29"/>
      <c r="B529" s="1113"/>
      <c r="C529" s="1093"/>
      <c r="D529" s="1093"/>
      <c r="E529" s="1100"/>
      <c r="F529" s="1100"/>
      <c r="G529" s="1100"/>
      <c r="H529" s="1100"/>
      <c r="I529" s="1114"/>
      <c r="J529" s="19"/>
      <c r="K529" s="1"/>
      <c r="L529" s="1"/>
      <c r="M529" s="1"/>
      <c r="N529" s="1114"/>
      <c r="O529" s="19"/>
      <c r="P529" s="1093">
        <v>0.311</v>
      </c>
      <c r="Q529" s="1093">
        <v>-0.25</v>
      </c>
      <c r="R529" s="1093"/>
      <c r="S529" s="1114"/>
      <c r="T529" s="19"/>
      <c r="U529" s="1093"/>
      <c r="V529" s="1093"/>
      <c r="W529" s="1093"/>
      <c r="X529" s="1114"/>
      <c r="Y529" s="1093"/>
      <c r="Z529" s="1093"/>
      <c r="AA529" s="1093"/>
      <c r="AB529" s="1093"/>
      <c r="AC529" s="1114"/>
      <c r="AD529" s="1093"/>
      <c r="AE529" s="1093"/>
      <c r="AF529" s="1093"/>
      <c r="AG529" s="1093"/>
      <c r="AH529" s="1114"/>
      <c r="AI529" s="1093"/>
      <c r="AJ529" s="1093"/>
      <c r="AK529" s="1093"/>
      <c r="AL529" s="1093"/>
      <c r="AM529" s="1115"/>
      <c r="AN529" s="1093"/>
      <c r="AO529" s="1093"/>
      <c r="AP529" s="1093"/>
      <c r="AQ529" s="1093"/>
      <c r="AR529" s="1115"/>
      <c r="AS529" s="1093"/>
      <c r="AT529" s="1093"/>
      <c r="AU529" s="1093"/>
      <c r="AV529" s="1093"/>
      <c r="AW529" s="1106"/>
      <c r="AX529" s="1093"/>
      <c r="AY529" s="1093"/>
      <c r="AZ529" s="1093"/>
      <c r="BA529" s="1093"/>
      <c r="BB529" s="1107"/>
      <c r="BC529" s="1093"/>
      <c r="BD529" s="1093"/>
      <c r="BE529" s="1093"/>
      <c r="BF529" s="1093"/>
      <c r="BG529" s="1107"/>
      <c r="BH529" s="1"/>
      <c r="BI529" s="1093"/>
      <c r="BJ529" s="1093"/>
      <c r="BK529" s="1093"/>
      <c r="BL529" s="1107"/>
      <c r="BM529" s="1"/>
      <c r="BN529" s="1093"/>
      <c r="BO529" s="1093"/>
      <c r="BP529" s="1093"/>
      <c r="BQ529" s="1107"/>
      <c r="BR529" s="1"/>
      <c r="BS529" s="1093"/>
      <c r="BT529" s="1093"/>
      <c r="BU529" s="1093"/>
      <c r="BV529" s="1107"/>
      <c r="BW529" s="1"/>
      <c r="BX529" s="1093"/>
      <c r="BY529" s="1093"/>
      <c r="BZ529" s="1093"/>
      <c r="CA529" s="1107"/>
      <c r="CC529" s="383"/>
      <c r="CD529" s="383"/>
      <c r="CE529" s="1093"/>
      <c r="CF529" s="1093"/>
      <c r="CG529" s="1093"/>
      <c r="CH529" s="1093"/>
      <c r="CI529" s="1093"/>
      <c r="CJ529" s="1093"/>
      <c r="CK529" s="1093"/>
      <c r="CL529" s="1093"/>
      <c r="CM529" s="1093"/>
      <c r="CN529" s="1093"/>
      <c r="CO529" s="1093"/>
      <c r="CP529" s="14"/>
      <c r="CQ529" s="14"/>
      <c r="CR529" s="14"/>
      <c r="CS529" s="14"/>
      <c r="CT529" s="14"/>
      <c r="CU529" s="1961"/>
      <c r="DB529" s="1961"/>
      <c r="DC529" s="1961"/>
      <c r="DD529" s="1961"/>
      <c r="DE529" s="1961"/>
      <c r="DF529" s="1961"/>
      <c r="DG529" s="1961"/>
      <c r="DH529" s="1961"/>
      <c r="DI529" s="1105"/>
    </row>
    <row r="530" spans="1:113" ht="3" hidden="1" customHeight="1" outlineLevel="1" x14ac:dyDescent="0.25">
      <c r="A530" s="29"/>
      <c r="B530" s="1116"/>
      <c r="C530" s="531" t="s">
        <v>60</v>
      </c>
      <c r="D530" s="531" t="s">
        <v>60</v>
      </c>
      <c r="E530" s="1117" t="s">
        <v>60</v>
      </c>
      <c r="F530" s="1117" t="s">
        <v>60</v>
      </c>
      <c r="G530" s="1117" t="s">
        <v>60</v>
      </c>
      <c r="H530" s="1117" t="s">
        <v>60</v>
      </c>
      <c r="I530" s="1118"/>
      <c r="J530" s="1117" t="s">
        <v>60</v>
      </c>
      <c r="K530" s="1117" t="s">
        <v>60</v>
      </c>
      <c r="L530" s="1117" t="s">
        <v>60</v>
      </c>
      <c r="M530" s="1117" t="s">
        <v>60</v>
      </c>
      <c r="N530" s="1118"/>
      <c r="O530" s="1117" t="s">
        <v>60</v>
      </c>
      <c r="P530" s="1117" t="s">
        <v>60</v>
      </c>
      <c r="Q530" s="1117" t="s">
        <v>60</v>
      </c>
      <c r="R530" s="1117" t="s">
        <v>60</v>
      </c>
      <c r="S530" s="1118"/>
      <c r="T530" s="1117" t="s">
        <v>60</v>
      </c>
      <c r="U530" s="1117" t="s">
        <v>60</v>
      </c>
      <c r="V530" s="1117" t="s">
        <v>60</v>
      </c>
      <c r="W530" s="1117" t="s">
        <v>60</v>
      </c>
      <c r="X530" s="1118"/>
      <c r="Y530" s="1117" t="s">
        <v>60</v>
      </c>
      <c r="Z530" s="1117" t="s">
        <v>60</v>
      </c>
      <c r="AA530" s="1117" t="s">
        <v>60</v>
      </c>
      <c r="AB530" s="1117" t="s">
        <v>60</v>
      </c>
      <c r="AC530" s="1118"/>
      <c r="AD530" s="1117" t="s">
        <v>60</v>
      </c>
      <c r="AE530" s="1117" t="s">
        <v>60</v>
      </c>
      <c r="AF530" s="1117" t="s">
        <v>60</v>
      </c>
      <c r="AG530" s="1117" t="s">
        <v>60</v>
      </c>
      <c r="AH530" s="1118"/>
      <c r="AI530" s="1117" t="s">
        <v>60</v>
      </c>
      <c r="AJ530" s="1117" t="s">
        <v>60</v>
      </c>
      <c r="AK530" s="1117" t="s">
        <v>60</v>
      </c>
      <c r="AL530" s="1117" t="s">
        <v>60</v>
      </c>
      <c r="AM530" s="1119" t="s">
        <v>60</v>
      </c>
      <c r="AN530" s="1117" t="s">
        <v>60</v>
      </c>
      <c r="AO530" s="1117" t="s">
        <v>60</v>
      </c>
      <c r="AP530" s="1117" t="s">
        <v>60</v>
      </c>
      <c r="AQ530" s="1117" t="s">
        <v>60</v>
      </c>
      <c r="AR530" s="1119" t="s">
        <v>60</v>
      </c>
      <c r="AS530" s="1117" t="s">
        <v>60</v>
      </c>
      <c r="AT530" s="1117" t="s">
        <v>60</v>
      </c>
      <c r="AU530" s="1117" t="s">
        <v>60</v>
      </c>
      <c r="AV530" s="1117" t="s">
        <v>60</v>
      </c>
      <c r="AW530" s="1120" t="s">
        <v>60</v>
      </c>
      <c r="AX530" s="1117" t="s">
        <v>60</v>
      </c>
      <c r="AY530" s="1117" t="s">
        <v>60</v>
      </c>
      <c r="AZ530" s="1117" t="s">
        <v>60</v>
      </c>
      <c r="BA530" s="1117" t="s">
        <v>60</v>
      </c>
      <c r="BB530" s="1120" t="s">
        <v>60</v>
      </c>
      <c r="BC530" s="1117" t="s">
        <v>60</v>
      </c>
      <c r="BD530" s="1117" t="s">
        <v>60</v>
      </c>
      <c r="BE530" s="1117" t="s">
        <v>60</v>
      </c>
      <c r="BF530" s="1117" t="s">
        <v>60</v>
      </c>
      <c r="BG530" s="1120" t="s">
        <v>60</v>
      </c>
      <c r="BH530" s="1117" t="s">
        <v>60</v>
      </c>
      <c r="BI530" s="1117" t="s">
        <v>60</v>
      </c>
      <c r="BJ530" s="1117" t="s">
        <v>60</v>
      </c>
      <c r="BK530" s="1117" t="s">
        <v>60</v>
      </c>
      <c r="BL530" s="1120" t="s">
        <v>60</v>
      </c>
      <c r="BM530" s="1117" t="s">
        <v>60</v>
      </c>
      <c r="BN530" s="1117" t="s">
        <v>60</v>
      </c>
      <c r="BO530" s="1117" t="s">
        <v>60</v>
      </c>
      <c r="BP530" s="1117" t="s">
        <v>60</v>
      </c>
      <c r="BQ530" s="1120" t="s">
        <v>60</v>
      </c>
      <c r="BR530" s="1117" t="s">
        <v>60</v>
      </c>
      <c r="BS530" s="1117" t="s">
        <v>60</v>
      </c>
      <c r="BT530" s="1117" t="s">
        <v>60</v>
      </c>
      <c r="BU530" s="1117" t="s">
        <v>60</v>
      </c>
      <c r="BV530" s="1120" t="s">
        <v>60</v>
      </c>
      <c r="BW530" s="1117" t="s">
        <v>60</v>
      </c>
      <c r="BX530" s="1117" t="s">
        <v>60</v>
      </c>
      <c r="BY530" s="1117" t="s">
        <v>60</v>
      </c>
      <c r="BZ530" s="1117" t="s">
        <v>60</v>
      </c>
      <c r="CA530" s="1120" t="s">
        <v>60</v>
      </c>
      <c r="CC530" s="130"/>
      <c r="CD530" s="130"/>
      <c r="CE530" s="1117"/>
      <c r="CF530" s="1117"/>
      <c r="CG530" s="1117"/>
      <c r="CH530" s="1117"/>
      <c r="CI530" s="1117"/>
      <c r="CJ530" s="1117"/>
      <c r="CK530" s="1117"/>
      <c r="CL530" s="1117"/>
      <c r="CM530" s="1117"/>
      <c r="CN530" s="1117"/>
      <c r="CO530" s="1117"/>
      <c r="CP530" s="14"/>
      <c r="CQ530" s="14"/>
      <c r="CR530" s="14"/>
      <c r="CS530" s="14"/>
      <c r="CT530" s="14"/>
      <c r="CU530" s="1961"/>
      <c r="DB530" s="1961"/>
      <c r="DC530" s="1961"/>
      <c r="DD530" s="1961"/>
      <c r="DE530" s="1961"/>
      <c r="DF530" s="1961"/>
      <c r="DG530" s="1961"/>
      <c r="DH530" s="1961"/>
      <c r="DI530" s="531"/>
    </row>
    <row r="531" spans="1:113" hidden="1" outlineLevel="1" x14ac:dyDescent="0.25">
      <c r="A531" s="29"/>
      <c r="B531" s="1121"/>
      <c r="C531" s="1101">
        <f t="shared" ref="C531:H531" si="630">SUM(C501:C523)</f>
        <v>22.123000000000001</v>
      </c>
      <c r="D531" s="1101">
        <f t="shared" si="630"/>
        <v>28.119</v>
      </c>
      <c r="E531" s="1099">
        <f t="shared" si="630"/>
        <v>7.6050000000000004</v>
      </c>
      <c r="F531" s="1099">
        <f t="shared" si="630"/>
        <v>7.9409999999999989</v>
      </c>
      <c r="G531" s="1099">
        <f t="shared" si="630"/>
        <v>7.8270000000000017</v>
      </c>
      <c r="H531" s="1099">
        <f t="shared" si="630"/>
        <v>8.4699999999999989</v>
      </c>
      <c r="I531" s="1122"/>
      <c r="J531" s="1099">
        <f>SUM(J501:J523)</f>
        <v>7.907</v>
      </c>
      <c r="K531" s="1099">
        <f>SUM(K501:K523)</f>
        <v>8.5169999999999995</v>
      </c>
      <c r="L531" s="1099">
        <f>SUM(L501:L523)</f>
        <v>9.054000000000002</v>
      </c>
      <c r="M531" s="1099">
        <f>SUM(M501:M523)</f>
        <v>9.8389999999999986</v>
      </c>
      <c r="N531" s="1122"/>
      <c r="O531" s="1099">
        <f>SUM(O501:O523)</f>
        <v>9.1950000000000003</v>
      </c>
      <c r="P531" s="1099">
        <f>SUM(P501:P529)</f>
        <v>10.029</v>
      </c>
      <c r="Q531" s="1099">
        <f>SUM(Q501:Q529)</f>
        <v>9.3709999999999987</v>
      </c>
      <c r="R531" s="1099">
        <f>SUM(R501:R529)</f>
        <v>10.044000000000004</v>
      </c>
      <c r="S531" s="1122"/>
      <c r="T531" s="1099">
        <f>SUM(T501:T529)</f>
        <v>9.9290000000000003</v>
      </c>
      <c r="U531" s="1099">
        <f>SUM(U501:U529)</f>
        <v>9.9439999999999991</v>
      </c>
      <c r="V531" s="1099">
        <f>SUM(V501:V529)</f>
        <v>10.035</v>
      </c>
      <c r="W531" s="1099">
        <f>SUM(W501:W529)</f>
        <v>9.9782031249999985</v>
      </c>
      <c r="X531" s="1122"/>
      <c r="Y531" s="1099">
        <f>SUM(Y501:Y529)</f>
        <v>10.134656249999999</v>
      </c>
      <c r="Z531" s="1099">
        <f>SUM(Z501:Z529)</f>
        <v>10.261234374999999</v>
      </c>
      <c r="AA531" s="1099">
        <f>SUM(AA501:AA529)</f>
        <v>10.389468749999999</v>
      </c>
      <c r="AB531" s="1099">
        <f>SUM(AB501:AB529)</f>
        <v>10.570531249999998</v>
      </c>
      <c r="AC531" s="1122"/>
      <c r="AD531" s="1099">
        <f>SUM(AD501:AD529)</f>
        <v>8.9395624999999956</v>
      </c>
      <c r="AE531" s="1099">
        <f>SUM(AE501:AE529)</f>
        <v>9.078218749999996</v>
      </c>
      <c r="AF531" s="1099">
        <f>SUM(AF501:AF529)</f>
        <v>9.2200624999999974</v>
      </c>
      <c r="AG531" s="1099">
        <f>SUM(AG501:AG529)</f>
        <v>9.3277968749999971</v>
      </c>
      <c r="AH531" s="1122"/>
      <c r="AI531" s="1099">
        <f t="shared" ref="AI531:BB531" si="631">SUM(AI501:AI529)</f>
        <v>36.518859374999991</v>
      </c>
      <c r="AJ531" s="1099">
        <f t="shared" si="631"/>
        <v>36.320499999999988</v>
      </c>
      <c r="AK531" s="1099">
        <f t="shared" si="631"/>
        <v>36.147062499999983</v>
      </c>
      <c r="AL531" s="1099">
        <f t="shared" si="631"/>
        <v>35.734265624999985</v>
      </c>
      <c r="AM531" s="1123">
        <f t="shared" si="631"/>
        <v>46.793156249999988</v>
      </c>
      <c r="AN531" s="1099">
        <f t="shared" si="631"/>
        <v>57.862062499999986</v>
      </c>
      <c r="AO531" s="1099">
        <f t="shared" si="631"/>
        <v>57.765718749999984</v>
      </c>
      <c r="AP531" s="1099">
        <f t="shared" si="631"/>
        <v>56.677624999999978</v>
      </c>
      <c r="AQ531" s="1099">
        <f t="shared" si="631"/>
        <v>57.40140624999998</v>
      </c>
      <c r="AR531" s="1123">
        <f>SUM(AR501:AR529)</f>
        <v>45.591406249999984</v>
      </c>
      <c r="AS531" s="1099">
        <f>SUM(AS501:AS529)</f>
        <v>55.896187499999982</v>
      </c>
      <c r="AT531" s="1099">
        <f>SUM(AT501:AT529)</f>
        <v>56.24334374999998</v>
      </c>
      <c r="AU531" s="1099">
        <f>SUM(AU501:AU529)</f>
        <v>56.319265624999979</v>
      </c>
      <c r="AV531" s="1099">
        <f>SUM(AV501:AV529)</f>
        <v>55.126843749999985</v>
      </c>
      <c r="AW531" s="645">
        <f t="shared" si="631"/>
        <v>61.737156249999991</v>
      </c>
      <c r="AX531" s="1099">
        <f t="shared" si="631"/>
        <v>52.962624999999996</v>
      </c>
      <c r="AY531" s="1099">
        <f t="shared" si="631"/>
        <v>52.640468749999989</v>
      </c>
      <c r="AZ531" s="1099">
        <f t="shared" si="631"/>
        <v>34.436937499999992</v>
      </c>
      <c r="BA531" s="1099">
        <f t="shared" si="631"/>
        <v>35.47278124999999</v>
      </c>
      <c r="BB531" s="645">
        <f t="shared" si="631"/>
        <v>41.633406249999993</v>
      </c>
      <c r="BC531" s="1099">
        <f t="shared" ref="BC531:CA531" si="632">SUM(BC501:BC529)</f>
        <v>33.482312499999992</v>
      </c>
      <c r="BD531" s="1099">
        <f t="shared" si="632"/>
        <v>33.812468749999994</v>
      </c>
      <c r="BE531" s="1099">
        <f t="shared" si="632"/>
        <v>33.49262499999999</v>
      </c>
      <c r="BF531" s="1099">
        <f t="shared" si="632"/>
        <v>34.954031249999986</v>
      </c>
      <c r="BG531" s="645">
        <f t="shared" si="632"/>
        <v>42.066531249999997</v>
      </c>
      <c r="BH531" s="468">
        <f t="shared" si="632"/>
        <v>32.836556606148022</v>
      </c>
      <c r="BI531" s="1099">
        <f t="shared" si="632"/>
        <v>33.216439868119259</v>
      </c>
      <c r="BJ531" s="1099">
        <f t="shared" si="632"/>
        <v>32.843088820911483</v>
      </c>
      <c r="BK531" s="1099">
        <f t="shared" si="632"/>
        <v>34.327758356018741</v>
      </c>
      <c r="BL531" s="645">
        <f t="shared" si="632"/>
        <v>42.944843651197544</v>
      </c>
      <c r="BM531" s="468">
        <f t="shared" si="632"/>
        <v>30.853757259687111</v>
      </c>
      <c r="BN531" s="1099">
        <f t="shared" si="632"/>
        <v>30.666761065438632</v>
      </c>
      <c r="BO531" s="1099">
        <f t="shared" si="632"/>
        <v>30.067419798861195</v>
      </c>
      <c r="BP531" s="1099">
        <f t="shared" si="632"/>
        <v>31.714930035288432</v>
      </c>
      <c r="BQ531" s="645">
        <f t="shared" si="632"/>
        <v>40.059352534275419</v>
      </c>
      <c r="BR531" s="468">
        <f t="shared" si="632"/>
        <v>28.56059261696884</v>
      </c>
      <c r="BS531" s="1099">
        <f t="shared" si="632"/>
        <v>29.004323290769147</v>
      </c>
      <c r="BT531" s="1099">
        <f t="shared" si="632"/>
        <v>28.604490362456971</v>
      </c>
      <c r="BU531" s="1099">
        <f t="shared" si="632"/>
        <v>30.342549946767612</v>
      </c>
      <c r="BV531" s="645">
        <f t="shared" si="632"/>
        <v>37.50903434196259</v>
      </c>
      <c r="BW531" s="468">
        <f t="shared" si="632"/>
        <v>26.655176230303937</v>
      </c>
      <c r="BX531" s="1099">
        <f t="shared" si="632"/>
        <v>27.136116372259135</v>
      </c>
      <c r="BY531" s="1099">
        <f t="shared" si="632"/>
        <v>26.72601963509074</v>
      </c>
      <c r="BZ531" s="1099">
        <f t="shared" si="632"/>
        <v>28.587226232519853</v>
      </c>
      <c r="CA531" s="645">
        <f t="shared" si="632"/>
        <v>36.091100970173692</v>
      </c>
      <c r="CC531" s="1099"/>
      <c r="CD531" s="1099"/>
      <c r="CE531" s="1099"/>
      <c r="CF531" s="1099"/>
      <c r="CG531" s="1099"/>
      <c r="CH531" s="1099"/>
      <c r="CI531" s="1099"/>
      <c r="CJ531" s="1099"/>
      <c r="CK531" s="1099"/>
      <c r="CL531" s="1099"/>
      <c r="CM531" s="1099"/>
      <c r="CN531" s="1099"/>
      <c r="CO531" s="1099"/>
      <c r="CP531" s="14"/>
      <c r="CQ531" s="14"/>
      <c r="CR531" s="14"/>
      <c r="CS531" s="14"/>
      <c r="CT531" s="14"/>
      <c r="CU531" s="1961"/>
      <c r="DB531" s="1961"/>
      <c r="DC531" s="1961"/>
      <c r="DD531" s="1961"/>
      <c r="DE531" s="1961"/>
      <c r="DF531" s="1961"/>
      <c r="DG531" s="1961"/>
      <c r="DH531" s="1961"/>
      <c r="DI531" s="900"/>
    </row>
    <row r="532" spans="1:113" hidden="1" outlineLevel="1" x14ac:dyDescent="0.25">
      <c r="A532" s="29"/>
      <c r="B532" s="1124"/>
      <c r="C532" s="1095"/>
      <c r="D532" s="1095"/>
      <c r="E532" s="1096"/>
      <c r="F532" s="1096"/>
      <c r="G532" s="1096"/>
      <c r="H532" s="1125"/>
      <c r="I532" s="1126"/>
      <c r="J532" s="29"/>
      <c r="K532" s="9"/>
      <c r="L532" s="9"/>
      <c r="M532" s="9"/>
      <c r="N532" s="1126"/>
      <c r="O532" s="29"/>
      <c r="P532" s="1127"/>
      <c r="Q532" s="1127"/>
      <c r="R532" s="1095"/>
      <c r="S532" s="1126"/>
      <c r="T532" s="29"/>
      <c r="U532" s="1095"/>
      <c r="V532" s="1095"/>
      <c r="W532" s="1095"/>
      <c r="X532" s="1126"/>
      <c r="Y532" s="1095"/>
      <c r="Z532" s="1095"/>
      <c r="AA532" s="1095"/>
      <c r="AB532" s="1095"/>
      <c r="AC532" s="1128"/>
      <c r="AD532" s="1095"/>
      <c r="AE532" s="1095"/>
      <c r="AF532" s="1095"/>
      <c r="AG532" s="1095"/>
      <c r="AH532" s="1128"/>
      <c r="AI532" s="1095"/>
      <c r="AJ532" s="1095"/>
      <c r="AK532" s="1095"/>
      <c r="AL532" s="1095"/>
      <c r="AM532" s="1129"/>
      <c r="AN532" s="1095"/>
      <c r="AO532" s="1095"/>
      <c r="AP532" s="1095"/>
      <c r="AQ532" s="1095"/>
      <c r="AR532" s="1129"/>
      <c r="AS532" s="1095"/>
      <c r="AT532" s="1095"/>
      <c r="AU532" s="1095"/>
      <c r="AV532" s="1095"/>
      <c r="AW532" s="91"/>
      <c r="AX532" s="1095"/>
      <c r="AY532" s="1095"/>
      <c r="AZ532" s="1095"/>
      <c r="BA532" s="1095"/>
      <c r="BB532" s="747"/>
      <c r="BC532" s="1095"/>
      <c r="BD532" s="1095"/>
      <c r="BE532" s="1095"/>
      <c r="BF532" s="1095"/>
      <c r="BG532" s="747"/>
      <c r="BH532" s="9"/>
      <c r="BI532" s="1095"/>
      <c r="BJ532" s="1095"/>
      <c r="BK532" s="1095"/>
      <c r="BL532" s="747"/>
      <c r="BM532" s="9"/>
      <c r="BN532" s="1095"/>
      <c r="BO532" s="1095"/>
      <c r="BP532" s="1095"/>
      <c r="BQ532" s="747"/>
      <c r="BR532" s="9"/>
      <c r="BS532" s="1095"/>
      <c r="BT532" s="1095"/>
      <c r="BU532" s="1095"/>
      <c r="BV532" s="747"/>
      <c r="BW532" s="9"/>
      <c r="BX532" s="1095"/>
      <c r="BY532" s="1095"/>
      <c r="BZ532" s="1095"/>
      <c r="CA532" s="747"/>
      <c r="CC532" s="1125"/>
      <c r="CD532" s="1125"/>
      <c r="CE532" s="1095"/>
      <c r="CF532" s="1095"/>
      <c r="CG532" s="1095"/>
      <c r="CH532" s="1095"/>
      <c r="CI532" s="1095"/>
      <c r="CJ532" s="1095"/>
      <c r="CK532" s="1095"/>
      <c r="CL532" s="1095"/>
      <c r="CM532" s="1095"/>
      <c r="CN532" s="1095"/>
      <c r="CO532" s="1095"/>
      <c r="CP532" s="14"/>
      <c r="CQ532" s="14"/>
      <c r="CR532" s="14"/>
      <c r="CS532" s="14"/>
      <c r="CT532" s="14"/>
      <c r="CU532" s="1961"/>
      <c r="DB532" s="1961"/>
      <c r="DC532" s="1961"/>
      <c r="DD532" s="1961"/>
      <c r="DE532" s="1961"/>
      <c r="DF532" s="1961"/>
      <c r="DG532" s="1961"/>
      <c r="DH532" s="1961"/>
      <c r="DI532" s="90"/>
    </row>
    <row r="533" spans="1:113" hidden="1" outlineLevel="1" x14ac:dyDescent="0.25">
      <c r="A533" s="405" t="s">
        <v>328</v>
      </c>
      <c r="B533" s="1124"/>
      <c r="C533" s="1096"/>
      <c r="D533" s="1096"/>
      <c r="E533" s="1096"/>
      <c r="F533" s="1096"/>
      <c r="G533" s="1096"/>
      <c r="H533" s="1096"/>
      <c r="I533" s="1096"/>
      <c r="J533" s="29"/>
      <c r="K533" s="29"/>
      <c r="L533" s="29"/>
      <c r="M533" s="29"/>
      <c r="N533" s="1096"/>
      <c r="O533" s="29"/>
      <c r="P533" s="1096"/>
      <c r="Q533" s="1096"/>
      <c r="R533" s="1096"/>
      <c r="S533" s="1096"/>
      <c r="T533" s="1096"/>
      <c r="U533" s="1096"/>
      <c r="V533" s="1096"/>
      <c r="W533" s="1096"/>
      <c r="X533" s="1096"/>
      <c r="Y533" s="1096"/>
      <c r="Z533" s="1096"/>
      <c r="AA533" s="1096"/>
      <c r="AB533" s="1096"/>
      <c r="AC533" s="1096"/>
      <c r="AD533" s="1096"/>
      <c r="AE533" s="1096"/>
      <c r="AF533" s="1096"/>
      <c r="AG533" s="1096"/>
      <c r="AH533" s="1096"/>
      <c r="AI533" s="1096"/>
      <c r="AJ533" s="1096"/>
      <c r="AK533" s="1096"/>
      <c r="AL533" s="1096"/>
      <c r="AM533" s="110"/>
      <c r="AN533" s="1096"/>
      <c r="AO533" s="1096"/>
      <c r="AP533" s="1096"/>
      <c r="AQ533" s="1096"/>
      <c r="AR533" s="110"/>
      <c r="AS533" s="1096"/>
      <c r="AT533" s="1096"/>
      <c r="AU533" s="1096"/>
      <c r="AV533" s="1096"/>
      <c r="AW533" s="634"/>
      <c r="AX533" s="1096"/>
      <c r="AY533" s="1096"/>
      <c r="AZ533" s="1096"/>
      <c r="BA533" s="1096"/>
      <c r="BB533" s="635"/>
      <c r="BC533" s="1096"/>
      <c r="BD533" s="1096"/>
      <c r="BE533" s="1096"/>
      <c r="BF533" s="1096"/>
      <c r="BG533" s="635"/>
      <c r="BH533" s="29"/>
      <c r="BI533" s="1096"/>
      <c r="BJ533" s="1096"/>
      <c r="BK533" s="1096"/>
      <c r="BL533" s="635"/>
      <c r="BM533" s="29"/>
      <c r="BN533" s="1096"/>
      <c r="BO533" s="1096"/>
      <c r="BP533" s="1096"/>
      <c r="BQ533" s="635"/>
      <c r="BR533" s="29"/>
      <c r="BS533" s="1096"/>
      <c r="BT533" s="1096"/>
      <c r="BU533" s="1096"/>
      <c r="BV533" s="635"/>
      <c r="BW533" s="29"/>
      <c r="BX533" s="1096"/>
      <c r="BY533" s="1096"/>
      <c r="BZ533" s="1096"/>
      <c r="CA533" s="635"/>
      <c r="CC533" s="1096"/>
      <c r="CD533" s="1096"/>
      <c r="CE533" s="1096"/>
      <c r="CF533" s="1096"/>
      <c r="CG533" s="1096"/>
      <c r="CH533" s="1096"/>
      <c r="CI533" s="1096"/>
      <c r="CJ533" s="1096"/>
      <c r="CK533" s="1096"/>
      <c r="CL533" s="1096"/>
      <c r="CM533" s="1096"/>
      <c r="CN533" s="1096"/>
      <c r="CO533" s="1096"/>
      <c r="CP533" s="14"/>
      <c r="CQ533" s="14"/>
      <c r="CR533" s="14"/>
      <c r="CS533" s="14"/>
      <c r="CT533" s="14"/>
      <c r="CU533" s="1961"/>
      <c r="DB533" s="1961"/>
      <c r="DC533" s="1961"/>
      <c r="DD533" s="1961"/>
      <c r="DE533" s="1961"/>
      <c r="DF533" s="1961"/>
      <c r="DG533" s="1961"/>
      <c r="DH533" s="1961"/>
      <c r="DI533" s="9"/>
    </row>
    <row r="534" spans="1:113" hidden="1" outlineLevel="1" x14ac:dyDescent="0.25">
      <c r="A534" s="29" t="s">
        <v>329</v>
      </c>
      <c r="B534" s="30"/>
      <c r="C534" s="29"/>
      <c r="D534" s="29"/>
      <c r="E534" s="29"/>
      <c r="F534" s="29"/>
      <c r="G534" s="29"/>
      <c r="H534" s="29"/>
      <c r="I534" s="29"/>
      <c r="J534" s="29"/>
      <c r="K534" s="29"/>
      <c r="L534" s="29"/>
      <c r="M534" s="29"/>
      <c r="N534" s="29"/>
      <c r="O534" s="29"/>
      <c r="P534" s="29"/>
      <c r="Q534" s="29"/>
      <c r="R534" s="29"/>
      <c r="S534" s="29"/>
      <c r="T534" s="143"/>
      <c r="U534" s="143"/>
      <c r="V534" s="143"/>
      <c r="W534" s="143"/>
      <c r="X534" s="143"/>
      <c r="Y534" s="143"/>
      <c r="Z534" s="143"/>
      <c r="AA534" s="143"/>
      <c r="AB534" s="143"/>
      <c r="AC534" s="143"/>
      <c r="AD534" s="143"/>
      <c r="AE534" s="143">
        <f>CHOOSE($A$3,AE535,AE536,AE537)</f>
        <v>0</v>
      </c>
      <c r="AF534" s="143">
        <f>CHOOSE($A$3,AF535,AF536,AF537)</f>
        <v>0</v>
      </c>
      <c r="AG534" s="143">
        <f>CHOOSE($A$3,AG535,AG536,AG537)</f>
        <v>0</v>
      </c>
      <c r="AH534" s="143">
        <f>SUM(AD534:AG534)</f>
        <v>0</v>
      </c>
      <c r="AI534" s="143">
        <f t="shared" ref="AI534:BG534" si="633">CHOOSE($A$3,AI535,AI536,AI537)</f>
        <v>0</v>
      </c>
      <c r="AJ534" s="143">
        <f t="shared" si="633"/>
        <v>0</v>
      </c>
      <c r="AK534" s="143">
        <f t="shared" si="633"/>
        <v>0</v>
      </c>
      <c r="AL534" s="143">
        <f t="shared" si="633"/>
        <v>0</v>
      </c>
      <c r="AM534" s="720">
        <f t="shared" si="633"/>
        <v>0</v>
      </c>
      <c r="AN534" s="143">
        <f t="shared" si="633"/>
        <v>0</v>
      </c>
      <c r="AO534" s="143">
        <f t="shared" si="633"/>
        <v>0</v>
      </c>
      <c r="AP534" s="143">
        <f t="shared" si="633"/>
        <v>0</v>
      </c>
      <c r="AQ534" s="143">
        <f t="shared" si="633"/>
        <v>0</v>
      </c>
      <c r="AR534" s="720">
        <f t="shared" si="633"/>
        <v>0</v>
      </c>
      <c r="AS534" s="143">
        <f t="shared" si="633"/>
        <v>0</v>
      </c>
      <c r="AT534" s="143">
        <f>CHOOSE($A$3,AT535,AT536,AT537)</f>
        <v>0</v>
      </c>
      <c r="AU534" s="143">
        <f t="shared" si="633"/>
        <v>0</v>
      </c>
      <c r="AV534" s="143">
        <f t="shared" si="633"/>
        <v>0</v>
      </c>
      <c r="AW534" s="720">
        <f t="shared" si="633"/>
        <v>0</v>
      </c>
      <c r="AX534" s="143">
        <f t="shared" si="633"/>
        <v>0</v>
      </c>
      <c r="AY534" s="143">
        <f t="shared" si="633"/>
        <v>0</v>
      </c>
      <c r="AZ534" s="143">
        <f t="shared" si="633"/>
        <v>0</v>
      </c>
      <c r="BA534" s="143">
        <f t="shared" si="633"/>
        <v>0</v>
      </c>
      <c r="BB534" s="1130">
        <f t="shared" si="633"/>
        <v>0</v>
      </c>
      <c r="BC534" s="143">
        <f t="shared" si="633"/>
        <v>0</v>
      </c>
      <c r="BD534" s="143">
        <f t="shared" si="633"/>
        <v>0</v>
      </c>
      <c r="BE534" s="143">
        <f t="shared" si="633"/>
        <v>0</v>
      </c>
      <c r="BF534" s="143">
        <f t="shared" si="633"/>
        <v>0</v>
      </c>
      <c r="BG534" s="1130">
        <f t="shared" si="633"/>
        <v>0</v>
      </c>
      <c r="BH534" s="143">
        <f t="shared" ref="BH534:CA534" si="634">CHOOSE($A$3,BH535,BH536,BH537)</f>
        <v>0</v>
      </c>
      <c r="BI534" s="143">
        <f t="shared" si="634"/>
        <v>0</v>
      </c>
      <c r="BJ534" s="143">
        <f t="shared" si="634"/>
        <v>0</v>
      </c>
      <c r="BK534" s="143">
        <f t="shared" si="634"/>
        <v>0</v>
      </c>
      <c r="BL534" s="1130">
        <f t="shared" si="634"/>
        <v>0</v>
      </c>
      <c r="BM534" s="143">
        <f t="shared" si="634"/>
        <v>0</v>
      </c>
      <c r="BN534" s="143">
        <f t="shared" si="634"/>
        <v>0</v>
      </c>
      <c r="BO534" s="143">
        <f t="shared" si="634"/>
        <v>0</v>
      </c>
      <c r="BP534" s="143">
        <f t="shared" si="634"/>
        <v>0</v>
      </c>
      <c r="BQ534" s="1130">
        <f t="shared" si="634"/>
        <v>0</v>
      </c>
      <c r="BR534" s="143">
        <f t="shared" si="634"/>
        <v>0</v>
      </c>
      <c r="BS534" s="143">
        <f t="shared" si="634"/>
        <v>0</v>
      </c>
      <c r="BT534" s="143">
        <f t="shared" si="634"/>
        <v>0</v>
      </c>
      <c r="BU534" s="143">
        <f t="shared" si="634"/>
        <v>0</v>
      </c>
      <c r="BV534" s="1130">
        <f t="shared" si="634"/>
        <v>0</v>
      </c>
      <c r="BW534" s="143">
        <f t="shared" si="634"/>
        <v>0</v>
      </c>
      <c r="BX534" s="143">
        <f t="shared" si="634"/>
        <v>0</v>
      </c>
      <c r="BY534" s="143">
        <f t="shared" si="634"/>
        <v>0</v>
      </c>
      <c r="BZ534" s="143">
        <f t="shared" si="634"/>
        <v>0</v>
      </c>
      <c r="CA534" s="1130">
        <f t="shared" si="634"/>
        <v>0</v>
      </c>
      <c r="CC534" s="14"/>
      <c r="CD534" s="14"/>
      <c r="CE534" s="143"/>
      <c r="CF534" s="143"/>
      <c r="CG534" s="143"/>
      <c r="CH534" s="143"/>
      <c r="CI534" s="143"/>
      <c r="CJ534" s="143"/>
      <c r="CK534" s="143"/>
      <c r="CL534" s="143"/>
      <c r="CM534" s="143"/>
      <c r="CN534" s="143"/>
      <c r="CO534" s="143"/>
      <c r="CP534" s="14"/>
      <c r="CQ534" s="14"/>
      <c r="CR534" s="14"/>
      <c r="CS534" s="14"/>
      <c r="CT534" s="14"/>
      <c r="CU534" s="1961"/>
      <c r="DB534" s="1961"/>
      <c r="DC534" s="1961"/>
      <c r="DD534" s="1961"/>
      <c r="DE534" s="1961"/>
      <c r="DF534" s="1961"/>
      <c r="DG534" s="1961"/>
      <c r="DH534" s="1961"/>
      <c r="DI534" s="147"/>
    </row>
    <row r="535" spans="1:113" hidden="1" outlineLevel="1" x14ac:dyDescent="0.25">
      <c r="A535" s="1131" t="s">
        <v>214</v>
      </c>
      <c r="B535" s="1132"/>
      <c r="C535" s="1133"/>
      <c r="D535" s="1133"/>
      <c r="E535" s="1133"/>
      <c r="F535" s="1133"/>
      <c r="G535" s="1133"/>
      <c r="H535" s="1133"/>
      <c r="I535" s="1133"/>
      <c r="J535" s="1133"/>
      <c r="K535" s="1133"/>
      <c r="L535" s="1133"/>
      <c r="M535" s="1133"/>
      <c r="N535" s="1133"/>
      <c r="O535" s="1133"/>
      <c r="P535" s="1133"/>
      <c r="Q535" s="1133"/>
      <c r="R535" s="1133"/>
      <c r="S535" s="1133"/>
      <c r="T535" s="1134"/>
      <c r="U535" s="1135"/>
      <c r="V535" s="1135"/>
      <c r="W535" s="1135"/>
      <c r="X535" s="1135"/>
      <c r="Y535" s="1135"/>
      <c r="Z535" s="1135"/>
      <c r="AA535" s="1135"/>
      <c r="AB535" s="1135"/>
      <c r="AC535" s="1135"/>
      <c r="AD535" s="1135"/>
      <c r="AE535" s="1135">
        <f t="shared" ref="AE535:AG536" si="635">AD535</f>
        <v>0</v>
      </c>
      <c r="AF535" s="1135">
        <f t="shared" si="635"/>
        <v>0</v>
      </c>
      <c r="AG535" s="1135">
        <f t="shared" si="635"/>
        <v>0</v>
      </c>
      <c r="AH535" s="1135">
        <f>SUM(AD535:AG535)</f>
        <v>0</v>
      </c>
      <c r="AI535" s="1135">
        <f t="shared" ref="AI535:AL536" si="636">AH535</f>
        <v>0</v>
      </c>
      <c r="AJ535" s="1135">
        <f t="shared" si="636"/>
        <v>0</v>
      </c>
      <c r="AK535" s="1135">
        <f t="shared" si="636"/>
        <v>0</v>
      </c>
      <c r="AL535" s="1135">
        <f t="shared" si="636"/>
        <v>0</v>
      </c>
      <c r="AM535" s="1136">
        <f>AH535</f>
        <v>0</v>
      </c>
      <c r="AN535" s="1135">
        <f t="shared" ref="AN535:AQ536" si="637">AM535</f>
        <v>0</v>
      </c>
      <c r="AO535" s="1135">
        <f t="shared" si="637"/>
        <v>0</v>
      </c>
      <c r="AP535" s="1135">
        <f t="shared" si="637"/>
        <v>0</v>
      </c>
      <c r="AQ535" s="1135">
        <f t="shared" si="637"/>
        <v>0</v>
      </c>
      <c r="AR535" s="1136">
        <f>AM535</f>
        <v>0</v>
      </c>
      <c r="AS535" s="1135">
        <f t="shared" ref="AS535:BA536" si="638">AR535</f>
        <v>0</v>
      </c>
      <c r="AT535" s="1135">
        <f t="shared" si="638"/>
        <v>0</v>
      </c>
      <c r="AU535" s="1135">
        <f t="shared" si="638"/>
        <v>0</v>
      </c>
      <c r="AV535" s="1135">
        <f t="shared" si="638"/>
        <v>0</v>
      </c>
      <c r="AW535" s="1136">
        <f>AR535</f>
        <v>0</v>
      </c>
      <c r="AX535" s="1135">
        <f t="shared" si="638"/>
        <v>0</v>
      </c>
      <c r="AY535" s="1135">
        <f t="shared" si="638"/>
        <v>0</v>
      </c>
      <c r="AZ535" s="1135">
        <f t="shared" si="638"/>
        <v>0</v>
      </c>
      <c r="BA535" s="1135">
        <f t="shared" si="638"/>
        <v>0</v>
      </c>
      <c r="BB535" s="1137">
        <f>AW535</f>
        <v>0</v>
      </c>
      <c r="BC535" s="1135">
        <f t="shared" ref="BC535:BF536" si="639">BB535</f>
        <v>0</v>
      </c>
      <c r="BD535" s="1135">
        <f t="shared" si="639"/>
        <v>0</v>
      </c>
      <c r="BE535" s="1135">
        <f t="shared" si="639"/>
        <v>0</v>
      </c>
      <c r="BF535" s="1135">
        <f t="shared" si="639"/>
        <v>0</v>
      </c>
      <c r="BG535" s="1137">
        <f>BB535</f>
        <v>0</v>
      </c>
      <c r="BH535" s="1135">
        <f t="shared" ref="BH535:BK536" si="640">BG535</f>
        <v>0</v>
      </c>
      <c r="BI535" s="1135">
        <f t="shared" si="640"/>
        <v>0</v>
      </c>
      <c r="BJ535" s="1135">
        <f t="shared" si="640"/>
        <v>0</v>
      </c>
      <c r="BK535" s="1135">
        <f t="shared" si="640"/>
        <v>0</v>
      </c>
      <c r="BL535" s="1137">
        <f>BG535</f>
        <v>0</v>
      </c>
      <c r="BM535" s="1135">
        <f t="shared" ref="BM535:BP536" si="641">BL535</f>
        <v>0</v>
      </c>
      <c r="BN535" s="1135">
        <f t="shared" si="641"/>
        <v>0</v>
      </c>
      <c r="BO535" s="1135">
        <f t="shared" si="641"/>
        <v>0</v>
      </c>
      <c r="BP535" s="1135">
        <f t="shared" si="641"/>
        <v>0</v>
      </c>
      <c r="BQ535" s="1137">
        <f>BL535</f>
        <v>0</v>
      </c>
      <c r="BR535" s="1135">
        <f t="shared" ref="BR535:BU536" si="642">BQ535</f>
        <v>0</v>
      </c>
      <c r="BS535" s="1135">
        <f t="shared" si="642"/>
        <v>0</v>
      </c>
      <c r="BT535" s="1135">
        <f t="shared" si="642"/>
        <v>0</v>
      </c>
      <c r="BU535" s="1135">
        <f t="shared" si="642"/>
        <v>0</v>
      </c>
      <c r="BV535" s="1137">
        <f>BQ535</f>
        <v>0</v>
      </c>
      <c r="BW535" s="1135">
        <f t="shared" ref="BW535:BZ536" si="643">BV535</f>
        <v>0</v>
      </c>
      <c r="BX535" s="1135">
        <f t="shared" si="643"/>
        <v>0</v>
      </c>
      <c r="BY535" s="1135">
        <f t="shared" si="643"/>
        <v>0</v>
      </c>
      <c r="BZ535" s="1135">
        <f t="shared" si="643"/>
        <v>0</v>
      </c>
      <c r="CA535" s="1137">
        <f>BV535</f>
        <v>0</v>
      </c>
      <c r="CC535" s="1133"/>
      <c r="CD535" s="1133"/>
      <c r="CE535" s="1135"/>
      <c r="CF535" s="1135"/>
      <c r="CG535" s="1135"/>
      <c r="CH535" s="1135"/>
      <c r="CI535" s="1135"/>
      <c r="CJ535" s="1135"/>
      <c r="CK535" s="1135"/>
      <c r="CL535" s="1135"/>
      <c r="CM535" s="1135"/>
      <c r="CN535" s="1135"/>
      <c r="CO535" s="1135"/>
      <c r="CP535" s="1133"/>
      <c r="CQ535" s="1133"/>
      <c r="CR535" s="1133"/>
      <c r="CS535" s="1133"/>
      <c r="CT535" s="1133"/>
      <c r="CU535" s="1133"/>
      <c r="DB535" s="1961"/>
      <c r="DC535" s="1961"/>
      <c r="DD535" s="1961"/>
      <c r="DE535" s="1961"/>
      <c r="DF535" s="1961"/>
      <c r="DG535" s="1961"/>
      <c r="DH535" s="1961"/>
      <c r="DI535" s="1961"/>
    </row>
    <row r="536" spans="1:113" hidden="1" outlineLevel="1" x14ac:dyDescent="0.25">
      <c r="A536" s="1131" t="s">
        <v>215</v>
      </c>
      <c r="B536" s="1132"/>
      <c r="C536" s="1133"/>
      <c r="D536" s="1133"/>
      <c r="E536" s="1133"/>
      <c r="F536" s="1133"/>
      <c r="G536" s="1133"/>
      <c r="H536" s="1133"/>
      <c r="I536" s="1133"/>
      <c r="J536" s="1133"/>
      <c r="K536" s="1133"/>
      <c r="L536" s="1133"/>
      <c r="M536" s="1133"/>
      <c r="N536" s="1133"/>
      <c r="O536" s="1133"/>
      <c r="P536" s="1133"/>
      <c r="Q536" s="1133"/>
      <c r="R536" s="1133"/>
      <c r="S536" s="1133"/>
      <c r="T536" s="1134"/>
      <c r="U536" s="1135"/>
      <c r="V536" s="1135"/>
      <c r="W536" s="1135"/>
      <c r="X536" s="1135"/>
      <c r="Y536" s="1135"/>
      <c r="Z536" s="1135"/>
      <c r="AA536" s="1135"/>
      <c r="AB536" s="1135"/>
      <c r="AC536" s="1135"/>
      <c r="AD536" s="1135"/>
      <c r="AE536" s="1135">
        <f t="shared" si="635"/>
        <v>0</v>
      </c>
      <c r="AF536" s="1135">
        <f t="shared" si="635"/>
        <v>0</v>
      </c>
      <c r="AG536" s="1135">
        <f t="shared" si="635"/>
        <v>0</v>
      </c>
      <c r="AH536" s="1135">
        <f>SUM(AD536:AG536)</f>
        <v>0</v>
      </c>
      <c r="AI536" s="1135">
        <f t="shared" si="636"/>
        <v>0</v>
      </c>
      <c r="AJ536" s="1135">
        <f t="shared" si="636"/>
        <v>0</v>
      </c>
      <c r="AK536" s="1135">
        <f t="shared" si="636"/>
        <v>0</v>
      </c>
      <c r="AL536" s="1135">
        <f t="shared" si="636"/>
        <v>0</v>
      </c>
      <c r="AM536" s="1136">
        <f>AH536</f>
        <v>0</v>
      </c>
      <c r="AN536" s="1135">
        <f t="shared" si="637"/>
        <v>0</v>
      </c>
      <c r="AO536" s="1135">
        <f t="shared" si="637"/>
        <v>0</v>
      </c>
      <c r="AP536" s="1135">
        <f t="shared" si="637"/>
        <v>0</v>
      </c>
      <c r="AQ536" s="1135">
        <f t="shared" si="637"/>
        <v>0</v>
      </c>
      <c r="AR536" s="1136">
        <f>AM536</f>
        <v>0</v>
      </c>
      <c r="AS536" s="1135">
        <f t="shared" si="638"/>
        <v>0</v>
      </c>
      <c r="AT536" s="1135">
        <f t="shared" si="638"/>
        <v>0</v>
      </c>
      <c r="AU536" s="1135">
        <f t="shared" si="638"/>
        <v>0</v>
      </c>
      <c r="AV536" s="1135">
        <f t="shared" si="638"/>
        <v>0</v>
      </c>
      <c r="AW536" s="1136">
        <f>AR536</f>
        <v>0</v>
      </c>
      <c r="AX536" s="1135">
        <f t="shared" si="638"/>
        <v>0</v>
      </c>
      <c r="AY536" s="1135">
        <f t="shared" si="638"/>
        <v>0</v>
      </c>
      <c r="AZ536" s="1135">
        <f t="shared" si="638"/>
        <v>0</v>
      </c>
      <c r="BA536" s="1135">
        <f t="shared" si="638"/>
        <v>0</v>
      </c>
      <c r="BB536" s="1137">
        <f>AW536</f>
        <v>0</v>
      </c>
      <c r="BC536" s="1135">
        <f t="shared" si="639"/>
        <v>0</v>
      </c>
      <c r="BD536" s="1135">
        <f t="shared" si="639"/>
        <v>0</v>
      </c>
      <c r="BE536" s="1135">
        <f t="shared" si="639"/>
        <v>0</v>
      </c>
      <c r="BF536" s="1135">
        <f t="shared" si="639"/>
        <v>0</v>
      </c>
      <c r="BG536" s="1137">
        <f>BB536</f>
        <v>0</v>
      </c>
      <c r="BH536" s="1135">
        <f t="shared" si="640"/>
        <v>0</v>
      </c>
      <c r="BI536" s="1135">
        <f t="shared" si="640"/>
        <v>0</v>
      </c>
      <c r="BJ536" s="1135">
        <f t="shared" si="640"/>
        <v>0</v>
      </c>
      <c r="BK536" s="1135">
        <f t="shared" si="640"/>
        <v>0</v>
      </c>
      <c r="BL536" s="1137">
        <f>BG536</f>
        <v>0</v>
      </c>
      <c r="BM536" s="1135">
        <f t="shared" si="641"/>
        <v>0</v>
      </c>
      <c r="BN536" s="1135">
        <f t="shared" si="641"/>
        <v>0</v>
      </c>
      <c r="BO536" s="1135">
        <f t="shared" si="641"/>
        <v>0</v>
      </c>
      <c r="BP536" s="1135">
        <f t="shared" si="641"/>
        <v>0</v>
      </c>
      <c r="BQ536" s="1137">
        <f>BL536</f>
        <v>0</v>
      </c>
      <c r="BR536" s="1135">
        <f t="shared" si="642"/>
        <v>0</v>
      </c>
      <c r="BS536" s="1135">
        <f t="shared" si="642"/>
        <v>0</v>
      </c>
      <c r="BT536" s="1135">
        <f t="shared" si="642"/>
        <v>0</v>
      </c>
      <c r="BU536" s="1135">
        <f t="shared" si="642"/>
        <v>0</v>
      </c>
      <c r="BV536" s="1137">
        <f>BQ536</f>
        <v>0</v>
      </c>
      <c r="BW536" s="1135">
        <f t="shared" si="643"/>
        <v>0</v>
      </c>
      <c r="BX536" s="1135">
        <f t="shared" si="643"/>
        <v>0</v>
      </c>
      <c r="BY536" s="1135">
        <f t="shared" si="643"/>
        <v>0</v>
      </c>
      <c r="BZ536" s="1135">
        <f t="shared" si="643"/>
        <v>0</v>
      </c>
      <c r="CA536" s="1137">
        <f>BV536</f>
        <v>0</v>
      </c>
      <c r="CC536" s="1133"/>
      <c r="CD536" s="1133"/>
      <c r="CE536" s="1135"/>
      <c r="CF536" s="1135"/>
      <c r="CG536" s="1135"/>
      <c r="CH536" s="1135"/>
      <c r="CI536" s="1135"/>
      <c r="CJ536" s="1135"/>
      <c r="CK536" s="1135"/>
      <c r="CL536" s="1135"/>
      <c r="CM536" s="1135"/>
      <c r="CN536" s="1135"/>
      <c r="CO536" s="1135"/>
      <c r="CP536" s="1133"/>
      <c r="CQ536" s="1133"/>
      <c r="CR536" s="1133"/>
      <c r="CS536" s="1133"/>
      <c r="CT536" s="1133"/>
      <c r="CU536" s="1133"/>
      <c r="DB536" s="1961"/>
      <c r="DC536" s="1961"/>
      <c r="DD536" s="1961"/>
      <c r="DE536" s="1961"/>
      <c r="DF536" s="1961"/>
      <c r="DG536" s="1961"/>
      <c r="DH536" s="1961"/>
      <c r="DI536" s="1961"/>
    </row>
    <row r="537" spans="1:113" hidden="1" outlineLevel="1" x14ac:dyDescent="0.25">
      <c r="A537" s="1131" t="s">
        <v>216</v>
      </c>
      <c r="B537" s="1132"/>
      <c r="C537" s="1133"/>
      <c r="D537" s="1133"/>
      <c r="E537" s="1133"/>
      <c r="F537" s="1133"/>
      <c r="G537" s="1133"/>
      <c r="H537" s="1133"/>
      <c r="I537" s="1133"/>
      <c r="J537" s="1133"/>
      <c r="K537" s="1133"/>
      <c r="L537" s="1133"/>
      <c r="M537" s="1133"/>
      <c r="N537" s="1133"/>
      <c r="O537" s="1133"/>
      <c r="P537" s="1133"/>
      <c r="Q537" s="1133"/>
      <c r="R537" s="1133"/>
      <c r="S537" s="1133"/>
      <c r="T537" s="1134"/>
      <c r="U537" s="1135"/>
      <c r="V537" s="1135"/>
      <c r="W537" s="1135"/>
      <c r="X537" s="1135"/>
      <c r="Y537" s="1138">
        <f>33*1.426/4</f>
        <v>11.7645</v>
      </c>
      <c r="Z537" s="1135"/>
      <c r="AA537" s="1135"/>
      <c r="AB537" s="1135"/>
      <c r="AC537" s="1135"/>
      <c r="AD537" s="1135"/>
      <c r="AE537" s="1135">
        <v>14.7</v>
      </c>
      <c r="AF537" s="1135">
        <v>14.7</v>
      </c>
      <c r="AG537" s="1135">
        <v>14.7</v>
      </c>
      <c r="AH537" s="1135">
        <f>SUM(AD537:AG537)</f>
        <v>44.099999999999994</v>
      </c>
      <c r="AI537" s="1135">
        <v>14.7</v>
      </c>
      <c r="AJ537" s="1135">
        <v>14.7</v>
      </c>
      <c r="AK537" s="1135">
        <v>14.7</v>
      </c>
      <c r="AL537" s="1135">
        <v>14.7</v>
      </c>
      <c r="AM537" s="1136">
        <f>AH537*1.25</f>
        <v>55.124999999999993</v>
      </c>
      <c r="AN537" s="1135">
        <v>14.7</v>
      </c>
      <c r="AO537" s="1135">
        <v>14.7</v>
      </c>
      <c r="AP537" s="1135">
        <v>14.7</v>
      </c>
      <c r="AQ537" s="1135">
        <v>14.7</v>
      </c>
      <c r="AR537" s="1136">
        <f>AM537*1.25</f>
        <v>68.906249999999986</v>
      </c>
      <c r="AS537" s="1135">
        <v>14.7</v>
      </c>
      <c r="AT537" s="1135">
        <v>14.7</v>
      </c>
      <c r="AU537" s="1135">
        <v>14.7</v>
      </c>
      <c r="AV537" s="1135">
        <v>14.7</v>
      </c>
      <c r="AW537" s="1136">
        <f>AR537*1.25</f>
        <v>86.132812499999986</v>
      </c>
      <c r="AX537" s="1135">
        <v>14.7</v>
      </c>
      <c r="AY537" s="1135">
        <v>14.7</v>
      </c>
      <c r="AZ537" s="1135">
        <v>14.7</v>
      </c>
      <c r="BA537" s="1135">
        <v>14.7</v>
      </c>
      <c r="BB537" s="1137">
        <f>AW537*1.25</f>
        <v>107.66601562499999</v>
      </c>
      <c r="BC537" s="1135">
        <v>14.7</v>
      </c>
      <c r="BD537" s="1135">
        <v>14.7</v>
      </c>
      <c r="BE537" s="1135">
        <v>14.7</v>
      </c>
      <c r="BF537" s="1135">
        <v>14.7</v>
      </c>
      <c r="BG537" s="1137">
        <f>BB537*1.25</f>
        <v>134.58251953124997</v>
      </c>
      <c r="BH537" s="1135">
        <v>14.7</v>
      </c>
      <c r="BI537" s="1135">
        <v>14.7</v>
      </c>
      <c r="BJ537" s="1135">
        <v>14.7</v>
      </c>
      <c r="BK537" s="1135">
        <v>14.7</v>
      </c>
      <c r="BL537" s="1137">
        <f>BG537*1.25</f>
        <v>168.22814941406247</v>
      </c>
      <c r="BM537" s="1135">
        <v>14.7</v>
      </c>
      <c r="BN537" s="1135">
        <v>14.7</v>
      </c>
      <c r="BO537" s="1135">
        <v>14.7</v>
      </c>
      <c r="BP537" s="1135">
        <v>14.7</v>
      </c>
      <c r="BQ537" s="1137">
        <f>BL537*1.25</f>
        <v>210.2851867675781</v>
      </c>
      <c r="BR537" s="1135">
        <v>14.7</v>
      </c>
      <c r="BS537" s="1135">
        <v>14.7</v>
      </c>
      <c r="BT537" s="1135">
        <v>14.7</v>
      </c>
      <c r="BU537" s="1135">
        <v>14.7</v>
      </c>
      <c r="BV537" s="1137">
        <f>BQ537*1.25</f>
        <v>262.8564834594726</v>
      </c>
      <c r="BW537" s="1135">
        <v>14.7</v>
      </c>
      <c r="BX537" s="1135">
        <v>14.7</v>
      </c>
      <c r="BY537" s="1135">
        <v>14.7</v>
      </c>
      <c r="BZ537" s="1135">
        <v>14.7</v>
      </c>
      <c r="CA537" s="1137">
        <f>BV537*1.25</f>
        <v>328.57060432434076</v>
      </c>
      <c r="CC537" s="1133"/>
      <c r="CD537" s="1133"/>
      <c r="CE537" s="1135"/>
      <c r="CF537" s="1135"/>
      <c r="CG537" s="1135"/>
      <c r="CH537" s="1135"/>
      <c r="CI537" s="1135"/>
      <c r="CJ537" s="1135"/>
      <c r="CK537" s="1135"/>
      <c r="CL537" s="1135"/>
      <c r="CM537" s="1135"/>
      <c r="CN537" s="1135"/>
      <c r="CO537" s="1135"/>
      <c r="CP537" s="1133"/>
      <c r="CQ537" s="1133"/>
      <c r="CR537" s="1133"/>
      <c r="CS537" s="1133"/>
      <c r="CT537" s="1133"/>
      <c r="CU537" s="1133"/>
      <c r="DB537" s="1961"/>
      <c r="DC537" s="1961"/>
      <c r="DD537" s="1961"/>
      <c r="DE537" s="1961"/>
      <c r="DF537" s="1961"/>
      <c r="DG537" s="1961"/>
      <c r="DH537" s="1961"/>
      <c r="DI537" s="1961"/>
    </row>
    <row r="538" spans="1:113" hidden="1" outlineLevel="1" x14ac:dyDescent="0.25">
      <c r="A538" s="29"/>
      <c r="B538" s="595"/>
      <c r="C538" s="402"/>
      <c r="D538" s="402"/>
      <c r="E538" s="402"/>
      <c r="F538" s="402"/>
      <c r="G538" s="402"/>
      <c r="H538" s="402"/>
      <c r="I538" s="402"/>
      <c r="J538" s="402"/>
      <c r="K538" s="402"/>
      <c r="L538" s="402"/>
      <c r="M538" s="402"/>
      <c r="N538" s="402"/>
      <c r="O538" s="402"/>
      <c r="P538" s="402"/>
      <c r="Q538" s="402"/>
      <c r="R538" s="402"/>
      <c r="S538" s="402"/>
      <c r="T538" s="402"/>
      <c r="U538" s="1139"/>
      <c r="V538" s="1139"/>
      <c r="W538" s="1139"/>
      <c r="X538" s="1139"/>
      <c r="Y538" s="1139"/>
      <c r="Z538" s="1139"/>
      <c r="AA538" s="1139"/>
      <c r="AB538" s="1139"/>
      <c r="AC538" s="1140"/>
      <c r="AD538" s="1139"/>
      <c r="AE538" s="1139"/>
      <c r="AF538" s="1139"/>
      <c r="AG538" s="1139"/>
      <c r="AH538" s="1140"/>
      <c r="AI538" s="1139"/>
      <c r="AJ538" s="1139"/>
      <c r="AK538" s="1139"/>
      <c r="AL538" s="1139"/>
      <c r="AM538" s="1141"/>
      <c r="AN538" s="1139"/>
      <c r="AO538" s="1139"/>
      <c r="AP538" s="1139"/>
      <c r="AQ538" s="1139"/>
      <c r="AR538" s="1141"/>
      <c r="AS538" s="1139"/>
      <c r="AT538" s="1139"/>
      <c r="AU538" s="1139"/>
      <c r="AV538" s="1139"/>
      <c r="AW538" s="497"/>
      <c r="AX538" s="1139"/>
      <c r="AY538" s="1139"/>
      <c r="AZ538" s="1139"/>
      <c r="BA538" s="1139"/>
      <c r="BB538" s="497"/>
      <c r="BC538" s="1139"/>
      <c r="BD538" s="1139"/>
      <c r="BE538" s="1139"/>
      <c r="BF538" s="1139"/>
      <c r="BG538" s="497"/>
      <c r="BH538" s="1139"/>
      <c r="BI538" s="1139"/>
      <c r="BJ538" s="1139"/>
      <c r="BK538" s="1139"/>
      <c r="BL538" s="497"/>
      <c r="BM538" s="1139"/>
      <c r="BN538" s="1139"/>
      <c r="BO538" s="1139"/>
      <c r="BP538" s="1139"/>
      <c r="BQ538" s="497"/>
      <c r="BR538" s="1139"/>
      <c r="BS538" s="1139"/>
      <c r="BT538" s="1139"/>
      <c r="BU538" s="1139"/>
      <c r="BV538" s="497"/>
      <c r="BW538" s="1139"/>
      <c r="BX538" s="1139"/>
      <c r="BY538" s="1139"/>
      <c r="BZ538" s="1139"/>
      <c r="CA538" s="497"/>
      <c r="CC538" s="29"/>
      <c r="CD538" s="29"/>
      <c r="CE538" s="1139"/>
      <c r="CF538" s="1139"/>
      <c r="CG538" s="1139"/>
      <c r="CH538" s="1139"/>
      <c r="CI538" s="1139"/>
      <c r="CJ538" s="1139"/>
      <c r="CK538" s="1139"/>
      <c r="CL538" s="1139"/>
      <c r="CM538" s="1139"/>
      <c r="CN538" s="1139"/>
      <c r="CO538" s="1139"/>
      <c r="CP538" s="14"/>
      <c r="CQ538" s="14"/>
      <c r="CR538" s="14"/>
      <c r="CS538" s="14"/>
      <c r="CT538" s="14"/>
      <c r="CU538" s="1961"/>
      <c r="DB538" s="1961"/>
      <c r="DC538" s="1961"/>
      <c r="DD538" s="1961"/>
      <c r="DE538" s="1961"/>
      <c r="DF538" s="1961"/>
      <c r="DG538" s="1961"/>
      <c r="DH538" s="1961"/>
      <c r="DI538" s="491"/>
    </row>
    <row r="539" spans="1:113" hidden="1" outlineLevel="1" x14ac:dyDescent="0.25">
      <c r="A539" s="383" t="s">
        <v>330</v>
      </c>
      <c r="B539" s="595"/>
      <c r="C539" s="402"/>
      <c r="D539" s="402"/>
      <c r="E539" s="402"/>
      <c r="F539" s="402"/>
      <c r="G539" s="402"/>
      <c r="H539" s="402"/>
      <c r="I539" s="402"/>
      <c r="J539" s="402"/>
      <c r="K539" s="402"/>
      <c r="L539" s="402"/>
      <c r="M539" s="402"/>
      <c r="N539" s="402"/>
      <c r="O539" s="402"/>
      <c r="P539" s="402"/>
      <c r="Q539" s="402"/>
      <c r="R539" s="402"/>
      <c r="S539" s="402"/>
      <c r="T539" s="143"/>
      <c r="U539" s="1142"/>
      <c r="V539" s="1142"/>
      <c r="W539" s="1142"/>
      <c r="X539" s="1142"/>
      <c r="Y539" s="1142"/>
      <c r="Z539" s="1143">
        <f>Z138</f>
        <v>-144.78100000000001</v>
      </c>
      <c r="AA539" s="1142"/>
      <c r="AB539" s="1142"/>
      <c r="AC539" s="1142"/>
      <c r="AD539" s="1142"/>
      <c r="AE539" s="1142">
        <f>CHOOSE($A$3,AE540,AE541,AE542)</f>
        <v>0</v>
      </c>
      <c r="AF539" s="1142">
        <f>CHOOSE($A$3,AF540,AF541,AF542)</f>
        <v>0</v>
      </c>
      <c r="AG539" s="1142">
        <f>CHOOSE($A$3,AG540,AG541,AG542)</f>
        <v>0</v>
      </c>
      <c r="AH539" s="1142">
        <f>SUM(AD539:AG539)</f>
        <v>0</v>
      </c>
      <c r="AI539" s="1142">
        <f t="shared" ref="AI539:BG539" si="644">CHOOSE($A$3,AI540,AI541,AI542)</f>
        <v>0</v>
      </c>
      <c r="AJ539" s="1142">
        <f t="shared" si="644"/>
        <v>0</v>
      </c>
      <c r="AK539" s="1142">
        <f t="shared" si="644"/>
        <v>0</v>
      </c>
      <c r="AL539" s="1142">
        <f t="shared" si="644"/>
        <v>0</v>
      </c>
      <c r="AM539" s="1144">
        <f t="shared" si="644"/>
        <v>0</v>
      </c>
      <c r="AN539" s="1142">
        <f t="shared" si="644"/>
        <v>0</v>
      </c>
      <c r="AO539" s="1142">
        <f t="shared" si="644"/>
        <v>0</v>
      </c>
      <c r="AP539" s="1142">
        <f t="shared" si="644"/>
        <v>0</v>
      </c>
      <c r="AQ539" s="1142">
        <f t="shared" si="644"/>
        <v>0</v>
      </c>
      <c r="AR539" s="1144">
        <f t="shared" si="644"/>
        <v>0</v>
      </c>
      <c r="AS539" s="1142">
        <f t="shared" si="644"/>
        <v>0</v>
      </c>
      <c r="AT539" s="1142">
        <f t="shared" si="644"/>
        <v>0</v>
      </c>
      <c r="AU539" s="1142">
        <f t="shared" si="644"/>
        <v>0</v>
      </c>
      <c r="AV539" s="1142">
        <f t="shared" si="644"/>
        <v>0</v>
      </c>
      <c r="AW539" s="720">
        <f t="shared" si="644"/>
        <v>0</v>
      </c>
      <c r="AX539" s="1142">
        <f t="shared" si="644"/>
        <v>0</v>
      </c>
      <c r="AY539" s="1142">
        <f t="shared" si="644"/>
        <v>0</v>
      </c>
      <c r="AZ539" s="1142">
        <f t="shared" si="644"/>
        <v>0</v>
      </c>
      <c r="BA539" s="1142">
        <f t="shared" si="644"/>
        <v>0</v>
      </c>
      <c r="BB539" s="1130">
        <f t="shared" si="644"/>
        <v>0</v>
      </c>
      <c r="BC539" s="1142">
        <f t="shared" si="644"/>
        <v>0</v>
      </c>
      <c r="BD539" s="1142">
        <f t="shared" si="644"/>
        <v>0</v>
      </c>
      <c r="BE539" s="1142">
        <f t="shared" si="644"/>
        <v>0</v>
      </c>
      <c r="BF539" s="1142">
        <f t="shared" si="644"/>
        <v>0</v>
      </c>
      <c r="BG539" s="1130">
        <f t="shared" si="644"/>
        <v>0</v>
      </c>
      <c r="BH539" s="1142">
        <f t="shared" ref="BH539:CA539" si="645">CHOOSE($A$3,BH540,BH541,BH542)</f>
        <v>0</v>
      </c>
      <c r="BI539" s="1142">
        <f t="shared" si="645"/>
        <v>0</v>
      </c>
      <c r="BJ539" s="1142">
        <f t="shared" si="645"/>
        <v>0</v>
      </c>
      <c r="BK539" s="1142">
        <f t="shared" si="645"/>
        <v>0</v>
      </c>
      <c r="BL539" s="1130">
        <f t="shared" si="645"/>
        <v>0</v>
      </c>
      <c r="BM539" s="1142">
        <f t="shared" si="645"/>
        <v>0</v>
      </c>
      <c r="BN539" s="1142">
        <f t="shared" si="645"/>
        <v>0</v>
      </c>
      <c r="BO539" s="1142">
        <f t="shared" si="645"/>
        <v>0</v>
      </c>
      <c r="BP539" s="1142">
        <f t="shared" si="645"/>
        <v>0</v>
      </c>
      <c r="BQ539" s="1130">
        <f t="shared" si="645"/>
        <v>0</v>
      </c>
      <c r="BR539" s="1142">
        <f t="shared" si="645"/>
        <v>0</v>
      </c>
      <c r="BS539" s="1142">
        <f t="shared" si="645"/>
        <v>0</v>
      </c>
      <c r="BT539" s="1142">
        <f t="shared" si="645"/>
        <v>0</v>
      </c>
      <c r="BU539" s="1142">
        <f t="shared" si="645"/>
        <v>0</v>
      </c>
      <c r="BV539" s="1130">
        <f t="shared" si="645"/>
        <v>0</v>
      </c>
      <c r="BW539" s="1142">
        <f t="shared" si="645"/>
        <v>0</v>
      </c>
      <c r="BX539" s="1142">
        <f t="shared" si="645"/>
        <v>0</v>
      </c>
      <c r="BY539" s="1142">
        <f t="shared" si="645"/>
        <v>0</v>
      </c>
      <c r="BZ539" s="1142">
        <f t="shared" si="645"/>
        <v>0</v>
      </c>
      <c r="CA539" s="1130">
        <f t="shared" si="645"/>
        <v>0</v>
      </c>
      <c r="CC539" s="14"/>
      <c r="CD539" s="14"/>
      <c r="CE539" s="1142"/>
      <c r="CF539" s="1142"/>
      <c r="CG539" s="1142"/>
      <c r="CH539" s="1142"/>
      <c r="CI539" s="1142"/>
      <c r="CJ539" s="1142"/>
      <c r="CK539" s="1142"/>
      <c r="CL539" s="1142"/>
      <c r="CM539" s="1142"/>
      <c r="CN539" s="1142"/>
      <c r="CO539" s="1142"/>
      <c r="CP539" s="14"/>
      <c r="CQ539" s="14"/>
      <c r="CR539" s="14"/>
      <c r="CS539" s="14"/>
      <c r="CT539" s="14"/>
      <c r="CU539" s="1961"/>
      <c r="DB539" s="1961"/>
      <c r="DC539" s="1961"/>
      <c r="DD539" s="1961"/>
      <c r="DE539" s="1961"/>
      <c r="DF539" s="1961"/>
      <c r="DG539" s="1961"/>
      <c r="DH539" s="1961"/>
      <c r="DI539" s="147"/>
    </row>
    <row r="540" spans="1:113" hidden="1" outlineLevel="1" x14ac:dyDescent="0.25">
      <c r="A540" s="1131" t="s">
        <v>214</v>
      </c>
      <c r="B540" s="1132"/>
      <c r="C540" s="1133"/>
      <c r="D540" s="1133"/>
      <c r="E540" s="1133"/>
      <c r="F540" s="1133"/>
      <c r="G540" s="1133"/>
      <c r="H540" s="1133"/>
      <c r="I540" s="1133"/>
      <c r="J540" s="1133"/>
      <c r="K540" s="1133"/>
      <c r="L540" s="1133"/>
      <c r="M540" s="1133"/>
      <c r="N540" s="1133"/>
      <c r="O540" s="1133"/>
      <c r="P540" s="1133"/>
      <c r="Q540" s="1133"/>
      <c r="R540" s="1133"/>
      <c r="S540" s="1133"/>
      <c r="T540" s="1134"/>
      <c r="U540" s="1135"/>
      <c r="V540" s="1135"/>
      <c r="W540" s="1135"/>
      <c r="X540" s="1135"/>
      <c r="Y540" s="1135"/>
      <c r="Z540" s="1138">
        <f>Z539</f>
        <v>-144.78100000000001</v>
      </c>
      <c r="AA540" s="1135"/>
      <c r="AB540" s="1135"/>
      <c r="AC540" s="1135"/>
      <c r="AD540" s="1135"/>
      <c r="AE540" s="1135">
        <f t="shared" ref="AE540:AG541" si="646">AD540</f>
        <v>0</v>
      </c>
      <c r="AF540" s="1135">
        <f t="shared" si="646"/>
        <v>0</v>
      </c>
      <c r="AG540" s="1135">
        <f t="shared" si="646"/>
        <v>0</v>
      </c>
      <c r="AH540" s="1135">
        <f>SUM(AD540:AG540)</f>
        <v>0</v>
      </c>
      <c r="AI540" s="1135">
        <f t="shared" ref="AI540:AL541" si="647">AH540</f>
        <v>0</v>
      </c>
      <c r="AJ540" s="1135">
        <f t="shared" si="647"/>
        <v>0</v>
      </c>
      <c r="AK540" s="1135">
        <f t="shared" si="647"/>
        <v>0</v>
      </c>
      <c r="AL540" s="1135">
        <f t="shared" si="647"/>
        <v>0</v>
      </c>
      <c r="AM540" s="1136">
        <f>AH540</f>
        <v>0</v>
      </c>
      <c r="AN540" s="1135">
        <f t="shared" ref="AN540:AQ541" si="648">AM540</f>
        <v>0</v>
      </c>
      <c r="AO540" s="1135">
        <f t="shared" si="648"/>
        <v>0</v>
      </c>
      <c r="AP540" s="1135">
        <f t="shared" si="648"/>
        <v>0</v>
      </c>
      <c r="AQ540" s="1135">
        <f t="shared" si="648"/>
        <v>0</v>
      </c>
      <c r="AR540" s="1136">
        <f>AM540</f>
        <v>0</v>
      </c>
      <c r="AS540" s="1135">
        <f t="shared" ref="AS540:BA541" si="649">AR540</f>
        <v>0</v>
      </c>
      <c r="AT540" s="1135">
        <f t="shared" si="649"/>
        <v>0</v>
      </c>
      <c r="AU540" s="1135">
        <f t="shared" si="649"/>
        <v>0</v>
      </c>
      <c r="AV540" s="1135">
        <f t="shared" si="649"/>
        <v>0</v>
      </c>
      <c r="AW540" s="1136">
        <f>AR540</f>
        <v>0</v>
      </c>
      <c r="AX540" s="1135">
        <f t="shared" si="649"/>
        <v>0</v>
      </c>
      <c r="AY540" s="1135">
        <f t="shared" si="649"/>
        <v>0</v>
      </c>
      <c r="AZ540" s="1135">
        <f t="shared" si="649"/>
        <v>0</v>
      </c>
      <c r="BA540" s="1135">
        <f t="shared" si="649"/>
        <v>0</v>
      </c>
      <c r="BB540" s="1137">
        <f>AW540</f>
        <v>0</v>
      </c>
      <c r="BC540" s="1135">
        <f t="shared" ref="BC540:BF541" si="650">BB540</f>
        <v>0</v>
      </c>
      <c r="BD540" s="1135">
        <f t="shared" si="650"/>
        <v>0</v>
      </c>
      <c r="BE540" s="1135">
        <f t="shared" si="650"/>
        <v>0</v>
      </c>
      <c r="BF540" s="1135">
        <f t="shared" si="650"/>
        <v>0</v>
      </c>
      <c r="BG540" s="1137">
        <f>BB540</f>
        <v>0</v>
      </c>
      <c r="BH540" s="1135">
        <f t="shared" ref="BH540:BK541" si="651">BG540</f>
        <v>0</v>
      </c>
      <c r="BI540" s="1135">
        <f t="shared" si="651"/>
        <v>0</v>
      </c>
      <c r="BJ540" s="1135">
        <f t="shared" si="651"/>
        <v>0</v>
      </c>
      <c r="BK540" s="1135">
        <f t="shared" si="651"/>
        <v>0</v>
      </c>
      <c r="BL540" s="1137">
        <f>BG540</f>
        <v>0</v>
      </c>
      <c r="BM540" s="1135">
        <f t="shared" ref="BM540:BP541" si="652">BL540</f>
        <v>0</v>
      </c>
      <c r="BN540" s="1135">
        <f t="shared" si="652"/>
        <v>0</v>
      </c>
      <c r="BO540" s="1135">
        <f t="shared" si="652"/>
        <v>0</v>
      </c>
      <c r="BP540" s="1135">
        <f t="shared" si="652"/>
        <v>0</v>
      </c>
      <c r="BQ540" s="1137">
        <f>BL540</f>
        <v>0</v>
      </c>
      <c r="BR540" s="1135">
        <f t="shared" ref="BR540:BU541" si="653">BQ540</f>
        <v>0</v>
      </c>
      <c r="BS540" s="1135">
        <f t="shared" si="653"/>
        <v>0</v>
      </c>
      <c r="BT540" s="1135">
        <f t="shared" si="653"/>
        <v>0</v>
      </c>
      <c r="BU540" s="1135">
        <f t="shared" si="653"/>
        <v>0</v>
      </c>
      <c r="BV540" s="1137">
        <f>BQ540</f>
        <v>0</v>
      </c>
      <c r="BW540" s="1135">
        <f t="shared" ref="BW540:BZ541" si="654">BV540</f>
        <v>0</v>
      </c>
      <c r="BX540" s="1135">
        <f t="shared" si="654"/>
        <v>0</v>
      </c>
      <c r="BY540" s="1135">
        <f t="shared" si="654"/>
        <v>0</v>
      </c>
      <c r="BZ540" s="1135">
        <f t="shared" si="654"/>
        <v>0</v>
      </c>
      <c r="CA540" s="1137">
        <f>BV540</f>
        <v>0</v>
      </c>
      <c r="CC540" s="1133"/>
      <c r="CD540" s="1133"/>
      <c r="CE540" s="1135"/>
      <c r="CF540" s="1135"/>
      <c r="CG540" s="1135"/>
      <c r="CH540" s="1135"/>
      <c r="CI540" s="1135"/>
      <c r="CJ540" s="1135"/>
      <c r="CK540" s="1135"/>
      <c r="CL540" s="1135"/>
      <c r="CM540" s="1135"/>
      <c r="CN540" s="1135"/>
      <c r="CO540" s="1135"/>
      <c r="CP540" s="1133"/>
      <c r="CQ540" s="1133"/>
      <c r="CR540" s="1133"/>
      <c r="CS540" s="1133"/>
      <c r="CT540" s="1133"/>
      <c r="CU540" s="1133"/>
      <c r="DB540" s="1961"/>
      <c r="DC540" s="1961"/>
      <c r="DD540" s="1961"/>
      <c r="DE540" s="1961"/>
      <c r="DF540" s="1961"/>
      <c r="DG540" s="1961"/>
      <c r="DH540" s="1961"/>
      <c r="DI540" s="1961"/>
    </row>
    <row r="541" spans="1:113" hidden="1" outlineLevel="1" x14ac:dyDescent="0.25">
      <c r="A541" s="1131" t="s">
        <v>215</v>
      </c>
      <c r="B541" s="1132"/>
      <c r="C541" s="1133"/>
      <c r="D541" s="1133"/>
      <c r="E541" s="1133"/>
      <c r="F541" s="1133"/>
      <c r="G541" s="1133"/>
      <c r="H541" s="1133"/>
      <c r="I541" s="1133"/>
      <c r="J541" s="1133"/>
      <c r="K541" s="1133"/>
      <c r="L541" s="1133"/>
      <c r="M541" s="1133"/>
      <c r="N541" s="1133"/>
      <c r="O541" s="1133"/>
      <c r="P541" s="1133"/>
      <c r="Q541" s="1133"/>
      <c r="R541" s="1133"/>
      <c r="S541" s="1133"/>
      <c r="T541" s="1134"/>
      <c r="U541" s="1135"/>
      <c r="V541" s="1135"/>
      <c r="W541" s="1135"/>
      <c r="X541" s="1135"/>
      <c r="Y541" s="1135"/>
      <c r="Z541" s="1138">
        <f>Z539</f>
        <v>-144.78100000000001</v>
      </c>
      <c r="AA541" s="1135"/>
      <c r="AB541" s="1135"/>
      <c r="AC541" s="1135"/>
      <c r="AD541" s="1135"/>
      <c r="AE541" s="1135">
        <f t="shared" si="646"/>
        <v>0</v>
      </c>
      <c r="AF541" s="1135">
        <f t="shared" si="646"/>
        <v>0</v>
      </c>
      <c r="AG541" s="1135">
        <f t="shared" si="646"/>
        <v>0</v>
      </c>
      <c r="AH541" s="1135">
        <f>SUM(AD541:AG541)</f>
        <v>0</v>
      </c>
      <c r="AI541" s="1135">
        <f t="shared" si="647"/>
        <v>0</v>
      </c>
      <c r="AJ541" s="1135">
        <f t="shared" si="647"/>
        <v>0</v>
      </c>
      <c r="AK541" s="1135">
        <f t="shared" si="647"/>
        <v>0</v>
      </c>
      <c r="AL541" s="1135">
        <f t="shared" si="647"/>
        <v>0</v>
      </c>
      <c r="AM541" s="1136">
        <f>AH541</f>
        <v>0</v>
      </c>
      <c r="AN541" s="1135">
        <f t="shared" si="648"/>
        <v>0</v>
      </c>
      <c r="AO541" s="1135">
        <f t="shared" si="648"/>
        <v>0</v>
      </c>
      <c r="AP541" s="1135">
        <f t="shared" si="648"/>
        <v>0</v>
      </c>
      <c r="AQ541" s="1135">
        <f t="shared" si="648"/>
        <v>0</v>
      </c>
      <c r="AR541" s="1136">
        <f>AM541</f>
        <v>0</v>
      </c>
      <c r="AS541" s="1135">
        <f t="shared" si="649"/>
        <v>0</v>
      </c>
      <c r="AT541" s="1135">
        <f t="shared" si="649"/>
        <v>0</v>
      </c>
      <c r="AU541" s="1135">
        <f t="shared" si="649"/>
        <v>0</v>
      </c>
      <c r="AV541" s="1135">
        <f t="shared" si="649"/>
        <v>0</v>
      </c>
      <c r="AW541" s="1136">
        <f>AR541</f>
        <v>0</v>
      </c>
      <c r="AX541" s="1135">
        <f t="shared" si="649"/>
        <v>0</v>
      </c>
      <c r="AY541" s="1135">
        <f t="shared" si="649"/>
        <v>0</v>
      </c>
      <c r="AZ541" s="1135">
        <f t="shared" si="649"/>
        <v>0</v>
      </c>
      <c r="BA541" s="1135">
        <f t="shared" si="649"/>
        <v>0</v>
      </c>
      <c r="BB541" s="1137">
        <f>AW541</f>
        <v>0</v>
      </c>
      <c r="BC541" s="1135">
        <f t="shared" si="650"/>
        <v>0</v>
      </c>
      <c r="BD541" s="1135">
        <f t="shared" si="650"/>
        <v>0</v>
      </c>
      <c r="BE541" s="1135">
        <f t="shared" si="650"/>
        <v>0</v>
      </c>
      <c r="BF541" s="1135">
        <f t="shared" si="650"/>
        <v>0</v>
      </c>
      <c r="BG541" s="1137">
        <f>BB541</f>
        <v>0</v>
      </c>
      <c r="BH541" s="1135">
        <f t="shared" si="651"/>
        <v>0</v>
      </c>
      <c r="BI541" s="1135">
        <f t="shared" si="651"/>
        <v>0</v>
      </c>
      <c r="BJ541" s="1135">
        <f t="shared" si="651"/>
        <v>0</v>
      </c>
      <c r="BK541" s="1135">
        <f t="shared" si="651"/>
        <v>0</v>
      </c>
      <c r="BL541" s="1137">
        <f>BG541</f>
        <v>0</v>
      </c>
      <c r="BM541" s="1135">
        <f t="shared" si="652"/>
        <v>0</v>
      </c>
      <c r="BN541" s="1135">
        <f t="shared" si="652"/>
        <v>0</v>
      </c>
      <c r="BO541" s="1135">
        <f t="shared" si="652"/>
        <v>0</v>
      </c>
      <c r="BP541" s="1135">
        <f t="shared" si="652"/>
        <v>0</v>
      </c>
      <c r="BQ541" s="1137">
        <f>BL541</f>
        <v>0</v>
      </c>
      <c r="BR541" s="1135">
        <f t="shared" si="653"/>
        <v>0</v>
      </c>
      <c r="BS541" s="1135">
        <f t="shared" si="653"/>
        <v>0</v>
      </c>
      <c r="BT541" s="1135">
        <f t="shared" si="653"/>
        <v>0</v>
      </c>
      <c r="BU541" s="1135">
        <f t="shared" si="653"/>
        <v>0</v>
      </c>
      <c r="BV541" s="1137">
        <f>BQ541</f>
        <v>0</v>
      </c>
      <c r="BW541" s="1135">
        <f t="shared" si="654"/>
        <v>0</v>
      </c>
      <c r="BX541" s="1135">
        <f t="shared" si="654"/>
        <v>0</v>
      </c>
      <c r="BY541" s="1135">
        <f t="shared" si="654"/>
        <v>0</v>
      </c>
      <c r="BZ541" s="1135">
        <f t="shared" si="654"/>
        <v>0</v>
      </c>
      <c r="CA541" s="1137">
        <f>BV541</f>
        <v>0</v>
      </c>
      <c r="CC541" s="1133"/>
      <c r="CD541" s="1133"/>
      <c r="CE541" s="1135"/>
      <c r="CF541" s="1135"/>
      <c r="CG541" s="1135"/>
      <c r="CH541" s="1135"/>
      <c r="CI541" s="1135"/>
      <c r="CJ541" s="1135"/>
      <c r="CK541" s="1135"/>
      <c r="CL541" s="1135"/>
      <c r="CM541" s="1135"/>
      <c r="CN541" s="1135"/>
      <c r="CO541" s="1135"/>
      <c r="CP541" s="1133"/>
      <c r="CQ541" s="1133"/>
      <c r="CR541" s="1133"/>
      <c r="CS541" s="1133"/>
      <c r="CT541" s="1133"/>
      <c r="CU541" s="1133"/>
      <c r="DB541" s="1961"/>
      <c r="DC541" s="1961"/>
      <c r="DD541" s="1961"/>
      <c r="DE541" s="1961"/>
      <c r="DF541" s="1961"/>
      <c r="DG541" s="1961"/>
      <c r="DH541" s="1961"/>
      <c r="DI541" s="1961"/>
    </row>
    <row r="542" spans="1:113" hidden="1" outlineLevel="1" x14ac:dyDescent="0.25">
      <c r="A542" s="1131" t="s">
        <v>216</v>
      </c>
      <c r="B542" s="1132"/>
      <c r="C542" s="1133"/>
      <c r="D542" s="1133"/>
      <c r="E542" s="1133"/>
      <c r="F542" s="1133"/>
      <c r="G542" s="1133"/>
      <c r="H542" s="1133"/>
      <c r="I542" s="1133"/>
      <c r="J542" s="1133"/>
      <c r="K542" s="1133"/>
      <c r="L542" s="1133"/>
      <c r="M542" s="1133"/>
      <c r="N542" s="1133"/>
      <c r="O542" s="1133"/>
      <c r="P542" s="1133"/>
      <c r="Q542" s="1133"/>
      <c r="R542" s="1133"/>
      <c r="S542" s="1133"/>
      <c r="T542" s="1134"/>
      <c r="U542" s="1135"/>
      <c r="V542" s="1135"/>
      <c r="W542" s="1135"/>
      <c r="X542" s="1135"/>
      <c r="Y542" s="1135"/>
      <c r="Z542" s="1138">
        <f>Z539</f>
        <v>-144.78100000000001</v>
      </c>
      <c r="AA542" s="1135"/>
      <c r="AB542" s="1135"/>
      <c r="AC542" s="1135"/>
      <c r="AD542" s="1135"/>
      <c r="AE542" s="1135">
        <f>-125/4</f>
        <v>-31.25</v>
      </c>
      <c r="AF542" s="1135">
        <f>-125/4</f>
        <v>-31.25</v>
      </c>
      <c r="AG542" s="1135">
        <f>-125/4</f>
        <v>-31.25</v>
      </c>
      <c r="AH542" s="1135">
        <f>SUM(AD542:AG542)</f>
        <v>-93.75</v>
      </c>
      <c r="AI542" s="1135">
        <f>-125/4</f>
        <v>-31.25</v>
      </c>
      <c r="AJ542" s="1135">
        <f>-125/4</f>
        <v>-31.25</v>
      </c>
      <c r="AK542" s="1135">
        <f>-125/4</f>
        <v>-31.25</v>
      </c>
      <c r="AL542" s="1135">
        <f>-125/4</f>
        <v>-31.25</v>
      </c>
      <c r="AM542" s="1136">
        <f>AH542</f>
        <v>-93.75</v>
      </c>
      <c r="AN542" s="1135">
        <f>-125/4</f>
        <v>-31.25</v>
      </c>
      <c r="AO542" s="1135">
        <f>-125/4</f>
        <v>-31.25</v>
      </c>
      <c r="AP542" s="1135">
        <f>-125/4</f>
        <v>-31.25</v>
      </c>
      <c r="AQ542" s="1135">
        <f>-125/4</f>
        <v>-31.25</v>
      </c>
      <c r="AR542" s="1136">
        <f>AM542</f>
        <v>-93.75</v>
      </c>
      <c r="AS542" s="1135">
        <f>-125/4</f>
        <v>-31.25</v>
      </c>
      <c r="AT542" s="1135">
        <f>-125/4</f>
        <v>-31.25</v>
      </c>
      <c r="AU542" s="1135">
        <f>-125/4</f>
        <v>-31.25</v>
      </c>
      <c r="AV542" s="1135">
        <f>-125/4</f>
        <v>-31.25</v>
      </c>
      <c r="AW542" s="1145">
        <f>AR542</f>
        <v>-93.75</v>
      </c>
      <c r="AX542" s="1135">
        <f>-125/4</f>
        <v>-31.25</v>
      </c>
      <c r="AY542" s="1135">
        <f>-125/4</f>
        <v>-31.25</v>
      </c>
      <c r="AZ542" s="1135">
        <f>-125/4</f>
        <v>-31.25</v>
      </c>
      <c r="BA542" s="1135">
        <f>-125/4</f>
        <v>-31.25</v>
      </c>
      <c r="BB542" s="1146">
        <f>AW542</f>
        <v>-93.75</v>
      </c>
      <c r="BC542" s="1135">
        <f>-125/4</f>
        <v>-31.25</v>
      </c>
      <c r="BD542" s="1135">
        <f>-125/4</f>
        <v>-31.25</v>
      </c>
      <c r="BE542" s="1135">
        <f>-125/4</f>
        <v>-31.25</v>
      </c>
      <c r="BF542" s="1135">
        <f>-125/4</f>
        <v>-31.25</v>
      </c>
      <c r="BG542" s="1146">
        <f>BB542</f>
        <v>-93.75</v>
      </c>
      <c r="BH542" s="1135">
        <f t="shared" ref="BH542:BZ542" si="655">-125/4</f>
        <v>-31.25</v>
      </c>
      <c r="BI542" s="1135">
        <f t="shared" si="655"/>
        <v>-31.25</v>
      </c>
      <c r="BJ542" s="1135">
        <f t="shared" si="655"/>
        <v>-31.25</v>
      </c>
      <c r="BK542" s="1135">
        <f t="shared" si="655"/>
        <v>-31.25</v>
      </c>
      <c r="BL542" s="1146">
        <f>BG542</f>
        <v>-93.75</v>
      </c>
      <c r="BM542" s="1135">
        <f t="shared" si="655"/>
        <v>-31.25</v>
      </c>
      <c r="BN542" s="1135">
        <f t="shared" si="655"/>
        <v>-31.25</v>
      </c>
      <c r="BO542" s="1135">
        <f t="shared" si="655"/>
        <v>-31.25</v>
      </c>
      <c r="BP542" s="1135">
        <f t="shared" si="655"/>
        <v>-31.25</v>
      </c>
      <c r="BQ542" s="1146">
        <f>BL542</f>
        <v>-93.75</v>
      </c>
      <c r="BR542" s="1135">
        <f t="shared" si="655"/>
        <v>-31.25</v>
      </c>
      <c r="BS542" s="1135">
        <f t="shared" si="655"/>
        <v>-31.25</v>
      </c>
      <c r="BT542" s="1135">
        <f t="shared" si="655"/>
        <v>-31.25</v>
      </c>
      <c r="BU542" s="1135">
        <f t="shared" si="655"/>
        <v>-31.25</v>
      </c>
      <c r="BV542" s="1146">
        <f>BQ542</f>
        <v>-93.75</v>
      </c>
      <c r="BW542" s="1135">
        <f t="shared" si="655"/>
        <v>-31.25</v>
      </c>
      <c r="BX542" s="1135">
        <f t="shared" si="655"/>
        <v>-31.25</v>
      </c>
      <c r="BY542" s="1135">
        <f t="shared" si="655"/>
        <v>-31.25</v>
      </c>
      <c r="BZ542" s="1135">
        <f t="shared" si="655"/>
        <v>-31.25</v>
      </c>
      <c r="CA542" s="1146">
        <f>BV542</f>
        <v>-93.75</v>
      </c>
      <c r="CC542" s="1133"/>
      <c r="CD542" s="1133"/>
      <c r="CE542" s="1135"/>
      <c r="CF542" s="1135"/>
      <c r="CG542" s="1135"/>
      <c r="CH542" s="1135"/>
      <c r="CI542" s="1135"/>
      <c r="CJ542" s="1135"/>
      <c r="CK542" s="1135"/>
      <c r="CL542" s="1135"/>
      <c r="CM542" s="1135"/>
      <c r="CN542" s="1135"/>
      <c r="CO542" s="1135"/>
      <c r="CP542" s="1133"/>
      <c r="CQ542" s="1133"/>
      <c r="CR542" s="1133"/>
      <c r="CS542" s="1133"/>
      <c r="CT542" s="1133"/>
      <c r="CU542" s="1133"/>
      <c r="DB542" s="1961"/>
      <c r="DC542" s="1961"/>
      <c r="DD542" s="1961"/>
      <c r="DE542" s="1961"/>
      <c r="DF542" s="1961"/>
      <c r="DG542" s="1961"/>
      <c r="DH542" s="1961"/>
      <c r="DI542" s="1961"/>
    </row>
    <row r="543" spans="1:113" collapsed="1" x14ac:dyDescent="0.25">
      <c r="A543" s="383"/>
      <c r="B543" s="595"/>
      <c r="C543" s="402"/>
      <c r="D543" s="402"/>
      <c r="E543" s="402"/>
      <c r="F543" s="402"/>
      <c r="G543" s="402"/>
      <c r="H543" s="402"/>
      <c r="I543" s="402"/>
      <c r="J543" s="402"/>
      <c r="K543" s="402"/>
      <c r="L543" s="402"/>
      <c r="M543" s="402"/>
      <c r="N543" s="402"/>
      <c r="O543" s="402"/>
      <c r="P543" s="402"/>
      <c r="Q543" s="402"/>
      <c r="R543" s="402"/>
      <c r="S543" s="402"/>
      <c r="T543" s="402"/>
      <c r="U543" s="402"/>
      <c r="V543" s="402"/>
      <c r="W543" s="402"/>
      <c r="X543" s="402"/>
      <c r="Y543" s="402"/>
      <c r="Z543" s="402"/>
      <c r="AA543" s="402"/>
      <c r="AB543" s="402"/>
      <c r="AC543" s="402"/>
      <c r="AD543" s="402"/>
      <c r="AE543" s="402"/>
      <c r="AF543" s="402"/>
      <c r="AG543" s="402"/>
      <c r="AH543" s="402"/>
      <c r="AI543" s="402"/>
      <c r="AJ543" s="402"/>
      <c r="AK543" s="402"/>
      <c r="AL543" s="402"/>
      <c r="AM543" s="410"/>
      <c r="AN543" s="402"/>
      <c r="AO543" s="402"/>
      <c r="AP543" s="402"/>
      <c r="AQ543" s="402"/>
      <c r="AR543" s="410"/>
      <c r="AS543" s="402"/>
      <c r="AT543" s="402"/>
      <c r="AU543" s="402"/>
      <c r="AV543" s="402"/>
      <c r="AW543" s="497"/>
      <c r="AX543" s="402"/>
      <c r="AY543" s="402"/>
      <c r="AZ543" s="402"/>
      <c r="BA543" s="402"/>
      <c r="BB543" s="497"/>
      <c r="BC543" s="402"/>
      <c r="BD543" s="402"/>
      <c r="BE543" s="402"/>
      <c r="BF543" s="402"/>
      <c r="BG543" s="497"/>
      <c r="BH543" s="402"/>
      <c r="BI543" s="402"/>
      <c r="BJ543" s="402"/>
      <c r="BK543" s="402"/>
      <c r="BL543" s="497"/>
      <c r="BM543" s="402"/>
      <c r="BN543" s="402"/>
      <c r="BO543" s="402"/>
      <c r="BP543" s="402"/>
      <c r="BQ543" s="497"/>
      <c r="BR543" s="402"/>
      <c r="BS543" s="402"/>
      <c r="BT543" s="402"/>
      <c r="BU543" s="402"/>
      <c r="BV543" s="497"/>
      <c r="BW543" s="402"/>
      <c r="BX543" s="402"/>
      <c r="BY543" s="402"/>
      <c r="BZ543" s="402"/>
      <c r="CA543" s="497"/>
      <c r="CC543" s="29"/>
      <c r="CD543" s="29"/>
      <c r="CE543" s="402"/>
      <c r="CF543" s="402"/>
      <c r="CG543" s="402"/>
      <c r="CH543" s="402"/>
      <c r="CI543" s="402"/>
      <c r="CJ543" s="402"/>
      <c r="CK543" s="402"/>
      <c r="CL543" s="402"/>
      <c r="CM543" s="402"/>
      <c r="CN543" s="402"/>
      <c r="CO543" s="402"/>
      <c r="CP543" s="14"/>
      <c r="CQ543" s="14"/>
      <c r="CR543" s="14"/>
      <c r="CS543" s="14"/>
      <c r="CT543" s="14"/>
      <c r="CU543" s="1961"/>
      <c r="DB543" s="1961"/>
      <c r="DC543" s="1961"/>
      <c r="DD543" s="1961"/>
      <c r="DE543" s="1961"/>
      <c r="DF543" s="1961"/>
      <c r="DG543" s="1961"/>
      <c r="DH543" s="1961"/>
      <c r="DI543" s="491"/>
    </row>
    <row r="544" spans="1:113" ht="12" customHeight="1" x14ac:dyDescent="0.25">
      <c r="A544" s="29" t="s">
        <v>331</v>
      </c>
      <c r="B544" s="30"/>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480">
        <f t="shared" ref="AC544:BB544" si="656">+AC71</f>
        <v>1.7516108824382424</v>
      </c>
      <c r="AD544" s="480">
        <f t="shared" si="656"/>
        <v>0.46500421766292105</v>
      </c>
      <c r="AE544" s="480">
        <f t="shared" si="656"/>
        <v>0.468391903079248</v>
      </c>
      <c r="AF544" s="480">
        <f t="shared" si="656"/>
        <v>0.53697255285974477</v>
      </c>
      <c r="AG544" s="480">
        <f t="shared" si="656"/>
        <v>0.63202443280977316</v>
      </c>
      <c r="AH544" s="480">
        <f t="shared" si="656"/>
        <v>2.1025706000619282</v>
      </c>
      <c r="AI544" s="480">
        <f t="shared" si="656"/>
        <v>0.51991703364888531</v>
      </c>
      <c r="AJ544" s="480">
        <f t="shared" si="656"/>
        <v>0.53446533126831264</v>
      </c>
      <c r="AK544" s="480">
        <f t="shared" si="656"/>
        <v>0.60616462464399656</v>
      </c>
      <c r="AL544" s="480">
        <f t="shared" si="656"/>
        <v>0.55496494848955691</v>
      </c>
      <c r="AM544" s="1147">
        <f t="shared" si="656"/>
        <v>2.2215421811523393</v>
      </c>
      <c r="AN544" s="480">
        <f t="shared" si="656"/>
        <v>0.54546642295796377</v>
      </c>
      <c r="AO544" s="480">
        <f t="shared" si="656"/>
        <v>0.57016416471091735</v>
      </c>
      <c r="AP544" s="480">
        <f t="shared" si="656"/>
        <v>0.6372312709877811</v>
      </c>
      <c r="AQ544" s="480">
        <f t="shared" si="656"/>
        <v>0.64725668294395478</v>
      </c>
      <c r="AR544" s="1147">
        <f t="shared" si="656"/>
        <v>2.4001185416006168</v>
      </c>
      <c r="AS544" s="480">
        <f t="shared" si="656"/>
        <v>0.66587931810990297</v>
      </c>
      <c r="AT544" s="480">
        <f t="shared" si="656"/>
        <v>0.76785604534027518</v>
      </c>
      <c r="AU544" s="480">
        <f t="shared" si="656"/>
        <v>0.84541946723687245</v>
      </c>
      <c r="AV544" s="480">
        <f t="shared" si="656"/>
        <v>0.80281990869595421</v>
      </c>
      <c r="AW544" s="1147">
        <f t="shared" si="656"/>
        <v>3.0819747393830053</v>
      </c>
      <c r="AX544" s="480">
        <f t="shared" si="656"/>
        <v>0.74286297376093302</v>
      </c>
      <c r="AY544" s="480">
        <f t="shared" si="656"/>
        <v>0.72571261682242905</v>
      </c>
      <c r="AZ544" s="480">
        <f t="shared" si="656"/>
        <v>0.84032507906644238</v>
      </c>
      <c r="BA544" s="480">
        <f t="shared" si="656"/>
        <v>0.79553466509988258</v>
      </c>
      <c r="BB544" s="1148">
        <f t="shared" si="656"/>
        <v>3.1044353347496871</v>
      </c>
      <c r="BC544" s="480">
        <f t="shared" ref="BC544:CA544" si="657">+BC71</f>
        <v>0.73640532012115212</v>
      </c>
      <c r="BD544" s="480">
        <f t="shared" si="657"/>
        <v>0.82352941176470618</v>
      </c>
      <c r="BE544" s="480">
        <f t="shared" si="657"/>
        <v>0.84009568683919145</v>
      </c>
      <c r="BF544" s="480">
        <f t="shared" si="657"/>
        <v>1.3390105161394845</v>
      </c>
      <c r="BG544" s="1148">
        <f t="shared" si="657"/>
        <v>3.7390409348645344</v>
      </c>
      <c r="BH544" s="480">
        <f t="shared" si="657"/>
        <v>0.91623730590219798</v>
      </c>
      <c r="BI544" s="480">
        <f t="shared" si="657"/>
        <v>0.96654163241992386</v>
      </c>
      <c r="BJ544" s="480">
        <f t="shared" si="657"/>
        <v>1.0558488650623612</v>
      </c>
      <c r="BK544" s="480">
        <f t="shared" si="657"/>
        <v>1.0624578088444958</v>
      </c>
      <c r="BL544" s="1148">
        <f t="shared" si="657"/>
        <v>4.0010856122289784</v>
      </c>
      <c r="BM544" s="480">
        <f t="shared" si="657"/>
        <v>1.0229001042872494</v>
      </c>
      <c r="BN544" s="480">
        <f t="shared" si="657"/>
        <v>1.0799485696302742</v>
      </c>
      <c r="BO544" s="480">
        <f t="shared" si="657"/>
        <v>1.1792385004617465</v>
      </c>
      <c r="BP544" s="480">
        <f t="shared" si="657"/>
        <v>1.1895472635949664</v>
      </c>
      <c r="BQ544" s="1148">
        <f t="shared" si="657"/>
        <v>4.4716344379742363</v>
      </c>
      <c r="BR544" s="480">
        <f t="shared" si="657"/>
        <v>1.1389256943396346</v>
      </c>
      <c r="BS544" s="480">
        <f t="shared" si="657"/>
        <v>1.2022915144590747</v>
      </c>
      <c r="BT544" s="480">
        <f t="shared" si="657"/>
        <v>1.3121514302902149</v>
      </c>
      <c r="BU544" s="480">
        <f t="shared" si="657"/>
        <v>1.3249957673903219</v>
      </c>
      <c r="BV544" s="1148">
        <f t="shared" si="657"/>
        <v>4.9783644064792458</v>
      </c>
      <c r="BW544" s="480">
        <f t="shared" si="657"/>
        <v>1.2641257096599081</v>
      </c>
      <c r="BX544" s="480">
        <f t="shared" si="657"/>
        <v>1.3337306113047733</v>
      </c>
      <c r="BY544" s="480">
        <f t="shared" si="657"/>
        <v>1.4542659224779593</v>
      </c>
      <c r="BZ544" s="480">
        <f t="shared" si="657"/>
        <v>1.4690170564636127</v>
      </c>
      <c r="CA544" s="1148">
        <f t="shared" si="657"/>
        <v>5.5211392999062534</v>
      </c>
      <c r="CC544" s="29"/>
      <c r="CD544" s="29" t="str">
        <f>A544</f>
        <v>EPS For Consensus</v>
      </c>
      <c r="CE544" s="480"/>
      <c r="CF544" s="480"/>
      <c r="CG544" s="480">
        <f t="shared" ref="CG544:CO544" si="658">+CG71</f>
        <v>0.98682904690295414</v>
      </c>
      <c r="CH544" s="480">
        <f t="shared" si="658"/>
        <v>1.2134998373815367</v>
      </c>
      <c r="CI544" s="480">
        <f t="shared" si="658"/>
        <v>1.4006762693511003</v>
      </c>
      <c r="CJ544" s="480">
        <f t="shared" si="658"/>
        <v>1.7516108824382424</v>
      </c>
      <c r="CK544" s="480">
        <f t="shared" si="658"/>
        <v>2.1025706000619282</v>
      </c>
      <c r="CL544" s="480">
        <f t="shared" si="658"/>
        <v>2.2215421811523393</v>
      </c>
      <c r="CM544" s="480">
        <f t="shared" si="658"/>
        <v>2.4001185416006168</v>
      </c>
      <c r="CN544" s="480">
        <f t="shared" si="658"/>
        <v>3.0819747393830053</v>
      </c>
      <c r="CO544" s="480">
        <f t="shared" si="658"/>
        <v>3.1044353347496871</v>
      </c>
      <c r="CP544" s="480">
        <f>+CP71</f>
        <v>3.7390409348645344</v>
      </c>
      <c r="CQ544" s="480">
        <f>+CQ71</f>
        <v>4.0010856122289784</v>
      </c>
      <c r="CR544" s="480">
        <f>+CR71</f>
        <v>4.4716344379742363</v>
      </c>
      <c r="CS544" s="480">
        <f>+CS71</f>
        <v>4.9783644064792458</v>
      </c>
      <c r="CT544" s="480">
        <f>+CT71</f>
        <v>5.5211392999062534</v>
      </c>
      <c r="CU544" s="1961"/>
      <c r="DB544" s="1961"/>
      <c r="DC544" s="1961"/>
      <c r="DD544" s="1961"/>
      <c r="DE544" s="1961"/>
      <c r="DF544" s="1961"/>
      <c r="DG544" s="1961"/>
      <c r="DH544" s="1961"/>
      <c r="DI544" s="656"/>
    </row>
    <row r="545" spans="1:113" x14ac:dyDescent="0.25">
      <c r="A545" s="29"/>
      <c r="B545" s="30"/>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110"/>
      <c r="AN545" s="29"/>
      <c r="AO545" s="29"/>
      <c r="AP545" s="29"/>
      <c r="AQ545" s="29"/>
      <c r="AR545" s="110"/>
      <c r="AS545" s="29"/>
      <c r="AT545" s="29"/>
      <c r="AU545" s="29"/>
      <c r="AV545" s="29"/>
      <c r="AW545" s="634"/>
      <c r="AX545" s="29"/>
      <c r="AY545" s="29"/>
      <c r="AZ545" s="29"/>
      <c r="BA545" s="29"/>
      <c r="BB545" s="635"/>
      <c r="BC545" s="29"/>
      <c r="BD545" s="29"/>
      <c r="BE545" s="29"/>
      <c r="BF545" s="29"/>
      <c r="BG545" s="635"/>
      <c r="BH545" s="29"/>
      <c r="BI545" s="29"/>
      <c r="BJ545" s="29"/>
      <c r="BK545" s="29"/>
      <c r="BL545" s="635"/>
      <c r="BM545" s="29"/>
      <c r="BN545" s="29"/>
      <c r="BO545" s="29"/>
      <c r="BP545" s="29"/>
      <c r="BQ545" s="635"/>
      <c r="BR545" s="29"/>
      <c r="BS545" s="29"/>
      <c r="BT545" s="29"/>
      <c r="BU545" s="29"/>
      <c r="BV545" s="635"/>
      <c r="BW545" s="29"/>
      <c r="BX545" s="29"/>
      <c r="BY545" s="29"/>
      <c r="BZ545" s="29"/>
      <c r="CA545" s="635"/>
      <c r="CC545" s="29"/>
      <c r="CD545" s="29"/>
      <c r="CE545" s="29"/>
      <c r="CF545" s="29"/>
      <c r="CG545" s="29"/>
      <c r="CH545" s="29"/>
      <c r="CI545" s="29"/>
      <c r="CJ545" s="29"/>
      <c r="CK545" s="29"/>
      <c r="CL545" s="29"/>
      <c r="CM545" s="29"/>
      <c r="CN545" s="29"/>
      <c r="CO545" s="29"/>
      <c r="CP545" s="14"/>
      <c r="CQ545" s="14"/>
      <c r="CR545" s="14"/>
      <c r="CS545" s="14"/>
      <c r="CT545" s="14"/>
      <c r="CU545" s="1961"/>
      <c r="DB545" s="1961"/>
      <c r="DC545" s="1961"/>
      <c r="DD545" s="1961"/>
      <c r="DE545" s="1961"/>
      <c r="DF545" s="1961"/>
      <c r="DG545" s="1961"/>
      <c r="DH545" s="1961"/>
      <c r="DI545" s="9"/>
    </row>
    <row r="547" spans="1:113" ht="5.0999999999999996" customHeight="1" x14ac:dyDescent="0.25">
      <c r="A547" s="29"/>
      <c r="B547" s="30"/>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110"/>
      <c r="AN547" s="29"/>
      <c r="AO547" s="29"/>
      <c r="AP547" s="29"/>
      <c r="AQ547" s="29"/>
      <c r="AR547" s="110"/>
      <c r="AS547" s="29"/>
      <c r="AT547" s="29"/>
      <c r="AU547" s="29"/>
      <c r="AV547" s="29"/>
      <c r="AW547" s="634"/>
      <c r="AX547" s="29"/>
      <c r="AY547" s="29"/>
      <c r="AZ547" s="29"/>
      <c r="BA547" s="29"/>
      <c r="BB547" s="635"/>
      <c r="BC547" s="29"/>
      <c r="BD547" s="29"/>
      <c r="BE547" s="29"/>
      <c r="BF547" s="29"/>
      <c r="BG547" s="635"/>
      <c r="BH547" s="29"/>
      <c r="BI547" s="29"/>
      <c r="BJ547" s="29"/>
      <c r="BK547" s="29"/>
      <c r="BL547" s="635"/>
      <c r="BM547" s="29"/>
      <c r="BN547" s="29"/>
      <c r="BO547" s="29"/>
      <c r="BP547" s="29"/>
      <c r="BQ547" s="635"/>
      <c r="BR547" s="29"/>
      <c r="BS547" s="29"/>
      <c r="BT547" s="29"/>
      <c r="BU547" s="29"/>
      <c r="BV547" s="635"/>
      <c r="BW547" s="29"/>
      <c r="BX547" s="29"/>
      <c r="BY547" s="29"/>
      <c r="BZ547" s="29"/>
      <c r="CA547" s="635"/>
      <c r="CC547" s="14"/>
      <c r="CD547" s="14"/>
      <c r="CE547" s="29"/>
      <c r="CF547" s="29"/>
      <c r="CG547" s="29"/>
      <c r="CH547" s="29"/>
      <c r="CI547" s="29"/>
      <c r="CJ547" s="29"/>
      <c r="CK547" s="29"/>
      <c r="CL547" s="29"/>
      <c r="CM547" s="29"/>
      <c r="CN547" s="29"/>
      <c r="CO547" s="29"/>
      <c r="CP547" s="14"/>
      <c r="CQ547" s="14"/>
      <c r="CR547" s="14"/>
      <c r="CS547" s="14"/>
      <c r="CT547" s="14"/>
      <c r="CU547" s="1961"/>
      <c r="DB547" s="1961"/>
      <c r="DC547" s="1961"/>
      <c r="DD547" s="1961"/>
      <c r="DE547" s="1961"/>
      <c r="DF547" s="1961"/>
      <c r="DG547" s="1961"/>
      <c r="DH547" s="1961"/>
      <c r="DI547" s="9"/>
    </row>
    <row r="548" spans="1:113" x14ac:dyDescent="0.25">
      <c r="A548" s="311" t="s">
        <v>332</v>
      </c>
      <c r="B548" s="30"/>
      <c r="C548" s="482"/>
      <c r="D548" s="482"/>
      <c r="E548" s="482"/>
      <c r="F548" s="482"/>
      <c r="G548" s="482"/>
      <c r="H548" s="482"/>
      <c r="I548" s="482"/>
      <c r="J548" s="482"/>
      <c r="K548" s="482"/>
      <c r="L548" s="482"/>
      <c r="M548" s="482"/>
      <c r="N548" s="482"/>
      <c r="O548" s="482"/>
      <c r="P548" s="482"/>
      <c r="Q548" s="482"/>
      <c r="R548" s="482"/>
      <c r="S548" s="482"/>
      <c r="T548" s="482"/>
      <c r="U548" s="482"/>
      <c r="V548" s="482"/>
      <c r="W548" s="482"/>
      <c r="X548" s="482"/>
      <c r="Y548" s="482"/>
      <c r="Z548" s="482"/>
      <c r="AA548" s="482"/>
      <c r="AB548" s="482"/>
      <c r="AC548" s="482"/>
      <c r="AD548" s="482"/>
      <c r="AE548" s="482"/>
      <c r="AF548" s="482"/>
      <c r="AG548" s="482"/>
      <c r="AH548" s="482"/>
      <c r="AI548" s="482"/>
      <c r="AJ548" s="482"/>
      <c r="AK548" s="482"/>
      <c r="AL548" s="482"/>
      <c r="AM548" s="740"/>
      <c r="AN548" s="482"/>
      <c r="AO548" s="482"/>
      <c r="AP548" s="482"/>
      <c r="AQ548" s="482"/>
      <c r="AR548" s="740"/>
      <c r="AS548" s="482"/>
      <c r="AT548" s="482"/>
      <c r="AU548" s="482"/>
      <c r="AV548" s="482"/>
      <c r="AW548" s="740"/>
      <c r="AX548" s="482"/>
      <c r="AY548" s="482"/>
      <c r="AZ548" s="482"/>
      <c r="BA548" s="482"/>
      <c r="BB548" s="446"/>
      <c r="BC548" s="482"/>
      <c r="BD548" s="482"/>
      <c r="BE548" s="482"/>
      <c r="BF548" s="482"/>
      <c r="BG548" s="446"/>
      <c r="BH548" s="482"/>
      <c r="BI548" s="482"/>
      <c r="BJ548" s="482"/>
      <c r="BK548" s="482"/>
      <c r="BL548" s="446"/>
      <c r="BM548" s="482"/>
      <c r="BN548" s="482"/>
      <c r="BO548" s="482"/>
      <c r="BP548" s="482"/>
      <c r="BQ548" s="446"/>
      <c r="BR548" s="482"/>
      <c r="BS548" s="482"/>
      <c r="BT548" s="482"/>
      <c r="BU548" s="482"/>
      <c r="BV548" s="446"/>
      <c r="BW548" s="482"/>
      <c r="BX548" s="482"/>
      <c r="BY548" s="482"/>
      <c r="BZ548" s="482"/>
      <c r="CA548" s="446"/>
      <c r="CC548" s="14"/>
      <c r="CD548" s="14"/>
      <c r="CE548" s="482"/>
      <c r="CF548" s="482"/>
      <c r="CG548" s="482"/>
      <c r="CH548" s="482"/>
      <c r="CI548" s="482"/>
      <c r="CJ548" s="482"/>
      <c r="CK548" s="482"/>
      <c r="CL548" s="482"/>
      <c r="CM548" s="482"/>
      <c r="CN548" s="482"/>
      <c r="CO548" s="482"/>
      <c r="CP548" s="14"/>
      <c r="CQ548" s="14"/>
      <c r="CR548" s="14"/>
      <c r="CS548" s="14"/>
      <c r="CT548" s="14"/>
      <c r="CU548" s="1961"/>
      <c r="DB548" s="1961"/>
      <c r="DC548" s="1961"/>
      <c r="DD548" s="1961"/>
      <c r="DE548" s="1961"/>
      <c r="DF548" s="1961"/>
      <c r="DG548" s="1961"/>
      <c r="DH548" s="1961"/>
      <c r="DI548" s="640"/>
    </row>
    <row r="549" spans="1:113" x14ac:dyDescent="0.25">
      <c r="A549" s="29" t="s">
        <v>333</v>
      </c>
      <c r="B549" s="30"/>
      <c r="C549" s="29"/>
      <c r="D549" s="29"/>
      <c r="E549" s="1149"/>
      <c r="F549" s="1149"/>
      <c r="G549" s="1149"/>
      <c r="H549" s="1149"/>
      <c r="I549" s="1149"/>
      <c r="J549" s="1149">
        <f>VA!F42*(1-VA!F380)+VA!G42*(1-VA!G380)+VA!H42*(1-VA!H380)+VA!J42*(1-VA!J380)</f>
        <v>166.98761679502991</v>
      </c>
      <c r="K549" s="1149">
        <f>VA!G42*(1-VA!G380)+VA!H42*(1-VA!H380)+VA!J42*(1-VA!J380)+VA!K42*(1-VA!K380)</f>
        <v>171.87616376805926</v>
      </c>
      <c r="L549" s="1149">
        <f>VA!H42*(1-VA!H380)+VA!J42*(1-VA!J380)+VA!K42*(1-VA!K380)+VA!L42*(1-VA!L380)</f>
        <v>176.26563081561613</v>
      </c>
      <c r="M549" s="1149">
        <f>VA!J42*(1-VA!J380)+VA!K42*(1-VA!K380)+VA!L42*(1-VA!L380)+VA!M42*(1-VA!M380)</f>
        <v>176.1502996338219</v>
      </c>
      <c r="N549" s="1149">
        <f>M549</f>
        <v>176.1502996338219</v>
      </c>
      <c r="O549" s="1149">
        <f>VA!K42*(1-VA!K380)+VA!L42*(1-VA!L380)+VA!M42*(1-VA!M380)+VA!O42*(1-VA!O380)</f>
        <v>180.97043098206174</v>
      </c>
      <c r="P549" s="1149">
        <f>VA!L42*(1-VA!L380)+VA!M42*(1-VA!M380)+VA!O42*(1-VA!O380)+VA!P42*(1-VA!P380)</f>
        <v>187.94089089001994</v>
      </c>
      <c r="Q549" s="1149">
        <f>VA!M42*(1-VA!M380)+VA!O42*(1-VA!O380)+VA!P42*(1-VA!P380)+VA!Q42*(1-VA!Q380)</f>
        <v>189.62270745836315</v>
      </c>
      <c r="R549" s="1149">
        <f>VA!O42*(1-VA!O380)+VA!P42*(1-VA!P380)+VA!Q42*(1-VA!Q380)+VA!R42*(1-VA!R380)</f>
        <v>139.32212918770423</v>
      </c>
      <c r="S549" s="1149">
        <f>R549</f>
        <v>139.32212918770423</v>
      </c>
      <c r="T549" s="1149">
        <f>VA!P42*(1-VA!P380)+VA!Q42*(1-VA!Q380)+VA!R42*(1-VA!R380)+VA!T42*(1-VA!T380)</f>
        <v>149.67255165162356</v>
      </c>
      <c r="U549" s="1149">
        <f>VA!Q42*(1-VA!Q380)+VA!R42*(1-VA!R380)+VA!T42*(1-VA!T380)+VA!U42*(1-VA!U380)</f>
        <v>162.17743736913022</v>
      </c>
      <c r="V549" s="1149">
        <f>VA!R42*(1-VA!R380)+VA!T42*(1-VA!T380)+VA!U42*(1-VA!U380)+VA!V42*(1-VA!V380)</f>
        <v>182.61850264771056</v>
      </c>
      <c r="W549" s="1149">
        <f>VA!T42*(1-VA!T380)+VA!U42*(1-VA!U380)+VA!V42*(1-VA!V380)+VA!W42*(1-VA!W380)</f>
        <v>262.99479058532222</v>
      </c>
      <c r="X549" s="1149">
        <f>W549</f>
        <v>262.99479058532222</v>
      </c>
      <c r="Y549" s="1149">
        <f>VA!U42*(1-VA!U380)+VA!V42*(1-VA!V380)+VA!W42*(1-VA!W380)+VA!Y42*(1-VA!Y380)</f>
        <v>274.28147775723414</v>
      </c>
      <c r="Z549" s="1149">
        <f>VA!V42*(1-VA!V380)+VA!W42*(1-VA!W380)+VA!Y42*(1-VA!Y380)+VA!Z42*(1-VA!Z380)</f>
        <v>281.86209591721837</v>
      </c>
      <c r="AA549" s="1149">
        <f>VA!W42*(1-VA!W380)+VA!Y42*(1-VA!Y380)+VA!Z42*(1-VA!Z380)+VA!AA42*(1-VA!AA380)</f>
        <v>293.80258868311614</v>
      </c>
      <c r="AB549" s="1149">
        <f>VA!Y42*(1-VA!Y380)+VA!Z42*(1-VA!Z380)+VA!AA42*(1-VA!AA380)+VA!AB42*(1-VA!AB380)</f>
        <v>311.74958873059541</v>
      </c>
      <c r="AC549" s="1149">
        <f>AB549</f>
        <v>311.74958873059541</v>
      </c>
      <c r="AD549" s="1149">
        <f>VA!Z42*(1-VA!Z380)+VA!AA42*(1-VA!AA380)+VA!AB42*(1-VA!AB380)+VA!AD42*(1-VA!AD380)</f>
        <v>324.61492859451101</v>
      </c>
      <c r="AE549" s="1149">
        <f>VA!AA42*(1-VA!AA380)+VA!AB42*(1-VA!AB380)+VA!AD42*(1-VA!AD380)+VA!AE42*(1-VA!AE380)</f>
        <v>337.48006092358747</v>
      </c>
      <c r="AF549" s="1149">
        <f>VA!AB42*(1-VA!AB380)+VA!AD42*(1-VA!AD380)+VA!AE42*(1-VA!AE380)+VA!AF42*(1-VA!AF380)</f>
        <v>351.85445175743172</v>
      </c>
      <c r="AG549" s="1149">
        <f>VA!AD42*(1-VA!AD380)+VA!AE42*(1-VA!AE380)+VA!AF42*(1-VA!AF380)+VA!AG42*(1-VA!AG380)</f>
        <v>375.1544767546344</v>
      </c>
      <c r="AH549" s="1149">
        <f>AG549</f>
        <v>375.1544767546344</v>
      </c>
      <c r="AI549" s="1149">
        <f>VA!AE42*(1-VA!AE380)+VA!AF42*(1-VA!AF380)+VA!AG42*(1-VA!AG380)+VA!AI42*(1-VA!AI380)</f>
        <v>383.15890026244665</v>
      </c>
      <c r="AJ549" s="1149">
        <f>VA!AF42*(1-VA!AF380)+VA!AG42*(1-VA!AG380)+VA!AI42*(1-VA!AI380)+VA!AJ42*(1-VA!AJ380)</f>
        <v>393.55219513743606</v>
      </c>
      <c r="AK549" s="1149">
        <f>VA!AG42*(1-VA!AG380)+VA!AI42*(1-VA!AI380)+VA!AJ42*(1-VA!AJ380)+VA!AK42*(1-VA!AK380)</f>
        <v>406.03700695421128</v>
      </c>
      <c r="AL549" s="1149">
        <f>VA!AI42*(1-VA!AI380)+VA!AJ42*(1-VA!AJ380)+VA!AK42*(1-VA!AK380)+VA!AL42*(1-VA!AL380)</f>
        <v>390.33328293719046</v>
      </c>
      <c r="AM549" s="1150">
        <f>AL549</f>
        <v>390.33328293719046</v>
      </c>
      <c r="AN549" s="1149">
        <f>VA!AJ42*(1-VA!AJ380)+VA!AK42*(1-VA!AK380)+VA!AL42*(1-VA!AL380)+VA!AN42*(1-VA!AN380)</f>
        <v>393.69571062856198</v>
      </c>
      <c r="AO549" s="1149">
        <f>VA!AK42*(1-VA!AK380)+VA!AL42*(1-VA!AL380)+VA!AN42*(1-VA!AN380)+VA!AO42*(1-VA!AO380)</f>
        <v>398.35095185650471</v>
      </c>
      <c r="AP549" s="1149">
        <f>VA!AL42*(1-VA!AL380)+VA!AN42*(1-VA!AN380)+VA!AO42*(1-VA!AO380)+VA!AP42*(1-VA!AP380)</f>
        <v>401.82563455716513</v>
      </c>
      <c r="AQ549" s="1149">
        <f>VA!AN42*(1-VA!AN380)+VA!AO42*(1-VA!AO380)+VA!AP42*(1-VA!AP380)+VA!AQ42*(1-VA!AQ380)</f>
        <v>414.74420364830252</v>
      </c>
      <c r="AR549" s="1150">
        <f>AQ549</f>
        <v>414.74420364830252</v>
      </c>
      <c r="AS549" s="1149">
        <f>VA!AO42*(1-VA!AO380)+VA!AP42*(1-VA!AP380)+VA!AQ42*(1-VA!AQ380)+VA!AS42*(1-VA!AS380)</f>
        <v>429.42188631149338</v>
      </c>
      <c r="AT549" s="1149">
        <f>VA!AP42*(1-VA!AP380)+VA!AQ42*(1-VA!AQ380)+VA!AS42*(1-VA!AS380)+VA!AT42*(1-VA!AT380)</f>
        <v>455.48926815613089</v>
      </c>
      <c r="AU549" s="1149">
        <f>VA!AQ42*(1-VA!AQ380)+VA!AS42*(1-VA!AS380)+VA!AT42*(1-VA!AT380)+VA!AU42*(1-VA!AU380)</f>
        <v>487.38816139196609</v>
      </c>
      <c r="AV549" s="1149">
        <f>VA!AS42*(1-VA!AS380)+VA!AT42*(1-VA!AT380)+VA!AU42*(1-VA!AU380)+VA!AV42*(1-VA!AV380)</f>
        <v>513.46879798262216</v>
      </c>
      <c r="AW549" s="1150">
        <f>AV549</f>
        <v>513.46879798262216</v>
      </c>
      <c r="AX549" s="1149">
        <f>VA!AT42*(1-VA!AT380)+VA!AU42*(1-VA!AU380)+VA!AV42*(1-VA!AV380)+VA!AX42*(1-VA!AX380)</f>
        <v>534.73049242851596</v>
      </c>
      <c r="AY549" s="1149">
        <f>VA!AU42*(1-VA!AU380)+VA!AV42*(1-VA!AV380)+VA!AX42*(1-VA!AX380)+VA!AY42*(1-VA!AY380)</f>
        <v>536.92140585608331</v>
      </c>
      <c r="AZ549" s="1149">
        <f>VA!AV42*(1-VA!AV380)+VA!AX42*(1-VA!AX380)+VA!AY42*(1-VA!AY380)+VA!AZ42*(1-VA!AZ380)</f>
        <v>541.67944498952272</v>
      </c>
      <c r="BA549" s="1149">
        <f>VA!AX42*(1-VA!AX380)+VA!AY42*(1-VA!AY380)+VA!AZ42*(1-VA!AZ380)+VA!BA42*(1-VA!BA380)</f>
        <v>529.97390612699576</v>
      </c>
      <c r="BB549" s="1151">
        <f>BA549</f>
        <v>529.97390612699576</v>
      </c>
      <c r="BC549" s="1149">
        <f>VA!AY42*(1-VA!AY380)+VA!AZ42*(1-VA!AZ380)+VA!BA42*(1-VA!BA380)+VA!BC42*(1-VA!BC380)</f>
        <v>525.07952945137504</v>
      </c>
      <c r="BD549" s="1149">
        <f>VA!AZ42*(1-VA!AZ380)+VA!BA42*(1-VA!BA380)+VA!BC42*(1-VA!BC380)+VA!BD42*(1-VA!BD380)</f>
        <v>536.87571918588117</v>
      </c>
      <c r="BE549" s="1149">
        <f>VA!BA42*(1-VA!BA380)+VA!BC42*(1-VA!BC380)+VA!BD42*(1-VA!BD380)+VA!BE42*(1-VA!BE380)</f>
        <v>529.24131633411412</v>
      </c>
      <c r="BF549" s="1149">
        <f>VA!BC42*(1-VA!BC380)+VA!BD42*(1-VA!BD380)+VA!BE42*(1-VA!BE380)+VA!BF42*(1-VA!BF380)</f>
        <v>644.5101126240279</v>
      </c>
      <c r="BG549" s="1151">
        <f>BF549</f>
        <v>644.5101126240279</v>
      </c>
      <c r="BH549" s="1149">
        <f>VA!BE42*(1-VA!BE380)+VA!BF42*(1-VA!BF380)+VA!BG42*(1-VA!BG380)+VA!BH42*(1-VA!BH380)</f>
        <v>1176.7515070082839</v>
      </c>
      <c r="BI549" s="1149">
        <f>VA!BF42*(1-VA!BF380)+VA!BG42*(1-VA!BG380)+VA!BH42*(1-VA!BH380)+VA!BI42*(1-VA!BI380)</f>
        <v>1197.3410320047842</v>
      </c>
      <c r="BJ549" s="1149">
        <f>VA!BG42*(1-VA!BG380)+VA!BH42*(1-VA!BH380)+VA!BI42*(1-VA!BI380)+VA!BJ42*(1-VA!BJ380)</f>
        <v>1130.8347906657082</v>
      </c>
      <c r="BK549" s="1149">
        <f>VA!BH42*(1-VA!BH380)+VA!BI42*(1-VA!BI380)+VA!BJ42*(1-VA!BJ380)+VA!BK42*(1-VA!BK380)</f>
        <v>660.43748538530144</v>
      </c>
      <c r="BL549" s="1151">
        <f>BK549</f>
        <v>660.43748538530144</v>
      </c>
      <c r="BM549" s="1149">
        <f>VA!BJ42*(1-VA!BJ380)+VA!BK42*(1-VA!BK380)+VA!BL42*(1-VA!BL380)+VA!BM42*(1-VA!BM380)</f>
        <v>1174.4258965728752</v>
      </c>
      <c r="BN549" s="1149">
        <f>VA!BK42*(1-VA!BK380)+VA!BL42*(1-VA!BL380)+VA!BM42*(1-VA!BM380)+VA!BN42*(1-VA!BN380)</f>
        <v>1174.8299612845908</v>
      </c>
      <c r="BO549" s="1149">
        <f>VA!BL42*(1-VA!BL380)+VA!BM42*(1-VA!BM380)+VA!BN42*(1-VA!BN380)+VA!BO42*(1-VA!BO380)</f>
        <v>1189.6905152939394</v>
      </c>
      <c r="BP549" s="1149">
        <f>VA!BM42*(1-VA!BM380)+VA!BN42*(1-VA!BN380)+VA!BO42*(1-VA!BO380)+VA!BP42*(1-VA!BP380)</f>
        <v>717.37227853047568</v>
      </c>
      <c r="BQ549" s="1151">
        <f>BP549</f>
        <v>717.37227853047568</v>
      </c>
      <c r="BR549" s="1149">
        <f>VA!BO42*(1-VA!BO380)+VA!BP42*(1-VA!BP380)+VA!BQ42*(1-VA!BQ380)+VA!BR42*(1-VA!BR380)</f>
        <v>1275.4125584965536</v>
      </c>
      <c r="BS549" s="1149">
        <f>VA!BP42*(1-VA!BP380)+VA!BQ42*(1-VA!BQ380)+VA!BR42*(1-VA!BR380)+VA!BS42*(1-VA!BS380)</f>
        <v>1275.7503877170411</v>
      </c>
      <c r="BT549" s="1149">
        <f>VA!BQ42*(1-VA!BQ380)+VA!BR42*(1-VA!BR380)+VA!BS42*(1-VA!BS380)+VA!BT42*(1-VA!BT380)</f>
        <v>1291.2352133968825</v>
      </c>
      <c r="BU549" s="1149">
        <f>VA!BR42*(1-VA!BR380)+VA!BS42*(1-VA!BS380)+VA!BT42*(1-VA!BT380)+VA!BU42*(1-VA!BU380)</f>
        <v>777.63949161907522</v>
      </c>
      <c r="BV549" s="1151">
        <f>BU549</f>
        <v>777.63949161907522</v>
      </c>
      <c r="BW549" s="1149">
        <f>VA!BT42*(1-VA!BT380)+VA!BU42*(1-VA!BU380)+VA!BV42*(1-VA!BV380)+VA!BW42*(1-VA!BW380)</f>
        <v>1383.3251966482881</v>
      </c>
      <c r="BX549" s="1149">
        <f>VA!BU42*(1-VA!BU380)+VA!BV42*(1-VA!BV380)+VA!BW42*(1-VA!BW380)+VA!BX42*(1-VA!BX380)</f>
        <v>1384.8359780908518</v>
      </c>
      <c r="BY549" s="1149">
        <f>VA!BV42*(1-VA!BV380)+VA!BW42*(1-VA!BW380)+VA!BX42*(1-VA!BX380)+VA!BY42*(1-VA!BY380)</f>
        <v>1402.4174056332606</v>
      </c>
      <c r="BZ549" s="1149">
        <f>VA!BW42*(1-VA!BW380)+VA!BX42*(1-VA!BX380)+VA!BY42*(1-VA!BY380)+VA!BZ42*(1-VA!BZ380)</f>
        <v>846.36032070529063</v>
      </c>
      <c r="CA549" s="1151">
        <f>BZ549</f>
        <v>846.36032070529063</v>
      </c>
      <c r="CC549" s="14"/>
      <c r="CD549" s="29" t="str">
        <f>A549</f>
        <v>NOPAT (T4Q)</v>
      </c>
      <c r="CE549" s="1152"/>
      <c r="CF549" s="1152"/>
      <c r="CG549" s="1152"/>
      <c r="CH549" s="1152"/>
      <c r="CI549" s="1152"/>
      <c r="CJ549" s="1152">
        <f>AC549</f>
        <v>311.74958873059541</v>
      </c>
      <c r="CK549" s="1152">
        <f>AH549</f>
        <v>375.1544767546344</v>
      </c>
      <c r="CL549" s="1152">
        <f>AM549</f>
        <v>390.33328293719046</v>
      </c>
      <c r="CM549" s="1152">
        <f>AR549</f>
        <v>414.74420364830252</v>
      </c>
      <c r="CN549" s="1152">
        <f>AW549</f>
        <v>513.46879798262216</v>
      </c>
      <c r="CO549" s="1152">
        <f>BB549</f>
        <v>529.97390612699576</v>
      </c>
      <c r="CP549" s="1152">
        <f>BG549</f>
        <v>644.5101126240279</v>
      </c>
      <c r="CQ549" s="1152">
        <f>BL549</f>
        <v>660.43748538530144</v>
      </c>
      <c r="CR549" s="1152">
        <f>BQ549</f>
        <v>717.37227853047568</v>
      </c>
      <c r="CS549" s="1152">
        <f>BV549</f>
        <v>777.63949161907522</v>
      </c>
      <c r="CT549" s="1152">
        <f>CA549</f>
        <v>846.36032070529063</v>
      </c>
      <c r="CU549" s="1961"/>
      <c r="DB549" s="1961"/>
      <c r="DC549" s="1961"/>
      <c r="DD549" s="1961"/>
      <c r="DE549" s="1961"/>
      <c r="DF549" s="1961"/>
      <c r="DG549" s="1961"/>
      <c r="DH549" s="1961"/>
      <c r="DI549" s="1961"/>
    </row>
    <row r="550" spans="1:113" x14ac:dyDescent="0.25">
      <c r="A550" s="29" t="s">
        <v>334</v>
      </c>
      <c r="B550" s="30"/>
      <c r="C550" s="29"/>
      <c r="D550" s="29"/>
      <c r="E550" s="19"/>
      <c r="F550" s="19"/>
      <c r="G550" s="19"/>
      <c r="H550" s="19"/>
      <c r="I550" s="1149"/>
      <c r="J550" s="1966">
        <f>AVERAGE(VA!J198+VA!J206+VA!J223-J173,VA!H198+VA!H206+VA!H223-H173,VA!G198+VA!G206+VA!G223-G173,VA!F198+VA!F206+VA!F223-F173)</f>
        <v>154.95574999999988</v>
      </c>
      <c r="K550" s="1966">
        <f>AVERAGE(VA!K198+VA!K206+VA!K223-K173,VA!J198+VA!J206+VA!J223-J173,VA!H198+VA!H206+VA!H223-H173,VA!G198+VA!G206+VA!G223-G173)</f>
        <v>269.58399999999989</v>
      </c>
      <c r="L550" s="1966">
        <f>AVERAGE(VA!L198+VA!L206+VA!L223-L173,VA!K198+VA!K206+VA!K223-K173,VA!J198+VA!J206+VA!J223-J173,VA!H198+VA!H206+VA!H223-H173)</f>
        <v>376.85774999999995</v>
      </c>
      <c r="M550" s="1966">
        <f>AVERAGE(VA!M198+VA!M206+VA!M223-M173,VA!L198+VA!L206+VA!L223-L173,VA!K198+VA!K206+VA!K223-K173,VA!J198+VA!J206+VA!J223-J173)</f>
        <v>375.39874999999995</v>
      </c>
      <c r="N550" s="1149">
        <f>M550</f>
        <v>375.39874999999995</v>
      </c>
      <c r="O550" s="1966">
        <f>AVERAGE(VA!O198+VA!O206+VA!O223-O173,VA!M198+VA!M206+VA!M223-M173,VA!L198+VA!L206+VA!L223-L173,VA!K198+VA!K206+VA!K223-K173)</f>
        <v>386.18649999999991</v>
      </c>
      <c r="P550" s="1966">
        <f>AVERAGE(VA!P198+VA!P206+VA!P223-P173,VA!O198+VA!O206+VA!O223-O173,VA!M198+VA!M206+VA!M223-M173,VA!L198+VA!L206+VA!L223-L173)</f>
        <v>395.69774999999993</v>
      </c>
      <c r="Q550" s="1966">
        <f>AVERAGE(VA!Q198+VA!Q206+VA!Q223-Q173,VA!P198+VA!P206+VA!P223-P173,VA!O198+VA!O206+VA!O223-O173,VA!M198+VA!M206+VA!M223-M173)</f>
        <v>414.20974999999987</v>
      </c>
      <c r="R550" s="1966">
        <f>AVERAGE(VA!R198+VA!R206+VA!R223-R173,VA!Q198+VA!Q206+VA!Q223-Q173,VA!P198+VA!P206+VA!P223-P173,VA!O198+VA!O206+VA!O223-O173)</f>
        <v>442.06174999999985</v>
      </c>
      <c r="S550" s="1149">
        <f>R550</f>
        <v>442.06174999999985</v>
      </c>
      <c r="T550" s="1966">
        <f>AVERAGE(VA!T198+VA!T206+VA!T223-T173,VA!R198+VA!R206+VA!R223-R173,VA!Q198+VA!Q206+VA!Q223-Q173,VA!P198+VA!P206+VA!P223-P173)</f>
        <v>458.97449999999992</v>
      </c>
      <c r="U550" s="1966">
        <f>AVERAGE(VA!U198+VA!U206+VA!U223-U173,VA!T198+VA!T206+VA!T223-T173,VA!R198+VA!R206+VA!R223-R173,VA!Q198+VA!Q206+VA!Q223-Q173)</f>
        <v>464.15399999999988</v>
      </c>
      <c r="V550" s="1966">
        <f>AVERAGE(VA!V198+VA!V206+VA!V223-V173,VA!U198+VA!U206+VA!U223-U173,VA!T198+VA!T206+VA!T223-T173,VA!R198+VA!R206+VA!R223-R173)</f>
        <v>469.8237499999999</v>
      </c>
      <c r="W550" s="1966">
        <f>AVERAGE(VA!W198+VA!W206+VA!W223-W173,VA!V198+VA!V206+VA!V223-V173,VA!U198+VA!U206+VA!U223-U173,VA!T198+VA!T206+VA!T223-T173)</f>
        <v>515.43224999999984</v>
      </c>
      <c r="X550" s="1149">
        <f>W550</f>
        <v>515.43224999999984</v>
      </c>
      <c r="Y550" s="1966">
        <f>AVERAGE(VA!Y198+VA!Y206+VA!Y223-Y173,VA!W198+VA!W206+VA!W223-W173,VA!V198+VA!V206+VA!V223-V173,VA!U198+VA!U206+VA!U223-U173)</f>
        <v>563.20449999999994</v>
      </c>
      <c r="Z550" s="1966">
        <f>AVERAGE(VA!Z198+VA!Z206+VA!Z223-Z173,VA!Y198+VA!Y206+VA!Y223-Y173,VA!W198+VA!W206+VA!W223-W173,VA!V198+VA!V206+VA!V223-V173)</f>
        <v>651.03</v>
      </c>
      <c r="AA550" s="1966">
        <f>AVERAGE(VA!AA198+VA!AA206+VA!AA223-AA173,VA!Z198+VA!Z206+VA!Z223-Z173,VA!Y198+VA!Y206+VA!Y223-Y173,VA!W198+VA!W206+VA!W223-W173)</f>
        <v>731.62724999999989</v>
      </c>
      <c r="AB550" s="1966">
        <f>AVERAGE(VA!AB198+VA!AB206+VA!AB223-AB173,VA!AA198+VA!AA206+VA!AA223-AA173,VA!Z198+VA!Z206+VA!Z223-Z173,VA!Y198+VA!Y206+VA!Y223-Y173)</f>
        <v>768.04375000000005</v>
      </c>
      <c r="AC550" s="1149">
        <f>AB550</f>
        <v>768.04375000000005</v>
      </c>
      <c r="AD550" s="1966">
        <f>AVERAGE(VA!AD198+VA!AD206+VA!AD223-AD173,VA!AB198+VA!AB206+VA!AB223-AB173,VA!AA198+VA!AA206+VA!AA223-AA173,VA!Z198+VA!Z206+VA!Z223-Z173)</f>
        <v>889.15050000000008</v>
      </c>
      <c r="AE550" s="1966">
        <f>AVERAGE(VA!AE198+VA!AE206+VA!AE223-AE173,VA!AD198+VA!AD206+VA!AD223-AD173,VA!AB198+VA!AB206+VA!AB223-AB173,VA!AA198+VA!AA206+VA!AA223-AA173)</f>
        <v>983.37800000000016</v>
      </c>
      <c r="AF550" s="1966">
        <f>AVERAGE(VA!AF198+VA!AF206+VA!AF223-AF173,VA!AE198+VA!AE206+VA!AE223-AE173,VA!AD198+VA!AD206+VA!AD223-AD173,VA!AB198+VA!AB206+VA!AB223-AB173)</f>
        <v>1184.4462500000002</v>
      </c>
      <c r="AG550" s="1966">
        <f>AVERAGE(VA!AG198+VA!AG206+VA!AG223-AG173,VA!AF198+VA!AF206+VA!AF223-AF173,VA!AE198+VA!AE206+VA!AE223-AE173,VA!AD198+VA!AD206+VA!AD223-AD173)</f>
        <v>1387.2972500000001</v>
      </c>
      <c r="AH550" s="1149">
        <f>AG550</f>
        <v>1387.2972500000001</v>
      </c>
      <c r="AI550" s="1966">
        <f>AVERAGE(VA!AI198+VA!AI206+VA!AI223-AI173,VA!AG198+VA!AG206+VA!AG223-AG173,VA!AF198+VA!AF206+VA!AF223-AF173,VA!AE198+VA!AE206+VA!AE223-AE173)</f>
        <v>1495.0565000000001</v>
      </c>
      <c r="AJ550" s="1966">
        <f>AVERAGE(VA!AJ198+VA!AJ206+VA!AJ223-AJ173,VA!AI198+VA!AI206+VA!AI223-AI173,VA!AG198+VA!AG206+VA!AG223-AG173,VA!AF198+VA!AF206+VA!AF223-AF173)</f>
        <v>1593.3465000000003</v>
      </c>
      <c r="AK550" s="1966">
        <f>AVERAGE(VA!AK198+VA!AK206+VA!AK223-AK173,VA!AJ198+VA!AJ206+VA!AJ223-AJ173,VA!AI198+VA!AI206+VA!AI223-AI173,VA!AG198+VA!AG206+VA!AG223-AG173)</f>
        <v>1594.3192500000002</v>
      </c>
      <c r="AL550" s="1966">
        <f>AVERAGE(VA!AL198+VA!AL206+VA!AL223-AL173,VA!AK198+VA!AK206+VA!AK223-AK173,VA!AJ198+VA!AJ206+VA!AJ223-AJ173,VA!AI198+VA!AI206+VA!AI223-AI173)</f>
        <v>1601.9342500000002</v>
      </c>
      <c r="AM550" s="1150">
        <f>AL550</f>
        <v>1601.9342500000002</v>
      </c>
      <c r="AN550" s="1966">
        <f>AVERAGE(VA!AN198+VA!AN206+VA!AN223-AN173,VA!AL198+VA!AL206+VA!AL223-AL173,VA!AK198+VA!AK206+VA!AK223-AK173,VA!AJ198+VA!AJ206+VA!AJ223-AJ173)</f>
        <v>1579.8960000000002</v>
      </c>
      <c r="AO550" s="1966">
        <f>AVERAGE(VA!AO198+VA!AO206+VA!AO223-AO173,VA!AN198+VA!AN206+VA!AN223-AN173,VA!AL198+VA!AL206+VA!AL223-AL173,VA!AK198+VA!AK206+VA!AK223-AK173)</f>
        <v>1563.2562500000001</v>
      </c>
      <c r="AP550" s="1966">
        <f>AVERAGE(VA!AP198+VA!AP206+VA!AP223-AP173,VA!AO198+VA!AO206+VA!AO223-AO173,VA!AN198+VA!AN206+VA!AN223-AN173,VA!AL198+VA!AL206+VA!AL223-AL173)</f>
        <v>1551.8832499999999</v>
      </c>
      <c r="AQ550" s="1966">
        <f>AVERAGE(VA!AQ198+VA!AQ206+VA!AQ223-AQ173,VA!AP198+VA!AP206+VA!AP223-AP173,VA!AO198+VA!AO206+VA!AO223-AO173,VA!AN198+VA!AN206+VA!AN223-AN173)</f>
        <v>1539.6229999999998</v>
      </c>
      <c r="AR550" s="1150">
        <f>AQ550</f>
        <v>1539.6229999999998</v>
      </c>
      <c r="AS550" s="1966">
        <f>AVERAGE(VA!AS198+VA!AS206+VA!AS223-AS173,VA!AQ198+VA!AQ206+VA!AQ223-AQ173,VA!AP198+VA!AP206+VA!AP223-AP173,VA!AO198+VA!AO206+VA!AO223-AO173)</f>
        <v>1549.0359999999998</v>
      </c>
      <c r="AT550" s="1966">
        <f>AVERAGE(VA!AT198+VA!AT206+VA!AT223-AT173,VA!AS198+VA!AS206+VA!AS223-AS173,VA!AQ198+VA!AQ206+VA!AQ223-AQ173,VA!AP198+VA!AP206+VA!AP223-AP173)</f>
        <v>2270.5924999999997</v>
      </c>
      <c r="AU550" s="1966">
        <f>AVERAGE(VA!AU198+VA!AU206+VA!AU223-AU173,VA!AT198+VA!AT206+VA!AT223-AT173,VA!AS198+VA!AS206+VA!AS223-AS173,VA!AQ198+VA!AQ206+VA!AQ223-AQ173)</f>
        <v>2963.8480000000004</v>
      </c>
      <c r="AV550" s="1966">
        <f>AVERAGE(VA!AV198+VA!AV206+VA!AV223-AV173,VA!AU198+VA!AU206+VA!AU223-AU173,VA!AT198+VA!AT206+VA!AT223-AT173,VA!AS198+VA!AS206+VA!AS223-AS173)</f>
        <v>3662.1020000000008</v>
      </c>
      <c r="AW550" s="1150">
        <f>AV550</f>
        <v>3662.1020000000008</v>
      </c>
      <c r="AX550" s="1966">
        <f>AVERAGE(VA!AX198+VA!AX206+VA!AX223-AX173,VA!AV198+VA!AV206+VA!AV223-AV173,VA!AU198+VA!AU206+VA!AU223-AU173,VA!AT198+VA!AT206+VA!AT223-AT173)</f>
        <v>4325.7362499999999</v>
      </c>
      <c r="AY550" s="1966">
        <f>AVERAGE(VA!AY198+VA!AY206+VA!AY223-AY173,VA!AX198+VA!AX206+VA!AX223-AX173,VA!AV198+VA!AV206+VA!AV223-AV173,VA!AU198+VA!AU206+VA!AU223-AU173)</f>
        <v>4103.2962500000003</v>
      </c>
      <c r="AZ550" s="1966">
        <f>AVERAGE(VA!AZ198+VA!AZ206+VA!AZ223-AZ173,VA!AY198+VA!AY206+VA!AY223-AY173,VA!AX198+VA!AX206+VA!AX223-AX173,VA!AV198+VA!AV206+VA!AV223-AV173)</f>
        <v>3916.7432500000004</v>
      </c>
      <c r="BA550" s="1966">
        <f>AVERAGE(VA!BA198+VA!BA206+VA!BA223-BA173,VA!AZ198+VA!AZ206+VA!AZ223-AZ173,VA!AY198+VA!AY206+VA!AY223-AY173,VA!AX198+VA!AX206+VA!AX223-AX173)</f>
        <v>3712.4022500000001</v>
      </c>
      <c r="BB550" s="1151">
        <f>BA550</f>
        <v>3712.4022500000001</v>
      </c>
      <c r="BC550" s="1966">
        <f>AVERAGE(VA!BC198+VA!BC206+VA!BC223-BC173,VA!BA198+VA!BA206+VA!BA223-BA173,VA!AZ198+VA!AZ206+VA!AZ223-AZ173,VA!AY198+VA!AY206+VA!AY223-AY173)</f>
        <v>3557.0322500000002</v>
      </c>
      <c r="BD550" s="1966">
        <f>AVERAGE(VA!BD198+VA!BD206+VA!BD223-BD173,VA!BC198+VA!BC206+VA!BC223-BC173,VA!BA198+VA!BA206+VA!BA223-BA173,VA!AZ198+VA!AZ206+VA!AZ223-AZ173)</f>
        <v>3606.9920000000002</v>
      </c>
      <c r="BE550" s="1966">
        <f>AVERAGE(VA!BE198+VA!BE206+VA!BE223-BE173,VA!BD198+VA!BD206+VA!BD223-BD173,VA!BC198+VA!BC206+VA!BC223-BC173,VA!BA198+VA!BA206+VA!BA223-BA173)</f>
        <v>3810.8180000000002</v>
      </c>
      <c r="BF550" s="1966">
        <f>AVERAGE(VA!BF198+VA!BF206+VA!BF223-BF173,VA!BE198+VA!BE206+VA!BE223-BE173,VA!BD198+VA!BD206+VA!BD223-BD173,VA!BC198+VA!BC206+VA!BC223-BC173)</f>
        <v>4112.7180000000008</v>
      </c>
      <c r="BG550" s="1151">
        <f>BF550</f>
        <v>4112.7180000000008</v>
      </c>
      <c r="BH550" s="1966">
        <f>AVERAGE(VA!BH198+VA!BH206+VA!BH223-BH173,VA!BF198+VA!BF206+VA!BF223-BF173,VA!BE198+VA!BE206+VA!BE223-BE173,VA!BD198+VA!BD206+VA!BD223-BD173)</f>
        <v>4375.1934992280349</v>
      </c>
      <c r="BI550" s="1966">
        <f>AVERAGE(VA!BI198+VA!BI206+VA!BI223-BI173,VA!BH198+VA!BH206+VA!BH223-BH173,VA!BF198+VA!BF206+VA!BF223-BF173,VA!BE198+VA!BE206+VA!BE223-BE173)</f>
        <v>4588.9079480178325</v>
      </c>
      <c r="BJ550" s="1966">
        <f>AVERAGE(VA!BJ198+VA!BJ206+VA!BJ223-BJ173,VA!BI198+VA!BI206+VA!BI223-BI173,VA!BH198+VA!BH206+VA!BH223-BH173,VA!BF198+VA!BF206+VA!BF223-BF173)</f>
        <v>4644.9137819200096</v>
      </c>
      <c r="BK550" s="1966">
        <f>AVERAGE(VA!BK198+VA!BK206+VA!BK223-BK173,VA!BJ198+VA!BJ206+VA!BJ223-BJ173,VA!BI198+VA!BI206+VA!BI223-BI173,VA!BH198+VA!BH206+VA!BH223-BH173)</f>
        <v>4631.4042048176461</v>
      </c>
      <c r="BL550" s="1151">
        <f>BK550</f>
        <v>4631.4042048176461</v>
      </c>
      <c r="BM550" s="1966">
        <f>AVERAGE(VA!BM198+VA!BM206+VA!BM223-BM173,VA!BK198+VA!BK206+VA!BK223-BK173,VA!BJ198+VA!BJ206+VA!BJ223-BJ173,VA!BI198+VA!BI206+VA!BI223-BI173)</f>
        <v>4614.2342290649494</v>
      </c>
      <c r="BN550" s="1966">
        <f>AVERAGE(VA!BN198+VA!BN206+VA!BN223-BN173,VA!BM198+VA!BM206+VA!BM223-BM173,VA!BK198+VA!BK206+VA!BK223-BK173,VA!BJ198+VA!BJ206+VA!BJ223-BJ173)</f>
        <v>4596.8079462769037</v>
      </c>
      <c r="BO550" s="1966">
        <f>AVERAGE(VA!BO198+VA!BO206+VA!BO223-BO173,VA!BN198+VA!BN206+VA!BN223-BN173,VA!BM198+VA!BM206+VA!BM223-BM173,VA!BK198+VA!BK206+VA!BK223-BK173)</f>
        <v>4579.7346489923766</v>
      </c>
      <c r="BP550" s="1966">
        <f>AVERAGE(VA!BP198+VA!BP206+VA!BP223-BP173,VA!BO198+VA!BO206+VA!BO223-BO173,VA!BN198+VA!BN206+VA!BN223-BN173,VA!BM198+VA!BM206+VA!BM223-BM173)</f>
        <v>4563.6658137408685</v>
      </c>
      <c r="BQ550" s="1151">
        <f>BP550</f>
        <v>4563.6658137408685</v>
      </c>
      <c r="BR550" s="1966">
        <f>AVERAGE(VA!BR198+VA!BR206+VA!BR223-BR173,VA!BP198+VA!BP206+VA!BP223-BP173,VA!BO198+VA!BO206+VA!BO223-BO173,VA!BN198+VA!BN206+VA!BN223-BN173)</f>
        <v>4543.9477692908158</v>
      </c>
      <c r="BS550" s="1966">
        <f>AVERAGE(VA!BS198+VA!BS206+VA!BS223-BS173,VA!BR198+VA!BR206+VA!BR223-BR173,VA!BP198+VA!BP206+VA!BP223-BP173,VA!BO198+VA!BO206+VA!BO223-BO173)</f>
        <v>4524.128201117067</v>
      </c>
      <c r="BT550" s="1966">
        <f>AVERAGE(VA!BT198+VA!BT206+VA!BT223-BT173,VA!BS198+VA!BS206+VA!BS223-BS173,VA!BR198+VA!BR206+VA!BR223-BR173,VA!BP198+VA!BP206+VA!BP223-BP173)</f>
        <v>4504.8051432971261</v>
      </c>
      <c r="BU550" s="1966">
        <f>AVERAGE(VA!BU198+VA!BU206+VA!BU223-BU173,VA!BT198+VA!BT206+VA!BT223-BT173,VA!BS198+VA!BS206+VA!BS223-BS173,VA!BR198+VA!BR206+VA!BR223-BR173)</f>
        <v>4486.6212164488479</v>
      </c>
      <c r="BV550" s="1151">
        <f>BU550</f>
        <v>4486.6212164488479</v>
      </c>
      <c r="BW550" s="1966">
        <f>AVERAGE(VA!BW198+VA!BW206+VA!BW223-BW173,VA!BU198+VA!BU206+VA!BU223-BU173,VA!BT198+VA!BT206+VA!BT223-BT173,VA!BS198+VA!BS206+VA!BS223-BS173)</f>
        <v>4465.5321733131432</v>
      </c>
      <c r="BX550" s="1966">
        <f>AVERAGE(VA!BX198+VA!BX206+VA!BX223-BX173,VA!BW198+VA!BW206+VA!BW223-BW173,VA!BU198+VA!BU206+VA!BU223-BU173,VA!BT198+VA!BT206+VA!BT223-BT173)</f>
        <v>4445.3164349138515</v>
      </c>
      <c r="BY550" s="1966">
        <f>AVERAGE(VA!BY198+VA!BY206+VA!BY223-BY173,VA!BX198+VA!BX206+VA!BX223-BX173,VA!BW198+VA!BW206+VA!BW223-BW173,VA!BU198+VA!BU206+VA!BU223-BU173)</f>
        <v>4426.6268019349463</v>
      </c>
      <c r="BZ550" s="1966">
        <f>AVERAGE(VA!BZ198+VA!BZ206+VA!BZ223-BZ173,VA!BY198+VA!BY206+VA!BY223-BY173,VA!BX198+VA!BX206+VA!BX223-BX173,VA!BW198+VA!BW206+VA!BW223-BW173)</f>
        <v>4410.1526936574537</v>
      </c>
      <c r="CA550" s="1151">
        <f>BZ550</f>
        <v>4410.1526936574537</v>
      </c>
      <c r="CC550" s="14"/>
      <c r="CD550" s="29" t="str">
        <f>A550</f>
        <v>Total Capital (avg over T4Q)</v>
      </c>
      <c r="CE550" s="1152"/>
      <c r="CF550" s="1152"/>
      <c r="CG550" s="1152"/>
      <c r="CH550" s="1152"/>
      <c r="CI550" s="1152"/>
      <c r="CJ550" s="1152">
        <f>AC550</f>
        <v>768.04375000000005</v>
      </c>
      <c r="CK550" s="1152">
        <f>AH550</f>
        <v>1387.2972500000001</v>
      </c>
      <c r="CL550" s="1152">
        <f>AM550</f>
        <v>1601.9342500000002</v>
      </c>
      <c r="CM550" s="1152">
        <f>AR550</f>
        <v>1539.6229999999998</v>
      </c>
      <c r="CN550" s="1152">
        <f>AW550</f>
        <v>3662.1020000000008</v>
      </c>
      <c r="CO550" s="1152">
        <f>BB550</f>
        <v>3712.4022500000001</v>
      </c>
      <c r="CP550" s="1152">
        <f>BG550</f>
        <v>4112.7180000000008</v>
      </c>
      <c r="CQ550" s="1152">
        <f>BL550</f>
        <v>4631.4042048176461</v>
      </c>
      <c r="CR550" s="1152">
        <f>BQ550</f>
        <v>4563.6658137408685</v>
      </c>
      <c r="CS550" s="1152">
        <f>BV550</f>
        <v>4486.6212164488479</v>
      </c>
      <c r="CT550" s="1152">
        <f>CA550</f>
        <v>4410.1526936574537</v>
      </c>
      <c r="CU550" s="1961"/>
      <c r="DB550" s="1961"/>
      <c r="DC550" s="1961"/>
      <c r="DD550" s="1961"/>
      <c r="DE550" s="1961"/>
      <c r="DF550" s="1961"/>
      <c r="DG550" s="1961"/>
      <c r="DH550" s="1961"/>
      <c r="DI550" s="1"/>
    </row>
    <row r="551" spans="1:113" x14ac:dyDescent="0.25">
      <c r="A551" s="29" t="s">
        <v>335</v>
      </c>
      <c r="B551" s="30"/>
      <c r="C551" s="29"/>
      <c r="D551" s="29"/>
      <c r="E551" s="31"/>
      <c r="F551" s="31"/>
      <c r="G551" s="31"/>
      <c r="H551" s="31"/>
      <c r="I551" s="31"/>
      <c r="J551" s="31">
        <f t="shared" ref="J551:BG551" si="659">J549/J550</f>
        <v>1.0776471140634023</v>
      </c>
      <c r="K551" s="31">
        <f t="shared" si="659"/>
        <v>0.63756070007144094</v>
      </c>
      <c r="L551" s="31">
        <f t="shared" si="659"/>
        <v>0.46772457463224826</v>
      </c>
      <c r="M551" s="31">
        <f t="shared" si="659"/>
        <v>0.4692351789499084</v>
      </c>
      <c r="N551" s="31">
        <f t="shared" si="659"/>
        <v>0.4692351789499084</v>
      </c>
      <c r="O551" s="31">
        <f t="shared" si="659"/>
        <v>0.46860890005751571</v>
      </c>
      <c r="P551" s="31">
        <f t="shared" si="659"/>
        <v>0.47496072669106654</v>
      </c>
      <c r="Q551" s="31">
        <f t="shared" si="659"/>
        <v>0.45779392556153786</v>
      </c>
      <c r="R551" s="31">
        <f t="shared" si="659"/>
        <v>0.31516440675472213</v>
      </c>
      <c r="S551" s="31">
        <f t="shared" si="659"/>
        <v>0.31516440675472213</v>
      </c>
      <c r="T551" s="31">
        <f t="shared" si="659"/>
        <v>0.32610210731015249</v>
      </c>
      <c r="U551" s="31">
        <f t="shared" si="659"/>
        <v>0.34940437305103533</v>
      </c>
      <c r="V551" s="31">
        <f t="shared" si="659"/>
        <v>0.3886957665458815</v>
      </c>
      <c r="W551" s="31">
        <f t="shared" si="659"/>
        <v>0.51024124040612961</v>
      </c>
      <c r="X551" s="31">
        <f t="shared" si="659"/>
        <v>0.51024124040612961</v>
      </c>
      <c r="Y551" s="31">
        <f t="shared" si="659"/>
        <v>0.48700157359757279</v>
      </c>
      <c r="Z551" s="31">
        <f t="shared" si="659"/>
        <v>0.43294793775589202</v>
      </c>
      <c r="AA551" s="31">
        <f t="shared" si="659"/>
        <v>0.40157414678460401</v>
      </c>
      <c r="AB551" s="31">
        <f t="shared" si="659"/>
        <v>0.40590082105426334</v>
      </c>
      <c r="AC551" s="31">
        <f t="shared" si="659"/>
        <v>0.40590082105426334</v>
      </c>
      <c r="AD551" s="31">
        <f t="shared" si="659"/>
        <v>0.36508434578230681</v>
      </c>
      <c r="AE551" s="31">
        <f t="shared" si="659"/>
        <v>0.3431844732377452</v>
      </c>
      <c r="AF551" s="31">
        <f t="shared" si="659"/>
        <v>0.29706240511752363</v>
      </c>
      <c r="AG551" s="31">
        <f t="shared" si="659"/>
        <v>0.27042112045896033</v>
      </c>
      <c r="AH551" s="31">
        <f t="shared" si="659"/>
        <v>0.27042112045896033</v>
      </c>
      <c r="AI551" s="31">
        <f t="shared" si="659"/>
        <v>0.25628389312540806</v>
      </c>
      <c r="AJ551" s="31">
        <f t="shared" si="659"/>
        <v>0.24699724456509364</v>
      </c>
      <c r="AK551" s="31">
        <f t="shared" si="659"/>
        <v>0.25467735333071545</v>
      </c>
      <c r="AL551" s="31">
        <f t="shared" si="659"/>
        <v>0.24366373522333418</v>
      </c>
      <c r="AM551" s="1153">
        <f t="shared" si="659"/>
        <v>0.24366373522333418</v>
      </c>
      <c r="AN551" s="31">
        <f t="shared" si="659"/>
        <v>0.2491909028369981</v>
      </c>
      <c r="AO551" s="31">
        <f t="shared" si="659"/>
        <v>0.25482127569072865</v>
      </c>
      <c r="AP551" s="31">
        <f t="shared" si="659"/>
        <v>0.25892774766218091</v>
      </c>
      <c r="AQ551" s="31">
        <f t="shared" si="659"/>
        <v>0.26938036366584711</v>
      </c>
      <c r="AR551" s="1153">
        <f t="shared" si="659"/>
        <v>0.26938036366584711</v>
      </c>
      <c r="AS551" s="31">
        <f t="shared" si="659"/>
        <v>0.27721879046806752</v>
      </c>
      <c r="AT551" s="31">
        <f t="shared" si="659"/>
        <v>0.20060370504885</v>
      </c>
      <c r="AU551" s="31">
        <f t="shared" si="659"/>
        <v>0.16444438493200933</v>
      </c>
      <c r="AV551" s="31">
        <f t="shared" si="659"/>
        <v>0.14021149546971168</v>
      </c>
      <c r="AW551" s="1153">
        <f t="shared" si="659"/>
        <v>0.14021149546971168</v>
      </c>
      <c r="AX551" s="31">
        <f t="shared" si="659"/>
        <v>0.12361606476319863</v>
      </c>
      <c r="AY551" s="31">
        <f t="shared" si="659"/>
        <v>0.13085124084230654</v>
      </c>
      <c r="AZ551" s="31">
        <f t="shared" si="659"/>
        <v>0.1382984307152435</v>
      </c>
      <c r="BA551" s="31">
        <f t="shared" si="659"/>
        <v>0.14275767291300281</v>
      </c>
      <c r="BB551" s="1154">
        <f t="shared" si="659"/>
        <v>0.14275767291300281</v>
      </c>
      <c r="BC551" s="31">
        <f t="shared" si="659"/>
        <v>0.14761730919121552</v>
      </c>
      <c r="BD551" s="31">
        <f t="shared" si="659"/>
        <v>0.14884305792357763</v>
      </c>
      <c r="BE551" s="31">
        <f t="shared" si="659"/>
        <v>0.13887866498324353</v>
      </c>
      <c r="BF551" s="1967">
        <f>BF549/BF550</f>
        <v>0.15671147708742195</v>
      </c>
      <c r="BG551" s="1154">
        <f t="shared" si="659"/>
        <v>0.15671147708742195</v>
      </c>
      <c r="BH551" s="31">
        <f t="shared" ref="BH551:CA551" si="660">BH549/BH550</f>
        <v>0.26895987736677507</v>
      </c>
      <c r="BI551" s="31">
        <f t="shared" si="660"/>
        <v>0.26092069084148284</v>
      </c>
      <c r="BJ551" s="31">
        <f t="shared" si="660"/>
        <v>0.24345657287922129</v>
      </c>
      <c r="BK551" s="31">
        <f t="shared" si="660"/>
        <v>0.14259983715053545</v>
      </c>
      <c r="BL551" s="1154">
        <f t="shared" si="660"/>
        <v>0.14259983715053545</v>
      </c>
      <c r="BM551" s="31">
        <f t="shared" si="660"/>
        <v>0.25452238405566735</v>
      </c>
      <c r="BN551" s="31">
        <f t="shared" si="660"/>
        <v>0.25557516759779397</v>
      </c>
      <c r="BO551" s="31">
        <f t="shared" si="660"/>
        <v>0.25977280486232812</v>
      </c>
      <c r="BP551" s="31">
        <f t="shared" si="660"/>
        <v>0.15719211436791</v>
      </c>
      <c r="BQ551" s="1154">
        <f t="shared" si="660"/>
        <v>0.15719211436791</v>
      </c>
      <c r="BR551" s="31">
        <f t="shared" si="660"/>
        <v>0.28068380695661255</v>
      </c>
      <c r="BS551" s="31">
        <f t="shared" si="660"/>
        <v>0.28198811594287748</v>
      </c>
      <c r="BT551" s="31">
        <f t="shared" si="660"/>
        <v>0.28663508682904104</v>
      </c>
      <c r="BU551" s="31">
        <f t="shared" si="660"/>
        <v>0.1733240793245692</v>
      </c>
      <c r="BV551" s="1154">
        <f t="shared" si="660"/>
        <v>0.1733240793245692</v>
      </c>
      <c r="BW551" s="31">
        <f t="shared" si="660"/>
        <v>0.30977835182003582</v>
      </c>
      <c r="BX551" s="31">
        <f t="shared" si="660"/>
        <v>0.31152697414614744</v>
      </c>
      <c r="BY551" s="31">
        <f t="shared" si="660"/>
        <v>0.31681401400728937</v>
      </c>
      <c r="BZ551" s="31">
        <f t="shared" si="660"/>
        <v>0.19191179523613777</v>
      </c>
      <c r="CA551" s="1154">
        <f t="shared" si="660"/>
        <v>0.19191179523613777</v>
      </c>
      <c r="CC551" s="14"/>
      <c r="CD551" s="29" t="str">
        <f>A551</f>
        <v>ROIC</v>
      </c>
      <c r="CE551" s="1155"/>
      <c r="CF551" s="1155"/>
      <c r="CG551" s="1155"/>
      <c r="CH551" s="1155"/>
      <c r="CI551" s="1155"/>
      <c r="CJ551" s="1155">
        <f>AC551</f>
        <v>0.40590082105426334</v>
      </c>
      <c r="CK551" s="1155">
        <f>AH551</f>
        <v>0.27042112045896033</v>
      </c>
      <c r="CL551" s="1155">
        <f>AM551</f>
        <v>0.24366373522333418</v>
      </c>
      <c r="CM551" s="1155">
        <f>AR551</f>
        <v>0.26938036366584711</v>
      </c>
      <c r="CN551" s="1155">
        <f>AW551</f>
        <v>0.14021149546971168</v>
      </c>
      <c r="CO551" s="1155">
        <f>BB551</f>
        <v>0.14275767291300281</v>
      </c>
      <c r="CP551" s="1155">
        <f>BG551</f>
        <v>0.15671147708742195</v>
      </c>
      <c r="CQ551" s="1155">
        <f>BL551</f>
        <v>0.14259983715053545</v>
      </c>
      <c r="CR551" s="1155">
        <f>BQ551</f>
        <v>0.15719211436791</v>
      </c>
      <c r="CS551" s="1155">
        <f>BV551</f>
        <v>0.1733240793245692</v>
      </c>
      <c r="CT551" s="1155">
        <f>CA551</f>
        <v>0.19191179523613777</v>
      </c>
      <c r="CU551" s="1961"/>
      <c r="DB551" s="1961"/>
      <c r="DC551" s="1961"/>
      <c r="DD551" s="1961"/>
      <c r="DE551" s="1961"/>
      <c r="DF551" s="1961"/>
      <c r="DG551" s="1961"/>
      <c r="DH551" s="1961"/>
      <c r="DI551" s="1961"/>
    </row>
    <row r="552" spans="1:113" hidden="1" x14ac:dyDescent="0.2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898"/>
      <c r="AN552" s="14"/>
      <c r="AO552" s="14"/>
      <c r="AP552" s="14"/>
      <c r="AQ552" s="14"/>
      <c r="AR552" s="898"/>
      <c r="AS552" s="14"/>
      <c r="AT552" s="14"/>
      <c r="AU552" s="14"/>
      <c r="AV552" s="14"/>
      <c r="AW552" s="898"/>
      <c r="AX552" s="14"/>
      <c r="AY552" s="14"/>
      <c r="AZ552" s="14"/>
      <c r="BA552" s="14"/>
      <c r="BB552" s="1156"/>
      <c r="BC552" s="14"/>
      <c r="BD552" s="14"/>
      <c r="BE552" s="14"/>
      <c r="BF552" s="14"/>
      <c r="BG552" s="1156"/>
      <c r="BH552" s="188"/>
      <c r="BI552" s="14"/>
      <c r="BJ552" s="14"/>
      <c r="BK552" s="14"/>
      <c r="BL552" s="1156"/>
      <c r="BM552" s="188"/>
      <c r="BN552" s="14"/>
      <c r="BO552" s="14"/>
      <c r="BP552" s="14"/>
      <c r="BQ552" s="1156"/>
      <c r="BR552" s="188"/>
      <c r="BS552" s="14"/>
      <c r="BT552" s="14"/>
      <c r="BU552" s="14"/>
      <c r="BV552" s="1156"/>
      <c r="BW552" s="188"/>
      <c r="BX552" s="14"/>
      <c r="BY552" s="14"/>
      <c r="BZ552" s="14"/>
      <c r="CA552" s="1156"/>
      <c r="CC552" s="14"/>
      <c r="CD552" s="14"/>
      <c r="CE552" s="14"/>
      <c r="CF552" s="14"/>
      <c r="CG552" s="14"/>
      <c r="CH552" s="14"/>
      <c r="CI552" s="14"/>
      <c r="CJ552" s="14"/>
      <c r="CK552" s="14"/>
      <c r="CL552" s="14"/>
      <c r="CM552" s="14"/>
      <c r="CN552" s="14"/>
      <c r="CO552" s="14"/>
      <c r="CP552" s="14"/>
      <c r="CQ552" s="14"/>
      <c r="CR552" s="14"/>
      <c r="CS552" s="14"/>
      <c r="CT552" s="14"/>
      <c r="CU552" s="1961"/>
      <c r="DB552" s="1961"/>
      <c r="DC552" s="1961"/>
      <c r="DD552" s="1961"/>
      <c r="DE552" s="1961"/>
      <c r="DF552" s="1961"/>
      <c r="DG552" s="1961"/>
      <c r="DH552" s="1961"/>
      <c r="DI552" s="18"/>
    </row>
    <row r="553" spans="1:113" hidden="1" x14ac:dyDescent="0.2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898"/>
      <c r="AN553" s="14"/>
      <c r="AO553" s="14"/>
      <c r="AP553" s="14"/>
      <c r="AQ553" s="14"/>
      <c r="AR553" s="898"/>
      <c r="AS553" s="14"/>
      <c r="AT553" s="14"/>
      <c r="AU553" s="14"/>
      <c r="AV553" s="14"/>
      <c r="AW553" s="898"/>
      <c r="AX553" s="14"/>
      <c r="AY553" s="14"/>
      <c r="AZ553" s="14"/>
      <c r="BA553" s="14"/>
      <c r="BB553" s="1156"/>
      <c r="BC553" s="14"/>
      <c r="BD553" s="14"/>
      <c r="BE553" s="14"/>
      <c r="BF553" s="14"/>
      <c r="BG553" s="1156"/>
      <c r="BH553" s="188"/>
      <c r="BI553" s="14"/>
      <c r="BJ553" s="14"/>
      <c r="BK553" s="14"/>
      <c r="BL553" s="1156"/>
      <c r="BM553" s="188"/>
      <c r="BN553" s="14"/>
      <c r="BO553" s="14"/>
      <c r="BP553" s="14"/>
      <c r="BQ553" s="1156"/>
      <c r="BR553" s="188"/>
      <c r="BS553" s="14"/>
      <c r="BT553" s="14"/>
      <c r="BU553" s="14"/>
      <c r="BV553" s="1156"/>
      <c r="BW553" s="188"/>
      <c r="BX553" s="14"/>
      <c r="BY553" s="14"/>
      <c r="BZ553" s="14"/>
      <c r="CA553" s="1156"/>
      <c r="CC553" s="14"/>
      <c r="CD553" s="14"/>
      <c r="CE553" s="14"/>
      <c r="CF553" s="14"/>
      <c r="CG553" s="14"/>
      <c r="CH553" s="14"/>
      <c r="CI553" s="14"/>
      <c r="CJ553" s="14"/>
      <c r="CK553" s="14"/>
      <c r="CL553" s="14"/>
      <c r="CM553" s="14"/>
      <c r="CN553" s="14"/>
      <c r="CO553" s="14"/>
      <c r="CP553" s="14"/>
      <c r="CQ553" s="14"/>
      <c r="CR553" s="14"/>
      <c r="CS553" s="14"/>
      <c r="CT553" s="14"/>
      <c r="CU553" s="1961"/>
      <c r="DB553" s="1961"/>
      <c r="DC553" s="1961"/>
      <c r="DD553" s="1961"/>
      <c r="DE553" s="1961"/>
      <c r="DF553" s="1961"/>
      <c r="DG553" s="1961"/>
      <c r="DH553" s="1961"/>
      <c r="DI553" s="18"/>
    </row>
    <row r="554" spans="1:113" ht="5.0999999999999996" customHeight="1" x14ac:dyDescent="0.2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898"/>
      <c r="AN554" s="14"/>
      <c r="AO554" s="14"/>
      <c r="AP554" s="14"/>
      <c r="AQ554" s="14"/>
      <c r="AR554" s="898"/>
      <c r="AS554" s="14"/>
      <c r="AT554" s="14"/>
      <c r="AU554" s="14"/>
      <c r="AV554" s="14"/>
      <c r="AW554" s="898"/>
      <c r="AX554" s="14"/>
      <c r="AY554" s="14"/>
      <c r="AZ554" s="14"/>
      <c r="BA554" s="14"/>
      <c r="BB554" s="1156"/>
      <c r="BC554" s="14"/>
      <c r="BD554" s="14"/>
      <c r="BE554" s="14"/>
      <c r="BF554" s="14"/>
      <c r="BG554" s="1156"/>
      <c r="BH554" s="188"/>
      <c r="BI554" s="14"/>
      <c r="BJ554" s="14"/>
      <c r="BK554" s="14"/>
      <c r="BL554" s="1156"/>
      <c r="BM554" s="188"/>
      <c r="BN554" s="14"/>
      <c r="BO554" s="14"/>
      <c r="BP554" s="14"/>
      <c r="BQ554" s="1156"/>
      <c r="BR554" s="188"/>
      <c r="BS554" s="14"/>
      <c r="BT554" s="14"/>
      <c r="BU554" s="14"/>
      <c r="BV554" s="1156"/>
      <c r="BW554" s="188"/>
      <c r="BX554" s="14"/>
      <c r="BY554" s="14"/>
      <c r="BZ554" s="14"/>
      <c r="CA554" s="1156"/>
      <c r="CC554" s="14"/>
      <c r="CD554" s="14"/>
      <c r="CE554" s="14"/>
      <c r="CF554" s="14"/>
      <c r="CG554" s="14"/>
      <c r="CH554" s="14"/>
      <c r="CI554" s="14"/>
      <c r="CJ554" s="14"/>
      <c r="CK554" s="14"/>
      <c r="CL554" s="14"/>
      <c r="CM554" s="14"/>
      <c r="CN554" s="14"/>
      <c r="CO554" s="14"/>
      <c r="CP554" s="14"/>
      <c r="CQ554" s="14"/>
      <c r="CR554" s="14"/>
      <c r="CS554" s="14"/>
      <c r="CT554" s="14"/>
      <c r="CU554" s="1961"/>
      <c r="DB554" s="1961"/>
      <c r="DC554" s="1961"/>
      <c r="DD554" s="1961"/>
      <c r="DE554" s="1961"/>
      <c r="DF554" s="1961"/>
      <c r="DG554" s="1961"/>
      <c r="DH554" s="1961"/>
      <c r="DI554" s="18"/>
    </row>
    <row r="555" spans="1:113" x14ac:dyDescent="0.25">
      <c r="A555" s="29" t="s">
        <v>336</v>
      </c>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149">
        <f>AI206+AI198-AI173-AI174</f>
        <v>1177.9470000000001</v>
      </c>
      <c r="AJ555" s="1149">
        <f t="shared" ref="AJ555:BB555" si="661">AJ206+AJ198-AJ173-AJ174</f>
        <v>1229.0630000000003</v>
      </c>
      <c r="AK555" s="1149">
        <f t="shared" si="661"/>
        <v>1128.1300000000003</v>
      </c>
      <c r="AL555" s="1149">
        <f t="shared" si="661"/>
        <v>1106.1570000000002</v>
      </c>
      <c r="AM555" s="1150">
        <f t="shared" si="661"/>
        <v>1106.1750000000002</v>
      </c>
      <c r="AN555" s="1149">
        <f t="shared" si="661"/>
        <v>844.01499999999999</v>
      </c>
      <c r="AO555" s="1149">
        <f t="shared" si="661"/>
        <v>852.14099999999985</v>
      </c>
      <c r="AP555" s="1149">
        <f t="shared" si="661"/>
        <v>840.43999999999971</v>
      </c>
      <c r="AQ555" s="1149">
        <f t="shared" si="661"/>
        <v>1393.7719999999999</v>
      </c>
      <c r="AR555" s="1150">
        <f t="shared" si="661"/>
        <v>1393.7719999999999</v>
      </c>
      <c r="AS555" s="1149">
        <f t="shared" si="661"/>
        <v>1149.5339999999999</v>
      </c>
      <c r="AT555" s="1149">
        <f t="shared" si="661"/>
        <v>3170.4420000000005</v>
      </c>
      <c r="AU555" s="1149">
        <f t="shared" si="661"/>
        <v>3025.91</v>
      </c>
      <c r="AV555" s="1149">
        <f t="shared" si="661"/>
        <v>3026.0450000000005</v>
      </c>
      <c r="AW555" s="1150">
        <f t="shared" si="661"/>
        <v>3026.0450000000005</v>
      </c>
      <c r="AX555" s="1149">
        <f t="shared" si="661"/>
        <v>2845.7110000000002</v>
      </c>
      <c r="AY555" s="1149">
        <f t="shared" si="661"/>
        <v>2075.4930000000008</v>
      </c>
      <c r="AZ555" s="1149">
        <f t="shared" si="661"/>
        <v>2118.0770000000007</v>
      </c>
      <c r="BA555" s="1149">
        <f t="shared" si="661"/>
        <v>2248.4680000000003</v>
      </c>
      <c r="BB555" s="1151">
        <f t="shared" si="661"/>
        <v>2248.4680000000008</v>
      </c>
      <c r="BC555" s="1149">
        <f t="shared" ref="BC555:CA555" si="662">BC206+BC198-BC173-BC174</f>
        <v>2128.9680000000008</v>
      </c>
      <c r="BD555" s="1149">
        <f t="shared" si="662"/>
        <v>2259.0680000000007</v>
      </c>
      <c r="BE555" s="1149">
        <f t="shared" si="662"/>
        <v>2735.9680000000012</v>
      </c>
      <c r="BF555" s="1149">
        <f t="shared" si="662"/>
        <v>2862.6680000000006</v>
      </c>
      <c r="BG555" s="1151">
        <f t="shared" si="662"/>
        <v>2862.6680000000006</v>
      </c>
      <c r="BH555" s="1149">
        <f t="shared" si="662"/>
        <v>2632.1752416698819</v>
      </c>
      <c r="BI555" s="1149">
        <f t="shared" si="662"/>
        <v>2633.4942280042419</v>
      </c>
      <c r="BJ555" s="1149">
        <f t="shared" si="662"/>
        <v>2658.6511154815107</v>
      </c>
      <c r="BK555" s="1149">
        <f t="shared" si="662"/>
        <v>2732.5772149100089</v>
      </c>
      <c r="BL555" s="1151">
        <f t="shared" si="662"/>
        <v>2732.5772149100089</v>
      </c>
      <c r="BM555" s="1149">
        <f t="shared" si="662"/>
        <v>2516.4630427885841</v>
      </c>
      <c r="BN555" s="1149">
        <f t="shared" si="662"/>
        <v>2545.3474283630294</v>
      </c>
      <c r="BO555" s="1149">
        <f t="shared" si="662"/>
        <v>2599.7772921388355</v>
      </c>
      <c r="BP555" s="1149">
        <f t="shared" si="662"/>
        <v>2705.5414297249963</v>
      </c>
      <c r="BQ555" s="1151">
        <f t="shared" si="662"/>
        <v>2705.5414297249963</v>
      </c>
      <c r="BR555" s="1149">
        <f t="shared" si="662"/>
        <v>2484.8259906912067</v>
      </c>
      <c r="BS555" s="1149">
        <f t="shared" si="662"/>
        <v>2522.8746947386039</v>
      </c>
      <c r="BT555" s="1149">
        <f t="shared" si="662"/>
        <v>2587.99293995673</v>
      </c>
      <c r="BU555" s="1149">
        <f t="shared" si="662"/>
        <v>2707.0293456761283</v>
      </c>
      <c r="BV555" s="1151">
        <f t="shared" si="662"/>
        <v>2707.0293456761283</v>
      </c>
      <c r="BW555" s="1149">
        <f t="shared" si="662"/>
        <v>2457.7885390624524</v>
      </c>
      <c r="BX555" s="1149">
        <f t="shared" si="662"/>
        <v>2481.8132169972396</v>
      </c>
      <c r="BY555" s="1149">
        <f t="shared" si="662"/>
        <v>2534.4308978389913</v>
      </c>
      <c r="BZ555" s="1149">
        <f t="shared" si="662"/>
        <v>2643.5743017411551</v>
      </c>
      <c r="CA555" s="1151">
        <f t="shared" si="662"/>
        <v>2643.5743017411546</v>
      </c>
      <c r="CC555" s="14"/>
      <c r="CD555" s="14"/>
      <c r="CE555" s="14"/>
      <c r="CF555" s="14"/>
      <c r="CG555" s="14"/>
      <c r="CH555" s="14"/>
      <c r="CI555" s="14"/>
      <c r="CJ555" s="14"/>
      <c r="CK555" s="14"/>
      <c r="CL555" s="14"/>
      <c r="CM555" s="14"/>
      <c r="CN555" s="14"/>
      <c r="CO555" s="14"/>
      <c r="CP555" s="14"/>
      <c r="CQ555" s="14"/>
      <c r="CR555" s="14"/>
      <c r="CS555" s="14"/>
      <c r="CT555" s="14"/>
      <c r="CU555" s="1961"/>
      <c r="DB555" s="1961"/>
      <c r="DC555" s="1961"/>
      <c r="DD555" s="1961"/>
      <c r="DE555" s="1961"/>
      <c r="DF555" s="1961"/>
      <c r="DG555" s="1961"/>
      <c r="DH555" s="1961"/>
      <c r="DI555" s="1961"/>
    </row>
    <row r="556" spans="1:113" x14ac:dyDescent="0.25">
      <c r="A556" s="29" t="s">
        <v>337</v>
      </c>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149">
        <f>AI206+AI198</f>
        <v>1450.4460000000001</v>
      </c>
      <c r="AJ556" s="1149">
        <f t="shared" ref="AJ556:BB556" si="663">AJ206+AJ198</f>
        <v>1404.7800000000002</v>
      </c>
      <c r="AK556" s="1149">
        <f t="shared" si="663"/>
        <v>1310.6290000000001</v>
      </c>
      <c r="AL556" s="1149">
        <f t="shared" si="663"/>
        <v>1275.8870000000002</v>
      </c>
      <c r="AM556" s="1150">
        <f t="shared" si="663"/>
        <v>1275.8870000000002</v>
      </c>
      <c r="AN556" s="1149">
        <f t="shared" si="663"/>
        <v>1275.309</v>
      </c>
      <c r="AO556" s="1149">
        <f t="shared" si="663"/>
        <v>1275.4259999999999</v>
      </c>
      <c r="AP556" s="1149">
        <f t="shared" si="663"/>
        <v>1276.6599999999999</v>
      </c>
      <c r="AQ556" s="1149">
        <f t="shared" si="663"/>
        <v>1436.932</v>
      </c>
      <c r="AR556" s="1150">
        <f t="shared" si="663"/>
        <v>1436.932</v>
      </c>
      <c r="AS556" s="1149">
        <f t="shared" si="663"/>
        <v>1306.2359999999999</v>
      </c>
      <c r="AT556" s="1149">
        <f t="shared" si="663"/>
        <v>3319.6610000000001</v>
      </c>
      <c r="AU556" s="1149">
        <f t="shared" si="663"/>
        <v>3198.3649999999998</v>
      </c>
      <c r="AV556" s="1149">
        <f t="shared" si="663"/>
        <v>3167.9900000000002</v>
      </c>
      <c r="AW556" s="1150">
        <f t="shared" si="663"/>
        <v>3167.9900000000002</v>
      </c>
      <c r="AX556" s="1149">
        <f t="shared" si="663"/>
        <v>2981.0219999999999</v>
      </c>
      <c r="AY556" s="1149">
        <f t="shared" si="663"/>
        <v>2275.288</v>
      </c>
      <c r="AZ556" s="1149">
        <f t="shared" si="663"/>
        <v>2286.3420000000001</v>
      </c>
      <c r="BA556" s="1149">
        <f t="shared" si="663"/>
        <v>2387</v>
      </c>
      <c r="BB556" s="1151">
        <f t="shared" si="663"/>
        <v>2387</v>
      </c>
      <c r="BC556" s="1149">
        <f t="shared" ref="BC556:CA556" si="664">BC206+BC198</f>
        <v>2287.6</v>
      </c>
      <c r="BD556" s="1149">
        <f t="shared" si="664"/>
        <v>2403.4</v>
      </c>
      <c r="BE556" s="1149">
        <f t="shared" si="664"/>
        <v>2881.7000000000003</v>
      </c>
      <c r="BF556" s="1149">
        <f t="shared" si="664"/>
        <v>3008.8</v>
      </c>
      <c r="BG556" s="1151">
        <f t="shared" si="664"/>
        <v>3008.8</v>
      </c>
      <c r="BH556" s="1149">
        <f t="shared" si="664"/>
        <v>3008.8</v>
      </c>
      <c r="BI556" s="1149">
        <f t="shared" si="664"/>
        <v>3008.8</v>
      </c>
      <c r="BJ556" s="1149">
        <f t="shared" si="664"/>
        <v>3008.8</v>
      </c>
      <c r="BK556" s="1149">
        <f t="shared" si="664"/>
        <v>3008.8</v>
      </c>
      <c r="BL556" s="1151">
        <f t="shared" si="664"/>
        <v>3008.8</v>
      </c>
      <c r="BM556" s="1149">
        <f t="shared" si="664"/>
        <v>3008.8</v>
      </c>
      <c r="BN556" s="1149">
        <f t="shared" si="664"/>
        <v>3008.8</v>
      </c>
      <c r="BO556" s="1149">
        <f t="shared" si="664"/>
        <v>3008.8</v>
      </c>
      <c r="BP556" s="1149">
        <f t="shared" si="664"/>
        <v>3008.8</v>
      </c>
      <c r="BQ556" s="1151">
        <f t="shared" si="664"/>
        <v>3008.8</v>
      </c>
      <c r="BR556" s="1149">
        <f t="shared" si="664"/>
        <v>3008.8</v>
      </c>
      <c r="BS556" s="1149">
        <f t="shared" si="664"/>
        <v>3008.8</v>
      </c>
      <c r="BT556" s="1149">
        <f t="shared" si="664"/>
        <v>3008.8</v>
      </c>
      <c r="BU556" s="1149">
        <f t="shared" si="664"/>
        <v>3008.8</v>
      </c>
      <c r="BV556" s="1151">
        <f t="shared" si="664"/>
        <v>3008.8</v>
      </c>
      <c r="BW556" s="1149">
        <f t="shared" si="664"/>
        <v>3008.8</v>
      </c>
      <c r="BX556" s="1149">
        <f t="shared" si="664"/>
        <v>3008.8</v>
      </c>
      <c r="BY556" s="1149">
        <f t="shared" si="664"/>
        <v>3008.8</v>
      </c>
      <c r="BZ556" s="1149">
        <f t="shared" si="664"/>
        <v>3008.8</v>
      </c>
      <c r="CA556" s="1151">
        <f t="shared" si="664"/>
        <v>3008.8</v>
      </c>
      <c r="CC556" s="14"/>
      <c r="CD556" s="14"/>
      <c r="CE556" s="14"/>
      <c r="CF556" s="14"/>
      <c r="CG556" s="14"/>
      <c r="CH556" s="14"/>
      <c r="CI556" s="14"/>
      <c r="CJ556" s="14"/>
      <c r="CK556" s="14"/>
      <c r="CL556" s="14"/>
      <c r="CM556" s="14"/>
      <c r="CN556" s="14"/>
      <c r="CO556" s="14"/>
      <c r="CP556" s="14"/>
      <c r="CQ556" s="14"/>
      <c r="CR556" s="14"/>
      <c r="CS556" s="14"/>
      <c r="CT556" s="14"/>
      <c r="CU556" s="1961"/>
      <c r="DB556" s="1961"/>
      <c r="DC556" s="1961"/>
      <c r="DD556" s="1961"/>
      <c r="DE556" s="1961"/>
      <c r="DF556" s="1961"/>
      <c r="DG556" s="1961"/>
      <c r="DH556" s="1961"/>
      <c r="DI556" s="1961"/>
    </row>
    <row r="557" spans="1:113" x14ac:dyDescent="0.25">
      <c r="A557" s="29" t="s">
        <v>338</v>
      </c>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149">
        <f>VA!AE29+VA!AF29+VA!AG29+VA!AI29</f>
        <v>713.33799999999997</v>
      </c>
      <c r="AJ557" s="1149">
        <f>VA!AF29+VA!AG29+VA!AI29+VA!AJ29</f>
        <v>729.39900000000011</v>
      </c>
      <c r="AK557" s="1149">
        <f>VA!AG29+VA!AI29+VA!AJ29+VA!AK29</f>
        <v>744.82999999999993</v>
      </c>
      <c r="AL557" s="1149">
        <f>VA!AI29+VA!AJ29+VA!AK29+VA!AL29</f>
        <v>744.20899999999995</v>
      </c>
      <c r="AM557" s="1150">
        <f>AM29</f>
        <v>744.20900000000006</v>
      </c>
      <c r="AN557" s="1149">
        <f>VA!AJ29+VA!AK29+VA!AL29+VA!AN29</f>
        <v>750.30199999999991</v>
      </c>
      <c r="AO557" s="1149">
        <f>VA!AK29+VA!AL29+VA!AN29+VA!AO29</f>
        <v>764.57199999999989</v>
      </c>
      <c r="AP557" s="1149">
        <f>VA!AL29+VA!AN29+VA!AO29+VA!AP29</f>
        <v>777.36199999999997</v>
      </c>
      <c r="AQ557" s="1149">
        <f>VA!AN29+VA!AO29+VA!AP29+VA!AQ29</f>
        <v>802.82199999999989</v>
      </c>
      <c r="AR557" s="1150">
        <f>AR29</f>
        <v>802.82199999999989</v>
      </c>
      <c r="AS557" s="1149">
        <f>VA!AO29+VA!AP29+VA!AQ29+VA!AS29</f>
        <v>836.86099999999999</v>
      </c>
      <c r="AT557" s="1149">
        <f>VA!AP29+VA!AQ29+VA!AS29+VA!AT29</f>
        <v>854.01299999999992</v>
      </c>
      <c r="AU557" s="1149">
        <f>VA!AQ29+VA!AS29+VA!AT29+VA!AU29</f>
        <v>903.30899999999986</v>
      </c>
      <c r="AV557" s="1149">
        <f>VA!AS29+VA!AT29+VA!AU29+VA!AV29</f>
        <v>952.06100000000004</v>
      </c>
      <c r="AW557" s="1150">
        <f>AW29</f>
        <v>952.06099999999969</v>
      </c>
      <c r="AX557" s="1149">
        <f>VA!AT29+VA!AU29+VA!AV29+VA!AX29</f>
        <v>983.57300000000009</v>
      </c>
      <c r="AY557" s="1149">
        <f>VA!AU29+VA!AV29+VA!AX29+VA!AY29</f>
        <v>1016.6840000000001</v>
      </c>
      <c r="AZ557" s="1149">
        <f>VA!AV29+VA!AX29+VA!AY29+VA!AZ29</f>
        <v>1006.3620000000001</v>
      </c>
      <c r="BA557" s="1149">
        <f>VA!AX29+VA!AY29+VA!AZ29+VA!BA29</f>
        <v>979.16200000000003</v>
      </c>
      <c r="BB557" s="1151">
        <f>BB29</f>
        <v>979.16199999999981</v>
      </c>
      <c r="BC557" s="1149">
        <f>VA!AY29+VA!AZ29+VA!BA29+VA!BC29</f>
        <v>974.57499999999982</v>
      </c>
      <c r="BD557" s="1149">
        <f>VA!AZ29+VA!BA29+VA!BC29+VA!BD29</f>
        <v>981.00200000000007</v>
      </c>
      <c r="BE557" s="1149">
        <f>VA!BA29+VA!BC29+VA!BD29+VA!BE29</f>
        <v>1000.1</v>
      </c>
      <c r="BF557" s="1149">
        <f>VA!BC29+VA!BD29+VA!BE29+VA!BF29</f>
        <v>1038.5999999999999</v>
      </c>
      <c r="BG557" s="1151">
        <f>BG29</f>
        <v>1038.6000000000004</v>
      </c>
      <c r="BH557" s="1149">
        <f>VA!BE29+VA!BF29+VA!BG29+VA!BH29</f>
        <v>1851.3921276973183</v>
      </c>
      <c r="BI557" s="1149">
        <f>VA!BF29+VA!BG29+VA!BH29+VA!BI29</f>
        <v>1856.5985548403919</v>
      </c>
      <c r="BJ557" s="1149">
        <f>VA!BG29+VA!BH29+VA!BI29+VA!BJ29</f>
        <v>1874.8709052645745</v>
      </c>
      <c r="BK557" s="1149">
        <f>VA!BH29+VA!BI29+VA!BJ29+VA!BK29</f>
        <v>1129.2554448529504</v>
      </c>
      <c r="BL557" s="1151">
        <f>BL29</f>
        <v>1129.2554448529504</v>
      </c>
      <c r="BM557" s="1149">
        <f>VA!BJ29+VA!BK29+VA!BL29+VA!BM29</f>
        <v>2000.3617285629807</v>
      </c>
      <c r="BN557" s="1149">
        <f>VA!BK29+VA!BL29+VA!BM29+VA!BN29</f>
        <v>2000.0035274321676</v>
      </c>
      <c r="BO557" s="1149">
        <f>VA!BL29+VA!BM29+VA!BN29+VA!BO29</f>
        <v>2018.2592741268452</v>
      </c>
      <c r="BP557" s="1149">
        <f>VA!BM29+VA!BN29+VA!BO29+VA!BP29</f>
        <v>1200.8450081480457</v>
      </c>
      <c r="BQ557" s="1151">
        <f>BQ29</f>
        <v>1200.8450081480457</v>
      </c>
      <c r="BR557" s="1149">
        <f>VA!BO29+VA!BP29+VA!BQ29+VA!BR29</f>
        <v>2127.0181388335623</v>
      </c>
      <c r="BS557" s="1149">
        <f>VA!BP29+VA!BQ29+VA!BR29+VA!BS29</f>
        <v>2126.2176290875527</v>
      </c>
      <c r="BT557" s="1149">
        <f>VA!BQ29+VA!BR29+VA!BS29+VA!BT29</f>
        <v>2144.9165371902341</v>
      </c>
      <c r="BU557" s="1149">
        <f>VA!BR29+VA!BS29+VA!BT29+VA!BU29</f>
        <v>1275.2759267789424</v>
      </c>
      <c r="BV557" s="1151">
        <f>BV29</f>
        <v>1275.2759267789424</v>
      </c>
      <c r="BW557" s="1149">
        <f>VA!BT29+VA!BU29+VA!BV29+VA!BW29</f>
        <v>2258.8710920102171</v>
      </c>
      <c r="BX557" s="1149">
        <f>VA!BU29+VA!BV29+VA!BW29+VA!BX29</f>
        <v>2258.0479875639926</v>
      </c>
      <c r="BY557" s="1149">
        <f>VA!BV29+VA!BW29+VA!BX29+VA!BY29</f>
        <v>2277.9105609969047</v>
      </c>
      <c r="BZ557" s="1149">
        <f>VA!BW29+VA!BX29+VA!BY29+VA!BZ29</f>
        <v>1354.4346647913019</v>
      </c>
      <c r="CA557" s="1151">
        <f>CA29</f>
        <v>1354.4346647913019</v>
      </c>
      <c r="CC557" s="14"/>
      <c r="CD557" s="14"/>
      <c r="CE557" s="14"/>
      <c r="CF557" s="14"/>
      <c r="CG557" s="14"/>
      <c r="CH557" s="14"/>
      <c r="CI557" s="14"/>
      <c r="CJ557" s="14"/>
      <c r="CK557" s="14"/>
      <c r="CL557" s="14"/>
      <c r="CM557" s="14"/>
      <c r="CN557" s="14"/>
      <c r="CO557" s="14"/>
      <c r="CP557" s="14"/>
      <c r="CQ557" s="14"/>
      <c r="CR557" s="14"/>
      <c r="CS557" s="14"/>
      <c r="CT557" s="14"/>
      <c r="CU557" s="1961"/>
      <c r="DB557" s="1961"/>
      <c r="DC557" s="1961"/>
      <c r="DD557" s="1961"/>
      <c r="DE557" s="1961"/>
      <c r="DF557" s="1961"/>
      <c r="DG557" s="1961"/>
      <c r="DH557" s="1961"/>
      <c r="DI557" s="1961"/>
    </row>
    <row r="558" spans="1:113" x14ac:dyDescent="0.25">
      <c r="A558" s="29" t="s">
        <v>339</v>
      </c>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157">
        <f>AI555/AI557</f>
        <v>1.6513167670865707</v>
      </c>
      <c r="AJ558" s="1157">
        <f t="shared" ref="AJ558:BG558" si="665">AJ555/AJ557</f>
        <v>1.6850352139226954</v>
      </c>
      <c r="AK558" s="1157">
        <f t="shared" si="665"/>
        <v>1.5146140730099491</v>
      </c>
      <c r="AL558" s="1157">
        <f t="shared" si="665"/>
        <v>1.4863526240612519</v>
      </c>
      <c r="AM558" s="1158">
        <f t="shared" si="665"/>
        <v>1.4863768108152415</v>
      </c>
      <c r="AN558" s="1157">
        <f t="shared" si="665"/>
        <v>1.1249003734496243</v>
      </c>
      <c r="AO558" s="1157">
        <f t="shared" si="665"/>
        <v>1.1145333598405383</v>
      </c>
      <c r="AP558" s="1157">
        <f t="shared" si="665"/>
        <v>1.0811436627980269</v>
      </c>
      <c r="AQ558" s="1157">
        <f t="shared" si="665"/>
        <v>1.7360909392119301</v>
      </c>
      <c r="AR558" s="1158">
        <f t="shared" si="665"/>
        <v>1.7360909392119301</v>
      </c>
      <c r="AS558" s="1157">
        <f t="shared" si="665"/>
        <v>1.373625966558365</v>
      </c>
      <c r="AT558" s="1157">
        <f>AT555/AT557</f>
        <v>3.7124048462962516</v>
      </c>
      <c r="AU558" s="1157">
        <f t="shared" si="665"/>
        <v>3.3498061017879821</v>
      </c>
      <c r="AV558" s="1157">
        <f t="shared" si="665"/>
        <v>3.1784150385321954</v>
      </c>
      <c r="AW558" s="1158">
        <f t="shared" si="665"/>
        <v>3.1784150385321963</v>
      </c>
      <c r="AX558" s="1157">
        <f t="shared" si="665"/>
        <v>2.8932382243107528</v>
      </c>
      <c r="AY558" s="1157">
        <f t="shared" si="665"/>
        <v>2.0414337198185479</v>
      </c>
      <c r="AZ558" s="1157">
        <f t="shared" si="665"/>
        <v>2.1046869814241798</v>
      </c>
      <c r="BA558" s="1157">
        <f t="shared" si="665"/>
        <v>2.2963186888380065</v>
      </c>
      <c r="BB558" s="1159">
        <f t="shared" si="665"/>
        <v>2.2963186888380074</v>
      </c>
      <c r="BC558" s="1157">
        <f t="shared" si="665"/>
        <v>2.1845091450119294</v>
      </c>
      <c r="BD558" s="1157">
        <f t="shared" si="665"/>
        <v>2.3028169157657175</v>
      </c>
      <c r="BE558" s="1157">
        <f t="shared" si="665"/>
        <v>2.7356944305569453</v>
      </c>
      <c r="BF558" s="1157">
        <f t="shared" si="665"/>
        <v>2.7562757558251501</v>
      </c>
      <c r="BG558" s="1159">
        <f t="shared" si="665"/>
        <v>2.7562757558251487</v>
      </c>
      <c r="BH558" s="1157">
        <f t="shared" ref="BH558:CA558" si="666">BH555/BH557</f>
        <v>1.4217275758559413</v>
      </c>
      <c r="BI558" s="1157">
        <f t="shared" si="666"/>
        <v>1.4184510814889857</v>
      </c>
      <c r="BJ558" s="1157">
        <f t="shared" si="666"/>
        <v>1.418044894726409</v>
      </c>
      <c r="BK558" s="1157">
        <f t="shared" si="666"/>
        <v>2.4198043298040863</v>
      </c>
      <c r="BL558" s="1159">
        <f t="shared" si="666"/>
        <v>2.4198043298040863</v>
      </c>
      <c r="BM558" s="1157">
        <f t="shared" si="666"/>
        <v>1.2580039934059126</v>
      </c>
      <c r="BN558" s="1157">
        <f t="shared" si="666"/>
        <v>1.2726714695503745</v>
      </c>
      <c r="BO558" s="1157">
        <f t="shared" si="666"/>
        <v>1.2881285003699889</v>
      </c>
      <c r="BP558" s="1157">
        <f t="shared" si="666"/>
        <v>2.2530313332421703</v>
      </c>
      <c r="BQ558" s="1159">
        <f t="shared" si="666"/>
        <v>2.2530313332421703</v>
      </c>
      <c r="BR558" s="1157">
        <f t="shared" si="666"/>
        <v>1.1682204045772093</v>
      </c>
      <c r="BS558" s="1157">
        <f t="shared" si="666"/>
        <v>1.1865552520234126</v>
      </c>
      <c r="BT558" s="1157">
        <f t="shared" si="666"/>
        <v>1.20657046327169</v>
      </c>
      <c r="BU558" s="1157">
        <f t="shared" si="666"/>
        <v>2.1227008907111342</v>
      </c>
      <c r="BV558" s="1159">
        <f t="shared" si="666"/>
        <v>2.1227008907111342</v>
      </c>
      <c r="BW558" s="1157">
        <f t="shared" si="666"/>
        <v>1.0880605572207374</v>
      </c>
      <c r="BX558" s="1157">
        <f t="shared" si="666"/>
        <v>1.0990967555453273</v>
      </c>
      <c r="BY558" s="1157">
        <f t="shared" si="666"/>
        <v>1.1126121197356507</v>
      </c>
      <c r="BZ558" s="1157">
        <f t="shared" si="666"/>
        <v>1.9517916740180969</v>
      </c>
      <c r="CA558" s="1159">
        <f t="shared" si="666"/>
        <v>1.9517916740180965</v>
      </c>
      <c r="CC558" s="14"/>
      <c r="CD558" s="14"/>
      <c r="CE558" s="14"/>
      <c r="CF558" s="14"/>
      <c r="CG558" s="14"/>
      <c r="CH558" s="14"/>
      <c r="CI558" s="14"/>
      <c r="CJ558" s="14"/>
      <c r="CK558" s="14"/>
      <c r="CL558" s="14"/>
      <c r="CM558" s="14"/>
      <c r="CN558" s="14"/>
      <c r="CO558" s="14"/>
      <c r="CP558" s="14"/>
      <c r="CQ558" s="14"/>
      <c r="CR558" s="14"/>
      <c r="CS558" s="14"/>
      <c r="CT558" s="14"/>
      <c r="CU558" s="1961"/>
      <c r="DB558" s="1961"/>
      <c r="DC558" s="1961"/>
      <c r="DD558" s="1961"/>
      <c r="DE558" s="1961"/>
      <c r="DF558" s="1961"/>
      <c r="DG558" s="1961"/>
      <c r="DH558" s="1961"/>
      <c r="DI558" s="1961"/>
    </row>
    <row r="559" spans="1:113" x14ac:dyDescent="0.25">
      <c r="A559" s="29" t="s">
        <v>340</v>
      </c>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157">
        <f>AI556/AI557</f>
        <v>2.0333222119107637</v>
      </c>
      <c r="AJ559" s="1157">
        <f t="shared" ref="AJ559:BB559" si="667">AJ556/AJ557</f>
        <v>1.9259417684970777</v>
      </c>
      <c r="AK559" s="1157">
        <f t="shared" si="667"/>
        <v>1.7596350845159301</v>
      </c>
      <c r="AL559" s="1157">
        <f t="shared" si="667"/>
        <v>1.7144202770995787</v>
      </c>
      <c r="AM559" s="1158">
        <f t="shared" si="667"/>
        <v>1.7144202770995782</v>
      </c>
      <c r="AN559" s="1157">
        <f t="shared" si="667"/>
        <v>1.6997275763625848</v>
      </c>
      <c r="AO559" s="1157">
        <f t="shared" si="667"/>
        <v>1.6681568249948993</v>
      </c>
      <c r="AP559" s="1157">
        <f t="shared" si="667"/>
        <v>1.6422979255482</v>
      </c>
      <c r="AQ559" s="1157">
        <f t="shared" si="667"/>
        <v>1.7898512995408697</v>
      </c>
      <c r="AR559" s="1158">
        <f t="shared" si="667"/>
        <v>1.7898512995408697</v>
      </c>
      <c r="AS559" s="1157">
        <f t="shared" si="667"/>
        <v>1.5608757009826004</v>
      </c>
      <c r="AT559" s="1157">
        <f t="shared" si="667"/>
        <v>3.8871316947165915</v>
      </c>
      <c r="AU559" s="1157">
        <f t="shared" si="667"/>
        <v>3.5407208386056159</v>
      </c>
      <c r="AV559" s="1157">
        <f t="shared" si="667"/>
        <v>3.3275073761030018</v>
      </c>
      <c r="AW559" s="1158">
        <f t="shared" si="667"/>
        <v>3.3275073761030032</v>
      </c>
      <c r="AX559" s="1157">
        <f t="shared" si="667"/>
        <v>3.0308091011038325</v>
      </c>
      <c r="AY559" s="1157">
        <f t="shared" si="667"/>
        <v>2.2379500415074887</v>
      </c>
      <c r="AZ559" s="1157">
        <f t="shared" si="667"/>
        <v>2.2718882469727593</v>
      </c>
      <c r="BA559" s="1157">
        <f t="shared" si="667"/>
        <v>2.437798852488148</v>
      </c>
      <c r="BB559" s="1159">
        <f t="shared" si="667"/>
        <v>2.4377988524881484</v>
      </c>
      <c r="BC559" s="1157">
        <f t="shared" ref="BC559:CA559" si="668">BC556/BC557</f>
        <v>2.3472795834081528</v>
      </c>
      <c r="BD559" s="1157">
        <f t="shared" si="668"/>
        <v>2.4499440368113419</v>
      </c>
      <c r="BE559" s="1157">
        <f t="shared" si="668"/>
        <v>2.8814118588141189</v>
      </c>
      <c r="BF559" s="1157">
        <f t="shared" si="668"/>
        <v>2.896976699403043</v>
      </c>
      <c r="BG559" s="1159">
        <f t="shared" si="668"/>
        <v>2.8969766994030417</v>
      </c>
      <c r="BH559" s="1157">
        <f t="shared" si="668"/>
        <v>1.6251554465353679</v>
      </c>
      <c r="BI559" s="1157">
        <f t="shared" si="668"/>
        <v>1.6205980512888316</v>
      </c>
      <c r="BJ559" s="1157">
        <f t="shared" si="668"/>
        <v>1.6048038249201002</v>
      </c>
      <c r="BK559" s="1157">
        <f t="shared" si="668"/>
        <v>2.6644104429284381</v>
      </c>
      <c r="BL559" s="1159">
        <f t="shared" si="668"/>
        <v>2.6644104429284381</v>
      </c>
      <c r="BM559" s="1157">
        <f t="shared" si="668"/>
        <v>1.5041279569777917</v>
      </c>
      <c r="BN559" s="1157">
        <f t="shared" si="668"/>
        <v>1.5043973466702034</v>
      </c>
      <c r="BO559" s="1157">
        <f t="shared" si="668"/>
        <v>1.4907896317244425</v>
      </c>
      <c r="BP559" s="1157">
        <f t="shared" si="668"/>
        <v>2.5055689781649666</v>
      </c>
      <c r="BQ559" s="1159">
        <f t="shared" si="668"/>
        <v>2.5055689781649666</v>
      </c>
      <c r="BR559" s="1157">
        <f t="shared" si="668"/>
        <v>1.4145624548599285</v>
      </c>
      <c r="BS559" s="1157">
        <f t="shared" si="668"/>
        <v>1.4150950301786369</v>
      </c>
      <c r="BT559" s="1157">
        <f t="shared" si="668"/>
        <v>1.4027585446011914</v>
      </c>
      <c r="BU559" s="1157">
        <f t="shared" si="668"/>
        <v>2.3593325466430985</v>
      </c>
      <c r="BV559" s="1159">
        <f t="shared" si="668"/>
        <v>2.3593325466430985</v>
      </c>
      <c r="BW559" s="1157">
        <f t="shared" si="668"/>
        <v>1.3319927864154504</v>
      </c>
      <c r="BX559" s="1157">
        <f t="shared" si="668"/>
        <v>1.3324783248942054</v>
      </c>
      <c r="BY559" s="1157">
        <f t="shared" si="668"/>
        <v>1.3208595857614485</v>
      </c>
      <c r="BZ559" s="1157">
        <f t="shared" si="668"/>
        <v>2.2214434392548652</v>
      </c>
      <c r="CA559" s="1159">
        <f t="shared" si="668"/>
        <v>2.2214434392548652</v>
      </c>
      <c r="CC559" s="14"/>
      <c r="CD559" s="14"/>
      <c r="CE559" s="14"/>
      <c r="CF559" s="14"/>
      <c r="CG559" s="14"/>
      <c r="CH559" s="14"/>
      <c r="CI559" s="14"/>
      <c r="CJ559" s="14"/>
      <c r="CK559" s="14"/>
      <c r="CL559" s="14"/>
      <c r="CM559" s="14"/>
      <c r="CN559" s="14"/>
      <c r="CO559" s="14"/>
      <c r="CP559" s="14"/>
      <c r="CQ559" s="14"/>
      <c r="CR559" s="14"/>
      <c r="CS559" s="14"/>
      <c r="CT559" s="14"/>
      <c r="CU559" s="1961"/>
      <c r="DB559" s="1961"/>
      <c r="DC559" s="1961"/>
      <c r="DD559" s="1961"/>
      <c r="DE559" s="1961"/>
      <c r="DF559" s="1961"/>
      <c r="DG559" s="1961"/>
      <c r="DH559" s="1961"/>
      <c r="DI559" s="1961"/>
    </row>
    <row r="560" spans="1:113" hidden="1" x14ac:dyDescent="0.25">
      <c r="A560" s="29"/>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157"/>
      <c r="AJ560" s="1157"/>
      <c r="AK560" s="1157"/>
      <c r="AL560" s="1157"/>
      <c r="AM560" s="1158"/>
      <c r="AN560" s="1157"/>
      <c r="AO560" s="1157"/>
      <c r="AP560" s="1157"/>
      <c r="AQ560" s="1157"/>
      <c r="AR560" s="1158"/>
      <c r="AS560" s="1157"/>
      <c r="AT560" s="1157"/>
      <c r="AU560" s="1157"/>
      <c r="AV560" s="1157"/>
      <c r="AW560" s="1158"/>
      <c r="AX560" s="1157"/>
      <c r="AY560" s="1157"/>
      <c r="AZ560" s="1157"/>
      <c r="BA560" s="1157"/>
      <c r="BB560" s="1159"/>
      <c r="BC560" s="1157"/>
      <c r="BD560" s="1157"/>
      <c r="BE560" s="1157"/>
      <c r="BF560" s="1157"/>
      <c r="BG560" s="1159"/>
      <c r="BH560" s="1157"/>
      <c r="BI560" s="1157"/>
      <c r="BJ560" s="1157"/>
      <c r="BK560" s="1157"/>
      <c r="BL560" s="1159"/>
      <c r="BM560" s="1157"/>
      <c r="BN560" s="1157"/>
      <c r="BO560" s="1157"/>
      <c r="BP560" s="1157"/>
      <c r="BQ560" s="1159"/>
      <c r="BR560" s="1157"/>
      <c r="BS560" s="1157"/>
      <c r="BT560" s="1157"/>
      <c r="BU560" s="1157"/>
      <c r="BV560" s="1159"/>
      <c r="BW560" s="1157"/>
      <c r="BX560" s="1157"/>
      <c r="BY560" s="1157"/>
      <c r="BZ560" s="1157"/>
      <c r="CA560" s="1159"/>
      <c r="CC560" s="14"/>
      <c r="CD560" s="14"/>
      <c r="CE560" s="14"/>
      <c r="CF560" s="14"/>
      <c r="CG560" s="14"/>
      <c r="CH560" s="14"/>
      <c r="CI560" s="14"/>
      <c r="CJ560" s="14"/>
      <c r="CK560" s="14"/>
      <c r="CL560" s="14"/>
      <c r="CM560" s="14"/>
      <c r="CN560" s="14"/>
      <c r="CO560" s="14"/>
      <c r="CP560" s="14"/>
      <c r="CQ560" s="14"/>
      <c r="CR560" s="14"/>
      <c r="CS560" s="14"/>
      <c r="CT560" s="14"/>
      <c r="CU560" s="1961"/>
      <c r="DB560" s="1961"/>
      <c r="DC560" s="1961"/>
      <c r="DD560" s="1961"/>
      <c r="DE560" s="1961"/>
      <c r="DF560" s="1961"/>
      <c r="DG560" s="1961"/>
      <c r="DH560" s="1961"/>
      <c r="DI560" s="1961"/>
    </row>
    <row r="561" spans="1:113" hidden="1" x14ac:dyDescent="0.2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898"/>
      <c r="AN561" s="14"/>
      <c r="AO561" s="14"/>
      <c r="AP561" s="14"/>
      <c r="AQ561" s="14"/>
      <c r="AR561" s="898"/>
      <c r="AS561" s="14"/>
      <c r="AT561" s="14"/>
      <c r="AU561" s="14"/>
      <c r="AV561" s="14"/>
      <c r="AW561" s="898"/>
      <c r="AX561" s="14"/>
      <c r="AY561" s="14"/>
      <c r="AZ561" s="14"/>
      <c r="BA561" s="14"/>
      <c r="BB561" s="1156"/>
      <c r="BC561" s="14"/>
      <c r="BD561" s="14"/>
      <c r="BE561" s="14"/>
      <c r="BF561" s="14"/>
      <c r="BG561" s="1156"/>
      <c r="BH561" s="14"/>
      <c r="BI561" s="14"/>
      <c r="BJ561" s="14"/>
      <c r="BK561" s="14"/>
      <c r="BL561" s="1156"/>
      <c r="BM561" s="14"/>
      <c r="BN561" s="14"/>
      <c r="BO561" s="14"/>
      <c r="BP561" s="14"/>
      <c r="BQ561" s="1156"/>
      <c r="BR561" s="14"/>
      <c r="BS561" s="14"/>
      <c r="BT561" s="14"/>
      <c r="BU561" s="14"/>
      <c r="BV561" s="1156"/>
      <c r="BW561" s="14"/>
      <c r="BX561" s="14"/>
      <c r="BY561" s="14"/>
      <c r="BZ561" s="14"/>
      <c r="CA561" s="1156"/>
      <c r="CC561" s="14"/>
      <c r="CD561" s="14"/>
      <c r="CE561" s="14"/>
      <c r="CF561" s="14"/>
      <c r="CG561" s="14"/>
      <c r="CH561" s="14"/>
      <c r="CI561" s="14"/>
      <c r="CJ561" s="14"/>
      <c r="CK561" s="14"/>
      <c r="CL561" s="14"/>
      <c r="CM561" s="14"/>
      <c r="CN561" s="14"/>
      <c r="CO561" s="14"/>
      <c r="CP561" s="14"/>
      <c r="CQ561" s="14"/>
      <c r="CR561" s="14"/>
      <c r="CS561" s="14"/>
      <c r="CT561" s="14"/>
      <c r="CU561" s="1961"/>
      <c r="DB561" s="1961"/>
      <c r="DC561" s="1961"/>
      <c r="DD561" s="1961"/>
      <c r="DE561" s="1961"/>
      <c r="DF561" s="1961"/>
      <c r="DG561" s="1961"/>
      <c r="DH561" s="1961"/>
      <c r="DI561" s="18"/>
    </row>
    <row r="562" spans="1:113" hidden="1" x14ac:dyDescent="0.2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898"/>
      <c r="AN562" s="14"/>
      <c r="AO562" s="14"/>
      <c r="AP562" s="14"/>
      <c r="AQ562" s="14"/>
      <c r="AR562" s="898"/>
      <c r="AS562" s="14"/>
      <c r="AT562" s="14"/>
      <c r="AU562" s="14"/>
      <c r="AV562" s="14"/>
      <c r="AW562" s="898"/>
      <c r="AX562" s="14"/>
      <c r="AY562" s="14"/>
      <c r="AZ562" s="14"/>
      <c r="BA562" s="14"/>
      <c r="BB562" s="1156"/>
      <c r="BC562" s="14"/>
      <c r="BD562" s="14"/>
      <c r="BE562" s="14"/>
      <c r="BF562" s="14"/>
      <c r="BG562" s="1156"/>
      <c r="BH562" s="14"/>
      <c r="BI562" s="14"/>
      <c r="BJ562" s="14"/>
      <c r="BK562" s="14"/>
      <c r="BL562" s="1156"/>
      <c r="BM562" s="14"/>
      <c r="BN562" s="14"/>
      <c r="BO562" s="14"/>
      <c r="BP562" s="14"/>
      <c r="BQ562" s="1156"/>
      <c r="BR562" s="14"/>
      <c r="BS562" s="14"/>
      <c r="BT562" s="14"/>
      <c r="BU562" s="14"/>
      <c r="BV562" s="1156"/>
      <c r="BW562" s="14"/>
      <c r="BX562" s="14"/>
      <c r="BY562" s="14"/>
      <c r="BZ562" s="14"/>
      <c r="CA562" s="1156"/>
      <c r="CC562" s="14"/>
      <c r="CD562" s="14"/>
      <c r="CE562" s="14"/>
      <c r="CF562" s="14"/>
      <c r="CG562" s="14"/>
      <c r="CH562" s="14"/>
      <c r="CI562" s="14"/>
      <c r="CJ562" s="14"/>
      <c r="CK562" s="14"/>
      <c r="CL562" s="14"/>
      <c r="CM562" s="14"/>
      <c r="CN562" s="14"/>
      <c r="CO562" s="14"/>
      <c r="CP562" s="14"/>
      <c r="CQ562" s="14"/>
      <c r="CR562" s="14"/>
      <c r="CS562" s="14"/>
      <c r="CT562" s="14"/>
      <c r="CU562" s="1961"/>
      <c r="DB562" s="1961"/>
      <c r="DC562" s="1961"/>
      <c r="DD562" s="1961"/>
      <c r="DE562" s="1961"/>
      <c r="DF562" s="1961"/>
      <c r="DG562" s="1961"/>
      <c r="DH562" s="1961"/>
      <c r="DI562" s="18"/>
    </row>
    <row r="563" spans="1:113" s="1161" customFormat="1" hidden="1" outlineLevel="1" x14ac:dyDescent="0.25">
      <c r="A563" s="1160" t="s">
        <v>341</v>
      </c>
      <c r="AI563" s="1162"/>
      <c r="AJ563" s="1162"/>
      <c r="AK563" s="1162"/>
      <c r="AL563" s="1162"/>
      <c r="AM563" s="1163"/>
      <c r="AN563" s="1162"/>
      <c r="AO563" s="1162"/>
      <c r="AP563" s="1162"/>
      <c r="AQ563" s="1162"/>
      <c r="AR563" s="1163"/>
      <c r="AW563" s="1163"/>
      <c r="BB563" s="1164"/>
      <c r="BG563" s="1164"/>
      <c r="BL563" s="1164"/>
      <c r="BQ563" s="1164"/>
      <c r="BV563" s="1164"/>
      <c r="CA563" s="1164"/>
      <c r="CB563"/>
      <c r="CV563"/>
      <c r="CW563"/>
      <c r="CX563"/>
      <c r="CY563"/>
      <c r="CZ563"/>
      <c r="DA563"/>
      <c r="DI563" s="1961"/>
    </row>
    <row r="564" spans="1:113" s="1161" customFormat="1" hidden="1" outlineLevel="1" x14ac:dyDescent="0.25">
      <c r="A564" s="1165" t="s">
        <v>342</v>
      </c>
      <c r="B564" s="1166"/>
      <c r="C564" s="1166"/>
      <c r="D564" s="1166"/>
      <c r="E564" s="1166"/>
      <c r="F564" s="1166"/>
      <c r="G564" s="1166"/>
      <c r="H564" s="1166"/>
      <c r="I564" s="1166"/>
      <c r="J564" s="1166"/>
      <c r="K564" s="1166"/>
      <c r="L564" s="1166"/>
      <c r="M564" s="1166"/>
      <c r="N564" s="1166"/>
      <c r="O564" s="1166"/>
      <c r="P564" s="1166"/>
      <c r="Q564" s="1166"/>
      <c r="R564" s="1166"/>
      <c r="S564" s="1166"/>
      <c r="T564" s="1166"/>
      <c r="U564" s="1166"/>
      <c r="V564" s="1166"/>
      <c r="W564" s="1166"/>
      <c r="X564" s="1166"/>
      <c r="Y564" s="1166"/>
      <c r="Z564" s="1166"/>
      <c r="AA564" s="1166"/>
      <c r="AB564" s="1166"/>
      <c r="AC564" s="1166"/>
      <c r="AD564" s="1166"/>
      <c r="AE564" s="1166"/>
      <c r="AF564" s="1166"/>
      <c r="AG564" s="1166"/>
      <c r="AH564" s="1166"/>
      <c r="AI564" s="1167">
        <f>Revenue_end_mkt!S24</f>
        <v>126.54900000000001</v>
      </c>
      <c r="AJ564" s="1168">
        <f>Revenue_end_mkt!T24</f>
        <v>133.785</v>
      </c>
      <c r="AK564" s="1168">
        <f>Revenue_end_mkt!U24</f>
        <v>140.77099999999999</v>
      </c>
      <c r="AL564" s="1168">
        <f>Revenue_end_mkt!V24</f>
        <v>138.04499999999999</v>
      </c>
      <c r="AM564" s="1169">
        <f>Revenue_end_mkt!W24</f>
        <v>539.15</v>
      </c>
      <c r="AN564" s="1168">
        <f>Revenue_end_mkt!X24</f>
        <v>141.43</v>
      </c>
      <c r="AO564" s="1168">
        <f>Revenue_end_mkt!Y24</f>
        <v>152.83099999999999</v>
      </c>
      <c r="AP564" s="1168">
        <f>Revenue_end_mkt!Z24</f>
        <v>149.49600000000001</v>
      </c>
      <c r="AQ564" s="1168">
        <f>Revenue_end_mkt!AA24</f>
        <v>155</v>
      </c>
      <c r="AR564" s="1169">
        <f>Revenue_end_mkt!AB24</f>
        <v>598.75699999999995</v>
      </c>
      <c r="AS564" s="1168">
        <f>Revenue_end_mkt!AC24</f>
        <v>153.733</v>
      </c>
      <c r="AT564" s="1168">
        <f>Revenue_end_mkt!AD24</f>
        <v>165.27600000000001</v>
      </c>
      <c r="AU564" s="1168">
        <f>Revenue_end_mkt!AE24</f>
        <v>162.37200000000001</v>
      </c>
      <c r="AV564" s="1168">
        <f>Revenue_end_mkt!AF24</f>
        <v>165.8</v>
      </c>
      <c r="AW564" s="1169">
        <f>Revenue_end_mkt!AG24</f>
        <v>647.18100000000004</v>
      </c>
      <c r="AX564" s="1168">
        <f>Revenue_end_mkt!AH24</f>
        <v>171.54499999999999</v>
      </c>
      <c r="AY564" s="1168">
        <f>Revenue_end_mkt!AI24</f>
        <v>175.476</v>
      </c>
      <c r="AZ564" s="1168">
        <f>Revenue_end_mkt!AJ24</f>
        <v>174.446</v>
      </c>
      <c r="BA564" s="1168">
        <f>Revenue_end_mkt!AK24</f>
        <v>178.3</v>
      </c>
      <c r="BB564" s="1170">
        <f>Revenue_end_mkt!AL24</f>
        <v>699.76700000000005</v>
      </c>
      <c r="BC564" s="1168">
        <f>Revenue_end_mkt!AM24</f>
        <v>178.6</v>
      </c>
      <c r="BD564" s="1168">
        <f>Revenue_end_mkt!AN24</f>
        <v>191</v>
      </c>
      <c r="BE564" s="1168">
        <f>Revenue_end_mkt!AO24</f>
        <v>203.9</v>
      </c>
      <c r="BF564" s="1168">
        <f>Revenue_end_mkt!AP24</f>
        <v>211.2</v>
      </c>
      <c r="BG564" s="1170">
        <f>Revenue_end_mkt!AQ24</f>
        <v>784.7</v>
      </c>
      <c r="BH564" s="1168">
        <f>Revenue_end_mkt!AR24</f>
        <v>206.42399999999998</v>
      </c>
      <c r="BI564" s="1168">
        <f>Revenue_end_mkt!AS24</f>
        <v>216.12</v>
      </c>
      <c r="BJ564" s="1168">
        <f>Revenue_end_mkt!AT24</f>
        <v>222.48683333333335</v>
      </c>
      <c r="BK564" s="1168">
        <f>Revenue_end_mkt!AU24</f>
        <v>225.45599999999996</v>
      </c>
      <c r="BL564" s="1170">
        <f>Revenue_end_mkt!AV24</f>
        <v>870.48683333333338</v>
      </c>
      <c r="BM564" s="1168">
        <f>Revenue_end_mkt!AW24</f>
        <v>220.87367999999998</v>
      </c>
      <c r="BN564" s="1168">
        <f>Revenue_end_mkt!AX24</f>
        <v>231.78870000000001</v>
      </c>
      <c r="BO564" s="1168">
        <f>Revenue_end_mkt!AY24</f>
        <v>238.61712875000003</v>
      </c>
      <c r="BP564" s="1168">
        <f>Revenue_end_mkt!AZ24</f>
        <v>242.36519999999996</v>
      </c>
      <c r="BQ564" s="1170">
        <f>Revenue_end_mkt!BA24</f>
        <v>933.64470874999995</v>
      </c>
      <c r="BR564" s="1168">
        <f>Revenue_end_mkt!BB24</f>
        <v>236.33483759999999</v>
      </c>
      <c r="BS564" s="1168">
        <f>Revenue_end_mkt!BC24</f>
        <v>248.01390900000001</v>
      </c>
      <c r="BT564" s="1168">
        <f>Revenue_end_mkt!BD24</f>
        <v>255.32032776250006</v>
      </c>
      <c r="BU564" s="1168">
        <f>Revenue_end_mkt!BE24</f>
        <v>259.33076399999999</v>
      </c>
      <c r="BV564" s="1170">
        <f>Revenue_end_mkt!BF24</f>
        <v>998.99983836249999</v>
      </c>
      <c r="BW564" s="1168">
        <f>Revenue_end_mkt!BG24</f>
        <v>252.87827623199999</v>
      </c>
      <c r="BX564" s="1168">
        <f>Revenue_end_mkt!BH24</f>
        <v>265.37488263</v>
      </c>
      <c r="BY564" s="1168">
        <f>Revenue_end_mkt!BI24</f>
        <v>273.19275070587508</v>
      </c>
      <c r="BZ564" s="1168">
        <f>Revenue_end_mkt!BJ24</f>
        <v>277.48391748</v>
      </c>
      <c r="CA564" s="1170">
        <f>Revenue_end_mkt!BK24</f>
        <v>1068.9298270478751</v>
      </c>
      <c r="CB564"/>
      <c r="CV564"/>
      <c r="CW564"/>
      <c r="CX564"/>
      <c r="CY564"/>
      <c r="CZ564"/>
      <c r="DA564"/>
      <c r="DI564" s="1961"/>
    </row>
    <row r="565" spans="1:113" s="1161" customFormat="1" hidden="1" outlineLevel="1" x14ac:dyDescent="0.25">
      <c r="A565" s="1171" t="s">
        <v>209</v>
      </c>
      <c r="B565" s="1166"/>
      <c r="C565" s="1166"/>
      <c r="D565" s="1166"/>
      <c r="E565" s="1166"/>
      <c r="F565" s="1166"/>
      <c r="G565" s="1166"/>
      <c r="H565" s="1166"/>
      <c r="I565" s="1166"/>
      <c r="J565" s="1166"/>
      <c r="K565" s="1166"/>
      <c r="L565" s="1166"/>
      <c r="M565" s="1166"/>
      <c r="N565" s="1166"/>
      <c r="O565" s="1166"/>
      <c r="P565" s="1166"/>
      <c r="Q565" s="1166"/>
      <c r="R565" s="1166"/>
      <c r="S565" s="1166"/>
      <c r="T565" s="1166"/>
      <c r="U565" s="1166"/>
      <c r="V565" s="1166"/>
      <c r="W565" s="1166"/>
      <c r="X565" s="1166"/>
      <c r="Y565" s="1166"/>
      <c r="Z565" s="1166"/>
      <c r="AA565" s="1166"/>
      <c r="AB565" s="1166"/>
      <c r="AC565" s="1166"/>
      <c r="AD565" s="1166"/>
      <c r="AE565" s="1166"/>
      <c r="AF565" s="1166"/>
      <c r="AG565" s="1166"/>
      <c r="AH565" s="1166"/>
      <c r="AI565" s="1172">
        <f>Revenue_end_mkt!S25</f>
        <v>8.7788818594416229E-2</v>
      </c>
      <c r="AJ565" s="1173">
        <f>Revenue_end_mkt!T25</f>
        <v>9.4714016856231042E-2</v>
      </c>
      <c r="AK565" s="1173">
        <f>Revenue_end_mkt!U25</f>
        <v>0.11456758062089767</v>
      </c>
      <c r="AL565" s="1173">
        <f>Revenue_end_mkt!V25</f>
        <v>7.3369670862847736E-2</v>
      </c>
      <c r="AM565" s="1174">
        <f>Revenue_end_mkt!W25</f>
        <v>9.259994812100758E-2</v>
      </c>
      <c r="AN565" s="1173">
        <f>Revenue_end_mkt!X25</f>
        <v>0.11759081462516496</v>
      </c>
      <c r="AO565" s="1173">
        <f>Revenue_end_mkt!Y25</f>
        <v>0.14236274619725675</v>
      </c>
      <c r="AP565" s="1173">
        <f>Revenue_end_mkt!Z25</f>
        <v>6.1980095332135443E-2</v>
      </c>
      <c r="AQ565" s="1173">
        <f>Revenue_end_mkt!AA25</f>
        <v>0.12282226810098162</v>
      </c>
      <c r="AR565" s="1174">
        <f>Revenue_end_mkt!AB25</f>
        <v>0.11055735880552708</v>
      </c>
      <c r="AS565" s="1173">
        <f>Revenue_end_mkt!AC25</f>
        <v>8.6990030403733209E-2</v>
      </c>
      <c r="AT565" s="1173">
        <f>Revenue_end_mkt!AD25</f>
        <v>8.1429814631848396E-2</v>
      </c>
      <c r="AU565" s="1173">
        <f>Revenue_end_mkt!AE25</f>
        <v>8.6129394766415235E-2</v>
      </c>
      <c r="AV565" s="1173">
        <f>Revenue_end_mkt!AF25</f>
        <v>6.9677419354838843E-2</v>
      </c>
      <c r="AW565" s="1174">
        <f>Revenue_end_mkt!AG25</f>
        <v>8.0874211073941771E-2</v>
      </c>
      <c r="AX565" s="1173">
        <f>Revenue_end_mkt!AH25</f>
        <v>0.11586321739639494</v>
      </c>
      <c r="AY565" s="1173">
        <f>Revenue_end_mkt!AI25</f>
        <v>6.1714949538952846E-2</v>
      </c>
      <c r="AZ565" s="1173">
        <f>Revenue_end_mkt!AJ25</f>
        <v>7.436011134924736E-2</v>
      </c>
      <c r="BA565" s="1173">
        <f>Revenue_end_mkt!AK25</f>
        <v>7.5392038600723854E-2</v>
      </c>
      <c r="BB565" s="1175">
        <f>Revenue_end_mkt!AL25</f>
        <v>8.1253930507848571E-2</v>
      </c>
      <c r="BC565" s="1173">
        <f>Revenue_end_mkt!AM25</f>
        <v>4.1126235098662312E-2</v>
      </c>
      <c r="BD565" s="1173">
        <f>Revenue_end_mkt!AN25</f>
        <v>8.8467938635482968E-2</v>
      </c>
      <c r="BE565" s="1173">
        <f>Revenue_end_mkt!AO25</f>
        <v>0.16884308038017504</v>
      </c>
      <c r="BF565" s="1173">
        <f>Revenue_end_mkt!AP25</f>
        <v>0.18452047111609637</v>
      </c>
      <c r="BG565" s="1175">
        <f>Revenue_end_mkt!AQ25</f>
        <v>0.12137325709843427</v>
      </c>
      <c r="BH565" s="1173">
        <f>Revenue_end_mkt!AR25</f>
        <v>0.15578947368421053</v>
      </c>
      <c r="BI565" s="1173">
        <f>Revenue_end_mkt!AS25</f>
        <v>0.13151832460732985</v>
      </c>
      <c r="BJ565" s="1173">
        <f>Revenue_end_mkt!AT25</f>
        <v>9.1156612718652941E-2</v>
      </c>
      <c r="BK565" s="1173">
        <f>Revenue_end_mkt!AU25</f>
        <v>6.7500000000000004E-2</v>
      </c>
      <c r="BL565" s="1175">
        <f>Revenue_end_mkt!AV25</f>
        <v>0.10932437024765296</v>
      </c>
      <c r="BM565" s="1173">
        <f>Revenue_end_mkt!AW25</f>
        <v>7.0000000000000007E-2</v>
      </c>
      <c r="BN565" s="1173">
        <f>Revenue_end_mkt!AX25</f>
        <v>7.2499999999999995E-2</v>
      </c>
      <c r="BO565" s="1173">
        <f>Revenue_end_mkt!AY25</f>
        <v>7.2499999999999995E-2</v>
      </c>
      <c r="BP565" s="1173">
        <f>Revenue_end_mkt!AZ25</f>
        <v>7.4999999999999997E-2</v>
      </c>
      <c r="BQ565" s="1175">
        <f>Revenue_end_mkt!BA25</f>
        <v>7.2554659069129945E-2</v>
      </c>
      <c r="BR565" s="1173">
        <f>Revenue_end_mkt!BB25</f>
        <v>7.0000000000000007E-2</v>
      </c>
      <c r="BS565" s="1173">
        <f>Revenue_end_mkt!BC25</f>
        <v>7.0000000000000007E-2</v>
      </c>
      <c r="BT565" s="1173">
        <f>Revenue_end_mkt!BD25</f>
        <v>7.0000000000000007E-2</v>
      </c>
      <c r="BU565" s="1173">
        <f>Revenue_end_mkt!BE25</f>
        <v>7.0000000000000007E-2</v>
      </c>
      <c r="BV565" s="1175">
        <f>Revenue_end_mkt!BF25</f>
        <v>7.0000000000000062E-2</v>
      </c>
      <c r="BW565" s="1173">
        <f>Revenue_end_mkt!BG25</f>
        <v>7.0000000000000007E-2</v>
      </c>
      <c r="BX565" s="1173">
        <f>Revenue_end_mkt!BH25</f>
        <v>7.0000000000000007E-2</v>
      </c>
      <c r="BY565" s="1173">
        <f>Revenue_end_mkt!BI25</f>
        <v>7.0000000000000007E-2</v>
      </c>
      <c r="BZ565" s="1173">
        <f>Revenue_end_mkt!BJ25</f>
        <v>7.0000000000000007E-2</v>
      </c>
      <c r="CA565" s="1175">
        <f>Revenue_end_mkt!BK25</f>
        <v>7.0000000000000062E-2</v>
      </c>
      <c r="CB565"/>
      <c r="CV565"/>
      <c r="CW565"/>
      <c r="CX565"/>
      <c r="CY565"/>
      <c r="CZ565"/>
      <c r="DA565"/>
      <c r="DI565" s="1961"/>
    </row>
    <row r="566" spans="1:113" s="1161" customFormat="1" hidden="1" outlineLevel="1" x14ac:dyDescent="0.25">
      <c r="A566" s="1176" t="s">
        <v>343</v>
      </c>
      <c r="B566" s="1166"/>
      <c r="C566" s="1166"/>
      <c r="D566" s="1166"/>
      <c r="E566" s="1166"/>
      <c r="F566" s="1166"/>
      <c r="G566" s="1166"/>
      <c r="H566" s="1166"/>
      <c r="I566" s="1166"/>
      <c r="J566" s="1166"/>
      <c r="K566" s="1166"/>
      <c r="L566" s="1166"/>
      <c r="M566" s="1166"/>
      <c r="N566" s="1166"/>
      <c r="O566" s="1166"/>
      <c r="P566" s="1166"/>
      <c r="Q566" s="1166"/>
      <c r="R566" s="1166"/>
      <c r="S566" s="1166"/>
      <c r="T566" s="1166"/>
      <c r="U566" s="1166"/>
      <c r="V566" s="1166"/>
      <c r="W566" s="1166"/>
      <c r="X566" s="1166"/>
      <c r="Y566" s="1166"/>
      <c r="Z566" s="1166"/>
      <c r="AA566" s="1166"/>
      <c r="AB566" s="1166"/>
      <c r="AC566" s="1166"/>
      <c r="AD566" s="1166"/>
      <c r="AE566" s="1166"/>
      <c r="AF566" s="1166"/>
      <c r="AG566" s="1166"/>
      <c r="AH566" s="1166"/>
      <c r="AI566" s="1172">
        <f>Revenue_end_mkt!S29</f>
        <v>8.3000000000000004E-2</v>
      </c>
      <c r="AJ566" s="1173">
        <f>Revenue_end_mkt!T29</f>
        <v>8.8999999999999996E-2</v>
      </c>
      <c r="AK566" s="1173">
        <f>Revenue_end_mkt!U29</f>
        <v>0.115</v>
      </c>
      <c r="AL566" s="1173">
        <f>Revenue_end_mkt!V29</f>
        <v>7.3369670862847736E-2</v>
      </c>
      <c r="AM566" s="1174">
        <f>Revenue_end_mkt!W29</f>
        <v>9.0573424986219564E-2</v>
      </c>
      <c r="AN566" s="1173">
        <f>Revenue_end_mkt!X29</f>
        <v>0.11759081462516496</v>
      </c>
      <c r="AO566" s="1173">
        <f>Revenue_end_mkt!Y29</f>
        <v>0.14236274619725675</v>
      </c>
      <c r="AP566" s="1173">
        <f>Revenue_end_mkt!Z29</f>
        <v>6.1980095332135443E-2</v>
      </c>
      <c r="AQ566" s="1173">
        <f>Revenue_end_mkt!AA29</f>
        <v>0.12282226810098162</v>
      </c>
      <c r="AR566" s="1174">
        <f>Revenue_end_mkt!AB29</f>
        <v>0.111</v>
      </c>
      <c r="AS566" s="1173">
        <f>Revenue_end_mkt!AC29</f>
        <v>8.6990030403733209E-2</v>
      </c>
      <c r="AT566" s="1173">
        <f>Revenue_end_mkt!AD29</f>
        <v>8.1429814631848396E-2</v>
      </c>
      <c r="AU566" s="1173">
        <f>Revenue_end_mkt!AE29</f>
        <v>8.6129394766415235E-2</v>
      </c>
      <c r="AV566" s="1173">
        <f>Revenue_end_mkt!AF29</f>
        <v>7.0000000000000007E-2</v>
      </c>
      <c r="AW566" s="1174">
        <f>Revenue_end_mkt!AG29</f>
        <v>8.1000000000000003E-2</v>
      </c>
      <c r="AX566" s="1173">
        <f>Revenue_end_mkt!AH29</f>
        <v>0.11586321739639494</v>
      </c>
      <c r="AY566" s="1173">
        <f>Revenue_end_mkt!AI29</f>
        <v>6.2E-2</v>
      </c>
      <c r="AZ566" s="1173">
        <f>Revenue_end_mkt!AJ29</f>
        <v>7.3999999999999996E-2</v>
      </c>
      <c r="BA566" s="1173">
        <f>Revenue_end_mkt!AK29</f>
        <v>7.2999999999999995E-2</v>
      </c>
      <c r="BB566" s="1175">
        <f>Revenue_end_mkt!AL29</f>
        <v>8.1000000000000003E-2</v>
      </c>
      <c r="BC566" s="1173">
        <f>Revenue_end_mkt!AM29</f>
        <v>0.04</v>
      </c>
      <c r="BD566" s="1173">
        <f>Revenue_end_mkt!AN29</f>
        <v>8.4000000000000005E-2</v>
      </c>
      <c r="BE566" s="1173">
        <f>Revenue_end_mkt!AO29</f>
        <v>0.13700000000000001</v>
      </c>
      <c r="BF566" s="1173">
        <f>Revenue_end_mkt!AP29</f>
        <v>0.128</v>
      </c>
      <c r="BG566" s="1175">
        <f>Revenue_end_mkt!AQ29</f>
        <v>9.7637193522986943E-2</v>
      </c>
      <c r="BH566" s="1173">
        <f>Revenue_end_mkt!AR29</f>
        <v>0.09</v>
      </c>
      <c r="BI566" s="1173">
        <f>Revenue_end_mkt!AS29</f>
        <v>7.0000000000000007E-2</v>
      </c>
      <c r="BJ566" s="1173">
        <f>Revenue_end_mkt!AT29</f>
        <v>6.5000000000000002E-2</v>
      </c>
      <c r="BK566" s="1173">
        <f>Revenue_end_mkt!AU29</f>
        <v>6.7500000000000004E-2</v>
      </c>
      <c r="BL566" s="1175">
        <f>Revenue_end_mkt!AV29</f>
        <v>7.2579966866318332E-2</v>
      </c>
      <c r="BM566" s="1173">
        <f>Revenue_end_mkt!AW29</f>
        <v>7.0000000000000007E-2</v>
      </c>
      <c r="BN566" s="1173">
        <f>Revenue_end_mkt!AX29</f>
        <v>7.2499999999999995E-2</v>
      </c>
      <c r="BO566" s="1173">
        <f>Revenue_end_mkt!AY29</f>
        <v>7.2499999999999995E-2</v>
      </c>
      <c r="BP566" s="1173">
        <f>Revenue_end_mkt!AZ29</f>
        <v>7.4999999999999997E-2</v>
      </c>
      <c r="BQ566" s="1175">
        <f>Revenue_end_mkt!BA29</f>
        <v>7.255465906913007E-2</v>
      </c>
      <c r="BR566" s="1173">
        <f>Revenue_end_mkt!BB29</f>
        <v>7.0000000000000007E-2</v>
      </c>
      <c r="BS566" s="1173">
        <f>Revenue_end_mkt!BC29</f>
        <v>7.0000000000000007E-2</v>
      </c>
      <c r="BT566" s="1173">
        <f>Revenue_end_mkt!BD29</f>
        <v>7.0000000000000007E-2</v>
      </c>
      <c r="BU566" s="1173">
        <f>Revenue_end_mkt!BE29</f>
        <v>7.0000000000000007E-2</v>
      </c>
      <c r="BV566" s="1175">
        <f>Revenue_end_mkt!BF29</f>
        <v>7.0000000000000007E-2</v>
      </c>
      <c r="BW566" s="1173">
        <f>Revenue_end_mkt!BG29</f>
        <v>7.0000000000000007E-2</v>
      </c>
      <c r="BX566" s="1173">
        <f>Revenue_end_mkt!BH29</f>
        <v>7.0000000000000007E-2</v>
      </c>
      <c r="BY566" s="1173">
        <f>Revenue_end_mkt!BI29</f>
        <v>7.0000000000000007E-2</v>
      </c>
      <c r="BZ566" s="1173">
        <f>Revenue_end_mkt!BJ29</f>
        <v>7.0000000000000007E-2</v>
      </c>
      <c r="CA566" s="1175">
        <f>Revenue_end_mkt!BK29</f>
        <v>7.0000000000000007E-2</v>
      </c>
      <c r="CB566"/>
      <c r="CV566"/>
      <c r="CW566"/>
      <c r="CX566"/>
      <c r="CY566"/>
      <c r="CZ566"/>
      <c r="DA566"/>
      <c r="DI566" s="1961"/>
    </row>
    <row r="567" spans="1:113" s="1161" customFormat="1" hidden="1" outlineLevel="1" x14ac:dyDescent="0.25">
      <c r="A567" s="1176"/>
      <c r="B567" s="1166"/>
      <c r="C567" s="1166"/>
      <c r="D567" s="1166"/>
      <c r="E567" s="1166"/>
      <c r="F567" s="1166"/>
      <c r="G567" s="1166"/>
      <c r="H567" s="1166"/>
      <c r="I567" s="1166"/>
      <c r="J567" s="1166"/>
      <c r="K567" s="1166"/>
      <c r="L567" s="1166"/>
      <c r="M567" s="1166"/>
      <c r="N567" s="1166"/>
      <c r="O567" s="1166"/>
      <c r="P567" s="1166"/>
      <c r="Q567" s="1166"/>
      <c r="R567" s="1166"/>
      <c r="S567" s="1166"/>
      <c r="T567" s="1166"/>
      <c r="U567" s="1166"/>
      <c r="V567" s="1166"/>
      <c r="W567" s="1166"/>
      <c r="X567" s="1166"/>
      <c r="Y567" s="1166"/>
      <c r="Z567" s="1166"/>
      <c r="AA567" s="1166"/>
      <c r="AB567" s="1166"/>
      <c r="AC567" s="1166"/>
      <c r="AD567" s="1166"/>
      <c r="AE567" s="1166"/>
      <c r="AF567" s="1166"/>
      <c r="AG567" s="1166"/>
      <c r="AH567" s="1166"/>
      <c r="AI567" s="1172"/>
      <c r="AJ567" s="1173"/>
      <c r="AK567" s="1173"/>
      <c r="AL567" s="1173"/>
      <c r="AM567" s="1174"/>
      <c r="AN567" s="1173"/>
      <c r="AO567" s="1173"/>
      <c r="AP567" s="1173"/>
      <c r="AQ567" s="1173"/>
      <c r="AR567" s="1174"/>
      <c r="AS567" s="1173"/>
      <c r="AT567" s="1173"/>
      <c r="AU567" s="1173"/>
      <c r="AV567" s="1173"/>
      <c r="AW567" s="1174"/>
      <c r="AX567" s="1173"/>
      <c r="AY567" s="1173"/>
      <c r="AZ567" s="1173"/>
      <c r="BA567" s="1173"/>
      <c r="BB567" s="1175"/>
      <c r="BC567" s="1173"/>
      <c r="BD567" s="1173"/>
      <c r="BE567" s="1173"/>
      <c r="BF567" s="1173"/>
      <c r="BG567" s="1175"/>
      <c r="BH567" s="1173"/>
      <c r="BI567" s="1173"/>
      <c r="BJ567" s="1173"/>
      <c r="BK567" s="1173"/>
      <c r="BL567" s="1175"/>
      <c r="BM567" s="1173"/>
      <c r="BN567" s="1173"/>
      <c r="BO567" s="1173"/>
      <c r="BP567" s="1173"/>
      <c r="BQ567" s="1175"/>
      <c r="BR567" s="1173"/>
      <c r="BS567" s="1173"/>
      <c r="BT567" s="1173"/>
      <c r="BU567" s="1173"/>
      <c r="BV567" s="1175"/>
      <c r="BW567" s="1173"/>
      <c r="BX567" s="1173"/>
      <c r="BY567" s="1173"/>
      <c r="BZ567" s="1173"/>
      <c r="CA567" s="1175"/>
      <c r="CB567"/>
      <c r="CV567"/>
      <c r="CW567"/>
      <c r="CX567"/>
      <c r="CY567"/>
      <c r="CZ567"/>
      <c r="DA567"/>
      <c r="DI567" s="1961"/>
    </row>
    <row r="568" spans="1:113" s="1161" customFormat="1" hidden="1" outlineLevel="1" x14ac:dyDescent="0.25">
      <c r="A568" s="1165" t="s">
        <v>344</v>
      </c>
      <c r="B568" s="1166"/>
      <c r="C568" s="1166"/>
      <c r="D568" s="1166"/>
      <c r="E568" s="1166"/>
      <c r="F568" s="1166"/>
      <c r="G568" s="1166"/>
      <c r="H568" s="1166"/>
      <c r="I568" s="1166"/>
      <c r="J568" s="1166"/>
      <c r="K568" s="1166"/>
      <c r="L568" s="1166"/>
      <c r="M568" s="1166"/>
      <c r="N568" s="1166"/>
      <c r="O568" s="1166"/>
      <c r="P568" s="1166"/>
      <c r="Q568" s="1166"/>
      <c r="R568" s="1166"/>
      <c r="S568" s="1166"/>
      <c r="T568" s="1166"/>
      <c r="U568" s="1166"/>
      <c r="V568" s="1166"/>
      <c r="W568" s="1166"/>
      <c r="X568" s="1166"/>
      <c r="Y568" s="1166"/>
      <c r="Z568" s="1166"/>
      <c r="AA568" s="1166"/>
      <c r="AB568" s="1166"/>
      <c r="AC568" s="1166"/>
      <c r="AD568" s="1166"/>
      <c r="AE568" s="1166"/>
      <c r="AF568" s="1166"/>
      <c r="AG568" s="1166"/>
      <c r="AH568" s="1166"/>
      <c r="AI568" s="1167">
        <f>Revenue_end_mkt!S31</f>
        <v>17.282</v>
      </c>
      <c r="AJ568" s="1168">
        <f>Revenue_end_mkt!T31</f>
        <v>19.574999999999999</v>
      </c>
      <c r="AK568" s="1168">
        <f>Revenue_end_mkt!U31</f>
        <v>21.379000000000001</v>
      </c>
      <c r="AL568" s="1168">
        <f>Revenue_end_mkt!V31</f>
        <v>22.888000000000002</v>
      </c>
      <c r="AM568" s="1169">
        <f>Revenue_end_mkt!W31</f>
        <v>81.124000000000009</v>
      </c>
      <c r="AN568" s="1168">
        <f>Revenue_end_mkt!X31</f>
        <v>21.015999999999998</v>
      </c>
      <c r="AO568" s="1168">
        <f>Revenue_end_mkt!Y31</f>
        <v>21.837</v>
      </c>
      <c r="AP568" s="1168">
        <f>Revenue_end_mkt!Z31</f>
        <v>25.257999999999999</v>
      </c>
      <c r="AQ568" s="1168">
        <f>Revenue_end_mkt!AA31</f>
        <v>28.652000000000001</v>
      </c>
      <c r="AR568" s="1169">
        <f>Revenue_end_mkt!AB31</f>
        <v>96.762999999999991</v>
      </c>
      <c r="AS568" s="1168">
        <f>Revenue_end_mkt!AC31</f>
        <v>35.17</v>
      </c>
      <c r="AT568" s="1168">
        <f>Revenue_end_mkt!AD31</f>
        <v>26.38</v>
      </c>
      <c r="AU568" s="1168">
        <f>Revenue_end_mkt!AE31</f>
        <v>27.103999999999999</v>
      </c>
      <c r="AV568" s="1168">
        <f>Revenue_end_mkt!AF31</f>
        <v>27.9</v>
      </c>
      <c r="AW568" s="1169">
        <f>Revenue_end_mkt!AG31</f>
        <v>116.554</v>
      </c>
      <c r="AX568" s="1168">
        <f>Revenue_end_mkt!AH31</f>
        <v>28.474</v>
      </c>
      <c r="AY568" s="1168">
        <f>Revenue_end_mkt!AI31</f>
        <v>30.585000000000001</v>
      </c>
      <c r="AZ568" s="1168">
        <f>Revenue_end_mkt!AJ31</f>
        <v>33.750999999999998</v>
      </c>
      <c r="BA568" s="1168">
        <f>Revenue_end_mkt!AK31</f>
        <v>35.5</v>
      </c>
      <c r="BB568" s="1170">
        <f>Revenue_end_mkt!AL31</f>
        <v>128.31</v>
      </c>
      <c r="BC568" s="1168">
        <f>Revenue_end_mkt!AM31</f>
        <v>28.3</v>
      </c>
      <c r="BD568" s="1168">
        <f>Revenue_end_mkt!AN31</f>
        <v>29.3</v>
      </c>
      <c r="BE568" s="1168">
        <f>Revenue_end_mkt!AO31</f>
        <v>40.6</v>
      </c>
      <c r="BF568" s="1168">
        <f>Revenue_end_mkt!AP31</f>
        <v>47.3</v>
      </c>
      <c r="BG568" s="1170">
        <f>Revenue_end_mkt!AQ31</f>
        <v>145.5</v>
      </c>
      <c r="BH568" s="1168">
        <f>Revenue_end_mkt!AR31</f>
        <v>43.25</v>
      </c>
      <c r="BI568" s="1168">
        <f>Revenue_end_mkt!AS31</f>
        <v>40.550000000000004</v>
      </c>
      <c r="BJ568" s="1168">
        <f>Revenue_end_mkt!AT31</f>
        <v>47.951500000000003</v>
      </c>
      <c r="BK568" s="1168">
        <f>Revenue_end_mkt!AU31</f>
        <v>50.55</v>
      </c>
      <c r="BL568" s="1170">
        <f>Revenue_end_mkt!AV31</f>
        <v>182.30150000000003</v>
      </c>
      <c r="BM568" s="1168">
        <f>Revenue_end_mkt!AW31</f>
        <v>46.277500000000003</v>
      </c>
      <c r="BN568" s="1168">
        <f>Revenue_end_mkt!AX31</f>
        <v>43.388500000000008</v>
      </c>
      <c r="BO568" s="1168">
        <f>Revenue_end_mkt!AY31</f>
        <v>51.308105000000005</v>
      </c>
      <c r="BP568" s="1168">
        <f>Revenue_end_mkt!AZ31</f>
        <v>54.088500000000003</v>
      </c>
      <c r="BQ568" s="1170">
        <f>Revenue_end_mkt!BA31</f>
        <v>195.06260500000002</v>
      </c>
      <c r="BR568" s="1168">
        <f>Revenue_end_mkt!BB31</f>
        <v>49.054150000000007</v>
      </c>
      <c r="BS568" s="1168">
        <f>Revenue_end_mkt!BC31</f>
        <v>45.991810000000008</v>
      </c>
      <c r="BT568" s="1168">
        <f>Revenue_end_mkt!BD31</f>
        <v>54.386591300000006</v>
      </c>
      <c r="BU568" s="1168">
        <f>Revenue_end_mkt!BE31</f>
        <v>57.333810000000007</v>
      </c>
      <c r="BV568" s="1170">
        <f>Revenue_end_mkt!BF31</f>
        <v>206.7663613</v>
      </c>
      <c r="BW568" s="1168">
        <f>Revenue_end_mkt!BG31</f>
        <v>51.997399000000009</v>
      </c>
      <c r="BX568" s="1168">
        <f>Revenue_end_mkt!BH31</f>
        <v>48.751318600000012</v>
      </c>
      <c r="BY568" s="1168">
        <f>Revenue_end_mkt!BI31</f>
        <v>57.649786778000006</v>
      </c>
      <c r="BZ568" s="1168">
        <f>Revenue_end_mkt!BJ31</f>
        <v>60.773838600000012</v>
      </c>
      <c r="CA568" s="1170">
        <f>Revenue_end_mkt!BK31</f>
        <v>219.17234297800005</v>
      </c>
      <c r="CB568"/>
      <c r="CV568"/>
      <c r="CW568"/>
      <c r="CX568"/>
      <c r="CY568"/>
      <c r="CZ568"/>
      <c r="DA568"/>
      <c r="DI568" s="1961"/>
    </row>
    <row r="569" spans="1:113" s="1161" customFormat="1" hidden="1" outlineLevel="1" x14ac:dyDescent="0.25">
      <c r="A569" s="1171" t="s">
        <v>209</v>
      </c>
      <c r="B569" s="1166"/>
      <c r="C569" s="1166"/>
      <c r="D569" s="1166"/>
      <c r="E569" s="1166"/>
      <c r="F569" s="1166"/>
      <c r="G569" s="1166"/>
      <c r="H569" s="1166"/>
      <c r="I569" s="1166"/>
      <c r="J569" s="1166"/>
      <c r="K569" s="1166"/>
      <c r="L569" s="1166"/>
      <c r="M569" s="1166"/>
      <c r="N569" s="1166"/>
      <c r="O569" s="1166"/>
      <c r="P569" s="1166"/>
      <c r="Q569" s="1166"/>
      <c r="R569" s="1166"/>
      <c r="S569" s="1166"/>
      <c r="T569" s="1166"/>
      <c r="U569" s="1166"/>
      <c r="V569" s="1166"/>
      <c r="W569" s="1166"/>
      <c r="X569" s="1166"/>
      <c r="Y569" s="1166"/>
      <c r="Z569" s="1166"/>
      <c r="AA569" s="1166"/>
      <c r="AB569" s="1166"/>
      <c r="AC569" s="1166"/>
      <c r="AD569" s="1166"/>
      <c r="AE569" s="1166"/>
      <c r="AF569" s="1166"/>
      <c r="AG569" s="1166"/>
      <c r="AH569" s="1166"/>
      <c r="AI569" s="1172">
        <f>Revenue_end_mkt!S32</f>
        <v>-0.49578409919766586</v>
      </c>
      <c r="AJ569" s="1173">
        <f>Revenue_end_mkt!T32</f>
        <v>-0.44545171251310234</v>
      </c>
      <c r="AK569" s="1173">
        <f>Revenue_end_mkt!U32</f>
        <v>-0.43680189673340353</v>
      </c>
      <c r="AL569" s="1173">
        <f>Revenue_end_mkt!V32</f>
        <v>0.25372480280455889</v>
      </c>
      <c r="AM569" s="1174">
        <f>Revenue_end_mkt!W32</f>
        <v>-0.46991289801945901</v>
      </c>
      <c r="AN569" s="1173">
        <f>Revenue_end_mkt!X32</f>
        <v>0.21606295567642619</v>
      </c>
      <c r="AO569" s="1173">
        <f>Revenue_end_mkt!Y32</f>
        <v>0.11555555555555563</v>
      </c>
      <c r="AP569" s="1173">
        <f>Revenue_end_mkt!Z32</f>
        <v>0.18143973057673413</v>
      </c>
      <c r="AQ569" s="1173">
        <f>Revenue_end_mkt!AA32</f>
        <v>0.25183502271932889</v>
      </c>
      <c r="AR569" s="1174">
        <f>Revenue_end_mkt!AB32</f>
        <v>0.19277895567279701</v>
      </c>
      <c r="AS569" s="1173">
        <f>Revenue_end_mkt!AC32</f>
        <v>0.67348686714883921</v>
      </c>
      <c r="AT569" s="1173">
        <f>Revenue_end_mkt!AD32</f>
        <v>0.20804139762787921</v>
      </c>
      <c r="AU569" s="1173">
        <f>Revenue_end_mkt!AE32</f>
        <v>7.3085755008314157E-2</v>
      </c>
      <c r="AV569" s="1173">
        <f>Revenue_end_mkt!AF32</f>
        <v>-2.624598631858166E-2</v>
      </c>
      <c r="AW569" s="1174">
        <f>Revenue_end_mkt!AG32</f>
        <v>0.20453065737937037</v>
      </c>
      <c r="AX569" s="1173">
        <f>Revenue_end_mkt!AH32</f>
        <v>-0.19038953653682122</v>
      </c>
      <c r="AY569" s="1173">
        <f>Revenue_end_mkt!AI32</f>
        <v>0.15940106141015931</v>
      </c>
      <c r="AZ569" s="1173">
        <f>Revenue_end_mkt!AJ32</f>
        <v>0.24524055489964569</v>
      </c>
      <c r="BA569" s="1173">
        <f>Revenue_end_mkt!AK32</f>
        <v>0.2724014336917564</v>
      </c>
      <c r="BB569" s="1175">
        <f>Revenue_end_mkt!AL32</f>
        <v>0.10086311924086688</v>
      </c>
      <c r="BC569" s="1173">
        <f>Revenue_end_mkt!AM32</f>
        <v>-6.1108379574348337E-3</v>
      </c>
      <c r="BD569" s="1173">
        <f>Revenue_end_mkt!AN32</f>
        <v>-4.2014059179336316E-2</v>
      </c>
      <c r="BE569" s="1173">
        <f>Revenue_end_mkt!AO32</f>
        <v>0.20292732067198016</v>
      </c>
      <c r="BF569" s="1173">
        <f>Revenue_end_mkt!AP32</f>
        <v>0.3323943661971831</v>
      </c>
      <c r="BG569" s="1175">
        <f>Revenue_end_mkt!AQ32</f>
        <v>0.13397241056815523</v>
      </c>
      <c r="BH569" s="1173">
        <f>Revenue_end_mkt!AR32</f>
        <v>0.5282685512367491</v>
      </c>
      <c r="BI569" s="1173">
        <f>Revenue_end_mkt!AS32</f>
        <v>0.38395904436860068</v>
      </c>
      <c r="BJ569" s="1173">
        <f>Revenue_end_mkt!AT32</f>
        <v>0.18107142857142855</v>
      </c>
      <c r="BK569" s="1173">
        <f>Revenue_end_mkt!AU32</f>
        <v>6.8710359408033828E-2</v>
      </c>
      <c r="BL569" s="1175">
        <f>Revenue_end_mkt!AV32</f>
        <v>0.25293127147766348</v>
      </c>
      <c r="BM569" s="1173">
        <f>Revenue_end_mkt!AW32</f>
        <v>7.0000000000000007E-2</v>
      </c>
      <c r="BN569" s="1173">
        <f>Revenue_end_mkt!AX32</f>
        <v>7.0000000000000007E-2</v>
      </c>
      <c r="BO569" s="1173">
        <f>Revenue_end_mkt!AY32</f>
        <v>7.0000000000000007E-2</v>
      </c>
      <c r="BP569" s="1173">
        <f>Revenue_end_mkt!AZ32</f>
        <v>7.0000000000000007E-2</v>
      </c>
      <c r="BQ569" s="1175">
        <f>Revenue_end_mkt!BA32</f>
        <v>6.999999999999984E-2</v>
      </c>
      <c r="BR569" s="1173">
        <f>Revenue_end_mkt!BB32</f>
        <v>0.06</v>
      </c>
      <c r="BS569" s="1173">
        <f>Revenue_end_mkt!BC32</f>
        <v>0.06</v>
      </c>
      <c r="BT569" s="1173">
        <f>Revenue_end_mkt!BD32</f>
        <v>0.06</v>
      </c>
      <c r="BU569" s="1173">
        <f>Revenue_end_mkt!BE32</f>
        <v>0.06</v>
      </c>
      <c r="BV569" s="1175">
        <f>Revenue_end_mkt!BF32</f>
        <v>5.9999999999999831E-2</v>
      </c>
      <c r="BW569" s="1173">
        <f>Revenue_end_mkt!BG32</f>
        <v>0.06</v>
      </c>
      <c r="BX569" s="1173">
        <f>Revenue_end_mkt!BH32</f>
        <v>0.06</v>
      </c>
      <c r="BY569" s="1173">
        <f>Revenue_end_mkt!BI32</f>
        <v>0.06</v>
      </c>
      <c r="BZ569" s="1173">
        <f>Revenue_end_mkt!BJ32</f>
        <v>0.06</v>
      </c>
      <c r="CA569" s="1175">
        <f>Revenue_end_mkt!BK32</f>
        <v>6.0000000000000275E-2</v>
      </c>
      <c r="CB569"/>
      <c r="CV569"/>
      <c r="CW569"/>
      <c r="CX569"/>
      <c r="CY569"/>
      <c r="CZ569"/>
      <c r="DA569"/>
      <c r="DI569" s="1961"/>
    </row>
    <row r="570" spans="1:113" s="1161" customFormat="1" hidden="1" outlineLevel="1" x14ac:dyDescent="0.25">
      <c r="A570" s="1176" t="s">
        <v>343</v>
      </c>
      <c r="B570" s="1166"/>
      <c r="C570" s="1166"/>
      <c r="D570" s="1166"/>
      <c r="E570" s="1166"/>
      <c r="F570" s="1166"/>
      <c r="G570" s="1166"/>
      <c r="H570" s="1166"/>
      <c r="I570" s="1166"/>
      <c r="J570" s="1166"/>
      <c r="K570" s="1166"/>
      <c r="L570" s="1166"/>
      <c r="M570" s="1166"/>
      <c r="N570" s="1166"/>
      <c r="O570" s="1166"/>
      <c r="P570" s="1166"/>
      <c r="Q570" s="1166"/>
      <c r="R570" s="1166"/>
      <c r="S570" s="1166"/>
      <c r="T570" s="1166"/>
      <c r="U570" s="1166"/>
      <c r="V570" s="1166"/>
      <c r="W570" s="1166"/>
      <c r="X570" s="1166"/>
      <c r="Y570" s="1166"/>
      <c r="Z570" s="1166"/>
      <c r="AA570" s="1166"/>
      <c r="AB570" s="1166"/>
      <c r="AC570" s="1166"/>
      <c r="AD570" s="1166"/>
      <c r="AE570" s="1166"/>
      <c r="AF570" s="1166"/>
      <c r="AG570" s="1166"/>
      <c r="AH570" s="1166"/>
      <c r="AI570" s="1172">
        <f>Revenue_end_mkt!S36</f>
        <v>-0.191</v>
      </c>
      <c r="AJ570" s="1173">
        <f>Revenue_end_mkt!T36</f>
        <v>-8.8999999999999996E-2</v>
      </c>
      <c r="AK570" s="1173">
        <f>Revenue_end_mkt!U36</f>
        <v>-0.16600000000000001</v>
      </c>
      <c r="AL570" s="1173">
        <f>Revenue_end_mkt!V36</f>
        <v>0.27640058177787563</v>
      </c>
      <c r="AM570" s="1174">
        <f>Revenue_end_mkt!W36</f>
        <v>-4.2399854555531108E-2</v>
      </c>
      <c r="AN570" s="1173">
        <f>Revenue_end_mkt!X36</f>
        <v>0.21606295567642619</v>
      </c>
      <c r="AO570" s="1173">
        <f>Revenue_end_mkt!Y36</f>
        <v>0.11555555555555563</v>
      </c>
      <c r="AP570" s="1173">
        <f>Revenue_end_mkt!Z36</f>
        <v>0.18143973057673413</v>
      </c>
      <c r="AQ570" s="1173">
        <f>Revenue_end_mkt!AA36</f>
        <v>0.25183502271932889</v>
      </c>
      <c r="AR570" s="1174">
        <f>Revenue_end_mkt!AB36</f>
        <v>0.193</v>
      </c>
      <c r="AS570" s="1173">
        <f>Revenue_end_mkt!AC36</f>
        <v>0.67348686714883921</v>
      </c>
      <c r="AT570" s="1173">
        <f>Revenue_end_mkt!AD36</f>
        <v>0.20804139762787921</v>
      </c>
      <c r="AU570" s="1173">
        <f>Revenue_end_mkt!AE36</f>
        <v>7.3085755008314157E-2</v>
      </c>
      <c r="AV570" s="1173">
        <f>Revenue_end_mkt!AF36</f>
        <v>-2.5999999999999999E-2</v>
      </c>
      <c r="AW570" s="1174">
        <f>Revenue_end_mkt!AG36</f>
        <v>0.20499999999999999</v>
      </c>
      <c r="AX570" s="1173">
        <f>Revenue_end_mkt!AH36</f>
        <v>-0.19038953653682122</v>
      </c>
      <c r="AY570" s="1173">
        <f>Revenue_end_mkt!AI36</f>
        <v>0.159</v>
      </c>
      <c r="AZ570" s="1173">
        <f>Revenue_end_mkt!AJ36</f>
        <v>0.24524055489964569</v>
      </c>
      <c r="BA570" s="1173">
        <f>Revenue_end_mkt!AK36</f>
        <v>0.2724014336917564</v>
      </c>
      <c r="BB570" s="1175">
        <f>Revenue_end_mkt!AL36</f>
        <v>0.10086311924086688</v>
      </c>
      <c r="BC570" s="1173">
        <f>Revenue_end_mkt!AM36</f>
        <v>-1E-3</v>
      </c>
      <c r="BD570" s="1173">
        <f>Revenue_end_mkt!AN36</f>
        <v>-9.2999999999999999E-2</v>
      </c>
      <c r="BE570" s="1173">
        <f>Revenue_end_mkt!AO36</f>
        <v>-0.02</v>
      </c>
      <c r="BF570" s="1173">
        <f>Revenue_end_mkt!AP36</f>
        <v>2E-3</v>
      </c>
      <c r="BG570" s="1175">
        <f>Revenue_end_mkt!AQ36</f>
        <v>-2.70976463253059E-2</v>
      </c>
      <c r="BH570" s="1173">
        <f>Revenue_end_mkt!AR36</f>
        <v>0.11484098939929328</v>
      </c>
      <c r="BI570" s="1173">
        <f>Revenue_end_mkt!AS36</f>
        <v>0.11092150170648464</v>
      </c>
      <c r="BJ570" s="1173">
        <f>Revenue_end_mkt!AT36</f>
        <v>8.2549261083743844E-2</v>
      </c>
      <c r="BK570" s="1173">
        <f>Revenue_end_mkt!AU36</f>
        <v>6.8710359408033828E-2</v>
      </c>
      <c r="BL570" s="1175">
        <f>Revenue_end_mkt!AV36</f>
        <v>9.0044673539518894E-2</v>
      </c>
      <c r="BM570" s="1173">
        <f>Revenue_end_mkt!AW36</f>
        <v>7.0000000000000007E-2</v>
      </c>
      <c r="BN570" s="1173">
        <f>Revenue_end_mkt!AX36</f>
        <v>7.0000000000000007E-2</v>
      </c>
      <c r="BO570" s="1173">
        <f>Revenue_end_mkt!AY36</f>
        <v>7.0000000000000007E-2</v>
      </c>
      <c r="BP570" s="1173">
        <f>Revenue_end_mkt!AZ36</f>
        <v>7.0000000000000007E-2</v>
      </c>
      <c r="BQ570" s="1175">
        <f>Revenue_end_mkt!BA36</f>
        <v>6.9999999999999993E-2</v>
      </c>
      <c r="BR570" s="1173">
        <f>Revenue_end_mkt!BB36</f>
        <v>0.06</v>
      </c>
      <c r="BS570" s="1173">
        <f>Revenue_end_mkt!BC36</f>
        <v>0.06</v>
      </c>
      <c r="BT570" s="1173">
        <f>Revenue_end_mkt!BD36</f>
        <v>0.06</v>
      </c>
      <c r="BU570" s="1173">
        <f>Revenue_end_mkt!BE36</f>
        <v>0.06</v>
      </c>
      <c r="BV570" s="1175">
        <f>Revenue_end_mkt!BF36</f>
        <v>0.06</v>
      </c>
      <c r="BW570" s="1173">
        <f>Revenue_end_mkt!BG36</f>
        <v>0.06</v>
      </c>
      <c r="BX570" s="1173">
        <f>Revenue_end_mkt!BH36</f>
        <v>0.06</v>
      </c>
      <c r="BY570" s="1173">
        <f>Revenue_end_mkt!BI36</f>
        <v>0.06</v>
      </c>
      <c r="BZ570" s="1173">
        <f>Revenue_end_mkt!BJ36</f>
        <v>0.06</v>
      </c>
      <c r="CA570" s="1175">
        <f>Revenue_end_mkt!BK36</f>
        <v>0.06</v>
      </c>
      <c r="CB570"/>
      <c r="CV570"/>
      <c r="CW570"/>
      <c r="CX570"/>
      <c r="CY570"/>
      <c r="CZ570"/>
      <c r="DA570"/>
      <c r="DI570" s="1961"/>
    </row>
    <row r="571" spans="1:113" s="1161" customFormat="1" hidden="1" outlineLevel="1" x14ac:dyDescent="0.25">
      <c r="A571" s="1176"/>
      <c r="B571" s="1166"/>
      <c r="C571" s="1166"/>
      <c r="D571" s="1166"/>
      <c r="E571" s="1166"/>
      <c r="F571" s="1166"/>
      <c r="G571" s="1166"/>
      <c r="H571" s="1166"/>
      <c r="I571" s="1166"/>
      <c r="J571" s="1166"/>
      <c r="K571" s="1166"/>
      <c r="L571" s="1166"/>
      <c r="M571" s="1166"/>
      <c r="N571" s="1166"/>
      <c r="O571" s="1166"/>
      <c r="P571" s="1166"/>
      <c r="Q571" s="1166"/>
      <c r="R571" s="1166"/>
      <c r="S571" s="1166"/>
      <c r="T571" s="1166"/>
      <c r="U571" s="1166"/>
      <c r="V571" s="1166"/>
      <c r="W571" s="1166"/>
      <c r="X571" s="1166"/>
      <c r="Y571" s="1166"/>
      <c r="Z571" s="1166"/>
      <c r="AA571" s="1166"/>
      <c r="AB571" s="1166"/>
      <c r="AC571" s="1166"/>
      <c r="AD571" s="1166"/>
      <c r="AE571" s="1166"/>
      <c r="AF571" s="1166"/>
      <c r="AG571" s="1166"/>
      <c r="AH571" s="1166"/>
      <c r="AI571" s="1166"/>
      <c r="AM571" s="1163"/>
      <c r="AR571" s="1163"/>
      <c r="AW571" s="1163"/>
      <c r="BB571" s="1164"/>
      <c r="BG571" s="1164"/>
      <c r="BL571" s="1164"/>
      <c r="BQ571" s="1164"/>
      <c r="BV571" s="1164"/>
      <c r="CA571" s="1164"/>
      <c r="CB571"/>
      <c r="CV571"/>
      <c r="CW571"/>
      <c r="CX571"/>
      <c r="CY571"/>
      <c r="CZ571"/>
      <c r="DA571"/>
      <c r="DI571" s="1961"/>
    </row>
    <row r="572" spans="1:113" s="1161" customFormat="1" hidden="1" outlineLevel="1" x14ac:dyDescent="0.25">
      <c r="A572" s="1165" t="s">
        <v>345</v>
      </c>
      <c r="B572" s="1166"/>
      <c r="C572" s="1166"/>
      <c r="D572" s="1166"/>
      <c r="E572" s="1166"/>
      <c r="F572" s="1166"/>
      <c r="G572" s="1166"/>
      <c r="H572" s="1166"/>
      <c r="I572" s="1166"/>
      <c r="J572" s="1166"/>
      <c r="K572" s="1166"/>
      <c r="L572" s="1166"/>
      <c r="M572" s="1166"/>
      <c r="N572" s="1166"/>
      <c r="O572" s="1166"/>
      <c r="P572" s="1166"/>
      <c r="Q572" s="1166"/>
      <c r="R572" s="1166"/>
      <c r="S572" s="1166"/>
      <c r="T572" s="1166"/>
      <c r="U572" s="1166"/>
      <c r="V572" s="1166"/>
      <c r="W572" s="1166"/>
      <c r="X572" s="1166"/>
      <c r="Y572" s="1166"/>
      <c r="Z572" s="1166"/>
      <c r="AA572" s="1166"/>
      <c r="AB572" s="1166"/>
      <c r="AC572" s="1166"/>
      <c r="AD572" s="1166"/>
      <c r="AE572" s="1166"/>
      <c r="AF572" s="1166"/>
      <c r="AG572" s="1166"/>
      <c r="AH572" s="1166"/>
      <c r="AI572" s="1167">
        <f>Revenue_end_mkt!S46</f>
        <v>59.048999999999999</v>
      </c>
      <c r="AJ572" s="1168">
        <f>Revenue_end_mkt!T46</f>
        <v>61.087000000000003</v>
      </c>
      <c r="AK572" s="1168">
        <f>Revenue_end_mkt!U46</f>
        <v>73.611999999999995</v>
      </c>
      <c r="AL572" s="1168">
        <f>Revenue_end_mkt!V46</f>
        <v>77.790000000000006</v>
      </c>
      <c r="AM572" s="1169">
        <f>Revenue_end_mkt!W46</f>
        <v>271.53800000000001</v>
      </c>
      <c r="AN572" s="1168">
        <f>Revenue_end_mkt!X46</f>
        <v>63.896000000000001</v>
      </c>
      <c r="AO572" s="1168">
        <f>Revenue_end_mkt!Y46</f>
        <v>65.091999999999999</v>
      </c>
      <c r="AP572" s="1168">
        <f>Revenue_end_mkt!Z46</f>
        <v>91.9</v>
      </c>
      <c r="AQ572" s="1168">
        <f>Revenue_end_mkt!AA46</f>
        <v>94.74</v>
      </c>
      <c r="AR572" s="1169">
        <f>Revenue_end_mkt!AB46</f>
        <v>315.62799999999999</v>
      </c>
      <c r="AS572" s="1168">
        <f>Revenue_end_mkt!AC53</f>
        <v>75.103999999999999</v>
      </c>
      <c r="AT572" s="1168">
        <f>Revenue_end_mkt!AD53</f>
        <v>69.051000000000002</v>
      </c>
      <c r="AU572" s="1168">
        <f>Revenue_end_mkt!AE53</f>
        <v>79.992999999999995</v>
      </c>
      <c r="AV572" s="1168">
        <f>Revenue_end_mkt!AF53</f>
        <v>83.2</v>
      </c>
      <c r="AW572" s="1169">
        <f>Revenue_end_mkt!AG53</f>
        <v>307.34800000000001</v>
      </c>
      <c r="AX572" s="1168">
        <f>Revenue_end_mkt!AH53</f>
        <v>69.150999999999996</v>
      </c>
      <c r="AY572" s="1168">
        <f>Revenue_end_mkt!AI53</f>
        <v>0</v>
      </c>
      <c r="AZ572" s="1168">
        <f>Revenue_end_mkt!AJ53</f>
        <v>0</v>
      </c>
      <c r="BA572" s="1168">
        <f>Revenue_end_mkt!AK53</f>
        <v>0</v>
      </c>
      <c r="BB572" s="1170">
        <f>Revenue_end_mkt!AL53</f>
        <v>0</v>
      </c>
      <c r="BC572" s="1168">
        <f>Revenue_end_mkt!AM53</f>
        <v>0</v>
      </c>
      <c r="BD572" s="1168">
        <f>Revenue_end_mkt!AN53</f>
        <v>0</v>
      </c>
      <c r="BE572" s="1168">
        <f>Revenue_end_mkt!AO53</f>
        <v>0</v>
      </c>
      <c r="BF572" s="1168">
        <f>Revenue_end_mkt!AP53</f>
        <v>0</v>
      </c>
      <c r="BG572" s="1170">
        <f>Revenue_end_mkt!AQ53</f>
        <v>0</v>
      </c>
      <c r="BH572" s="1168">
        <f>Revenue_end_mkt!AR53</f>
        <v>0</v>
      </c>
      <c r="BI572" s="1168">
        <f>Revenue_end_mkt!AS53</f>
        <v>0</v>
      </c>
      <c r="BJ572" s="1168">
        <f>Revenue_end_mkt!AT53</f>
        <v>0</v>
      </c>
      <c r="BK572" s="1168">
        <f>Revenue_end_mkt!AU53</f>
        <v>0</v>
      </c>
      <c r="BL572" s="1170">
        <f>Revenue_end_mkt!AV53</f>
        <v>0</v>
      </c>
      <c r="BM572" s="1168">
        <f>Revenue_end_mkt!AW53</f>
        <v>0</v>
      </c>
      <c r="BN572" s="1168">
        <f>Revenue_end_mkt!AX53</f>
        <v>0</v>
      </c>
      <c r="BO572" s="1168">
        <f>Revenue_end_mkt!AY53</f>
        <v>0</v>
      </c>
      <c r="BP572" s="1168">
        <f>Revenue_end_mkt!AZ53</f>
        <v>0</v>
      </c>
      <c r="BQ572" s="1170">
        <f>Revenue_end_mkt!BA53</f>
        <v>0</v>
      </c>
      <c r="BR572" s="1168">
        <f>Revenue_end_mkt!BB53</f>
        <v>0</v>
      </c>
      <c r="BS572" s="1168">
        <f>Revenue_end_mkt!BC53</f>
        <v>0</v>
      </c>
      <c r="BT572" s="1168">
        <f>Revenue_end_mkt!BD53</f>
        <v>0</v>
      </c>
      <c r="BU572" s="1168">
        <f>Revenue_end_mkt!BE53</f>
        <v>0</v>
      </c>
      <c r="BV572" s="1170">
        <f>Revenue_end_mkt!BF53</f>
        <v>0</v>
      </c>
      <c r="BW572" s="1168">
        <f>Revenue_end_mkt!BG53</f>
        <v>0</v>
      </c>
      <c r="BX572" s="1168">
        <f>Revenue_end_mkt!BH53</f>
        <v>0</v>
      </c>
      <c r="BY572" s="1168">
        <f>Revenue_end_mkt!BI53</f>
        <v>0</v>
      </c>
      <c r="BZ572" s="1168">
        <f>Revenue_end_mkt!BJ53</f>
        <v>0</v>
      </c>
      <c r="CA572" s="1170">
        <f>Revenue_end_mkt!BK53</f>
        <v>0</v>
      </c>
      <c r="CB572"/>
      <c r="CV572"/>
      <c r="CW572"/>
      <c r="CX572"/>
      <c r="CY572"/>
      <c r="CZ572"/>
      <c r="DA572"/>
      <c r="DB572" s="1177"/>
      <c r="DI572" s="1961"/>
    </row>
    <row r="573" spans="1:113" s="1161" customFormat="1" hidden="1" outlineLevel="1" x14ac:dyDescent="0.25">
      <c r="A573" s="1171" t="s">
        <v>209</v>
      </c>
      <c r="B573" s="1166"/>
      <c r="C573" s="1166"/>
      <c r="D573" s="1166"/>
      <c r="E573" s="1166"/>
      <c r="F573" s="1166"/>
      <c r="G573" s="1166"/>
      <c r="H573" s="1166"/>
      <c r="I573" s="1166"/>
      <c r="J573" s="1166"/>
      <c r="K573" s="1166"/>
      <c r="L573" s="1166"/>
      <c r="M573" s="1166"/>
      <c r="N573" s="1166"/>
      <c r="O573" s="1166"/>
      <c r="P573" s="1166"/>
      <c r="Q573" s="1166"/>
      <c r="R573" s="1166"/>
      <c r="S573" s="1166"/>
      <c r="T573" s="1166"/>
      <c r="U573" s="1166"/>
      <c r="V573" s="1166"/>
      <c r="W573" s="1166"/>
      <c r="X573" s="1166"/>
      <c r="Y573" s="1166"/>
      <c r="Z573" s="1166"/>
      <c r="AA573" s="1166"/>
      <c r="AB573" s="1166"/>
      <c r="AC573" s="1166"/>
      <c r="AD573" s="1166"/>
      <c r="AE573" s="1166"/>
      <c r="AF573" s="1166"/>
      <c r="AG573" s="1166"/>
      <c r="AH573" s="1166"/>
      <c r="AI573" s="1172">
        <f>Revenue_end_mkt!S47</f>
        <v>0.93933920126116655</v>
      </c>
      <c r="AJ573" s="1173">
        <f>Revenue_end_mkt!T47</f>
        <v>0.21250074432821897</v>
      </c>
      <c r="AK573" s="1173">
        <f>Revenue_end_mkt!U47</f>
        <v>6.1854480410824531E-2</v>
      </c>
      <c r="AL573" s="1173">
        <f>Revenue_end_mkt!V47</f>
        <v>6.8514601247218421E-2</v>
      </c>
      <c r="AM573" s="1174">
        <f>Revenue_end_mkt!W47</f>
        <v>0.21790495839967683</v>
      </c>
      <c r="AN573" s="1173">
        <f>Revenue_end_mkt!X47</f>
        <v>8.2084370607461654E-2</v>
      </c>
      <c r="AO573" s="1173">
        <f>Revenue_end_mkt!Y47</f>
        <v>6.5562230916561548E-2</v>
      </c>
      <c r="AP573" s="1173">
        <f>Revenue_end_mkt!Z47</f>
        <v>0.24843775471390561</v>
      </c>
      <c r="AQ573" s="1173">
        <f>Revenue_end_mkt!AA47</f>
        <v>0.21789433089085986</v>
      </c>
      <c r="AR573" s="1174">
        <f>Revenue_end_mkt!AB47</f>
        <v>0.16237138080121372</v>
      </c>
      <c r="AS573" s="1173">
        <f>Revenue_end_mkt!AC54</f>
        <v>0.28602739726027404</v>
      </c>
      <c r="AT573" s="1173">
        <f>Revenue_end_mkt!AD54</f>
        <v>0.23305357142857153</v>
      </c>
      <c r="AU573" s="1173">
        <f>Revenue_end_mkt!AE54</f>
        <v>-1.3649815043156543E-2</v>
      </c>
      <c r="AV573" s="1173">
        <f>Revenue_end_mkt!AF54</f>
        <v>-9.52380952380949E-3</v>
      </c>
      <c r="AW573" s="1174">
        <f>Revenue_end_mkt!AG54</f>
        <v>9.9635062611806768E-2</v>
      </c>
      <c r="AX573" s="1173">
        <f>Revenue_end_mkt!AH54</f>
        <v>-7.9263421389007327E-2</v>
      </c>
      <c r="AY573" s="1173">
        <f>Revenue_end_mkt!AI54</f>
        <v>0</v>
      </c>
      <c r="AZ573" s="1173">
        <f>Revenue_end_mkt!AJ54</f>
        <v>0</v>
      </c>
      <c r="BA573" s="1173">
        <f>Revenue_end_mkt!AK54</f>
        <v>0</v>
      </c>
      <c r="BB573" s="1175">
        <f>Revenue_end_mkt!AL54</f>
        <v>0</v>
      </c>
      <c r="BC573" s="1173">
        <f>Revenue_end_mkt!AM54</f>
        <v>0</v>
      </c>
      <c r="BD573" s="1173">
        <f>Revenue_end_mkt!AN54</f>
        <v>0</v>
      </c>
      <c r="BE573" s="1173">
        <f>Revenue_end_mkt!AO54</f>
        <v>0</v>
      </c>
      <c r="BF573" s="1173">
        <f>Revenue_end_mkt!AP54</f>
        <v>0</v>
      </c>
      <c r="BG573" s="1175">
        <f>Revenue_end_mkt!AQ54</f>
        <v>0</v>
      </c>
      <c r="BH573" s="1173">
        <f>Revenue_end_mkt!AR54</f>
        <v>0</v>
      </c>
      <c r="BI573" s="1173">
        <f>Revenue_end_mkt!AS54</f>
        <v>0</v>
      </c>
      <c r="BJ573" s="1173">
        <f>Revenue_end_mkt!AT54</f>
        <v>0</v>
      </c>
      <c r="BK573" s="1173">
        <f>Revenue_end_mkt!AU54</f>
        <v>0</v>
      </c>
      <c r="BL573" s="1175">
        <f>Revenue_end_mkt!AV54</f>
        <v>0</v>
      </c>
      <c r="BM573" s="1173">
        <f>Revenue_end_mkt!AW54</f>
        <v>0</v>
      </c>
      <c r="BN573" s="1173">
        <f>Revenue_end_mkt!AX54</f>
        <v>0</v>
      </c>
      <c r="BO573" s="1173">
        <f>Revenue_end_mkt!AY54</f>
        <v>0</v>
      </c>
      <c r="BP573" s="1173">
        <f>Revenue_end_mkt!AZ54</f>
        <v>0</v>
      </c>
      <c r="BQ573" s="1175">
        <f>Revenue_end_mkt!BA54</f>
        <v>0</v>
      </c>
      <c r="BR573" s="1173">
        <f>Revenue_end_mkt!BB54</f>
        <v>0</v>
      </c>
      <c r="BS573" s="1173">
        <f>Revenue_end_mkt!BC54</f>
        <v>0</v>
      </c>
      <c r="BT573" s="1173">
        <f>Revenue_end_mkt!BD54</f>
        <v>0</v>
      </c>
      <c r="BU573" s="1173">
        <f>Revenue_end_mkt!BE54</f>
        <v>0</v>
      </c>
      <c r="BV573" s="1175">
        <f>Revenue_end_mkt!BF54</f>
        <v>0</v>
      </c>
      <c r="BW573" s="1173">
        <f>Revenue_end_mkt!BG54</f>
        <v>0</v>
      </c>
      <c r="BX573" s="1173">
        <f>Revenue_end_mkt!BH54</f>
        <v>0</v>
      </c>
      <c r="BY573" s="1173">
        <f>Revenue_end_mkt!BI54</f>
        <v>0</v>
      </c>
      <c r="BZ573" s="1173">
        <f>Revenue_end_mkt!BJ54</f>
        <v>0</v>
      </c>
      <c r="CA573" s="1175">
        <f>Revenue_end_mkt!BK54</f>
        <v>0</v>
      </c>
      <c r="CB573"/>
      <c r="CV573"/>
      <c r="CW573"/>
      <c r="CX573"/>
      <c r="CY573"/>
      <c r="CZ573"/>
      <c r="DA573"/>
      <c r="DB573" s="1177"/>
      <c r="DI573" s="1961"/>
    </row>
    <row r="574" spans="1:113" s="1161" customFormat="1" hidden="1" outlineLevel="1" x14ac:dyDescent="0.25">
      <c r="A574" s="1176" t="s">
        <v>343</v>
      </c>
      <c r="B574" s="1166"/>
      <c r="C574" s="1166"/>
      <c r="D574" s="1166"/>
      <c r="E574" s="1166"/>
      <c r="F574" s="1166"/>
      <c r="G574" s="1166"/>
      <c r="H574" s="1166"/>
      <c r="I574" s="1166"/>
      <c r="J574" s="1166"/>
      <c r="K574" s="1166"/>
      <c r="L574" s="1166"/>
      <c r="M574" s="1166"/>
      <c r="N574" s="1166"/>
      <c r="O574" s="1166"/>
      <c r="P574" s="1166"/>
      <c r="Q574" s="1166"/>
      <c r="R574" s="1166"/>
      <c r="S574" s="1166"/>
      <c r="T574" s="1166"/>
      <c r="U574" s="1166"/>
      <c r="V574" s="1166"/>
      <c r="W574" s="1166"/>
      <c r="X574" s="1166"/>
      <c r="Y574" s="1166"/>
      <c r="Z574" s="1166"/>
      <c r="AA574" s="1166"/>
      <c r="AB574" s="1166"/>
      <c r="AC574" s="1166"/>
      <c r="AD574" s="1166"/>
      <c r="AE574" s="1166"/>
      <c r="AF574" s="1166"/>
      <c r="AG574" s="1166"/>
      <c r="AH574" s="1166"/>
      <c r="AI574" s="1172">
        <f>Revenue_end_mkt!S51</f>
        <v>0.39</v>
      </c>
      <c r="AJ574" s="1173">
        <f>Revenue_end_mkt!T51</f>
        <v>0.21299999999999999</v>
      </c>
      <c r="AK574" s="1173">
        <f>Revenue_end_mkt!U51</f>
        <v>6.2E-2</v>
      </c>
      <c r="AL574" s="1173">
        <f>Revenue_end_mkt!V51</f>
        <v>6.8514601247218421E-2</v>
      </c>
      <c r="AM574" s="1174">
        <f>Revenue_end_mkt!W51</f>
        <v>0.1430421430333475</v>
      </c>
      <c r="AN574" s="1173">
        <f>Revenue_end_mkt!X51</f>
        <v>8.2084370607461654E-2</v>
      </c>
      <c r="AO574" s="1173">
        <f>Revenue_end_mkt!Y51</f>
        <v>6.5562230916561548E-2</v>
      </c>
      <c r="AP574" s="1173">
        <f>Revenue_end_mkt!Z51</f>
        <v>0.24843775471390561</v>
      </c>
      <c r="AQ574" s="1173">
        <f>Revenue_end_mkt!AA51</f>
        <v>0.21789433089085986</v>
      </c>
      <c r="AR574" s="1174">
        <f>Revenue_end_mkt!AB51</f>
        <v>0.16200000000000001</v>
      </c>
      <c r="AS574" s="1173">
        <f>Revenue_end_mkt!AC58</f>
        <v>0.17123287671232879</v>
      </c>
      <c r="AT574" s="1173">
        <f>Revenue_end_mkt!AD58</f>
        <v>0.19600000000000001</v>
      </c>
      <c r="AU574" s="1173">
        <f>Revenue_end_mkt!AE58</f>
        <v>-0.02</v>
      </c>
      <c r="AV574" s="1173">
        <f>Revenue_end_mkt!AF58</f>
        <v>-2.4E-2</v>
      </c>
      <c r="AW574" s="1174">
        <f>Revenue_end_mkt!AG58</f>
        <v>6.2E-2</v>
      </c>
      <c r="AX574" s="1173">
        <f>Revenue_end_mkt!AH58</f>
        <v>0</v>
      </c>
      <c r="AY574" s="1173">
        <f>Revenue_end_mkt!AI58</f>
        <v>0</v>
      </c>
      <c r="AZ574" s="1173">
        <f>Revenue_end_mkt!AJ58</f>
        <v>0</v>
      </c>
      <c r="BA574" s="1173">
        <f>Revenue_end_mkt!AK58</f>
        <v>0</v>
      </c>
      <c r="BB574" s="1175">
        <f>Revenue_end_mkt!AL58</f>
        <v>0</v>
      </c>
      <c r="BC574" s="1173">
        <f>Revenue_end_mkt!AM58</f>
        <v>0</v>
      </c>
      <c r="BD574" s="1173">
        <f>Revenue_end_mkt!AN58</f>
        <v>0</v>
      </c>
      <c r="BE574" s="1173">
        <f>Revenue_end_mkt!AO58</f>
        <v>0</v>
      </c>
      <c r="BF574" s="1173">
        <f>Revenue_end_mkt!AP58</f>
        <v>0</v>
      </c>
      <c r="BG574" s="1175">
        <f>Revenue_end_mkt!AQ58</f>
        <v>0</v>
      </c>
      <c r="BH574" s="1173">
        <f>Revenue_end_mkt!AR58</f>
        <v>0</v>
      </c>
      <c r="BI574" s="1173">
        <f>Revenue_end_mkt!AS58</f>
        <v>0</v>
      </c>
      <c r="BJ574" s="1173">
        <f>Revenue_end_mkt!AT58</f>
        <v>0</v>
      </c>
      <c r="BK574" s="1173">
        <f>Revenue_end_mkt!AU58</f>
        <v>0</v>
      </c>
      <c r="BL574" s="1175">
        <f>Revenue_end_mkt!AV58</f>
        <v>0</v>
      </c>
      <c r="BM574" s="1173">
        <f>Revenue_end_mkt!AW58</f>
        <v>0</v>
      </c>
      <c r="BN574" s="1173">
        <f>Revenue_end_mkt!AX58</f>
        <v>0</v>
      </c>
      <c r="BO574" s="1173">
        <f>Revenue_end_mkt!AY58</f>
        <v>0</v>
      </c>
      <c r="BP574" s="1173">
        <f>Revenue_end_mkt!AZ58</f>
        <v>0</v>
      </c>
      <c r="BQ574" s="1175">
        <f>Revenue_end_mkt!BA58</f>
        <v>0</v>
      </c>
      <c r="BR574" s="1173">
        <f>Revenue_end_mkt!BB58</f>
        <v>0</v>
      </c>
      <c r="BS574" s="1173">
        <f>Revenue_end_mkt!BC58</f>
        <v>0</v>
      </c>
      <c r="BT574" s="1173">
        <f>Revenue_end_mkt!BD58</f>
        <v>0</v>
      </c>
      <c r="BU574" s="1173">
        <f>Revenue_end_mkt!BE58</f>
        <v>0</v>
      </c>
      <c r="BV574" s="1175">
        <f>Revenue_end_mkt!BF58</f>
        <v>0</v>
      </c>
      <c r="BW574" s="1173">
        <f>Revenue_end_mkt!BG58</f>
        <v>0</v>
      </c>
      <c r="BX574" s="1173">
        <f>Revenue_end_mkt!BH58</f>
        <v>0</v>
      </c>
      <c r="BY574" s="1173">
        <f>Revenue_end_mkt!BI58</f>
        <v>0</v>
      </c>
      <c r="BZ574" s="1173">
        <f>Revenue_end_mkt!BJ58</f>
        <v>0</v>
      </c>
      <c r="CA574" s="1175">
        <f>Revenue_end_mkt!BK58</f>
        <v>0</v>
      </c>
      <c r="CB574"/>
      <c r="CV574"/>
      <c r="CW574"/>
      <c r="CX574"/>
      <c r="CY574"/>
      <c r="CZ574"/>
      <c r="DA574"/>
      <c r="DB574" s="1177"/>
      <c r="DI574" s="1961"/>
    </row>
    <row r="575" spans="1:113" s="1161" customFormat="1" hidden="1" outlineLevel="1" x14ac:dyDescent="0.25">
      <c r="A575" s="1176"/>
      <c r="B575" s="1166"/>
      <c r="C575" s="1166"/>
      <c r="D575" s="1166"/>
      <c r="E575" s="1166"/>
      <c r="F575" s="1166"/>
      <c r="G575" s="1166"/>
      <c r="H575" s="1166"/>
      <c r="I575" s="1166"/>
      <c r="J575" s="1166"/>
      <c r="K575" s="1166"/>
      <c r="L575" s="1166"/>
      <c r="M575" s="1166"/>
      <c r="N575" s="1166"/>
      <c r="O575" s="1166"/>
      <c r="P575" s="1166"/>
      <c r="Q575" s="1166"/>
      <c r="R575" s="1166"/>
      <c r="S575" s="1166"/>
      <c r="T575" s="1166"/>
      <c r="U575" s="1166"/>
      <c r="V575" s="1166"/>
      <c r="W575" s="1166"/>
      <c r="X575" s="1166"/>
      <c r="Y575" s="1166"/>
      <c r="Z575" s="1166"/>
      <c r="AA575" s="1166"/>
      <c r="AB575" s="1166"/>
      <c r="AC575" s="1166"/>
      <c r="AD575" s="1166"/>
      <c r="AE575" s="1166"/>
      <c r="AF575" s="1166"/>
      <c r="AG575" s="1166"/>
      <c r="AH575" s="1166"/>
      <c r="AI575" s="1178"/>
      <c r="AJ575" s="1179"/>
      <c r="AK575" s="1179"/>
      <c r="AL575" s="1179"/>
      <c r="AM575" s="1180"/>
      <c r="AN575" s="1179"/>
      <c r="AO575" s="1179"/>
      <c r="AP575" s="1179"/>
      <c r="AQ575" s="1179"/>
      <c r="AR575" s="1180"/>
      <c r="AS575" s="1179"/>
      <c r="AT575" s="1179"/>
      <c r="AU575" s="1179"/>
      <c r="AV575" s="1179"/>
      <c r="AW575" s="1180"/>
      <c r="AX575" s="1179"/>
      <c r="AY575" s="1179"/>
      <c r="AZ575" s="1179"/>
      <c r="BA575" s="1179"/>
      <c r="BB575" s="1181"/>
      <c r="BC575" s="1179"/>
      <c r="BD575" s="1179"/>
      <c r="BE575" s="1179"/>
      <c r="BF575" s="1179"/>
      <c r="BG575" s="1181"/>
      <c r="BH575" s="1179"/>
      <c r="BI575" s="1179"/>
      <c r="BJ575" s="1179"/>
      <c r="BK575" s="1179"/>
      <c r="BL575" s="1181"/>
      <c r="BM575" s="1179"/>
      <c r="BN575" s="1179"/>
      <c r="BO575" s="1179"/>
      <c r="BP575" s="1179"/>
      <c r="BQ575" s="1181"/>
      <c r="BR575" s="1179"/>
      <c r="BS575" s="1179"/>
      <c r="BT575" s="1179"/>
      <c r="BU575" s="1179"/>
      <c r="BV575" s="1181"/>
      <c r="BW575" s="1179"/>
      <c r="BX575" s="1179"/>
      <c r="BY575" s="1179"/>
      <c r="BZ575" s="1179"/>
      <c r="CA575" s="1181"/>
      <c r="CB575"/>
      <c r="CV575"/>
      <c r="CW575"/>
      <c r="CX575"/>
      <c r="CY575"/>
      <c r="CZ575"/>
      <c r="DA575"/>
      <c r="DB575" s="1177"/>
      <c r="DI575" s="1961"/>
    </row>
    <row r="576" spans="1:113" s="1161" customFormat="1" hidden="1" outlineLevel="1" x14ac:dyDescent="0.25">
      <c r="A576" s="1165" t="s">
        <v>346</v>
      </c>
      <c r="B576" s="1166"/>
      <c r="C576" s="1166"/>
      <c r="D576" s="1166"/>
      <c r="E576" s="1166"/>
      <c r="F576" s="1166"/>
      <c r="G576" s="1166"/>
      <c r="H576" s="1166"/>
      <c r="I576" s="1166"/>
      <c r="J576" s="1166"/>
      <c r="K576" s="1166"/>
      <c r="L576" s="1166"/>
      <c r="M576" s="1166"/>
      <c r="N576" s="1166"/>
      <c r="O576" s="1166"/>
      <c r="P576" s="1166"/>
      <c r="Q576" s="1166"/>
      <c r="R576" s="1166"/>
      <c r="S576" s="1166"/>
      <c r="T576" s="1166"/>
      <c r="U576" s="1166"/>
      <c r="V576" s="1166"/>
      <c r="W576" s="1166"/>
      <c r="X576" s="1166"/>
      <c r="Y576" s="1166"/>
      <c r="Z576" s="1166"/>
      <c r="AA576" s="1166"/>
      <c r="AB576" s="1166"/>
      <c r="AC576" s="1166"/>
      <c r="AD576" s="1166"/>
      <c r="AE576" s="1166"/>
      <c r="AF576" s="1166"/>
      <c r="AG576" s="1166"/>
      <c r="AH576" s="1166"/>
      <c r="AI576" s="1167">
        <f>Revenue_end_mkt!S61</f>
        <v>21.204000000000001</v>
      </c>
      <c r="AJ576" s="1168">
        <f>Revenue_end_mkt!T61</f>
        <v>21.66</v>
      </c>
      <c r="AK576" s="1168">
        <f>Revenue_end_mkt!U61</f>
        <v>21.11</v>
      </c>
      <c r="AL576" s="1168">
        <f>Revenue_end_mkt!V61</f>
        <v>21.651</v>
      </c>
      <c r="AM576" s="1169">
        <f>Revenue_end_mkt!W61</f>
        <v>85.625</v>
      </c>
      <c r="AN576" s="1168">
        <f>Revenue_end_mkt!X61</f>
        <v>20.988</v>
      </c>
      <c r="AO576" s="1168">
        <f>Revenue_end_mkt!Y61</f>
        <v>21.841999999999999</v>
      </c>
      <c r="AP576" s="1168">
        <f>Revenue_end_mkt!Z61</f>
        <v>20.556999999999999</v>
      </c>
      <c r="AQ576" s="1168">
        <f>Revenue_end_mkt!AA61</f>
        <v>21.539000000000001</v>
      </c>
      <c r="AR576" s="1169">
        <f>Revenue_end_mkt!AB61</f>
        <v>84.926000000000002</v>
      </c>
      <c r="AS576" s="1168">
        <f>Revenue_end_mkt!AC61</f>
        <v>24.448</v>
      </c>
      <c r="AT576" s="1168">
        <f>Revenue_end_mkt!AD61</f>
        <v>65.212999999999994</v>
      </c>
      <c r="AU576" s="1168">
        <f>Revenue_end_mkt!AE61</f>
        <v>109.205</v>
      </c>
      <c r="AV576" s="1168">
        <f>Revenue_end_mkt!AF61</f>
        <v>109.9</v>
      </c>
      <c r="AW576" s="1169">
        <f>Revenue_end_mkt!AG61</f>
        <v>308.76599999999996</v>
      </c>
      <c r="AX576" s="1168">
        <f>Revenue_end_mkt!AH61</f>
        <v>112.926</v>
      </c>
      <c r="AY576" s="1168">
        <f>Revenue_end_mkt!AI61</f>
        <v>111.11799999999999</v>
      </c>
      <c r="AZ576" s="1168">
        <f>Revenue_end_mkt!AJ61</f>
        <v>109.11</v>
      </c>
      <c r="BA576" s="1168">
        <f>Revenue_end_mkt!AK61</f>
        <v>109.7</v>
      </c>
      <c r="BB576" s="1170">
        <f>Revenue_end_mkt!AL61</f>
        <v>442.85399999999998</v>
      </c>
      <c r="BC576" s="1168">
        <f>Revenue_end_mkt!AM61</f>
        <v>106.3</v>
      </c>
      <c r="BD576" s="1168">
        <f>Revenue_end_mkt!AN61</f>
        <v>110.3</v>
      </c>
      <c r="BE576" s="1168">
        <f>Revenue_end_mkt!AO61</f>
        <v>111.4</v>
      </c>
      <c r="BF576" s="1168">
        <f>Revenue_end_mkt!AP61</f>
        <v>116.6</v>
      </c>
      <c r="BG576" s="1170">
        <f>Revenue_end_mkt!AQ61</f>
        <v>444.6</v>
      </c>
      <c r="BH576" s="1168">
        <f>Revenue_end_mkt!AR61</f>
        <v>120.0835</v>
      </c>
      <c r="BI576" s="1168">
        <f>Revenue_end_mkt!AS61</f>
        <v>124.26349999999999</v>
      </c>
      <c r="BJ576" s="1168">
        <f>Revenue_end_mkt!AT61</f>
        <v>125.413</v>
      </c>
      <c r="BK576" s="1168">
        <f>Revenue_end_mkt!AU61</f>
        <v>130.84700000000001</v>
      </c>
      <c r="BL576" s="1170">
        <f>Revenue_end_mkt!AV61</f>
        <v>500.60699999999997</v>
      </c>
      <c r="BM576" s="1168">
        <f>Revenue_end_mkt!AW61</f>
        <v>124.88684000000001</v>
      </c>
      <c r="BN576" s="1168">
        <f>Revenue_end_mkt!AX61</f>
        <v>129.23403999999999</v>
      </c>
      <c r="BO576" s="1168">
        <f>Revenue_end_mkt!AY61</f>
        <v>130.42952</v>
      </c>
      <c r="BP576" s="1168">
        <f>Revenue_end_mkt!AZ61</f>
        <v>136.08088000000001</v>
      </c>
      <c r="BQ576" s="1170">
        <f>Revenue_end_mkt!BA61</f>
        <v>520.63127999999995</v>
      </c>
      <c r="BR576" s="1168">
        <f>Revenue_end_mkt!BB61</f>
        <v>129.8823136</v>
      </c>
      <c r="BS576" s="1168">
        <f>Revenue_end_mkt!BC61</f>
        <v>134.4034016</v>
      </c>
      <c r="BT576" s="1168">
        <f>Revenue_end_mkt!BD61</f>
        <v>135.64670079999999</v>
      </c>
      <c r="BU576" s="1168">
        <f>Revenue_end_mkt!BE61</f>
        <v>141.52411520000001</v>
      </c>
      <c r="BV576" s="1170">
        <f>Revenue_end_mkt!BF61</f>
        <v>541.45653119999997</v>
      </c>
      <c r="BW576" s="1168">
        <f>Revenue_end_mkt!BG61</f>
        <v>135.07760614400001</v>
      </c>
      <c r="BX576" s="1168">
        <f>Revenue_end_mkt!BH61</f>
        <v>139.779537664</v>
      </c>
      <c r="BY576" s="1168">
        <f>Revenue_end_mkt!BI61</f>
        <v>141.072568832</v>
      </c>
      <c r="BZ576" s="1168">
        <f>Revenue_end_mkt!BJ61</f>
        <v>147.18507980800001</v>
      </c>
      <c r="CA576" s="1170">
        <f>Revenue_end_mkt!BK61</f>
        <v>563.11479244800012</v>
      </c>
      <c r="CB576"/>
      <c r="CV576"/>
      <c r="CW576"/>
      <c r="CX576"/>
      <c r="CY576"/>
      <c r="CZ576"/>
      <c r="DA576"/>
      <c r="DB576" s="1177"/>
      <c r="DI576" s="1961"/>
    </row>
    <row r="577" spans="1:113" s="1161" customFormat="1" hidden="1" outlineLevel="1" x14ac:dyDescent="0.25">
      <c r="A577" s="1171" t="s">
        <v>209</v>
      </c>
      <c r="B577" s="1166"/>
      <c r="C577" s="1166"/>
      <c r="D577" s="1166"/>
      <c r="E577" s="1166"/>
      <c r="F577" s="1166"/>
      <c r="G577" s="1166"/>
      <c r="H577" s="1166"/>
      <c r="I577" s="1166"/>
      <c r="J577" s="1166"/>
      <c r="K577" s="1166"/>
      <c r="L577" s="1166"/>
      <c r="M577" s="1166"/>
      <c r="N577" s="1166"/>
      <c r="O577" s="1166"/>
      <c r="P577" s="1166"/>
      <c r="Q577" s="1166"/>
      <c r="R577" s="1166"/>
      <c r="S577" s="1166"/>
      <c r="T577" s="1166"/>
      <c r="U577" s="1166"/>
      <c r="V577" s="1166"/>
      <c r="W577" s="1166"/>
      <c r="X577" s="1166"/>
      <c r="Y577" s="1166"/>
      <c r="Z577" s="1166"/>
      <c r="AA577" s="1166"/>
      <c r="AB577" s="1166"/>
      <c r="AC577" s="1166"/>
      <c r="AD577" s="1166"/>
      <c r="AE577" s="1166"/>
      <c r="AF577" s="1166"/>
      <c r="AG577" s="1166"/>
      <c r="AH577" s="1166"/>
      <c r="AI577" s="1172">
        <f>Revenue_end_mkt!S62</f>
        <v>3.5705563424998754E-2</v>
      </c>
      <c r="AJ577" s="1173">
        <f>Revenue_end_mkt!T62</f>
        <v>2.4258760107816801E-2</v>
      </c>
      <c r="AK577" s="1173">
        <f>Revenue_end_mkt!U62</f>
        <v>-1.4058194386063372E-2</v>
      </c>
      <c r="AL577" s="1173">
        <f>Revenue_end_mkt!V62</f>
        <v>-3.0537769220436051E-2</v>
      </c>
      <c r="AM577" s="1174">
        <f>Revenue_end_mkt!W62</f>
        <v>3.0574949627477643E-3</v>
      </c>
      <c r="AN577" s="1173">
        <f>Revenue_end_mkt!X62</f>
        <v>-1.0186757215619791E-2</v>
      </c>
      <c r="AO577" s="1173">
        <f>Revenue_end_mkt!Y62</f>
        <v>8.4025854108955578E-3</v>
      </c>
      <c r="AP577" s="1173">
        <f>Revenue_end_mkt!Z62</f>
        <v>-2.6196115585030877E-2</v>
      </c>
      <c r="AQ577" s="1173">
        <f>Revenue_end_mkt!AA62</f>
        <v>-5.1729712253474336E-3</v>
      </c>
      <c r="AR577" s="1174">
        <f>Revenue_end_mkt!AB62</f>
        <v>-8.1635036496350288E-3</v>
      </c>
      <c r="AS577" s="1173">
        <f>Revenue_end_mkt!AC62</f>
        <v>0.16485610825233477</v>
      </c>
      <c r="AT577" s="1173">
        <f>Revenue_end_mkt!AD62</f>
        <v>1.9856698104569177</v>
      </c>
      <c r="AU577" s="1173">
        <f>Revenue_end_mkt!AE62</f>
        <v>4.312302378751764</v>
      </c>
      <c r="AV577" s="1173">
        <f>Revenue_end_mkt!AF62</f>
        <v>4.102372440688983</v>
      </c>
      <c r="AW577" s="1174">
        <f>Revenue_end_mkt!AG62</f>
        <v>2.6357063796717135</v>
      </c>
      <c r="AX577" s="1173">
        <f>Revenue_end_mkt!AH62</f>
        <v>3.6190281413612562</v>
      </c>
      <c r="AY577" s="1173">
        <f>Revenue_end_mkt!AI62</f>
        <v>0.70392406422032416</v>
      </c>
      <c r="AZ577" s="1173">
        <f>Revenue_end_mkt!AJ62</f>
        <v>-8.6992353829951075E-4</v>
      </c>
      <c r="BA577" s="1173">
        <f>Revenue_end_mkt!AK62</f>
        <v>-1.8198362147406888E-3</v>
      </c>
      <c r="BB577" s="1175">
        <f>Revenue_end_mkt!AL62</f>
        <v>0.43427061269699396</v>
      </c>
      <c r="BC577" s="1173">
        <f>Revenue_end_mkt!AM62</f>
        <v>-5.8675592866124782E-2</v>
      </c>
      <c r="BD577" s="1173">
        <f>Revenue_end_mkt!AN62</f>
        <v>-7.3615435842977472E-3</v>
      </c>
      <c r="BE577" s="1173">
        <f>Revenue_end_mkt!AO62</f>
        <v>2.0987993767757285E-2</v>
      </c>
      <c r="BF577" s="1173">
        <f>Revenue_end_mkt!AP62</f>
        <v>6.2898814949863269E-2</v>
      </c>
      <c r="BG577" s="1175">
        <f>Revenue_end_mkt!AQ62</f>
        <v>3.9426086249645387E-3</v>
      </c>
      <c r="BH577" s="1173">
        <f>Revenue_end_mkt!AR62</f>
        <v>0.12966603951081845</v>
      </c>
      <c r="BI577" s="1173">
        <f>Revenue_end_mkt!AS62</f>
        <v>0.12659564823209429</v>
      </c>
      <c r="BJ577" s="1173">
        <f>Revenue_end_mkt!AT62</f>
        <v>0.12578994614003591</v>
      </c>
      <c r="BK577" s="1173">
        <f>Revenue_end_mkt!AU62</f>
        <v>0.12218696397941681</v>
      </c>
      <c r="BL577" s="1175">
        <f>Revenue_end_mkt!AV62</f>
        <v>0.12597165991902814</v>
      </c>
      <c r="BM577" s="1173">
        <f>Revenue_end_mkt!AW62</f>
        <v>0.04</v>
      </c>
      <c r="BN577" s="1173">
        <f>Revenue_end_mkt!AX62</f>
        <v>0.04</v>
      </c>
      <c r="BO577" s="1173">
        <f>Revenue_end_mkt!AY62</f>
        <v>0.04</v>
      </c>
      <c r="BP577" s="1173">
        <f>Revenue_end_mkt!AZ62</f>
        <v>0.04</v>
      </c>
      <c r="BQ577" s="1175">
        <f>Revenue_end_mkt!BA62</f>
        <v>4.0000000000000036E-2</v>
      </c>
      <c r="BR577" s="1173">
        <f>Revenue_end_mkt!BB62</f>
        <v>0.04</v>
      </c>
      <c r="BS577" s="1173">
        <f>Revenue_end_mkt!BC62</f>
        <v>0.04</v>
      </c>
      <c r="BT577" s="1173">
        <f>Revenue_end_mkt!BD62</f>
        <v>0.04</v>
      </c>
      <c r="BU577" s="1173">
        <f>Revenue_end_mkt!BE62</f>
        <v>0.04</v>
      </c>
      <c r="BV577" s="1175">
        <f>Revenue_end_mkt!BF62</f>
        <v>4.0000000000000036E-2</v>
      </c>
      <c r="BW577" s="1173">
        <f>Revenue_end_mkt!BG62</f>
        <v>0.04</v>
      </c>
      <c r="BX577" s="1173">
        <f>Revenue_end_mkt!BH62</f>
        <v>0.04</v>
      </c>
      <c r="BY577" s="1173">
        <f>Revenue_end_mkt!BI62</f>
        <v>0.04</v>
      </c>
      <c r="BZ577" s="1173">
        <f>Revenue_end_mkt!BJ62</f>
        <v>0.04</v>
      </c>
      <c r="CA577" s="1175">
        <f>Revenue_end_mkt!BK62</f>
        <v>4.0000000000000258E-2</v>
      </c>
      <c r="CB577"/>
      <c r="CV577"/>
      <c r="CW577"/>
      <c r="CX577"/>
      <c r="CY577"/>
      <c r="CZ577"/>
      <c r="DA577"/>
      <c r="DB577" s="1177"/>
      <c r="DI577" s="1961"/>
    </row>
    <row r="578" spans="1:113" s="1161" customFormat="1" hidden="1" outlineLevel="1" x14ac:dyDescent="0.25">
      <c r="A578" s="1176" t="s">
        <v>343</v>
      </c>
      <c r="B578" s="1166"/>
      <c r="C578" s="1166"/>
      <c r="D578" s="1166"/>
      <c r="E578" s="1166"/>
      <c r="F578" s="1166"/>
      <c r="G578" s="1166"/>
      <c r="H578" s="1166"/>
      <c r="I578" s="1166"/>
      <c r="J578" s="1166"/>
      <c r="K578" s="1166"/>
      <c r="L578" s="1166"/>
      <c r="M578" s="1166"/>
      <c r="N578" s="1166"/>
      <c r="O578" s="1166"/>
      <c r="P578" s="1166"/>
      <c r="Q578" s="1166"/>
      <c r="R578" s="1166"/>
      <c r="S578" s="1166"/>
      <c r="T578" s="1166"/>
      <c r="U578" s="1166"/>
      <c r="V578" s="1166"/>
      <c r="W578" s="1166"/>
      <c r="X578" s="1166"/>
      <c r="Y578" s="1166"/>
      <c r="Z578" s="1166"/>
      <c r="AA578" s="1166"/>
      <c r="AB578" s="1166"/>
      <c r="AC578" s="1166"/>
      <c r="AD578" s="1166"/>
      <c r="AE578" s="1166"/>
      <c r="AF578" s="1166"/>
      <c r="AG578" s="1166"/>
      <c r="AH578" s="1166"/>
      <c r="AI578" s="1172">
        <f>Revenue_end_mkt!S66</f>
        <v>3.5999999999999997E-2</v>
      </c>
      <c r="AJ578" s="1173">
        <f>Revenue_end_mkt!T66</f>
        <v>2.4E-2</v>
      </c>
      <c r="AK578" s="1173">
        <f>Revenue_end_mkt!U66</f>
        <v>-1.4E-2</v>
      </c>
      <c r="AL578" s="1173">
        <f>Revenue_end_mkt!V66</f>
        <v>-3.0537769220436051E-2</v>
      </c>
      <c r="AM578" s="1174">
        <f>Revenue_end_mkt!W66</f>
        <v>3.0574949627477643E-3</v>
      </c>
      <c r="AN578" s="1173">
        <f>Revenue_end_mkt!X66</f>
        <v>-1.0186757215619791E-2</v>
      </c>
      <c r="AO578" s="1173">
        <f>Revenue_end_mkt!Y66</f>
        <v>8.4025854108955578E-3</v>
      </c>
      <c r="AP578" s="1173">
        <f>Revenue_end_mkt!Z66</f>
        <v>-2.6196115585030877E-2</v>
      </c>
      <c r="AQ578" s="1173">
        <f>Revenue_end_mkt!AA66</f>
        <v>-5.1729712253474336E-3</v>
      </c>
      <c r="AR578" s="1174">
        <f>Revenue_end_mkt!AB66</f>
        <v>-8.0000000000000002E-3</v>
      </c>
      <c r="AS578" s="1173">
        <f>Revenue_end_mkt!AC66</f>
        <v>4.2999999999999997E-2</v>
      </c>
      <c r="AT578" s="1173">
        <f>Revenue_end_mkt!AD66</f>
        <v>0.06</v>
      </c>
      <c r="AU578" s="1173">
        <f>Revenue_end_mkt!AE66</f>
        <v>5.6000000000000001E-2</v>
      </c>
      <c r="AV578" s="1173">
        <f>Revenue_end_mkt!AF66</f>
        <v>4.2999999999999997E-2</v>
      </c>
      <c r="AW578" s="1174">
        <f>Revenue_end_mkt!AG66</f>
        <v>5.0999999999999997E-2</v>
      </c>
      <c r="AX578" s="1173">
        <f>Revenue_end_mkt!AH66</f>
        <v>-3.5999999999999997E-2</v>
      </c>
      <c r="AY578" s="1173">
        <f>Revenue_end_mkt!AI66</f>
        <v>-9.6000000000000002E-2</v>
      </c>
      <c r="AZ578" s="1173">
        <f>Revenue_end_mkt!AJ66</f>
        <v>-4.9000000000000002E-2</v>
      </c>
      <c r="BA578" s="1173">
        <f>Revenue_end_mkt!AK66</f>
        <v>-5.5E-2</v>
      </c>
      <c r="BB578" s="1175">
        <f>Revenue_end_mkt!AL66</f>
        <v>-5.5E-2</v>
      </c>
      <c r="BC578" s="1173">
        <f>Revenue_end_mkt!AM66</f>
        <v>-2.1000000000000001E-2</v>
      </c>
      <c r="BD578" s="1173">
        <f>Revenue_end_mkt!AN66</f>
        <v>6.0000000000000001E-3</v>
      </c>
      <c r="BE578" s="1173">
        <f>Revenue_end_mkt!AO66</f>
        <v>2.1999999999999999E-2</v>
      </c>
      <c r="BF578" s="1173">
        <f>Revenue_end_mkt!AP66</f>
        <v>4.7E-2</v>
      </c>
      <c r="BG578" s="1175">
        <f>Revenue_end_mkt!AQ66</f>
        <v>1.3213343449534157E-2</v>
      </c>
      <c r="BH578" s="1173">
        <f>Revenue_end_mkt!AR66</f>
        <v>4.4999999999999998E-2</v>
      </c>
      <c r="BI578" s="1173">
        <f>Revenue_end_mkt!AS66</f>
        <v>4.4999999999999998E-2</v>
      </c>
      <c r="BJ578" s="1173">
        <f>Revenue_end_mkt!AT66</f>
        <v>4.4999999999999998E-2</v>
      </c>
      <c r="BK578" s="1173">
        <f>Revenue_end_mkt!AU66</f>
        <v>4.4999999999999998E-2</v>
      </c>
      <c r="BL578" s="1175">
        <f>Revenue_end_mkt!AV66</f>
        <v>4.4999999999999991E-2</v>
      </c>
      <c r="BM578" s="1173">
        <f>Revenue_end_mkt!AW66</f>
        <v>0.04</v>
      </c>
      <c r="BN578" s="1173">
        <f>Revenue_end_mkt!AX66</f>
        <v>0.04</v>
      </c>
      <c r="BO578" s="1173">
        <f>Revenue_end_mkt!AY66</f>
        <v>0.04</v>
      </c>
      <c r="BP578" s="1173">
        <f>Revenue_end_mkt!AZ66</f>
        <v>0.04</v>
      </c>
      <c r="BQ578" s="1175">
        <f>Revenue_end_mkt!BA66</f>
        <v>0.04</v>
      </c>
      <c r="BR578" s="1173">
        <f>Revenue_end_mkt!BB66</f>
        <v>0.04</v>
      </c>
      <c r="BS578" s="1173">
        <f>Revenue_end_mkt!BC66</f>
        <v>0.04</v>
      </c>
      <c r="BT578" s="1173">
        <f>Revenue_end_mkt!BD66</f>
        <v>0.04</v>
      </c>
      <c r="BU578" s="1173">
        <f>Revenue_end_mkt!BE66</f>
        <v>0.04</v>
      </c>
      <c r="BV578" s="1175">
        <f>Revenue_end_mkt!BF66</f>
        <v>4.0000000000000008E-2</v>
      </c>
      <c r="BW578" s="1173">
        <f>Revenue_end_mkt!BG66</f>
        <v>0.04</v>
      </c>
      <c r="BX578" s="1173">
        <f>Revenue_end_mkt!BH66</f>
        <v>0.04</v>
      </c>
      <c r="BY578" s="1173">
        <f>Revenue_end_mkt!BI66</f>
        <v>0.04</v>
      </c>
      <c r="BZ578" s="1173">
        <f>Revenue_end_mkt!BJ66</f>
        <v>0.04</v>
      </c>
      <c r="CA578" s="1175">
        <f>Revenue_end_mkt!BK66</f>
        <v>0.04</v>
      </c>
      <c r="CB578"/>
      <c r="CV578"/>
      <c r="CW578"/>
      <c r="CX578"/>
      <c r="CY578"/>
      <c r="CZ578"/>
      <c r="DA578"/>
      <c r="DB578" s="1177"/>
      <c r="DI578" s="1961"/>
    </row>
    <row r="579" spans="1:113" s="1161" customFormat="1" hidden="1" outlineLevel="1" x14ac:dyDescent="0.25">
      <c r="A579" s="1176"/>
      <c r="B579" s="1166"/>
      <c r="C579" s="1166"/>
      <c r="D579" s="1166"/>
      <c r="E579" s="1166"/>
      <c r="F579" s="1166"/>
      <c r="G579" s="1166"/>
      <c r="H579" s="1166"/>
      <c r="I579" s="1166"/>
      <c r="J579" s="1166"/>
      <c r="K579" s="1166"/>
      <c r="L579" s="1166"/>
      <c r="M579" s="1166"/>
      <c r="N579" s="1166"/>
      <c r="O579" s="1166"/>
      <c r="P579" s="1166"/>
      <c r="Q579" s="1166"/>
      <c r="R579" s="1166"/>
      <c r="S579" s="1166"/>
      <c r="T579" s="1166"/>
      <c r="U579" s="1166"/>
      <c r="V579" s="1166"/>
      <c r="W579" s="1166"/>
      <c r="X579" s="1166"/>
      <c r="Y579" s="1166"/>
      <c r="Z579" s="1166"/>
      <c r="AA579" s="1166"/>
      <c r="AB579" s="1166"/>
      <c r="AC579" s="1166"/>
      <c r="AD579" s="1166"/>
      <c r="AE579" s="1166"/>
      <c r="AF579" s="1166"/>
      <c r="AG579" s="1166"/>
      <c r="AH579" s="1166"/>
      <c r="AI579" s="1166"/>
      <c r="AM579" s="1163"/>
      <c r="AR579" s="1163"/>
      <c r="AW579" s="1163"/>
      <c r="BB579" s="1164"/>
      <c r="BG579" s="1164"/>
      <c r="BL579" s="1164"/>
      <c r="BQ579" s="1164"/>
      <c r="BV579" s="1164"/>
      <c r="CA579" s="1164"/>
      <c r="CB579"/>
      <c r="CV579"/>
      <c r="CW579"/>
      <c r="CX579"/>
      <c r="CY579"/>
      <c r="CZ579"/>
      <c r="DA579"/>
      <c r="DB579" s="1177"/>
      <c r="DI579" s="1961"/>
    </row>
    <row r="580" spans="1:113" s="1161" customFormat="1" hidden="1" outlineLevel="1" x14ac:dyDescent="0.25">
      <c r="A580" s="1166" t="s">
        <v>347</v>
      </c>
      <c r="B580" s="1166"/>
      <c r="C580" s="1166"/>
      <c r="D580" s="1166"/>
      <c r="E580" s="1166"/>
      <c r="F580" s="1166"/>
      <c r="G580" s="1166"/>
      <c r="H580" s="1166"/>
      <c r="I580" s="1166"/>
      <c r="J580" s="1166"/>
      <c r="K580" s="1166"/>
      <c r="L580" s="1166"/>
      <c r="M580" s="1166"/>
      <c r="N580" s="1166"/>
      <c r="O580" s="1166"/>
      <c r="P580" s="1166"/>
      <c r="Q580" s="1166"/>
      <c r="R580" s="1166"/>
      <c r="S580" s="1166"/>
      <c r="T580" s="1166"/>
      <c r="U580" s="1166"/>
      <c r="V580" s="1166"/>
      <c r="W580" s="1166"/>
      <c r="X580" s="1166"/>
      <c r="Y580" s="1166"/>
      <c r="Z580" s="1166"/>
      <c r="AA580" s="1166"/>
      <c r="AB580" s="1166"/>
      <c r="AC580" s="1166"/>
      <c r="AD580" s="1166"/>
      <c r="AE580" s="1166"/>
      <c r="AF580" s="1166"/>
      <c r="AG580" s="1166"/>
      <c r="AH580" s="1166"/>
      <c r="AI580" s="1167">
        <f>Revenue_end_mkt!S76</f>
        <v>224.08400000000003</v>
      </c>
      <c r="AJ580" s="1168">
        <f>Revenue_end_mkt!T76</f>
        <v>236.107</v>
      </c>
      <c r="AK580" s="1168">
        <f>Revenue_end_mkt!U76</f>
        <v>256.87199999999996</v>
      </c>
      <c r="AL580" s="1168">
        <f>Revenue_end_mkt!V76</f>
        <v>260.37400000000002</v>
      </c>
      <c r="AM580" s="1169">
        <f>Revenue_end_mkt!W76</f>
        <v>977.43700000000001</v>
      </c>
      <c r="AN580" s="1168">
        <f>Revenue_end_mkt!X76</f>
        <v>247.32999999999998</v>
      </c>
      <c r="AO580" s="1168">
        <f>Revenue_end_mkt!Y76</f>
        <v>261.60199999999998</v>
      </c>
      <c r="AP580" s="1168">
        <f>Revenue_end_mkt!Z76</f>
        <v>287.21100000000001</v>
      </c>
      <c r="AQ580" s="1168">
        <f>Revenue_end_mkt!AA76</f>
        <v>299.93099999999998</v>
      </c>
      <c r="AR580" s="1169">
        <f>Revenue_end_mkt!AB76</f>
        <v>1096.0739999999998</v>
      </c>
      <c r="AS580" s="1168">
        <f>Revenue_end_mkt!AC76</f>
        <v>288.45499999999998</v>
      </c>
      <c r="AT580" s="1168">
        <f>Revenue_end_mkt!AD76</f>
        <v>325.91999999999996</v>
      </c>
      <c r="AU580" s="1168">
        <f>Revenue_end_mkt!AE76</f>
        <v>378.67399999999998</v>
      </c>
      <c r="AV580" s="1168">
        <f>Revenue_end_mkt!AF76</f>
        <v>386.80000000000007</v>
      </c>
      <c r="AW580" s="1169">
        <f>Revenue_end_mkt!AG76</f>
        <v>1379.8490000000002</v>
      </c>
      <c r="AX580" s="1168">
        <f>Revenue_end_mkt!AH76</f>
        <v>312.94499999999999</v>
      </c>
      <c r="AY580" s="1168">
        <f>Revenue_end_mkt!AI76</f>
        <v>317.17899999999997</v>
      </c>
      <c r="AZ580" s="1168">
        <f>Revenue_end_mkt!AJ76</f>
        <v>317.30700000000002</v>
      </c>
      <c r="BA580" s="1168">
        <f>Revenue_end_mkt!AK76</f>
        <v>323.5</v>
      </c>
      <c r="BB580" s="1170">
        <f>Revenue_end_mkt!AL76</f>
        <v>1270.931</v>
      </c>
      <c r="BC580" s="1168">
        <f>Revenue_end_mkt!AM76</f>
        <v>313.2</v>
      </c>
      <c r="BD580" s="1168">
        <f>Revenue_end_mkt!AN76</f>
        <v>330.6</v>
      </c>
      <c r="BE580" s="1168">
        <f>Revenue_end_mkt!AO76</f>
        <v>355.9</v>
      </c>
      <c r="BF580" s="1168">
        <f>Revenue_end_mkt!AP76</f>
        <v>375.1</v>
      </c>
      <c r="BG580" s="1170">
        <f>Revenue_end_mkt!AQ76</f>
        <v>1374.8000000000002</v>
      </c>
      <c r="BH580" s="1168">
        <f>Revenue_end_mkt!AR76</f>
        <v>369.75749999999999</v>
      </c>
      <c r="BI580" s="1168">
        <f>Revenue_end_mkt!AS76</f>
        <v>380.93349999999998</v>
      </c>
      <c r="BJ580" s="1168">
        <f>Revenue_end_mkt!AT76</f>
        <v>395.85133333333334</v>
      </c>
      <c r="BK580" s="1168">
        <f>Revenue_end_mkt!AU76</f>
        <v>406.85299999999995</v>
      </c>
      <c r="BL580" s="1170">
        <f>Revenue_end_mkt!AV76</f>
        <v>1553.3953333333334</v>
      </c>
      <c r="BM580" s="1168">
        <f>Revenue_end_mkt!AW76</f>
        <v>392.03801999999996</v>
      </c>
      <c r="BN580" s="1168">
        <f>Revenue_end_mkt!AX76</f>
        <v>404.41124000000002</v>
      </c>
      <c r="BO580" s="1168">
        <f>Revenue_end_mkt!AY76</f>
        <v>420.35475374999999</v>
      </c>
      <c r="BP580" s="1168">
        <f>Revenue_end_mkt!AZ76</f>
        <v>432.53458000000001</v>
      </c>
      <c r="BQ580" s="1170">
        <f>Revenue_end_mkt!BA76</f>
        <v>1649.3385937499997</v>
      </c>
      <c r="BR580" s="1168">
        <f>Revenue_end_mkt!BB76</f>
        <v>415.27130120000004</v>
      </c>
      <c r="BS580" s="1168">
        <f>Revenue_end_mkt!BC76</f>
        <v>428.40912059999999</v>
      </c>
      <c r="BT580" s="1168">
        <f>Revenue_end_mkt!BD76</f>
        <v>445.35361986250007</v>
      </c>
      <c r="BU580" s="1168">
        <f>Revenue_end_mkt!BE76</f>
        <v>458.1886892</v>
      </c>
      <c r="BV580" s="1170">
        <f>Revenue_end_mkt!BF76</f>
        <v>1747.2227308624999</v>
      </c>
      <c r="BW580" s="1168">
        <f>Revenue_end_mkt!BG76</f>
        <v>439.95328137600001</v>
      </c>
      <c r="BX580" s="1168">
        <f>Revenue_end_mkt!BH76</f>
        <v>453.90573889400002</v>
      </c>
      <c r="BY580" s="1168">
        <f>Revenue_end_mkt!BI76</f>
        <v>471.91510631587511</v>
      </c>
      <c r="BZ580" s="1168">
        <f>Revenue_end_mkt!BJ76</f>
        <v>485.44283588800005</v>
      </c>
      <c r="CA580" s="1170">
        <f>Revenue_end_mkt!BK76</f>
        <v>1851.2169624738751</v>
      </c>
      <c r="CB580"/>
      <c r="CV580"/>
      <c r="CW580"/>
      <c r="CX580"/>
      <c r="CY580"/>
      <c r="CZ580"/>
      <c r="DA580"/>
      <c r="DB580" s="1177"/>
      <c r="DI580" s="1961"/>
    </row>
    <row r="581" spans="1:113" s="1183" customFormat="1" hidden="1" outlineLevel="1" x14ac:dyDescent="0.25">
      <c r="A581" s="1171" t="s">
        <v>209</v>
      </c>
      <c r="B581" s="1182"/>
      <c r="C581" s="1182"/>
      <c r="D581" s="1182"/>
      <c r="E581" s="1182"/>
      <c r="F581" s="1182"/>
      <c r="G581" s="1182"/>
      <c r="H581" s="1182"/>
      <c r="I581" s="1182"/>
      <c r="J581" s="1182"/>
      <c r="K581" s="1182"/>
      <c r="L581" s="1182"/>
      <c r="M581" s="1182"/>
      <c r="N581" s="1182"/>
      <c r="O581" s="1182"/>
      <c r="P581" s="1182"/>
      <c r="Q581" s="1182"/>
      <c r="R581" s="1182"/>
      <c r="S581" s="1182"/>
      <c r="T581" s="1182"/>
      <c r="U581" s="1182"/>
      <c r="V581" s="1182"/>
      <c r="W581" s="1182"/>
      <c r="X581" s="1182"/>
      <c r="Y581" s="1182"/>
      <c r="Z581" s="1182"/>
      <c r="AA581" s="1182"/>
      <c r="AB581" s="1182"/>
      <c r="AC581" s="1182"/>
      <c r="AD581" s="1182"/>
      <c r="AE581" s="1182"/>
      <c r="AF581" s="1182"/>
      <c r="AG581" s="1182"/>
      <c r="AH581" s="1182"/>
      <c r="AI581" s="1172">
        <f>Revenue_end_mkt!S77</f>
        <v>0.1119028243653617</v>
      </c>
      <c r="AJ581" s="1173">
        <f>Revenue_end_mkt!T77</f>
        <v>3.0868374978715307E-2</v>
      </c>
      <c r="AK581" s="1173">
        <f>Revenue_end_mkt!U77</f>
        <v>7.3569781486766406E-3</v>
      </c>
      <c r="AL581" s="1173">
        <f>Revenue_end_mkt!V77</f>
        <v>-3.2962053712362938E-2</v>
      </c>
      <c r="AM581" s="1174">
        <f>Revenue_end_mkt!W77</f>
        <v>0.1800519135578893</v>
      </c>
      <c r="AN581" s="1173">
        <f>Revenue_end_mkt!X77</f>
        <v>0.1037378840077825</v>
      </c>
      <c r="AO581" s="1173">
        <f>Revenue_end_mkt!Y77</f>
        <v>0.1079807036640168</v>
      </c>
      <c r="AP581" s="1173">
        <f>Revenue_end_mkt!Z77</f>
        <v>0.11810940857703467</v>
      </c>
      <c r="AQ581" s="1173">
        <f>Revenue_end_mkt!AA77</f>
        <v>0.15192377119067202</v>
      </c>
      <c r="AR581" s="1174">
        <f>Revenue_end_mkt!AB77</f>
        <v>0.1213755976088482</v>
      </c>
      <c r="AS581" s="1173">
        <f>Revenue_end_mkt!AC77</f>
        <v>0.16627582581975497</v>
      </c>
      <c r="AT581" s="1173">
        <f>Revenue_end_mkt!AD77</f>
        <v>0.24586203469392442</v>
      </c>
      <c r="AU581" s="1173">
        <f>Revenue_end_mkt!AE77</f>
        <v>0.31845228769093081</v>
      </c>
      <c r="AV581" s="1173">
        <f>Revenue_end_mkt!AF77</f>
        <v>0.28962994822142463</v>
      </c>
      <c r="AW581" s="1174">
        <f>Revenue_end_mkt!AG77</f>
        <v>0.25890131505719527</v>
      </c>
      <c r="AX581" s="1173">
        <f>Revenue_end_mkt!AH77</f>
        <v>8.4900591080064425E-2</v>
      </c>
      <c r="AY581" s="1173">
        <f>Revenue_end_mkt!AI77</f>
        <v>-2.6819464899361711E-2</v>
      </c>
      <c r="AZ581" s="1173">
        <f>Revenue_end_mkt!AJ77</f>
        <v>-0.16205760099716371</v>
      </c>
      <c r="BA581" s="1173">
        <f>Revenue_end_mkt!AK77</f>
        <v>-0.16365046535677363</v>
      </c>
      <c r="BB581" s="1175">
        <f>Revenue_end_mkt!AL77</f>
        <v>-7.8934724016903379E-2</v>
      </c>
      <c r="BC581" s="1173">
        <f>Revenue_end_mkt!AM77</f>
        <v>8.1483966831230603E-4</v>
      </c>
      <c r="BD581" s="1173">
        <f>Revenue_end_mkt!AN77</f>
        <v>4.2313646237613689E-2</v>
      </c>
      <c r="BE581" s="1173">
        <f>Revenue_end_mkt!AO77</f>
        <v>0.12162668960974687</v>
      </c>
      <c r="BF581" s="1173">
        <f>Revenue_end_mkt!AP77</f>
        <v>0.15950540958268933</v>
      </c>
      <c r="BG581" s="1175">
        <f>Revenue_end_mkt!AQ77</f>
        <v>8.1726702708487142E-2</v>
      </c>
      <c r="BH581" s="1173">
        <f>Revenue_end_mkt!AR77</f>
        <v>0.18057950191570882</v>
      </c>
      <c r="BI581" s="1173">
        <f>Revenue_end_mkt!AS77</f>
        <v>0.15224894131881417</v>
      </c>
      <c r="BJ581" s="1173">
        <f>Revenue_end_mkt!AT77</f>
        <v>0.11225437857075971</v>
      </c>
      <c r="BK581" s="1173">
        <f>Revenue_end_mkt!AU77</f>
        <v>8.4652092775259646E-2</v>
      </c>
      <c r="BL581" s="1175">
        <f>Revenue_end_mkt!AV77</f>
        <v>0.12990641062942476</v>
      </c>
      <c r="BM581" s="1173">
        <f>Revenue_end_mkt!AW77</f>
        <v>6.0257114460152916E-2</v>
      </c>
      <c r="BN581" s="1173">
        <f>Revenue_end_mkt!AX77</f>
        <v>6.1632122142053714E-2</v>
      </c>
      <c r="BO581" s="1173">
        <f>Revenue_end_mkt!AY77</f>
        <v>6.1900563048080226E-2</v>
      </c>
      <c r="BP581" s="1173">
        <f>Revenue_end_mkt!AZ77</f>
        <v>6.3122503705269617E-2</v>
      </c>
      <c r="BQ581" s="1175">
        <f>Revenue_end_mkt!BA77</f>
        <v>6.1763582236846082E-2</v>
      </c>
      <c r="BR581" s="1173">
        <f>Revenue_end_mkt!BB77</f>
        <v>5.9262826600338547E-2</v>
      </c>
      <c r="BS581" s="1173">
        <f>Revenue_end_mkt!BC77</f>
        <v>5.9340290838602705E-2</v>
      </c>
      <c r="BT581" s="1173">
        <f>Revenue_end_mkt!BD77</f>
        <v>5.9470877608696737E-2</v>
      </c>
      <c r="BU581" s="1173">
        <f>Revenue_end_mkt!BE77</f>
        <v>5.9311117275293812E-2</v>
      </c>
      <c r="BV581" s="1175">
        <f>Revenue_end_mkt!BF77</f>
        <v>5.9347509046003166E-2</v>
      </c>
      <c r="BW581" s="1173">
        <f>Revenue_end_mkt!BG77</f>
        <v>5.9435795598388408E-2</v>
      </c>
      <c r="BX581" s="1173">
        <f>Revenue_end_mkt!BH77</f>
        <v>5.9514648657085667E-2</v>
      </c>
      <c r="BY581" s="1173">
        <f>Revenue_end_mkt!BI77</f>
        <v>5.9641339530541515E-2</v>
      </c>
      <c r="BZ581" s="1173">
        <f>Revenue_end_mkt!BJ77</f>
        <v>5.9482364646726626E-2</v>
      </c>
      <c r="CA581" s="1175">
        <f>Revenue_end_mkt!BK77</f>
        <v>5.9519733674732622E-2</v>
      </c>
      <c r="CB581"/>
      <c r="CV581"/>
      <c r="CW581"/>
      <c r="CX581"/>
      <c r="CY581"/>
      <c r="CZ581"/>
      <c r="DA581"/>
      <c r="DB581" s="1184"/>
      <c r="DI581" s="1961"/>
    </row>
    <row r="582" spans="1:113" s="1183" customFormat="1" hidden="1" outlineLevel="1" x14ac:dyDescent="0.25">
      <c r="A582" s="1176" t="s">
        <v>343</v>
      </c>
      <c r="B582" s="1182"/>
      <c r="C582" s="1182"/>
      <c r="D582" s="1182"/>
      <c r="E582" s="1182"/>
      <c r="F582" s="1182"/>
      <c r="G582" s="1182"/>
      <c r="H582" s="1182"/>
      <c r="I582" s="1182"/>
      <c r="J582" s="1182"/>
      <c r="K582" s="1182"/>
      <c r="L582" s="1182"/>
      <c r="M582" s="1182"/>
      <c r="N582" s="1182"/>
      <c r="O582" s="1182"/>
      <c r="P582" s="1182"/>
      <c r="Q582" s="1182"/>
      <c r="R582" s="1182"/>
      <c r="S582" s="1182"/>
      <c r="T582" s="1182"/>
      <c r="U582" s="1182"/>
      <c r="V582" s="1182"/>
      <c r="W582" s="1182"/>
      <c r="X582" s="1182"/>
      <c r="Y582" s="1182"/>
      <c r="Z582" s="1182"/>
      <c r="AA582" s="1182"/>
      <c r="AB582" s="1182"/>
      <c r="AC582" s="1182"/>
      <c r="AD582" s="1182"/>
      <c r="AE582" s="1182"/>
      <c r="AF582" s="1182"/>
      <c r="AG582" s="1182"/>
      <c r="AH582" s="1182"/>
      <c r="AI582" s="1172">
        <f>Revenue_end_mkt!S78</f>
        <v>7.8E-2</v>
      </c>
      <c r="AJ582" s="1173">
        <f>Revenue_end_mkt!T78</f>
        <v>8.3000000000000004E-2</v>
      </c>
      <c r="AK582" s="1173">
        <f>Revenue_end_mkt!U78</f>
        <v>5.1999999999999998E-2</v>
      </c>
      <c r="AL582" s="1173">
        <f>Revenue_end_mkt!V78</f>
        <v>7.5999999999999998E-2</v>
      </c>
      <c r="AM582" s="1174">
        <f>Revenue_end_mkt!W78</f>
        <v>7.2249999999999995E-2</v>
      </c>
      <c r="AN582" s="1173">
        <f>Revenue_end_mkt!X78</f>
        <v>0.1037378840077825</v>
      </c>
      <c r="AO582" s="1173">
        <f>Revenue_end_mkt!Y78</f>
        <v>0.1079807036640168</v>
      </c>
      <c r="AP582" s="1173">
        <f>Revenue_end_mkt!Z78</f>
        <v>0.11810940857703467</v>
      </c>
      <c r="AQ582" s="1173">
        <f>Revenue_end_mkt!AA78</f>
        <v>0.15192377119067202</v>
      </c>
      <c r="AR582" s="1174">
        <f>Revenue_end_mkt!AB78</f>
        <v>0.121</v>
      </c>
      <c r="AS582" s="1173">
        <f>Revenue_end_mkt!AC78</f>
        <v>0.156</v>
      </c>
      <c r="AT582" s="1173">
        <f>Revenue_end_mkt!AD78</f>
        <v>0.11600000000000001</v>
      </c>
      <c r="AU582" s="1173">
        <f>Revenue_end_mkt!AE78</f>
        <v>1.4E-2</v>
      </c>
      <c r="AV582" s="1173">
        <f>Revenue_end_mkt!AF78</f>
        <v>3.0581297481594882E-2</v>
      </c>
      <c r="AW582" s="1174">
        <f>Revenue_end_mkt!AG78</f>
        <v>0</v>
      </c>
      <c r="AX582" s="1173">
        <f>Revenue_end_mkt!AH78</f>
        <v>0</v>
      </c>
      <c r="AY582" s="1173">
        <f>Revenue_end_mkt!AI78</f>
        <v>0</v>
      </c>
      <c r="AZ582" s="1173">
        <f>Revenue_end_mkt!AJ78</f>
        <v>0</v>
      </c>
      <c r="BA582" s="1173">
        <f>Revenue_end_mkt!AK78</f>
        <v>0</v>
      </c>
      <c r="BB582" s="1175">
        <f>Revenue_end_mkt!AL78</f>
        <v>0</v>
      </c>
      <c r="BC582" s="1173">
        <f>Revenue_end_mkt!AM78</f>
        <v>0</v>
      </c>
      <c r="BD582" s="1173">
        <f>Revenue_end_mkt!AN78</f>
        <v>0</v>
      </c>
      <c r="BE582" s="1173">
        <f>Revenue_end_mkt!AO78</f>
        <v>0</v>
      </c>
      <c r="BF582" s="1173">
        <f>Revenue_end_mkt!AP78</f>
        <v>0</v>
      </c>
      <c r="BG582" s="1175">
        <f>Revenue_end_mkt!AQ78</f>
        <v>0</v>
      </c>
      <c r="BH582" s="1173">
        <f>Revenue_end_mkt!AR78</f>
        <v>0</v>
      </c>
      <c r="BI582" s="1173">
        <f>Revenue_end_mkt!AS78</f>
        <v>0</v>
      </c>
      <c r="BJ582" s="1173">
        <f>Revenue_end_mkt!AT78</f>
        <v>0</v>
      </c>
      <c r="BK582" s="1173">
        <f>Revenue_end_mkt!AU78</f>
        <v>0</v>
      </c>
      <c r="BL582" s="1175">
        <f>Revenue_end_mkt!AV78</f>
        <v>0</v>
      </c>
      <c r="BM582" s="1173">
        <f>Revenue_end_mkt!AW78</f>
        <v>0</v>
      </c>
      <c r="BN582" s="1173">
        <f>Revenue_end_mkt!AX78</f>
        <v>0</v>
      </c>
      <c r="BO582" s="1173">
        <f>Revenue_end_mkt!AY78</f>
        <v>0</v>
      </c>
      <c r="BP582" s="1173">
        <f>Revenue_end_mkt!AZ78</f>
        <v>0</v>
      </c>
      <c r="BQ582" s="1175">
        <f>Revenue_end_mkt!BA78</f>
        <v>0</v>
      </c>
      <c r="BR582" s="1173">
        <f>Revenue_end_mkt!BB78</f>
        <v>0</v>
      </c>
      <c r="BS582" s="1173">
        <f>Revenue_end_mkt!BC78</f>
        <v>0</v>
      </c>
      <c r="BT582" s="1173">
        <f>Revenue_end_mkt!BD78</f>
        <v>0</v>
      </c>
      <c r="BU582" s="1173">
        <f>Revenue_end_mkt!BE78</f>
        <v>0</v>
      </c>
      <c r="BV582" s="1175">
        <f>Revenue_end_mkt!BF78</f>
        <v>0</v>
      </c>
      <c r="BW582" s="1173">
        <f>Revenue_end_mkt!BG78</f>
        <v>0</v>
      </c>
      <c r="BX582" s="1173">
        <f>Revenue_end_mkt!BH78</f>
        <v>0</v>
      </c>
      <c r="BY582" s="1173">
        <f>Revenue_end_mkt!BI78</f>
        <v>0</v>
      </c>
      <c r="BZ582" s="1173">
        <f>Revenue_end_mkt!BJ78</f>
        <v>0</v>
      </c>
      <c r="CA582" s="1175">
        <f>Revenue_end_mkt!BK78</f>
        <v>0</v>
      </c>
      <c r="CB582"/>
      <c r="CV582"/>
      <c r="CW582"/>
      <c r="CX582"/>
      <c r="CY582"/>
      <c r="CZ582"/>
      <c r="DA582"/>
      <c r="DB582" s="1184"/>
      <c r="DI582" s="1961"/>
    </row>
    <row r="583" spans="1:113" s="1183" customFormat="1" hidden="1" outlineLevel="1" x14ac:dyDescent="0.25">
      <c r="AM583" s="1185"/>
      <c r="AN583" s="1182"/>
      <c r="AO583" s="1182"/>
      <c r="AP583" s="1182"/>
      <c r="AQ583" s="1182"/>
      <c r="AR583" s="1185"/>
      <c r="AS583" s="1182"/>
      <c r="AT583" s="1182"/>
      <c r="AU583" s="1182"/>
      <c r="AV583" s="1182"/>
      <c r="AW583" s="1185"/>
      <c r="AX583" s="1182"/>
      <c r="AY583" s="1182"/>
      <c r="AZ583" s="1182"/>
      <c r="BA583" s="1182"/>
      <c r="BB583" s="1186"/>
      <c r="BC583" s="1182"/>
      <c r="BD583" s="1182"/>
      <c r="BE583" s="1182"/>
      <c r="BF583" s="1182"/>
      <c r="BG583" s="1186"/>
      <c r="BH583" s="1182"/>
      <c r="BI583" s="1182"/>
      <c r="BJ583" s="1182"/>
      <c r="BK583" s="1182"/>
      <c r="BL583" s="1186"/>
      <c r="BM583" s="1182"/>
      <c r="BN583" s="1182"/>
      <c r="BO583" s="1182"/>
      <c r="BP583" s="1182"/>
      <c r="BQ583" s="1186"/>
      <c r="BR583" s="1182"/>
      <c r="BS583" s="1182"/>
      <c r="BT583" s="1182"/>
      <c r="BU583" s="1182"/>
      <c r="BV583" s="1186"/>
      <c r="BW583" s="1182"/>
      <c r="BX583" s="1182"/>
      <c r="BY583" s="1182"/>
      <c r="BZ583" s="1182"/>
      <c r="CA583" s="1186"/>
      <c r="CB583"/>
      <c r="CV583"/>
      <c r="CW583"/>
      <c r="CX583"/>
      <c r="CY583"/>
      <c r="CZ583"/>
      <c r="DA583"/>
      <c r="DB583" s="1184"/>
      <c r="DI583" s="1961"/>
    </row>
    <row r="584" spans="1:113" s="1183" customFormat="1" hidden="1" outlineLevel="1" x14ac:dyDescent="0.25">
      <c r="B584" s="1166"/>
      <c r="C584" s="1166"/>
      <c r="D584" s="1166"/>
      <c r="E584" s="1166"/>
      <c r="F584" s="1166"/>
      <c r="G584" s="1166"/>
      <c r="H584" s="1166"/>
      <c r="I584" s="1166"/>
      <c r="J584" s="1166"/>
      <c r="K584" s="1166"/>
      <c r="L584" s="1166"/>
      <c r="M584" s="1166"/>
      <c r="N584" s="1166"/>
      <c r="O584" s="1166"/>
      <c r="P584" s="1166"/>
      <c r="Q584" s="1166"/>
      <c r="R584" s="1166"/>
      <c r="S584" s="1166"/>
      <c r="T584" s="1166"/>
      <c r="U584" s="1166"/>
      <c r="V584" s="1166"/>
      <c r="W584" s="1166"/>
      <c r="X584" s="1166"/>
      <c r="Y584" s="1166"/>
      <c r="Z584" s="1166"/>
      <c r="AA584" s="1166"/>
      <c r="AB584" s="1166"/>
      <c r="AC584" s="1166"/>
      <c r="AD584" s="1166"/>
      <c r="AE584" s="1166"/>
      <c r="AF584" s="1166"/>
      <c r="AG584" s="1166"/>
      <c r="AH584" s="1166"/>
      <c r="AI584" s="1166"/>
      <c r="AJ584" s="1161"/>
      <c r="AK584" s="1161"/>
      <c r="AL584" s="1161"/>
      <c r="AM584" s="1163"/>
      <c r="AN584" s="1161"/>
      <c r="AO584" s="1161"/>
      <c r="AP584" s="1161"/>
      <c r="AQ584" s="1161"/>
      <c r="AR584" s="1163"/>
      <c r="AS584" s="1161"/>
      <c r="AT584" s="1161"/>
      <c r="AU584" s="1161"/>
      <c r="AV584" s="1161"/>
      <c r="AW584" s="1163"/>
      <c r="AX584" s="1161"/>
      <c r="AY584" s="1161"/>
      <c r="AZ584" s="1161"/>
      <c r="BA584" s="1161"/>
      <c r="BB584" s="1164"/>
      <c r="BC584" s="1161"/>
      <c r="BD584" s="1161"/>
      <c r="BE584" s="1161"/>
      <c r="BF584" s="1161"/>
      <c r="BG584" s="1164"/>
      <c r="BH584" s="1161"/>
      <c r="BI584" s="1161"/>
      <c r="BJ584" s="1161"/>
      <c r="BK584" s="1161"/>
      <c r="BL584" s="1164"/>
      <c r="BM584" s="1161"/>
      <c r="BN584" s="1161"/>
      <c r="BO584" s="1161"/>
      <c r="BP584" s="1161"/>
      <c r="BQ584" s="1164"/>
      <c r="BR584" s="1161"/>
      <c r="BS584" s="1161"/>
      <c r="BT584" s="1161"/>
      <c r="BU584" s="1161"/>
      <c r="BV584" s="1164"/>
      <c r="BW584" s="1161"/>
      <c r="BX584" s="1161"/>
      <c r="BY584" s="1161"/>
      <c r="BZ584" s="1161"/>
      <c r="CA584" s="1164"/>
      <c r="CB584"/>
      <c r="CV584"/>
      <c r="CW584"/>
      <c r="CX584"/>
      <c r="CY584"/>
      <c r="CZ584"/>
      <c r="DA584"/>
      <c r="DB584" s="1184"/>
      <c r="DI584" s="1961"/>
    </row>
    <row r="585" spans="1:113" s="1183" customFormat="1" hidden="1" outlineLevel="1" x14ac:dyDescent="0.25">
      <c r="A585" s="1166" t="s">
        <v>348</v>
      </c>
      <c r="B585" s="1166"/>
      <c r="C585" s="1166"/>
      <c r="D585" s="1166"/>
      <c r="E585" s="1166"/>
      <c r="F585" s="1166"/>
      <c r="G585" s="1166"/>
      <c r="H585" s="1166"/>
      <c r="I585" s="1166"/>
      <c r="J585" s="1166"/>
      <c r="K585" s="1166"/>
      <c r="L585" s="1166"/>
      <c r="M585" s="1166"/>
      <c r="N585" s="1166"/>
      <c r="O585" s="1166"/>
      <c r="P585" s="1166"/>
      <c r="Q585" s="1166"/>
      <c r="R585" s="1166"/>
      <c r="S585" s="1166"/>
      <c r="T585" s="1166"/>
      <c r="U585" s="1166"/>
      <c r="V585" s="1166"/>
      <c r="W585" s="1166"/>
      <c r="X585" s="1166"/>
      <c r="Y585" s="1166"/>
      <c r="Z585" s="1166"/>
      <c r="AA585" s="1166"/>
      <c r="AB585" s="1166"/>
      <c r="AC585" s="1166"/>
      <c r="AD585" s="1166"/>
      <c r="AE585" s="1166"/>
      <c r="AF585" s="1166"/>
      <c r="AG585" s="1166"/>
      <c r="AH585" s="1166"/>
      <c r="AI585" s="1167">
        <f>Revenue_end_mkt!S16</f>
        <v>152.613</v>
      </c>
      <c r="AJ585" s="1168">
        <f>Revenue_end_mkt!T16</f>
        <v>154.25900000000001</v>
      </c>
      <c r="AK585" s="1168">
        <f>Revenue_end_mkt!U16</f>
        <v>155.05500000000001</v>
      </c>
      <c r="AL585" s="1168">
        <f>Revenue_end_mkt!V16</f>
        <v>156.34899999999999</v>
      </c>
      <c r="AM585" s="1169">
        <f>Revenue_end_mkt!W16</f>
        <v>618.27600000000007</v>
      </c>
      <c r="AN585" s="1168">
        <f>Revenue_end_mkt!X16</f>
        <v>162.31299999999999</v>
      </c>
      <c r="AO585" s="1168">
        <f>Revenue_end_mkt!Y16</f>
        <v>161.952</v>
      </c>
      <c r="AP585" s="1168">
        <f>Revenue_end_mkt!Z16</f>
        <v>161.45400000000001</v>
      </c>
      <c r="AQ585" s="1168">
        <f>Revenue_end_mkt!AA16</f>
        <v>164.93299999999999</v>
      </c>
      <c r="AR585" s="1169">
        <f>Revenue_end_mkt!AB16</f>
        <v>650.65200000000004</v>
      </c>
      <c r="AS585" s="1168">
        <f>Revenue_end_mkt!AC16</f>
        <v>170.94200000000001</v>
      </c>
      <c r="AT585" s="1168">
        <f>Revenue_end_mkt!AD16</f>
        <v>171.73000000000002</v>
      </c>
      <c r="AU585" s="1168">
        <f>Revenue_end_mkt!AE16</f>
        <v>171.72699999999998</v>
      </c>
      <c r="AV585" s="1168">
        <f>Revenue_end_mkt!AF16</f>
        <v>173.8</v>
      </c>
      <c r="AW585" s="1169">
        <f>Revenue_end_mkt!AG16</f>
        <v>688.19900000000007</v>
      </c>
      <c r="AX585" s="1168">
        <f>Revenue_end_mkt!AH16</f>
        <v>179.756</v>
      </c>
      <c r="AY585" s="1168">
        <f>Revenue_end_mkt!AI16</f>
        <v>181.11699999999999</v>
      </c>
      <c r="AZ585" s="1168">
        <f>Revenue_end_mkt!AJ16</f>
        <v>180.774</v>
      </c>
      <c r="BA585" s="1168">
        <f>Revenue_end_mkt!AK16</f>
        <v>182.60000000000002</v>
      </c>
      <c r="BB585" s="1170">
        <f>Revenue_end_mkt!AL16</f>
        <v>724.24699999999996</v>
      </c>
      <c r="BC585" s="1168">
        <f>Revenue_end_mkt!AM16</f>
        <v>189.39999999999998</v>
      </c>
      <c r="BD585" s="1168">
        <f>Revenue_end_mkt!AN16</f>
        <v>192.6</v>
      </c>
      <c r="BE585" s="1168">
        <f>Revenue_end_mkt!AO16</f>
        <v>193.2</v>
      </c>
      <c r="BF585" s="1168">
        <f>Revenue_end_mkt!AP16</f>
        <v>195.2</v>
      </c>
      <c r="BG585" s="1170">
        <f>Revenue_end_mkt!AQ16</f>
        <v>770.40000000000009</v>
      </c>
      <c r="BH585" s="1168">
        <f>Revenue_end_mkt!AR16</f>
        <v>198.3965</v>
      </c>
      <c r="BI585" s="1168">
        <f>Revenue_end_mkt!AS16</f>
        <v>201.74850000000001</v>
      </c>
      <c r="BJ585" s="1168">
        <f>Revenue_end_mkt!AT16</f>
        <v>202.37700000000001</v>
      </c>
      <c r="BK585" s="1168">
        <f>Revenue_end_mkt!AU16</f>
        <v>203.49599999999998</v>
      </c>
      <c r="BL585" s="1170">
        <f>Revenue_end_mkt!AV16</f>
        <v>806.01799999999992</v>
      </c>
      <c r="BM585" s="1168">
        <f>Revenue_end_mkt!AW16</f>
        <v>208.31632500000001</v>
      </c>
      <c r="BN585" s="1168">
        <f>Revenue_end_mkt!AX16</f>
        <v>211.835925</v>
      </c>
      <c r="BO585" s="1168">
        <f>Revenue_end_mkt!AY16</f>
        <v>212.49585000000002</v>
      </c>
      <c r="BP585" s="1168">
        <f>Revenue_end_mkt!AZ16</f>
        <v>213.67079999999999</v>
      </c>
      <c r="BQ585" s="1170">
        <f>Revenue_end_mkt!BA16</f>
        <v>846.31889999999999</v>
      </c>
      <c r="BR585" s="1168">
        <f>Revenue_end_mkt!BB16</f>
        <v>218.73214125000001</v>
      </c>
      <c r="BS585" s="1168">
        <f>Revenue_end_mkt!BC16</f>
        <v>222.42772125000002</v>
      </c>
      <c r="BT585" s="1168">
        <f>Revenue_end_mkt!BD16</f>
        <v>223.12064250000003</v>
      </c>
      <c r="BU585" s="1168">
        <f>Revenue_end_mkt!BE16</f>
        <v>224.35434000000001</v>
      </c>
      <c r="BV585" s="1170">
        <f>Revenue_end_mkt!BF16</f>
        <v>888.63484500000004</v>
      </c>
      <c r="BW585" s="1168">
        <f>Revenue_end_mkt!BG16</f>
        <v>229.66874831250001</v>
      </c>
      <c r="BX585" s="1168">
        <f>Revenue_end_mkt!BH16</f>
        <v>233.54910731250004</v>
      </c>
      <c r="BY585" s="1168">
        <f>Revenue_end_mkt!BI16</f>
        <v>234.27667462500006</v>
      </c>
      <c r="BZ585" s="1168">
        <f>Revenue_end_mkt!BJ16</f>
        <v>235.57205700000003</v>
      </c>
      <c r="CA585" s="1170">
        <f>Revenue_end_mkt!BK16</f>
        <v>933.06658725000011</v>
      </c>
      <c r="CB585"/>
      <c r="CV585"/>
      <c r="CW585"/>
      <c r="CX585"/>
      <c r="CY585"/>
      <c r="CZ585"/>
      <c r="DA585"/>
      <c r="DB585" s="1184"/>
      <c r="DI585" s="1961"/>
    </row>
    <row r="586" spans="1:113" s="1183" customFormat="1" hidden="1" outlineLevel="1" x14ac:dyDescent="0.25">
      <c r="A586" s="1171" t="s">
        <v>209</v>
      </c>
      <c r="B586" s="1182"/>
      <c r="C586" s="1182"/>
      <c r="D586" s="1182"/>
      <c r="E586" s="1182"/>
      <c r="F586" s="1182"/>
      <c r="G586" s="1182"/>
      <c r="H586" s="1182"/>
      <c r="I586" s="1182"/>
      <c r="J586" s="1182"/>
      <c r="K586" s="1182"/>
      <c r="L586" s="1182"/>
      <c r="M586" s="1182"/>
      <c r="N586" s="1182"/>
      <c r="O586" s="1182"/>
      <c r="P586" s="1182"/>
      <c r="Q586" s="1182"/>
      <c r="R586" s="1182"/>
      <c r="S586" s="1182"/>
      <c r="T586" s="1182"/>
      <c r="U586" s="1182"/>
      <c r="V586" s="1182"/>
      <c r="W586" s="1182"/>
      <c r="X586" s="1182"/>
      <c r="Y586" s="1182"/>
      <c r="Z586" s="1182"/>
      <c r="AA586" s="1182"/>
      <c r="AB586" s="1182"/>
      <c r="AC586" s="1182"/>
      <c r="AD586" s="1182"/>
      <c r="AE586" s="1182"/>
      <c r="AF586" s="1182"/>
      <c r="AG586" s="1182"/>
      <c r="AH586" s="1182"/>
      <c r="AI586" s="1172">
        <f>Revenue_end_mkt!S17</f>
        <v>5.2728514372038182E-2</v>
      </c>
      <c r="AJ586" s="1173">
        <f>Revenue_end_mkt!T17</f>
        <v>6.9838892009792763E-2</v>
      </c>
      <c r="AK586" s="1173">
        <f>Revenue_end_mkt!U17</f>
        <v>7.7766270235703816E-2</v>
      </c>
      <c r="AL586" s="1173">
        <f>Revenue_end_mkt!V17</f>
        <v>6.7367098804623105E-2</v>
      </c>
      <c r="AM586" s="1174">
        <f>Revenue_end_mkt!W17</f>
        <v>6.6901809472205587E-2</v>
      </c>
      <c r="AN586" s="1173">
        <f>Revenue_end_mkt!X17</f>
        <v>6.3559460858511274E-2</v>
      </c>
      <c r="AO586" s="1173">
        <f>Revenue_end_mkt!Y17</f>
        <v>4.9870672051549603E-2</v>
      </c>
      <c r="AP586" s="1173">
        <f>Revenue_end_mkt!Z17</f>
        <v>4.1269227048466695E-2</v>
      </c>
      <c r="AQ586" s="1173">
        <f>Revenue_end_mkt!AA17</f>
        <v>5.4902813577317522E-2</v>
      </c>
      <c r="AR586" s="1174">
        <f>Revenue_end_mkt!AB17</f>
        <v>5.2364963220309368E-2</v>
      </c>
      <c r="AS586" s="1173">
        <f>Revenue_end_mkt!AC17</f>
        <v>5.3162716479887795E-2</v>
      </c>
      <c r="AT586" s="1173">
        <f>Revenue_end_mkt!AD17</f>
        <v>6.0375913851017815E-2</v>
      </c>
      <c r="AU586" s="1173">
        <f>Revenue_end_mkt!AE17</f>
        <v>6.3628030274876846E-2</v>
      </c>
      <c r="AV586" s="1173">
        <f>Revenue_end_mkt!AF17</f>
        <v>5.3761224254697426E-2</v>
      </c>
      <c r="AW586" s="1174">
        <f>Revenue_end_mkt!AG17</f>
        <v>5.7706731094348429E-2</v>
      </c>
      <c r="AX586" s="1173">
        <f>Revenue_end_mkt!AH17</f>
        <v>5.1561348293573284E-2</v>
      </c>
      <c r="AY586" s="1173">
        <f>Revenue_end_mkt!AI17</f>
        <v>5.4661387061084143E-2</v>
      </c>
      <c r="AZ586" s="1173">
        <f>Revenue_end_mkt!AJ17</f>
        <v>5.2682455292411889E-2</v>
      </c>
      <c r="BA586" s="1173">
        <f>Revenue_end_mkt!AK17</f>
        <v>5.0632911392405111E-2</v>
      </c>
      <c r="BB586" s="1175">
        <f>Revenue_end_mkt!AL17</f>
        <v>5.2380198169424741E-2</v>
      </c>
      <c r="BC586" s="1173">
        <f>Revenue_end_mkt!AM17</f>
        <v>5.3650504016555578E-2</v>
      </c>
      <c r="BD586" s="1173">
        <f>Revenue_end_mkt!AN17</f>
        <v>6.3401005979560221E-2</v>
      </c>
      <c r="BE586" s="1173">
        <f>Revenue_end_mkt!AO17</f>
        <v>6.8737760961200101E-2</v>
      </c>
      <c r="BF586" s="1173">
        <f>Revenue_end_mkt!AP17</f>
        <v>6.900328587075566E-2</v>
      </c>
      <c r="BG586" s="1175">
        <f>Revenue_end_mkt!AQ17</f>
        <v>6.3725496964433637E-2</v>
      </c>
      <c r="BH586" s="1173">
        <f>Revenue_end_mkt!AR17</f>
        <v>4.7500000000000001E-2</v>
      </c>
      <c r="BI586" s="1173">
        <f>Revenue_end_mkt!AS17</f>
        <v>4.7500000000000001E-2</v>
      </c>
      <c r="BJ586" s="1173">
        <f>Revenue_end_mkt!AT17</f>
        <v>4.7500000000000001E-2</v>
      </c>
      <c r="BK586" s="1173">
        <f>Revenue_end_mkt!AU17</f>
        <v>4.2500000000000003E-2</v>
      </c>
      <c r="BL586" s="1175">
        <f>Revenue_end_mkt!AV17</f>
        <v>4.6233125649013163E-2</v>
      </c>
      <c r="BM586" s="1173">
        <f>Revenue_end_mkt!AW17</f>
        <v>0.05</v>
      </c>
      <c r="BN586" s="1173">
        <f>Revenue_end_mkt!AX17</f>
        <v>0.05</v>
      </c>
      <c r="BO586" s="1173">
        <f>Revenue_end_mkt!AY17</f>
        <v>0.05</v>
      </c>
      <c r="BP586" s="1173">
        <f>Revenue_end_mkt!AZ17</f>
        <v>0.05</v>
      </c>
      <c r="BQ586" s="1175">
        <f>Revenue_end_mkt!BA17</f>
        <v>5.0000000000000044E-2</v>
      </c>
      <c r="BR586" s="1173">
        <f>Revenue_end_mkt!BB17</f>
        <v>0.05</v>
      </c>
      <c r="BS586" s="1173">
        <f>Revenue_end_mkt!BC17</f>
        <v>0.05</v>
      </c>
      <c r="BT586" s="1173">
        <f>Revenue_end_mkt!BD17</f>
        <v>0.05</v>
      </c>
      <c r="BU586" s="1173">
        <f>Revenue_end_mkt!BE17</f>
        <v>0.05</v>
      </c>
      <c r="BV586" s="1175">
        <f>Revenue_end_mkt!BF17</f>
        <v>5.0000000000000044E-2</v>
      </c>
      <c r="BW586" s="1173">
        <f>Revenue_end_mkt!BG17</f>
        <v>0.05</v>
      </c>
      <c r="BX586" s="1173">
        <f>Revenue_end_mkt!BH17</f>
        <v>0.05</v>
      </c>
      <c r="BY586" s="1173">
        <f>Revenue_end_mkt!BI17</f>
        <v>0.05</v>
      </c>
      <c r="BZ586" s="1173">
        <f>Revenue_end_mkt!BJ17</f>
        <v>0.05</v>
      </c>
      <c r="CA586" s="1175">
        <f>Revenue_end_mkt!BK17</f>
        <v>5.0000000000000044E-2</v>
      </c>
      <c r="CB586"/>
      <c r="CV586"/>
      <c r="CW586"/>
      <c r="CX586"/>
      <c r="CY586"/>
      <c r="CZ586"/>
      <c r="DA586"/>
      <c r="DB586" s="1184"/>
      <c r="DI586" s="1961"/>
    </row>
    <row r="587" spans="1:113" s="1183" customFormat="1" hidden="1" outlineLevel="1" x14ac:dyDescent="0.25">
      <c r="A587" s="1176" t="s">
        <v>343</v>
      </c>
      <c r="B587" s="1182"/>
      <c r="C587" s="1182"/>
      <c r="D587" s="1182"/>
      <c r="E587" s="1182"/>
      <c r="F587" s="1182"/>
      <c r="G587" s="1182"/>
      <c r="H587" s="1182"/>
      <c r="I587" s="1182"/>
      <c r="J587" s="1182"/>
      <c r="K587" s="1182"/>
      <c r="L587" s="1182"/>
      <c r="M587" s="1182"/>
      <c r="N587" s="1182"/>
      <c r="O587" s="1182"/>
      <c r="P587" s="1182"/>
      <c r="Q587" s="1182"/>
      <c r="R587" s="1182"/>
      <c r="S587" s="1182"/>
      <c r="T587" s="1182"/>
      <c r="U587" s="1182"/>
      <c r="V587" s="1182"/>
      <c r="W587" s="1182"/>
      <c r="X587" s="1182"/>
      <c r="Y587" s="1182"/>
      <c r="Z587" s="1182"/>
      <c r="AA587" s="1182"/>
      <c r="AB587" s="1182"/>
      <c r="AC587" s="1182"/>
      <c r="AD587" s="1182"/>
      <c r="AE587" s="1182"/>
      <c r="AF587" s="1182"/>
      <c r="AG587" s="1182"/>
      <c r="AH587" s="1182"/>
      <c r="AI587" s="1172">
        <f>Revenue_end_mkt!S21</f>
        <v>5.2999999999999999E-2</v>
      </c>
      <c r="AJ587" s="1173">
        <f>Revenue_end_mkt!T21</f>
        <v>6.9838892009792763E-2</v>
      </c>
      <c r="AK587" s="1173">
        <f>Revenue_end_mkt!U21</f>
        <v>7.8E-2</v>
      </c>
      <c r="AL587" s="1173">
        <f>Revenue_end_mkt!V21</f>
        <v>6.7367098804623105E-2</v>
      </c>
      <c r="AM587" s="1174">
        <f>Revenue_end_mkt!W21</f>
        <v>6.6901809472205587E-2</v>
      </c>
      <c r="AN587" s="1173">
        <f>Revenue_end_mkt!X21</f>
        <v>6.3559460858511274E-2</v>
      </c>
      <c r="AO587" s="1173">
        <f>Revenue_end_mkt!Y21</f>
        <v>4.9870672051549603E-2</v>
      </c>
      <c r="AP587" s="1173">
        <f>Revenue_end_mkt!Z21</f>
        <v>4.1269227048466695E-2</v>
      </c>
      <c r="AQ587" s="1173">
        <f>Revenue_end_mkt!AA21</f>
        <v>5.4902813577317522E-2</v>
      </c>
      <c r="AR587" s="1174">
        <f>Revenue_end_mkt!AB21</f>
        <v>5.1999999999999998E-2</v>
      </c>
      <c r="AS587" s="1173">
        <f>Revenue_end_mkt!AC21</f>
        <v>5.3162716479887795E-2</v>
      </c>
      <c r="AT587" s="1173">
        <f>Revenue_end_mkt!AD21</f>
        <v>6.0375913851017815E-2</v>
      </c>
      <c r="AU587" s="1173">
        <f>Revenue_end_mkt!AE21</f>
        <v>6.3628030274876846E-2</v>
      </c>
      <c r="AV587" s="1173">
        <f>Revenue_end_mkt!AF21</f>
        <v>5.3999999999999999E-2</v>
      </c>
      <c r="AW587" s="1174">
        <f>Revenue_end_mkt!AG21</f>
        <v>5.7706731094348429E-2</v>
      </c>
      <c r="AX587" s="1173">
        <f>Revenue_end_mkt!AH21</f>
        <v>5.1561348293573284E-2</v>
      </c>
      <c r="AY587" s="1173">
        <f>Revenue_end_mkt!AI21</f>
        <v>5.2999999999999999E-2</v>
      </c>
      <c r="AZ587" s="1173">
        <f>Revenue_end_mkt!AJ21</f>
        <v>0.05</v>
      </c>
      <c r="BA587" s="1173">
        <f>Revenue_end_mkt!AK21</f>
        <v>4.4402761795166779E-2</v>
      </c>
      <c r="BB587" s="1175">
        <f>Revenue_end_mkt!AL21</f>
        <v>4.9195658523188524E-2</v>
      </c>
      <c r="BC587" s="1173">
        <f>Revenue_end_mkt!AM21</f>
        <v>4.2000000000000003E-2</v>
      </c>
      <c r="BD587" s="1173">
        <f>Revenue_end_mkt!AN21</f>
        <v>4.3999999999999997E-2</v>
      </c>
      <c r="BE587" s="1173">
        <f>Revenue_end_mkt!AO21</f>
        <v>4.9000000000000002E-2</v>
      </c>
      <c r="BF587" s="1173">
        <f>Revenue_end_mkt!AP21</f>
        <v>5.2999999999999999E-2</v>
      </c>
      <c r="BG587" s="1175">
        <f>Revenue_end_mkt!AQ21</f>
        <v>4.7020734638873206E-2</v>
      </c>
      <c r="BH587" s="1173">
        <f>Revenue_end_mkt!AR21</f>
        <v>4.7500000000000001E-2</v>
      </c>
      <c r="BI587" s="1173">
        <f>Revenue_end_mkt!AS21</f>
        <v>4.7500000000000001E-2</v>
      </c>
      <c r="BJ587" s="1173">
        <f>Revenue_end_mkt!AT21</f>
        <v>4.7500000000000001E-2</v>
      </c>
      <c r="BK587" s="1173">
        <f>Revenue_end_mkt!AU21</f>
        <v>4.2500000000000003E-2</v>
      </c>
      <c r="BL587" s="1175">
        <f>Revenue_end_mkt!AV21</f>
        <v>4.6233125649013489E-2</v>
      </c>
      <c r="BM587" s="1173">
        <f>Revenue_end_mkt!AW21</f>
        <v>0.05</v>
      </c>
      <c r="BN587" s="1173">
        <f>Revenue_end_mkt!AX21</f>
        <v>0.05</v>
      </c>
      <c r="BO587" s="1173">
        <f>Revenue_end_mkt!AY21</f>
        <v>0.05</v>
      </c>
      <c r="BP587" s="1173">
        <f>Revenue_end_mkt!AZ21</f>
        <v>0.05</v>
      </c>
      <c r="BQ587" s="1175">
        <f>Revenue_end_mkt!BA21</f>
        <v>5.000000000000001E-2</v>
      </c>
      <c r="BR587" s="1173">
        <f>Revenue_end_mkt!BB21</f>
        <v>0.05</v>
      </c>
      <c r="BS587" s="1173">
        <f>Revenue_end_mkt!BC21</f>
        <v>0.05</v>
      </c>
      <c r="BT587" s="1173">
        <f>Revenue_end_mkt!BD21</f>
        <v>0.05</v>
      </c>
      <c r="BU587" s="1173">
        <f>Revenue_end_mkt!BE21</f>
        <v>0.05</v>
      </c>
      <c r="BV587" s="1175">
        <f>Revenue_end_mkt!BF21</f>
        <v>0.05</v>
      </c>
      <c r="BW587" s="1173">
        <f>Revenue_end_mkt!BG21</f>
        <v>0.05</v>
      </c>
      <c r="BX587" s="1173">
        <f>Revenue_end_mkt!BH21</f>
        <v>0.05</v>
      </c>
      <c r="BY587" s="1173">
        <f>Revenue_end_mkt!BI21</f>
        <v>0.05</v>
      </c>
      <c r="BZ587" s="1173">
        <f>Revenue_end_mkt!BJ21</f>
        <v>0.05</v>
      </c>
      <c r="CA587" s="1175">
        <f>Revenue_end_mkt!BK21</f>
        <v>0.05</v>
      </c>
      <c r="CB587"/>
      <c r="CV587"/>
      <c r="CW587"/>
      <c r="CX587"/>
      <c r="CY587"/>
      <c r="CZ587"/>
      <c r="DA587"/>
      <c r="DB587" s="1184"/>
      <c r="DI587" s="1961"/>
    </row>
    <row r="588" spans="1:113" ht="5.0999999999999996" customHeight="1" collapsed="1" x14ac:dyDescent="0.2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187"/>
      <c r="AN588" s="14"/>
      <c r="AO588" s="14"/>
      <c r="AP588" s="14"/>
      <c r="AQ588" s="14"/>
      <c r="AR588" s="1187"/>
      <c r="AS588" s="14"/>
      <c r="AT588" s="14"/>
      <c r="AU588" s="14"/>
      <c r="AV588" s="14"/>
      <c r="AW588" s="1187"/>
      <c r="AX588" s="14"/>
      <c r="AY588" s="14"/>
      <c r="AZ588" s="14"/>
      <c r="BA588" s="14"/>
      <c r="BB588" s="1188"/>
      <c r="BC588" s="14"/>
      <c r="BD588" s="14"/>
      <c r="BE588" s="14"/>
      <c r="BF588" s="14"/>
      <c r="BG588" s="1188"/>
      <c r="BH588" s="14"/>
      <c r="BI588" s="14"/>
      <c r="BJ588" s="14"/>
      <c r="BK588" s="14"/>
      <c r="BL588" s="1188"/>
      <c r="BM588" s="14"/>
      <c r="BN588" s="14"/>
      <c r="BO588" s="14"/>
      <c r="BP588" s="14"/>
      <c r="BQ588" s="1188"/>
      <c r="BR588" s="14"/>
      <c r="BS588" s="14"/>
      <c r="BT588" s="14"/>
      <c r="BU588" s="14"/>
      <c r="BV588" s="1188"/>
      <c r="BW588" s="14"/>
      <c r="BX588" s="14"/>
      <c r="BY588" s="14"/>
      <c r="BZ588" s="14"/>
      <c r="CA588" s="1188"/>
      <c r="CC588" s="14"/>
      <c r="CD588" s="14"/>
      <c r="CE588" s="14"/>
      <c r="CF588" s="14"/>
      <c r="CG588" s="14"/>
      <c r="CH588" s="14"/>
      <c r="CI588" s="14"/>
      <c r="CJ588" s="14"/>
      <c r="CK588" s="14"/>
      <c r="CL588" s="14"/>
      <c r="CM588" s="14"/>
      <c r="CN588" s="14"/>
      <c r="CO588" s="14"/>
      <c r="CP588" s="14"/>
      <c r="CQ588" s="14"/>
      <c r="CR588" s="14"/>
      <c r="CS588" s="14"/>
      <c r="CT588" s="14"/>
      <c r="CU588" s="1961"/>
      <c r="DB588" s="6"/>
      <c r="DC588" s="1961"/>
      <c r="DD588" s="1961"/>
      <c r="DE588" s="1961"/>
      <c r="DF588" s="1961"/>
      <c r="DG588" s="1961"/>
      <c r="DH588" s="1961"/>
      <c r="DI588" s="18"/>
    </row>
    <row r="589" spans="1:113" x14ac:dyDescent="0.2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14"/>
      <c r="BB589" s="17"/>
      <c r="BC589" s="14"/>
      <c r="BD589" s="14"/>
      <c r="BE589" s="14"/>
      <c r="BF589" s="14"/>
      <c r="BG589" s="17"/>
      <c r="BH589" s="14"/>
      <c r="BI589" s="14"/>
      <c r="BJ589" s="14"/>
      <c r="BK589" s="14"/>
      <c r="BL589" s="17"/>
      <c r="BM589" s="14"/>
      <c r="BN589" s="14"/>
      <c r="BO589" s="14"/>
      <c r="BP589" s="14"/>
      <c r="BQ589" s="17"/>
      <c r="BR589" s="14"/>
      <c r="BS589" s="14"/>
      <c r="BT589" s="14"/>
      <c r="BU589" s="14"/>
      <c r="BV589" s="17"/>
      <c r="BW589" s="14"/>
      <c r="BX589" s="14"/>
      <c r="BY589" s="14"/>
      <c r="BZ589" s="14"/>
      <c r="CA589" s="17"/>
      <c r="CC589" s="14"/>
      <c r="CD589" s="14"/>
      <c r="CE589" s="14"/>
      <c r="CF589" s="14"/>
      <c r="CG589" s="14"/>
      <c r="CH589" s="14"/>
      <c r="CI589" s="14"/>
      <c r="CJ589" s="14"/>
      <c r="CK589" s="14"/>
      <c r="CL589" s="14"/>
      <c r="CM589" s="14"/>
      <c r="CN589" s="14"/>
      <c r="CO589" s="14"/>
      <c r="CP589" s="14"/>
      <c r="CQ589" s="14"/>
      <c r="CR589" s="14"/>
      <c r="CS589" s="14"/>
      <c r="CT589" s="14"/>
      <c r="CU589" s="1961"/>
      <c r="DB589" s="6"/>
      <c r="DC589" s="1961"/>
      <c r="DD589" s="1961"/>
      <c r="DE589" s="1961"/>
      <c r="DF589" s="1961"/>
      <c r="DG589" s="1961"/>
      <c r="DH589" s="1961"/>
      <c r="DI589" s="18"/>
    </row>
    <row r="590" spans="1:113" hidden="1" outlineLevel="1" x14ac:dyDescent="0.2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c r="AR590" s="677" t="s">
        <v>349</v>
      </c>
      <c r="AS590" s="1189">
        <v>1.5152000000000001</v>
      </c>
      <c r="AT590" s="1189">
        <f>(1.48+1.55)/2</f>
        <v>1.5150000000000001</v>
      </c>
      <c r="AU590" s="1189">
        <f>1.52</f>
        <v>1.52</v>
      </c>
      <c r="AV590" s="1190"/>
      <c r="AW590" s="14"/>
      <c r="AX590" s="1190"/>
      <c r="AY590" s="1190"/>
      <c r="AZ590" s="1190"/>
      <c r="BA590" s="1190"/>
      <c r="BB590" s="17"/>
      <c r="BC590" s="1190"/>
      <c r="BD590" s="1190"/>
      <c r="BE590" s="1190"/>
      <c r="BF590" s="1190"/>
      <c r="BG590" s="17"/>
      <c r="BH590" s="1190"/>
      <c r="BI590" s="1190"/>
      <c r="BJ590" s="1190"/>
      <c r="BK590" s="1190"/>
      <c r="BL590" s="17"/>
      <c r="BM590" s="1190"/>
      <c r="BN590" s="1190"/>
      <c r="BO590" s="1190"/>
      <c r="BP590" s="1190"/>
      <c r="BQ590" s="17"/>
      <c r="BR590" s="1190"/>
      <c r="BS590" s="1190"/>
      <c r="BT590" s="1190"/>
      <c r="BU590" s="1190"/>
      <c r="BV590" s="17"/>
      <c r="BW590" s="1190"/>
      <c r="BX590" s="1190"/>
      <c r="BY590" s="1190"/>
      <c r="BZ590" s="1190"/>
      <c r="CA590" s="17"/>
      <c r="CC590" s="14"/>
      <c r="CD590" s="14"/>
      <c r="CE590" s="14"/>
      <c r="CF590" s="14"/>
      <c r="CG590" s="14"/>
      <c r="CH590" s="14"/>
      <c r="CI590" s="14"/>
      <c r="CJ590" s="14"/>
      <c r="CK590" s="14"/>
      <c r="CL590" s="14"/>
      <c r="CM590" s="14"/>
      <c r="CN590" s="14"/>
      <c r="CO590" s="14"/>
      <c r="CP590" s="14"/>
      <c r="CQ590" s="14"/>
      <c r="CR590" s="14"/>
      <c r="CS590" s="14"/>
      <c r="CT590" s="14"/>
      <c r="CU590" s="1961"/>
      <c r="DB590" s="6"/>
      <c r="DC590" s="1961"/>
      <c r="DD590" s="1961"/>
      <c r="DE590" s="1961"/>
      <c r="DF590" s="1961"/>
      <c r="DG590" s="1961"/>
      <c r="DH590" s="1961"/>
      <c r="DI590" s="18"/>
    </row>
    <row r="591" spans="1:113" hidden="1" outlineLevel="1" x14ac:dyDescent="0.25">
      <c r="A591" s="315" t="s">
        <v>350</v>
      </c>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191" t="s">
        <v>351</v>
      </c>
      <c r="AU591" s="14"/>
      <c r="AV591" s="14"/>
      <c r="AW591" s="1192" t="s">
        <v>352</v>
      </c>
      <c r="AX591" s="14"/>
      <c r="AY591" s="14"/>
      <c r="AZ591" s="14"/>
      <c r="BA591" s="14"/>
      <c r="BB591" s="1193" t="s">
        <v>352</v>
      </c>
      <c r="BC591" s="14"/>
      <c r="BD591" s="14"/>
      <c r="BE591" s="14"/>
      <c r="BF591" s="14"/>
      <c r="BG591" s="1193" t="s">
        <v>352</v>
      </c>
      <c r="BH591" s="14"/>
      <c r="BI591" s="14"/>
      <c r="BJ591" s="14"/>
      <c r="BK591" s="14"/>
      <c r="BL591" s="1193" t="s">
        <v>352</v>
      </c>
      <c r="BM591" s="14"/>
      <c r="BN591" s="14"/>
      <c r="BO591" s="14"/>
      <c r="BP591" s="14"/>
      <c r="BQ591" s="1193" t="s">
        <v>352</v>
      </c>
      <c r="BR591" s="14"/>
      <c r="BS591" s="14"/>
      <c r="BT591" s="14"/>
      <c r="BU591" s="14"/>
      <c r="BV591" s="1193" t="s">
        <v>352</v>
      </c>
      <c r="BW591" s="14"/>
      <c r="BX591" s="14"/>
      <c r="BY591" s="14"/>
      <c r="BZ591" s="14"/>
      <c r="CA591" s="1193" t="s">
        <v>352</v>
      </c>
      <c r="CC591" s="14"/>
      <c r="CD591" s="14"/>
      <c r="CE591" s="14"/>
      <c r="CF591" s="14"/>
      <c r="CG591" s="14"/>
      <c r="CH591" s="14"/>
      <c r="CI591" s="14"/>
      <c r="CJ591" s="14"/>
      <c r="CK591" s="14"/>
      <c r="CL591" s="14"/>
      <c r="CM591" s="14"/>
      <c r="CN591" s="14"/>
      <c r="CO591" s="14"/>
      <c r="CP591" s="14"/>
      <c r="CQ591" s="14"/>
      <c r="CR591" s="14"/>
      <c r="CS591" s="14"/>
      <c r="CT591" s="14"/>
      <c r="CU591" s="1961"/>
      <c r="DB591" s="6"/>
      <c r="DC591" s="1961"/>
      <c r="DD591" s="1961"/>
      <c r="DE591" s="1961"/>
      <c r="DF591" s="1961"/>
      <c r="DG591" s="1961"/>
      <c r="DH591" s="1961"/>
      <c r="DI591" s="18"/>
    </row>
    <row r="592" spans="1:113" hidden="1" outlineLevel="1" x14ac:dyDescent="0.25">
      <c r="A592" s="1194" t="s">
        <v>50</v>
      </c>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195">
        <v>333.13200000000006</v>
      </c>
      <c r="AN592" s="14"/>
      <c r="AO592" s="14"/>
      <c r="AP592" s="14"/>
      <c r="AQ592" s="14"/>
      <c r="AR592" s="1195">
        <v>374.12099999999998</v>
      </c>
      <c r="AS592" s="1196">
        <v>90.697000000000003</v>
      </c>
      <c r="AT592" s="636">
        <f>(AW592-AS592)/3</f>
        <v>94.392361600000001</v>
      </c>
      <c r="AU592" s="636">
        <f>Revenue_end_mkt!AE68</f>
        <v>85</v>
      </c>
      <c r="AV592" s="636">
        <f>Revenue_end_mkt!AF68</f>
        <v>83.493156333333332</v>
      </c>
      <c r="AW592" s="1197">
        <f>227*(1+AW594)*1.5152</f>
        <v>373.87408479999999</v>
      </c>
      <c r="AX592" s="636">
        <f>AS592*(1+AX594)</f>
        <v>96.13882000000001</v>
      </c>
      <c r="AY592" s="636">
        <f>AT592*(1+AY594)</f>
        <v>100.05590329600001</v>
      </c>
      <c r="AZ592" s="636">
        <f>AU592*(1+AZ594)</f>
        <v>90.100000000000009</v>
      </c>
      <c r="BA592" s="636">
        <f>AV592*(1+BA594)</f>
        <v>88.50274571333334</v>
      </c>
      <c r="BB592" s="1198">
        <f>SUM(AX592:BA592)</f>
        <v>374.79746900933338</v>
      </c>
      <c r="BC592" s="636">
        <f>AX592*(1+BC594)</f>
        <v>101.90714920000002</v>
      </c>
      <c r="BD592" s="636">
        <f>AY592*(1+BD594)</f>
        <v>106.05925749376001</v>
      </c>
      <c r="BE592" s="636">
        <f>AZ592*(1+BE594)</f>
        <v>95.506000000000014</v>
      </c>
      <c r="BF592" s="636">
        <f>BA592*(1+BF594)</f>
        <v>93.812910456133352</v>
      </c>
      <c r="BG592" s="1198">
        <f>SUM(BC592:BF592)</f>
        <v>397.28531714989339</v>
      </c>
      <c r="BH592" s="636">
        <f>BC592*(1+BH594)</f>
        <v>108.02157815200003</v>
      </c>
      <c r="BI592" s="636">
        <f>BD592*(1+BI594)</f>
        <v>112.42281294338562</v>
      </c>
      <c r="BJ592" s="636">
        <f>BE592*(1+BJ594)</f>
        <v>101.23636000000002</v>
      </c>
      <c r="BK592" s="636">
        <f>BF592*(1+BK594)</f>
        <v>99.441685083501355</v>
      </c>
      <c r="BL592" s="1198">
        <f>SUM(BH592:BK592)</f>
        <v>421.12243617888697</v>
      </c>
      <c r="BM592" s="636">
        <f>BH592*(1+BM594)</f>
        <v>114.50287284112004</v>
      </c>
      <c r="BN592" s="636">
        <f>BI592*(1+BN594)</f>
        <v>119.16818171998877</v>
      </c>
      <c r="BO592" s="636">
        <f>BJ592*(1+BO594)</f>
        <v>107.31054160000002</v>
      </c>
      <c r="BP592" s="636">
        <f>BK592*(1+BP594)</f>
        <v>105.40818618851144</v>
      </c>
      <c r="BQ592" s="1198">
        <f>SUM(BM592:BP592)</f>
        <v>446.38978234962025</v>
      </c>
      <c r="BR592" s="636">
        <f>BM592*(1+BR594)</f>
        <v>121.37304521158724</v>
      </c>
      <c r="BS592" s="636">
        <f>BN592*(1+BS594)</f>
        <v>126.31827262318809</v>
      </c>
      <c r="BT592" s="636">
        <f>BO592*(1+BT594)</f>
        <v>113.74917409600003</v>
      </c>
      <c r="BU592" s="636">
        <f>BP592*(1+BU594)</f>
        <v>111.73267735982213</v>
      </c>
      <c r="BV592" s="1198">
        <f>SUM(BR592:BU592)</f>
        <v>473.17316929059746</v>
      </c>
      <c r="BW592" s="636">
        <f>BR592*(1+BW594)</f>
        <v>128.65542792428249</v>
      </c>
      <c r="BX592" s="636">
        <f>BS592*(1+BX594)</f>
        <v>133.89736898057939</v>
      </c>
      <c r="BY592" s="636">
        <f>BT592*(1+BY594)</f>
        <v>120.57412454176004</v>
      </c>
      <c r="BZ592" s="636">
        <f>BU592*(1+BZ594)</f>
        <v>118.43663800141147</v>
      </c>
      <c r="CA592" s="1198">
        <f>SUM(BW592:BZ592)</f>
        <v>501.5635594480334</v>
      </c>
      <c r="CC592" s="14"/>
      <c r="CD592" s="14"/>
      <c r="CE592" s="14"/>
      <c r="CF592" s="14"/>
      <c r="CG592" s="14"/>
      <c r="CH592" s="14"/>
      <c r="CI592" s="14"/>
      <c r="CJ592" s="14"/>
      <c r="CK592" s="14"/>
      <c r="CL592" s="14"/>
      <c r="CM592" s="14"/>
      <c r="CN592" s="14"/>
      <c r="CO592" s="14"/>
      <c r="CP592" s="14"/>
      <c r="CQ592" s="14"/>
      <c r="CR592" s="14"/>
      <c r="CS592" s="14"/>
      <c r="CT592" s="14"/>
      <c r="CU592" s="1961"/>
      <c r="DB592" s="1197"/>
      <c r="DC592" s="1961"/>
      <c r="DD592" s="1961"/>
      <c r="DE592" s="1961"/>
      <c r="DF592" s="1961"/>
      <c r="DG592" s="1961"/>
      <c r="DH592" s="1961"/>
      <c r="DI592" s="1199"/>
    </row>
    <row r="593" spans="1:113" hidden="1" outlineLevel="1" x14ac:dyDescent="0.25">
      <c r="A593" s="1200" t="s">
        <v>353</v>
      </c>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201"/>
      <c r="AN593" s="14"/>
      <c r="AO593" s="14"/>
      <c r="AP593" s="14"/>
      <c r="AQ593" s="14"/>
      <c r="AR593" s="1202">
        <v>0.120922036910294</v>
      </c>
      <c r="AS593" s="1202">
        <v>8.6999999999999994E-2</v>
      </c>
      <c r="AT593" s="636"/>
      <c r="AU593" s="636"/>
      <c r="AV593" s="1203"/>
      <c r="AW593" s="1204">
        <v>1E-3</v>
      </c>
      <c r="AX593" s="1205">
        <f t="shared" ref="AX593:BG593" si="669">AX592/AS592-1</f>
        <v>6.0000000000000053E-2</v>
      </c>
      <c r="AY593" s="1205">
        <f t="shared" si="669"/>
        <v>6.0000000000000053E-2</v>
      </c>
      <c r="AZ593" s="1205">
        <f t="shared" si="669"/>
        <v>6.0000000000000053E-2</v>
      </c>
      <c r="BA593" s="1205">
        <f t="shared" si="669"/>
        <v>6.0000000000000053E-2</v>
      </c>
      <c r="BB593" s="1205">
        <f t="shared" si="669"/>
        <v>2.469773238836126E-3</v>
      </c>
      <c r="BC593" s="1205">
        <f t="shared" si="669"/>
        <v>6.0000000000000053E-2</v>
      </c>
      <c r="BD593" s="1205">
        <f t="shared" si="669"/>
        <v>6.0000000000000053E-2</v>
      </c>
      <c r="BE593" s="1205">
        <f t="shared" si="669"/>
        <v>6.0000000000000053E-2</v>
      </c>
      <c r="BF593" s="1205">
        <f t="shared" si="669"/>
        <v>6.0000000000000053E-2</v>
      </c>
      <c r="BG593" s="1205">
        <f t="shared" si="669"/>
        <v>6.0000000000000053E-2</v>
      </c>
      <c r="BH593" s="1205">
        <f t="shared" ref="BH593:CA593" si="670">BH592/BC592-1</f>
        <v>6.0000000000000053E-2</v>
      </c>
      <c r="BI593" s="1205">
        <f t="shared" si="670"/>
        <v>6.0000000000000053E-2</v>
      </c>
      <c r="BJ593" s="1205">
        <f t="shared" si="670"/>
        <v>6.0000000000000053E-2</v>
      </c>
      <c r="BK593" s="1205">
        <f t="shared" si="670"/>
        <v>6.0000000000000053E-2</v>
      </c>
      <c r="BL593" s="1205">
        <f t="shared" si="670"/>
        <v>6.0000000000000053E-2</v>
      </c>
      <c r="BM593" s="1205">
        <f t="shared" si="670"/>
        <v>6.0000000000000053E-2</v>
      </c>
      <c r="BN593" s="1205">
        <f t="shared" si="670"/>
        <v>6.0000000000000053E-2</v>
      </c>
      <c r="BO593" s="1205">
        <f t="shared" si="670"/>
        <v>6.0000000000000053E-2</v>
      </c>
      <c r="BP593" s="1205">
        <f t="shared" si="670"/>
        <v>6.0000000000000053E-2</v>
      </c>
      <c r="BQ593" s="1205">
        <f t="shared" si="670"/>
        <v>6.0000000000000053E-2</v>
      </c>
      <c r="BR593" s="1205">
        <f t="shared" si="670"/>
        <v>6.0000000000000053E-2</v>
      </c>
      <c r="BS593" s="1205">
        <f t="shared" si="670"/>
        <v>6.0000000000000053E-2</v>
      </c>
      <c r="BT593" s="1205">
        <f t="shared" si="670"/>
        <v>6.0000000000000053E-2</v>
      </c>
      <c r="BU593" s="1205">
        <f t="shared" si="670"/>
        <v>6.0000000000000053E-2</v>
      </c>
      <c r="BV593" s="1205">
        <f t="shared" si="670"/>
        <v>6.0000000000000053E-2</v>
      </c>
      <c r="BW593" s="1205">
        <f t="shared" si="670"/>
        <v>6.0000000000000053E-2</v>
      </c>
      <c r="BX593" s="1205">
        <f t="shared" si="670"/>
        <v>6.0000000000000053E-2</v>
      </c>
      <c r="BY593" s="1205">
        <f t="shared" si="670"/>
        <v>6.0000000000000053E-2</v>
      </c>
      <c r="BZ593" s="1205">
        <f t="shared" si="670"/>
        <v>6.0000000000000053E-2</v>
      </c>
      <c r="CA593" s="1205">
        <f t="shared" si="670"/>
        <v>6.0000000000000275E-2</v>
      </c>
      <c r="CC593" s="14"/>
      <c r="CD593" s="14"/>
      <c r="CE593" s="14"/>
      <c r="CF593" s="14"/>
      <c r="CG593" s="14"/>
      <c r="CH593" s="14"/>
      <c r="CI593" s="14"/>
      <c r="CJ593" s="14"/>
      <c r="CK593" s="14"/>
      <c r="CL593" s="14"/>
      <c r="CM593" s="14"/>
      <c r="CN593" s="14"/>
      <c r="CO593" s="14"/>
      <c r="CP593" s="14"/>
      <c r="CQ593" s="14"/>
      <c r="CR593" s="14"/>
      <c r="CS593" s="14"/>
      <c r="CT593" s="14"/>
      <c r="CU593" s="1961"/>
      <c r="DB593" s="1204"/>
      <c r="DC593" s="1961"/>
      <c r="DD593" s="1961"/>
      <c r="DE593" s="1961"/>
      <c r="DF593" s="1961"/>
      <c r="DG593" s="1961"/>
      <c r="DH593" s="1961"/>
      <c r="DI593" s="1204"/>
    </row>
    <row r="594" spans="1:113" hidden="1" outlineLevel="1" x14ac:dyDescent="0.25">
      <c r="A594" s="1200" t="s">
        <v>55</v>
      </c>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201"/>
      <c r="AN594" s="14"/>
      <c r="AO594" s="14"/>
      <c r="AP594" s="14"/>
      <c r="AQ594" s="14"/>
      <c r="AR594" s="14"/>
      <c r="AS594" s="1201">
        <f>AS593</f>
        <v>8.6999999999999994E-2</v>
      </c>
      <c r="AT594" s="90">
        <f>Revenue_end_mkt!AD73</f>
        <v>0.1</v>
      </c>
      <c r="AU594" s="90">
        <f>Revenue_end_mkt!AE73</f>
        <v>0.01</v>
      </c>
      <c r="AV594" s="90">
        <f>Revenue_end_mkt!AF73</f>
        <v>-0.01</v>
      </c>
      <c r="AW594" s="90">
        <f>CHOOSE($A$3,AW595,AW596,AW597)</f>
        <v>8.6999999999999994E-2</v>
      </c>
      <c r="AX594" s="90">
        <f>CHOOSE($A$3,AX595,AX596,AX597)</f>
        <v>0.06</v>
      </c>
      <c r="AY594" s="90">
        <f>CHOOSE($A$3,AY595,AY596,AY597)</f>
        <v>0.06</v>
      </c>
      <c r="AZ594" s="90">
        <f>CHOOSE($A$3,AZ595,AZ596,AZ597)</f>
        <v>0.06</v>
      </c>
      <c r="BA594" s="90">
        <f>CHOOSE($A$3,BA595,BA596,BA597)</f>
        <v>0.06</v>
      </c>
      <c r="BB594" s="802">
        <f>(BB592-0)/AW592-1</f>
        <v>2.469773238836126E-3</v>
      </c>
      <c r="BC594" s="90">
        <f>CHOOSE($A$3,BC595,BC596,BC597)</f>
        <v>0.06</v>
      </c>
      <c r="BD594" s="90">
        <f>CHOOSE($A$3,BD595,BD596,BD597)</f>
        <v>0.06</v>
      </c>
      <c r="BE594" s="90">
        <f>CHOOSE($A$3,BE595,BE596,BE597)</f>
        <v>0.06</v>
      </c>
      <c r="BF594" s="90">
        <f>CHOOSE($A$3,BF595,BF596,BF597)</f>
        <v>0.06</v>
      </c>
      <c r="BG594" s="802">
        <f>(BG592-0)/BB592-1</f>
        <v>6.0000000000000053E-2</v>
      </c>
      <c r="BH594" s="90">
        <f>CHOOSE($A$3,BH595,BH596,BH597)</f>
        <v>0.06</v>
      </c>
      <c r="BI594" s="90">
        <f>CHOOSE($A$3,BI595,BI596,BI597)</f>
        <v>0.06</v>
      </c>
      <c r="BJ594" s="90">
        <f>CHOOSE($A$3,BJ595,BJ596,BJ597)</f>
        <v>0.06</v>
      </c>
      <c r="BK594" s="90">
        <f>CHOOSE($A$3,BK595,BK596,BK597)</f>
        <v>0.06</v>
      </c>
      <c r="BL594" s="802">
        <f>(BL592-0)/BG592-1</f>
        <v>6.0000000000000053E-2</v>
      </c>
      <c r="BM594" s="90">
        <f>CHOOSE($A$3,BM595,BM596,BM597)</f>
        <v>0.06</v>
      </c>
      <c r="BN594" s="90">
        <f>CHOOSE($A$3,BN595,BN596,BN597)</f>
        <v>0.06</v>
      </c>
      <c r="BO594" s="90">
        <f>CHOOSE($A$3,BO595,BO596,BO597)</f>
        <v>0.06</v>
      </c>
      <c r="BP594" s="90">
        <f>CHOOSE($A$3,BP595,BP596,BP597)</f>
        <v>0.06</v>
      </c>
      <c r="BQ594" s="802">
        <f>(BQ592-0)/BL592-1</f>
        <v>6.0000000000000053E-2</v>
      </c>
      <c r="BR594" s="90">
        <f>CHOOSE($A$3,BR595,BR596,BR597)</f>
        <v>0.06</v>
      </c>
      <c r="BS594" s="90">
        <f>CHOOSE($A$3,BS595,BS596,BS597)</f>
        <v>0.06</v>
      </c>
      <c r="BT594" s="90">
        <f>CHOOSE($A$3,BT595,BT596,BT597)</f>
        <v>0.06</v>
      </c>
      <c r="BU594" s="90">
        <f>CHOOSE($A$3,BU595,BU596,BU597)</f>
        <v>0.06</v>
      </c>
      <c r="BV594" s="802">
        <f>(BV592-0)/BQ592-1</f>
        <v>6.0000000000000053E-2</v>
      </c>
      <c r="BW594" s="90">
        <f>CHOOSE($A$3,BW595,BW596,BW597)</f>
        <v>0.06</v>
      </c>
      <c r="BX594" s="90">
        <f>CHOOSE($A$3,BX595,BX596,BX597)</f>
        <v>0.06</v>
      </c>
      <c r="BY594" s="90">
        <f>CHOOSE($A$3,BY595,BY596,BY597)</f>
        <v>0.06</v>
      </c>
      <c r="BZ594" s="90">
        <f>CHOOSE($A$3,BZ595,BZ596,BZ597)</f>
        <v>0.06</v>
      </c>
      <c r="CA594" s="802">
        <f>(CA592-0)/BV592-1</f>
        <v>6.0000000000000275E-2</v>
      </c>
      <c r="CC594" s="14"/>
      <c r="CD594" s="14"/>
      <c r="CE594" s="14"/>
      <c r="CF594" s="14"/>
      <c r="CG594" s="14"/>
      <c r="CH594" s="14"/>
      <c r="CI594" s="14"/>
      <c r="CJ594" s="14"/>
      <c r="CK594" s="14"/>
      <c r="CL594" s="14"/>
      <c r="CM594" s="14"/>
      <c r="CN594" s="14"/>
      <c r="CO594" s="14"/>
      <c r="CP594" s="14"/>
      <c r="CQ594" s="14"/>
      <c r="CR594" s="14"/>
      <c r="CS594" s="14"/>
      <c r="CT594" s="14"/>
      <c r="CU594" s="1961"/>
      <c r="DB594" s="1206"/>
      <c r="DC594" s="1961"/>
      <c r="DD594" s="1961"/>
      <c r="DE594" s="1961"/>
      <c r="DF594" s="1961"/>
      <c r="DG594" s="1961"/>
      <c r="DH594" s="1961"/>
      <c r="DI594" s="90"/>
    </row>
    <row r="595" spans="1:113" hidden="1" outlineLevel="2" x14ac:dyDescent="0.25">
      <c r="A595" s="939" t="s">
        <v>214</v>
      </c>
      <c r="B595" s="902"/>
      <c r="C595" s="751"/>
      <c r="D595" s="749"/>
      <c r="E595" s="750"/>
      <c r="F595" s="750"/>
      <c r="G595" s="750"/>
      <c r="H595" s="750"/>
      <c r="I595" s="751"/>
      <c r="J595" s="750"/>
      <c r="K595" s="750"/>
      <c r="L595" s="750"/>
      <c r="M595" s="750"/>
      <c r="N595" s="752"/>
      <c r="O595" s="750"/>
      <c r="P595" s="753"/>
      <c r="Q595" s="753"/>
      <c r="R595" s="753"/>
      <c r="S595" s="752"/>
      <c r="T595" s="753"/>
      <c r="U595" s="753"/>
      <c r="V595" s="753"/>
      <c r="W595" s="753"/>
      <c r="X595" s="752"/>
      <c r="Y595" s="753"/>
      <c r="Z595" s="753"/>
      <c r="AA595" s="753"/>
      <c r="AB595" s="753"/>
      <c r="AC595" s="752"/>
      <c r="AD595" s="753"/>
      <c r="AE595" s="753"/>
      <c r="AF595" s="753"/>
      <c r="AG595" s="753"/>
      <c r="AH595" s="752"/>
      <c r="AI595" s="753"/>
      <c r="AJ595" s="753"/>
      <c r="AK595" s="753"/>
      <c r="AL595" s="753"/>
      <c r="AM595" s="752"/>
      <c r="AN595" s="753"/>
      <c r="AO595" s="753"/>
      <c r="AP595" s="753"/>
      <c r="AQ595" s="753"/>
      <c r="AR595" s="752"/>
      <c r="AS595" s="753"/>
      <c r="AT595" s="753"/>
      <c r="AU595" s="753"/>
      <c r="AV595" s="753"/>
      <c r="AW595" s="752">
        <v>-0.01</v>
      </c>
      <c r="AX595" s="1207">
        <v>0.03</v>
      </c>
      <c r="AY595" s="1208">
        <v>0.03</v>
      </c>
      <c r="AZ595" s="1208">
        <v>0.03</v>
      </c>
      <c r="BA595" s="1209">
        <v>0.03</v>
      </c>
      <c r="BB595" s="757"/>
      <c r="BC595" s="1207">
        <v>0.03</v>
      </c>
      <c r="BD595" s="1207">
        <v>0.03</v>
      </c>
      <c r="BE595" s="1208">
        <v>0.03</v>
      </c>
      <c r="BF595" s="1209">
        <v>0.03</v>
      </c>
      <c r="BG595" s="757"/>
      <c r="BH595" s="1209">
        <v>0.03</v>
      </c>
      <c r="BI595" s="1208">
        <v>0.03</v>
      </c>
      <c r="BJ595" s="1208">
        <v>0.03</v>
      </c>
      <c r="BK595" s="1209">
        <v>0.03</v>
      </c>
      <c r="BL595" s="757"/>
      <c r="BM595" s="1209">
        <v>0.03</v>
      </c>
      <c r="BN595" s="1208">
        <v>0.03</v>
      </c>
      <c r="BO595" s="1208">
        <v>0.03</v>
      </c>
      <c r="BP595" s="1209">
        <v>0.03</v>
      </c>
      <c r="BQ595" s="757"/>
      <c r="BR595" s="1209">
        <v>0.03</v>
      </c>
      <c r="BS595" s="1208">
        <v>0.03</v>
      </c>
      <c r="BT595" s="1208">
        <v>0.03</v>
      </c>
      <c r="BU595" s="1209">
        <v>0.03</v>
      </c>
      <c r="BV595" s="757"/>
      <c r="BW595" s="1209">
        <v>0.03</v>
      </c>
      <c r="BX595" s="1208">
        <v>0.03</v>
      </c>
      <c r="BY595" s="1208">
        <v>0.03</v>
      </c>
      <c r="BZ595" s="1209">
        <v>0.03</v>
      </c>
      <c r="CA595" s="757"/>
      <c r="CC595" s="29"/>
      <c r="CD595" s="29"/>
      <c r="CE595" s="753"/>
      <c r="CF595" s="753"/>
      <c r="CG595" s="753"/>
      <c r="CH595" s="753"/>
      <c r="CI595" s="753"/>
      <c r="CJ595" s="753"/>
      <c r="CK595" s="753"/>
      <c r="CL595" s="753"/>
      <c r="CM595" s="753"/>
      <c r="CN595" s="753"/>
      <c r="CO595" s="753"/>
      <c r="CP595" s="14"/>
      <c r="CQ595" s="14"/>
      <c r="CR595" s="14"/>
      <c r="CS595" s="14"/>
      <c r="CT595" s="14"/>
      <c r="CU595" s="1961"/>
      <c r="DB595" s="6"/>
      <c r="DC595" s="1961"/>
      <c r="DD595" s="1961"/>
      <c r="DE595" s="1961"/>
      <c r="DF595" s="1961"/>
      <c r="DG595" s="1961"/>
      <c r="DH595" s="1961"/>
      <c r="DI595" s="716"/>
    </row>
    <row r="596" spans="1:113" hidden="1" outlineLevel="2" x14ac:dyDescent="0.25">
      <c r="A596" s="939" t="s">
        <v>215</v>
      </c>
      <c r="B596" s="902"/>
      <c r="C596" s="751"/>
      <c r="D596" s="749"/>
      <c r="E596" s="750"/>
      <c r="F596" s="750"/>
      <c r="G596" s="750"/>
      <c r="H596" s="750"/>
      <c r="I596" s="751"/>
      <c r="J596" s="750"/>
      <c r="K596" s="750"/>
      <c r="L596" s="750"/>
      <c r="M596" s="750"/>
      <c r="N596" s="752"/>
      <c r="O596" s="750"/>
      <c r="P596" s="753"/>
      <c r="Q596" s="753"/>
      <c r="R596" s="753"/>
      <c r="S596" s="752"/>
      <c r="T596" s="753"/>
      <c r="U596" s="753"/>
      <c r="V596" s="753"/>
      <c r="W596" s="753"/>
      <c r="X596" s="752"/>
      <c r="Y596" s="753"/>
      <c r="Z596" s="753"/>
      <c r="AA596" s="753"/>
      <c r="AB596" s="753"/>
      <c r="AC596" s="752"/>
      <c r="AD596" s="753"/>
      <c r="AE596" s="753"/>
      <c r="AF596" s="753"/>
      <c r="AG596" s="753"/>
      <c r="AH596" s="752"/>
      <c r="AI596" s="753"/>
      <c r="AJ596" s="753"/>
      <c r="AK596" s="753"/>
      <c r="AL596" s="753"/>
      <c r="AM596" s="752"/>
      <c r="AN596" s="753"/>
      <c r="AO596" s="753"/>
      <c r="AP596" s="753"/>
      <c r="AQ596" s="753"/>
      <c r="AR596" s="752"/>
      <c r="AS596" s="753"/>
      <c r="AT596" s="753"/>
      <c r="AU596" s="753"/>
      <c r="AV596" s="753"/>
      <c r="AW596" s="752">
        <v>8.6999999999999994E-2</v>
      </c>
      <c r="AX596" s="1207">
        <v>0.06</v>
      </c>
      <c r="AY596" s="1208">
        <v>0.06</v>
      </c>
      <c r="AZ596" s="1208">
        <v>0.06</v>
      </c>
      <c r="BA596" s="1208">
        <v>0.06</v>
      </c>
      <c r="BB596" s="768">
        <f>AVERAGE(AX596:BA596)</f>
        <v>0.06</v>
      </c>
      <c r="BC596" s="1207">
        <v>0.06</v>
      </c>
      <c r="BD596" s="1207">
        <v>0.06</v>
      </c>
      <c r="BE596" s="1208">
        <v>0.06</v>
      </c>
      <c r="BF596" s="1208">
        <v>0.06</v>
      </c>
      <c r="BG596" s="768">
        <f>AVERAGE(BC596:BF596)</f>
        <v>0.06</v>
      </c>
      <c r="BH596" s="1208">
        <v>0.06</v>
      </c>
      <c r="BI596" s="1208">
        <v>0.06</v>
      </c>
      <c r="BJ596" s="1208">
        <v>0.06</v>
      </c>
      <c r="BK596" s="1208">
        <v>0.06</v>
      </c>
      <c r="BL596" s="768">
        <f>AVERAGE(BH596:BK596)</f>
        <v>0.06</v>
      </c>
      <c r="BM596" s="1208">
        <v>0.06</v>
      </c>
      <c r="BN596" s="1208">
        <v>0.06</v>
      </c>
      <c r="BO596" s="1208">
        <v>0.06</v>
      </c>
      <c r="BP596" s="1208">
        <v>0.06</v>
      </c>
      <c r="BQ596" s="768">
        <f>AVERAGE(BM596:BP596)</f>
        <v>0.06</v>
      </c>
      <c r="BR596" s="1208">
        <v>0.06</v>
      </c>
      <c r="BS596" s="1208">
        <v>0.06</v>
      </c>
      <c r="BT596" s="1208">
        <v>0.06</v>
      </c>
      <c r="BU596" s="1208">
        <v>0.06</v>
      </c>
      <c r="BV596" s="768">
        <f>AVERAGE(BR596:BU596)</f>
        <v>0.06</v>
      </c>
      <c r="BW596" s="1208">
        <v>0.06</v>
      </c>
      <c r="BX596" s="1208">
        <v>0.06</v>
      </c>
      <c r="BY596" s="1208">
        <v>0.06</v>
      </c>
      <c r="BZ596" s="1208">
        <v>0.06</v>
      </c>
      <c r="CA596" s="768">
        <f>AVERAGE(BW596:BZ596)</f>
        <v>0.06</v>
      </c>
      <c r="CC596" s="29"/>
      <c r="CD596" s="29"/>
      <c r="CE596" s="753"/>
      <c r="CF596" s="753"/>
      <c r="CG596" s="753"/>
      <c r="CH596" s="753"/>
      <c r="CI596" s="753"/>
      <c r="CJ596" s="753"/>
      <c r="CK596" s="753"/>
      <c r="CL596" s="753"/>
      <c r="CM596" s="753"/>
      <c r="CN596" s="753"/>
      <c r="CO596" s="753"/>
      <c r="CP596" s="14"/>
      <c r="CQ596" s="14"/>
      <c r="CR596" s="14"/>
      <c r="CS596" s="14"/>
      <c r="CT596" s="14"/>
      <c r="CU596" s="1961"/>
      <c r="DB596" s="6"/>
      <c r="DC596" s="1961"/>
      <c r="DD596" s="1961"/>
      <c r="DE596" s="1961"/>
      <c r="DF596" s="1961"/>
      <c r="DG596" s="1961"/>
      <c r="DH596" s="1961"/>
      <c r="DI596" s="716"/>
    </row>
    <row r="597" spans="1:113" hidden="1" outlineLevel="2" x14ac:dyDescent="0.25">
      <c r="A597" s="939" t="s">
        <v>216</v>
      </c>
      <c r="B597" s="902"/>
      <c r="C597" s="751"/>
      <c r="D597" s="749"/>
      <c r="E597" s="750"/>
      <c r="F597" s="750"/>
      <c r="G597" s="750"/>
      <c r="H597" s="750"/>
      <c r="I597" s="751"/>
      <c r="J597" s="750"/>
      <c r="K597" s="750"/>
      <c r="L597" s="750"/>
      <c r="M597" s="750"/>
      <c r="N597" s="752"/>
      <c r="O597" s="750"/>
      <c r="P597" s="753"/>
      <c r="Q597" s="753"/>
      <c r="R597" s="753"/>
      <c r="S597" s="752"/>
      <c r="T597" s="753"/>
      <c r="U597" s="753"/>
      <c r="V597" s="753"/>
      <c r="W597" s="753"/>
      <c r="X597" s="752"/>
      <c r="Y597" s="753"/>
      <c r="Z597" s="753"/>
      <c r="AA597" s="753"/>
      <c r="AB597" s="753"/>
      <c r="AC597" s="752"/>
      <c r="AD597" s="753"/>
      <c r="AE597" s="753"/>
      <c r="AF597" s="753"/>
      <c r="AG597" s="753"/>
      <c r="AH597" s="752"/>
      <c r="AI597" s="753"/>
      <c r="AJ597" s="753"/>
      <c r="AK597" s="753"/>
      <c r="AL597" s="753"/>
      <c r="AM597" s="752"/>
      <c r="AN597" s="753"/>
      <c r="AO597" s="753"/>
      <c r="AP597" s="753"/>
      <c r="AQ597" s="753"/>
      <c r="AR597" s="752"/>
      <c r="AS597" s="753"/>
      <c r="AT597" s="753"/>
      <c r="AU597" s="753"/>
      <c r="AV597" s="753"/>
      <c r="AW597" s="752">
        <v>0.11</v>
      </c>
      <c r="AX597" s="1207">
        <f>AS597</f>
        <v>0</v>
      </c>
      <c r="AY597" s="1208">
        <f>AT597</f>
        <v>0</v>
      </c>
      <c r="AZ597" s="1208">
        <f>AU597</f>
        <v>0</v>
      </c>
      <c r="BA597" s="1209">
        <f>AV597</f>
        <v>0</v>
      </c>
      <c r="BB597" s="768">
        <f>AVERAGE(AX597:BA597)</f>
        <v>0</v>
      </c>
      <c r="BC597" s="1207">
        <f>AX597</f>
        <v>0</v>
      </c>
      <c r="BD597" s="1207">
        <f>AY597</f>
        <v>0</v>
      </c>
      <c r="BE597" s="1208">
        <f>AZ597</f>
        <v>0</v>
      </c>
      <c r="BF597" s="1209">
        <f>BA597</f>
        <v>0</v>
      </c>
      <c r="BG597" s="768">
        <f>AVERAGE(BC597:BF597)</f>
        <v>0</v>
      </c>
      <c r="BH597" s="1209">
        <f>BC597</f>
        <v>0</v>
      </c>
      <c r="BI597" s="1208">
        <f>BD597</f>
        <v>0</v>
      </c>
      <c r="BJ597" s="1208">
        <f>BE597</f>
        <v>0</v>
      </c>
      <c r="BK597" s="1209">
        <f>BF597</f>
        <v>0</v>
      </c>
      <c r="BL597" s="768">
        <f>AVERAGE(BH597:BK597)</f>
        <v>0</v>
      </c>
      <c r="BM597" s="1209">
        <f>BH597</f>
        <v>0</v>
      </c>
      <c r="BN597" s="1208">
        <f>BI597</f>
        <v>0</v>
      </c>
      <c r="BO597" s="1208">
        <f>BJ597</f>
        <v>0</v>
      </c>
      <c r="BP597" s="1209">
        <f>BK597</f>
        <v>0</v>
      </c>
      <c r="BQ597" s="768">
        <f>AVERAGE(BM597:BP597)</f>
        <v>0</v>
      </c>
      <c r="BR597" s="1209">
        <f>BM597</f>
        <v>0</v>
      </c>
      <c r="BS597" s="1208">
        <f>BN597</f>
        <v>0</v>
      </c>
      <c r="BT597" s="1208">
        <f>BO597</f>
        <v>0</v>
      </c>
      <c r="BU597" s="1209">
        <f>BP597</f>
        <v>0</v>
      </c>
      <c r="BV597" s="768">
        <f>AVERAGE(BR597:BU597)</f>
        <v>0</v>
      </c>
      <c r="BW597" s="1209">
        <f>BR597</f>
        <v>0</v>
      </c>
      <c r="BX597" s="1208">
        <f>BS597</f>
        <v>0</v>
      </c>
      <c r="BY597" s="1208">
        <f>BT597</f>
        <v>0</v>
      </c>
      <c r="BZ597" s="1209">
        <f>BU597</f>
        <v>0</v>
      </c>
      <c r="CA597" s="768">
        <f>AVERAGE(BW597:BZ597)</f>
        <v>0</v>
      </c>
      <c r="CC597" s="29"/>
      <c r="CD597" s="29"/>
      <c r="CE597" s="753"/>
      <c r="CF597" s="753"/>
      <c r="CG597" s="753"/>
      <c r="CH597" s="753"/>
      <c r="CI597" s="753"/>
      <c r="CJ597" s="753"/>
      <c r="CK597" s="753"/>
      <c r="CL597" s="753"/>
      <c r="CM597" s="753"/>
      <c r="CN597" s="753"/>
      <c r="CO597" s="753"/>
      <c r="CP597" s="14"/>
      <c r="CQ597" s="14"/>
      <c r="CR597" s="14"/>
      <c r="CS597" s="14"/>
      <c r="CT597" s="14"/>
      <c r="CU597" s="1961"/>
      <c r="DB597" s="6"/>
      <c r="DC597" s="1961"/>
      <c r="DD597" s="1961"/>
      <c r="DE597" s="1961"/>
      <c r="DF597" s="1961"/>
      <c r="DG597" s="1961"/>
      <c r="DH597" s="1961"/>
      <c r="DI597" s="716"/>
    </row>
    <row r="598" spans="1:113" hidden="1" outlineLevel="1" collapsed="1" x14ac:dyDescent="0.25">
      <c r="A598" s="1210"/>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211"/>
      <c r="AN598" s="14"/>
      <c r="AO598" s="14"/>
      <c r="AP598" s="14"/>
      <c r="AQ598" s="14"/>
      <c r="AR598" s="14"/>
      <c r="AS598" s="636"/>
      <c r="AT598" s="636"/>
      <c r="AU598" s="636"/>
      <c r="AV598" s="1203"/>
      <c r="AW598" s="1212"/>
      <c r="AX598" s="636"/>
      <c r="AY598" s="636"/>
      <c r="AZ598" s="636"/>
      <c r="BA598" s="1203"/>
      <c r="BB598" s="1213"/>
      <c r="BC598" s="636"/>
      <c r="BD598" s="636"/>
      <c r="BE598" s="636"/>
      <c r="BF598" s="1203"/>
      <c r="BG598" s="1213"/>
      <c r="BH598" s="1203"/>
      <c r="BI598" s="636"/>
      <c r="BJ598" s="636"/>
      <c r="BK598" s="1203"/>
      <c r="BL598" s="1213"/>
      <c r="BM598" s="1203"/>
      <c r="BN598" s="636"/>
      <c r="BO598" s="636"/>
      <c r="BP598" s="1203"/>
      <c r="BQ598" s="1213"/>
      <c r="BR598" s="1203"/>
      <c r="BS598" s="636"/>
      <c r="BT598" s="636"/>
      <c r="BU598" s="1203"/>
      <c r="BV598" s="1213"/>
      <c r="BW598" s="1203"/>
      <c r="BX598" s="636"/>
      <c r="BY598" s="636"/>
      <c r="BZ598" s="1203"/>
      <c r="CA598" s="1213"/>
      <c r="CC598" s="14"/>
      <c r="CD598" s="14"/>
      <c r="CE598" s="14"/>
      <c r="CF598" s="14"/>
      <c r="CG598" s="14"/>
      <c r="CH598" s="14"/>
      <c r="CI598" s="14"/>
      <c r="CJ598" s="14"/>
      <c r="CK598" s="14"/>
      <c r="CL598" s="14"/>
      <c r="CM598" s="14"/>
      <c r="CN598" s="14"/>
      <c r="CO598" s="14"/>
      <c r="CP598" s="14"/>
      <c r="CQ598" s="14"/>
      <c r="CR598" s="14"/>
      <c r="CS598" s="14"/>
      <c r="CT598" s="14"/>
      <c r="CU598" s="1961"/>
      <c r="DB598" s="1212"/>
      <c r="DC598" s="1961"/>
      <c r="DD598" s="1961"/>
      <c r="DE598" s="1961"/>
      <c r="DF598" s="1961"/>
      <c r="DG598" s="1961"/>
      <c r="DH598" s="1961"/>
      <c r="DI598" s="18"/>
    </row>
    <row r="599" spans="1:113" hidden="1" outlineLevel="1" x14ac:dyDescent="0.25">
      <c r="A599" s="1200" t="s">
        <v>354</v>
      </c>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214">
        <v>120.22780800000001</v>
      </c>
      <c r="AN599" s="14"/>
      <c r="AO599" s="14"/>
      <c r="AP599" s="14"/>
      <c r="AQ599" s="14"/>
      <c r="AR599" s="636">
        <v>139.774</v>
      </c>
      <c r="AS599" s="636">
        <v>33.985999999999997</v>
      </c>
      <c r="AT599" s="636">
        <f>AT592*AT600</f>
        <v>35.397135599999999</v>
      </c>
      <c r="AU599" s="636">
        <f>AU592*AU600</f>
        <v>34.85</v>
      </c>
      <c r="AV599" s="636">
        <f>AV592*AV600</f>
        <v>34.232194096666667</v>
      </c>
      <c r="AW599" s="1215">
        <f>SUM(AS599:AV599)</f>
        <v>138.46532969666666</v>
      </c>
      <c r="AX599" s="636">
        <f>AX592*AX600</f>
        <v>36.052057500000004</v>
      </c>
      <c r="AY599" s="636">
        <f>AY592*AY600</f>
        <v>37.520963736000006</v>
      </c>
      <c r="AZ599" s="636">
        <f>AZ592*AZ600</f>
        <v>33.787500000000001</v>
      </c>
      <c r="BA599" s="636">
        <f>BA592*BA600</f>
        <v>33.188529642500001</v>
      </c>
      <c r="BB599" s="1216">
        <f>SUM(AX599:BA599)</f>
        <v>140.5490508785</v>
      </c>
      <c r="BC599" s="636">
        <f>BC592*BC600</f>
        <v>38.215180950000004</v>
      </c>
      <c r="BD599" s="636">
        <f>BD592*BD600</f>
        <v>39.772221560160006</v>
      </c>
      <c r="BE599" s="636">
        <f>BE592*BE600</f>
        <v>35.814750000000004</v>
      </c>
      <c r="BF599" s="636">
        <f>BF592*BF600</f>
        <v>35.179841421050007</v>
      </c>
      <c r="BG599" s="1216">
        <f>SUM(BC599:BF599)</f>
        <v>148.98199393121001</v>
      </c>
      <c r="BH599" s="636">
        <f>BH592*BH600</f>
        <v>40.508091807000014</v>
      </c>
      <c r="BI599" s="636">
        <f>BI592*BI600</f>
        <v>42.158554853769608</v>
      </c>
      <c r="BJ599" s="636">
        <f>BJ592*BJ600</f>
        <v>37.963635000000011</v>
      </c>
      <c r="BK599" s="636">
        <f>BK592*BK600</f>
        <v>37.29063190631301</v>
      </c>
      <c r="BL599" s="1216">
        <f>SUM(BH599:BK599)</f>
        <v>157.92091356708266</v>
      </c>
      <c r="BM599" s="636">
        <f>BM592*BM600</f>
        <v>42.938577315420012</v>
      </c>
      <c r="BN599" s="636">
        <f>BN592*BN600</f>
        <v>44.688068144995789</v>
      </c>
      <c r="BO599" s="636">
        <f>BO592*BO600</f>
        <v>40.241453100000008</v>
      </c>
      <c r="BP599" s="636">
        <f>BP592*BP600</f>
        <v>39.52806982069179</v>
      </c>
      <c r="BQ599" s="1216">
        <f>SUM(BM599:BP599)</f>
        <v>167.3961683811076</v>
      </c>
      <c r="BR599" s="636">
        <f>BR592*BR600</f>
        <v>45.514891954345217</v>
      </c>
      <c r="BS599" s="636">
        <f>BS592*BS600</f>
        <v>47.369352233695537</v>
      </c>
      <c r="BT599" s="636">
        <f>BT592*BT600</f>
        <v>42.655940286000011</v>
      </c>
      <c r="BU599" s="636">
        <f>BU592*BU600</f>
        <v>41.899754009933304</v>
      </c>
      <c r="BV599" s="1216">
        <f>SUM(BR599:BU599)</f>
        <v>177.43993848397406</v>
      </c>
      <c r="BW599" s="636">
        <f>BW592*BW600</f>
        <v>48.245785471605934</v>
      </c>
      <c r="BX599" s="636">
        <f>BX592*BX600</f>
        <v>50.211513367717274</v>
      </c>
      <c r="BY599" s="636">
        <f>BY592*BY600</f>
        <v>45.215296703160014</v>
      </c>
      <c r="BZ599" s="636">
        <f>BZ592*BZ600</f>
        <v>44.413739250529304</v>
      </c>
      <c r="CA599" s="1216">
        <f>SUM(BW599:BZ599)</f>
        <v>188.08633479301255</v>
      </c>
      <c r="CC599" s="14"/>
      <c r="CD599" s="14"/>
      <c r="CE599" s="14"/>
      <c r="CF599" s="14"/>
      <c r="CG599" s="14"/>
      <c r="CH599" s="14"/>
      <c r="CI599" s="14"/>
      <c r="CJ599" s="14"/>
      <c r="CK599" s="14"/>
      <c r="CL599" s="14"/>
      <c r="CM599" s="14"/>
      <c r="CN599" s="14"/>
      <c r="CO599" s="14"/>
      <c r="CP599" s="14"/>
      <c r="CQ599" s="14"/>
      <c r="CR599" s="14"/>
      <c r="CS599" s="14"/>
      <c r="CT599" s="14"/>
      <c r="CU599" s="1961"/>
      <c r="DB599" s="1215"/>
      <c r="DC599" s="1961"/>
      <c r="DD599" s="1961"/>
      <c r="DE599" s="1961"/>
      <c r="DF599" s="1961"/>
      <c r="DG599" s="1961"/>
      <c r="DH599" s="1961"/>
      <c r="DI599" s="1199"/>
    </row>
    <row r="600" spans="1:113" hidden="1" outlineLevel="1" x14ac:dyDescent="0.25">
      <c r="A600" s="1217" t="s">
        <v>355</v>
      </c>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205">
        <f>AM599/AM592</f>
        <v>0.36090140845070418</v>
      </c>
      <c r="AN600" s="14"/>
      <c r="AO600" s="14"/>
      <c r="AP600" s="14"/>
      <c r="AQ600" s="14"/>
      <c r="AR600" s="1205">
        <f>AR599/AR592</f>
        <v>0.3736064000684271</v>
      </c>
      <c r="AS600" s="1205">
        <f>AS599/AS592</f>
        <v>0.37472022227857588</v>
      </c>
      <c r="AT600" s="90">
        <f>CHOOSE($A$3,AT601,AT602,AT603)</f>
        <v>0.375</v>
      </c>
      <c r="AU600" s="90">
        <f>CHOOSE($A$3,AU601,AU602,AU603)</f>
        <v>0.41</v>
      </c>
      <c r="AV600" s="90">
        <f>CHOOSE($A$3,AV601,AV602,AV603)</f>
        <v>0.41</v>
      </c>
      <c r="AW600" s="1204">
        <f>AW599/AW592</f>
        <v>0.37035284157428894</v>
      </c>
      <c r="AX600" s="90">
        <f>CHOOSE($A$3,AX601,AX602,AX603)</f>
        <v>0.375</v>
      </c>
      <c r="AY600" s="90">
        <f>CHOOSE($A$3,AY601,AY602,AY603)</f>
        <v>0.375</v>
      </c>
      <c r="AZ600" s="90">
        <f>CHOOSE($A$3,AZ601,AZ602,AZ603)</f>
        <v>0.375</v>
      </c>
      <c r="BA600" s="90">
        <f>CHOOSE($A$3,BA601,BA602,BA603)</f>
        <v>0.375</v>
      </c>
      <c r="BB600" s="1218">
        <f>BB599/BB592</f>
        <v>0.37499999999999994</v>
      </c>
      <c r="BC600" s="90">
        <f>CHOOSE($A$3,BC601,BC602,BC603)</f>
        <v>0.375</v>
      </c>
      <c r="BD600" s="90">
        <f>CHOOSE($A$3,BD601,BD602,BD603)</f>
        <v>0.375</v>
      </c>
      <c r="BE600" s="90">
        <f>CHOOSE($A$3,BE601,BE602,BE603)</f>
        <v>0.375</v>
      </c>
      <c r="BF600" s="90">
        <f>CHOOSE($A$3,BF601,BF602,BF603)</f>
        <v>0.375</v>
      </c>
      <c r="BG600" s="1218">
        <f>BG599/BG592</f>
        <v>0.375</v>
      </c>
      <c r="BH600" s="90">
        <f>CHOOSE($A$3,BH601,BH602,BH603)</f>
        <v>0.375</v>
      </c>
      <c r="BI600" s="90">
        <f>CHOOSE($A$3,BI601,BI602,BI603)</f>
        <v>0.375</v>
      </c>
      <c r="BJ600" s="90">
        <f>CHOOSE($A$3,BJ601,BJ602,BJ603)</f>
        <v>0.375</v>
      </c>
      <c r="BK600" s="90">
        <f>CHOOSE($A$3,BK601,BK602,BK603)</f>
        <v>0.375</v>
      </c>
      <c r="BL600" s="1218">
        <f>BL599/BL592</f>
        <v>0.37500000000000011</v>
      </c>
      <c r="BM600" s="90">
        <f>CHOOSE($A$3,BM601,BM602,BM603)</f>
        <v>0.375</v>
      </c>
      <c r="BN600" s="90">
        <f>CHOOSE($A$3,BN601,BN602,BN603)</f>
        <v>0.375</v>
      </c>
      <c r="BO600" s="90">
        <f>CHOOSE($A$3,BO601,BO602,BO603)</f>
        <v>0.375</v>
      </c>
      <c r="BP600" s="90">
        <f>CHOOSE($A$3,BP601,BP602,BP603)</f>
        <v>0.375</v>
      </c>
      <c r="BQ600" s="1218">
        <f>BQ599/BQ592</f>
        <v>0.375</v>
      </c>
      <c r="BR600" s="90">
        <f>CHOOSE($A$3,BR601,BR602,BR603)</f>
        <v>0.375</v>
      </c>
      <c r="BS600" s="90">
        <f>CHOOSE($A$3,BS601,BS602,BS603)</f>
        <v>0.375</v>
      </c>
      <c r="BT600" s="90">
        <f>CHOOSE($A$3,BT601,BT602,BT603)</f>
        <v>0.375</v>
      </c>
      <c r="BU600" s="90">
        <f>CHOOSE($A$3,BU601,BU602,BU603)</f>
        <v>0.375</v>
      </c>
      <c r="BV600" s="1218">
        <f>BV599/BV592</f>
        <v>0.37500000000000006</v>
      </c>
      <c r="BW600" s="90">
        <f>CHOOSE($A$3,BW601,BW602,BW603)</f>
        <v>0.375</v>
      </c>
      <c r="BX600" s="90">
        <f>CHOOSE($A$3,BX601,BX602,BX603)</f>
        <v>0.375</v>
      </c>
      <c r="BY600" s="90">
        <f>CHOOSE($A$3,BY601,BY602,BY603)</f>
        <v>0.375</v>
      </c>
      <c r="BZ600" s="90">
        <f>CHOOSE($A$3,BZ601,BZ602,BZ603)</f>
        <v>0.375</v>
      </c>
      <c r="CA600" s="1218">
        <f>CA599/CA592</f>
        <v>0.37500000000000006</v>
      </c>
      <c r="CC600" s="14"/>
      <c r="CD600" s="14"/>
      <c r="CE600" s="14"/>
      <c r="CF600" s="14"/>
      <c r="CG600" s="14"/>
      <c r="CH600" s="14"/>
      <c r="CI600" s="14"/>
      <c r="CJ600" s="14"/>
      <c r="CK600" s="14"/>
      <c r="CL600" s="14"/>
      <c r="CM600" s="14"/>
      <c r="CN600" s="14"/>
      <c r="CO600" s="14"/>
      <c r="CP600" s="14"/>
      <c r="CQ600" s="14"/>
      <c r="CR600" s="14"/>
      <c r="CS600" s="14"/>
      <c r="CT600" s="14"/>
      <c r="CU600" s="1961"/>
      <c r="DB600" s="1219"/>
      <c r="DC600" s="1961"/>
      <c r="DD600" s="1961"/>
      <c r="DE600" s="1961"/>
      <c r="DF600" s="1961"/>
      <c r="DG600" s="1961"/>
      <c r="DH600" s="1961"/>
      <c r="DI600" s="90"/>
    </row>
    <row r="601" spans="1:113" hidden="1" outlineLevel="2" x14ac:dyDescent="0.25">
      <c r="A601" s="939" t="s">
        <v>214</v>
      </c>
      <c r="B601" s="902"/>
      <c r="C601" s="751"/>
      <c r="D601" s="749"/>
      <c r="E601" s="750"/>
      <c r="F601" s="750"/>
      <c r="G601" s="750"/>
      <c r="H601" s="750"/>
      <c r="I601" s="751"/>
      <c r="J601" s="750"/>
      <c r="K601" s="750"/>
      <c r="L601" s="750"/>
      <c r="M601" s="750"/>
      <c r="N601" s="752"/>
      <c r="O601" s="750"/>
      <c r="P601" s="753"/>
      <c r="Q601" s="753"/>
      <c r="R601" s="753"/>
      <c r="S601" s="752"/>
      <c r="T601" s="753"/>
      <c r="U601" s="753"/>
      <c r="V601" s="753"/>
      <c r="W601" s="753"/>
      <c r="X601" s="752"/>
      <c r="Y601" s="753"/>
      <c r="Z601" s="753"/>
      <c r="AA601" s="753"/>
      <c r="AB601" s="753"/>
      <c r="AC601" s="752"/>
      <c r="AD601" s="753"/>
      <c r="AE601" s="753"/>
      <c r="AF601" s="753"/>
      <c r="AG601" s="753"/>
      <c r="AH601" s="752"/>
      <c r="AI601" s="753"/>
      <c r="AJ601" s="753"/>
      <c r="AK601" s="753"/>
      <c r="AL601" s="753"/>
      <c r="AM601" s="752"/>
      <c r="AN601" s="753"/>
      <c r="AO601" s="753"/>
      <c r="AP601" s="753"/>
      <c r="AQ601" s="753"/>
      <c r="AR601" s="752"/>
      <c r="AS601" s="753"/>
      <c r="AT601" s="753">
        <f>AT602+0.03</f>
        <v>0.40500000000000003</v>
      </c>
      <c r="AU601" s="753">
        <f>AU602+0.03</f>
        <v>0.43999999999999995</v>
      </c>
      <c r="AV601" s="756">
        <f>AV602+0.03</f>
        <v>0.43999999999999995</v>
      </c>
      <c r="AW601" s="752"/>
      <c r="AX601" s="753">
        <f>AX602+0.03</f>
        <v>0.40500000000000003</v>
      </c>
      <c r="AY601" s="753">
        <f>AY602+0.03</f>
        <v>0.40500000000000003</v>
      </c>
      <c r="AZ601" s="753">
        <f>AZ602+0.03</f>
        <v>0.40500000000000003</v>
      </c>
      <c r="BA601" s="756">
        <f>BA602+0.03</f>
        <v>0.40500000000000003</v>
      </c>
      <c r="BB601" s="757"/>
      <c r="BC601" s="753">
        <f>BC602+0.03</f>
        <v>0.40500000000000003</v>
      </c>
      <c r="BD601" s="753">
        <f>BD602+0.03</f>
        <v>0.40500000000000003</v>
      </c>
      <c r="BE601" s="753">
        <f>BE602+0.03</f>
        <v>0.40500000000000003</v>
      </c>
      <c r="BF601" s="756">
        <f>BF602+0.03</f>
        <v>0.40500000000000003</v>
      </c>
      <c r="BG601" s="757"/>
      <c r="BH601" s="756">
        <f>BH602+0.03</f>
        <v>0.40500000000000003</v>
      </c>
      <c r="BI601" s="753">
        <f>BI602+0.03</f>
        <v>0.40500000000000003</v>
      </c>
      <c r="BJ601" s="753">
        <f>BJ602+0.03</f>
        <v>0.40500000000000003</v>
      </c>
      <c r="BK601" s="756">
        <f>BK602+0.03</f>
        <v>0.40500000000000003</v>
      </c>
      <c r="BL601" s="757"/>
      <c r="BM601" s="756">
        <f>BM602+0.03</f>
        <v>0.40500000000000003</v>
      </c>
      <c r="BN601" s="753">
        <f>BN602+0.03</f>
        <v>0.40500000000000003</v>
      </c>
      <c r="BO601" s="753">
        <f>BO602+0.03</f>
        <v>0.40500000000000003</v>
      </c>
      <c r="BP601" s="756">
        <f>BP602+0.03</f>
        <v>0.40500000000000003</v>
      </c>
      <c r="BQ601" s="757"/>
      <c r="BR601" s="756">
        <f>BR602+0.03</f>
        <v>0.40500000000000003</v>
      </c>
      <c r="BS601" s="753">
        <f>BS602+0.03</f>
        <v>0.40500000000000003</v>
      </c>
      <c r="BT601" s="753">
        <f>BT602+0.03</f>
        <v>0.40500000000000003</v>
      </c>
      <c r="BU601" s="756">
        <f>BU602+0.03</f>
        <v>0.40500000000000003</v>
      </c>
      <c r="BV601" s="757"/>
      <c r="BW601" s="756">
        <f>BW602+0.03</f>
        <v>0.40500000000000003</v>
      </c>
      <c r="BX601" s="753">
        <f>BX602+0.03</f>
        <v>0.40500000000000003</v>
      </c>
      <c r="BY601" s="753">
        <f>BY602+0.03</f>
        <v>0.40500000000000003</v>
      </c>
      <c r="BZ601" s="756">
        <f>BZ602+0.03</f>
        <v>0.40500000000000003</v>
      </c>
      <c r="CA601" s="757"/>
      <c r="CC601" s="29"/>
      <c r="CD601" s="29"/>
      <c r="CE601" s="753"/>
      <c r="CF601" s="753"/>
      <c r="CG601" s="753"/>
      <c r="CH601" s="753"/>
      <c r="CI601" s="753"/>
      <c r="CJ601" s="753"/>
      <c r="CK601" s="753"/>
      <c r="CL601" s="753"/>
      <c r="CM601" s="753"/>
      <c r="CN601" s="753"/>
      <c r="CO601" s="753"/>
      <c r="CP601" s="14"/>
      <c r="CQ601" s="14"/>
      <c r="CR601" s="14"/>
      <c r="CS601" s="14"/>
      <c r="CT601" s="14"/>
      <c r="CU601" s="1961"/>
      <c r="DB601" s="6"/>
      <c r="DC601" s="1961"/>
      <c r="DD601" s="1961"/>
      <c r="DE601" s="1961"/>
      <c r="DF601" s="1961"/>
      <c r="DG601" s="1961"/>
      <c r="DH601" s="1961"/>
      <c r="DI601" s="716"/>
    </row>
    <row r="602" spans="1:113" hidden="1" outlineLevel="2" x14ac:dyDescent="0.25">
      <c r="A602" s="939" t="s">
        <v>215</v>
      </c>
      <c r="B602" s="902"/>
      <c r="C602" s="751"/>
      <c r="D602" s="749"/>
      <c r="E602" s="750"/>
      <c r="F602" s="750"/>
      <c r="G602" s="750"/>
      <c r="H602" s="750"/>
      <c r="I602" s="751"/>
      <c r="J602" s="750"/>
      <c r="K602" s="750"/>
      <c r="L602" s="750"/>
      <c r="M602" s="750"/>
      <c r="N602" s="752"/>
      <c r="O602" s="750"/>
      <c r="P602" s="753"/>
      <c r="Q602" s="753"/>
      <c r="R602" s="753"/>
      <c r="S602" s="752"/>
      <c r="T602" s="753"/>
      <c r="U602" s="753"/>
      <c r="V602" s="753"/>
      <c r="W602" s="753"/>
      <c r="X602" s="752"/>
      <c r="Y602" s="753"/>
      <c r="Z602" s="753"/>
      <c r="AA602" s="753"/>
      <c r="AB602" s="753"/>
      <c r="AC602" s="752"/>
      <c r="AD602" s="753"/>
      <c r="AE602" s="753"/>
      <c r="AF602" s="753"/>
      <c r="AG602" s="753"/>
      <c r="AH602" s="752"/>
      <c r="AI602" s="753"/>
      <c r="AJ602" s="753"/>
      <c r="AK602" s="753"/>
      <c r="AL602" s="753"/>
      <c r="AM602" s="752"/>
      <c r="AN602" s="753"/>
      <c r="AO602" s="753"/>
      <c r="AP602" s="753"/>
      <c r="AQ602" s="753"/>
      <c r="AR602" s="752"/>
      <c r="AS602" s="753"/>
      <c r="AT602" s="753">
        <v>0.375</v>
      </c>
      <c r="AU602" s="753">
        <v>0.41</v>
      </c>
      <c r="AV602" s="756">
        <v>0.41</v>
      </c>
      <c r="AW602" s="752"/>
      <c r="AX602" s="753">
        <v>0.375</v>
      </c>
      <c r="AY602" s="753">
        <v>0.375</v>
      </c>
      <c r="AZ602" s="753">
        <v>0.375</v>
      </c>
      <c r="BA602" s="756">
        <v>0.375</v>
      </c>
      <c r="BB602" s="768">
        <f>AVERAGE(AX602:BA602)</f>
        <v>0.375</v>
      </c>
      <c r="BC602" s="753">
        <v>0.375</v>
      </c>
      <c r="BD602" s="753">
        <v>0.375</v>
      </c>
      <c r="BE602" s="753">
        <v>0.375</v>
      </c>
      <c r="BF602" s="756">
        <v>0.375</v>
      </c>
      <c r="BG602" s="768">
        <f>AVERAGE(BC602:BF602)</f>
        <v>0.375</v>
      </c>
      <c r="BH602" s="756">
        <v>0.375</v>
      </c>
      <c r="BI602" s="753">
        <v>0.375</v>
      </c>
      <c r="BJ602" s="753">
        <v>0.375</v>
      </c>
      <c r="BK602" s="756">
        <v>0.375</v>
      </c>
      <c r="BL602" s="768">
        <f>AVERAGE(BH602:BK602)</f>
        <v>0.375</v>
      </c>
      <c r="BM602" s="756">
        <v>0.375</v>
      </c>
      <c r="BN602" s="753">
        <v>0.375</v>
      </c>
      <c r="BO602" s="753">
        <v>0.375</v>
      </c>
      <c r="BP602" s="756">
        <v>0.375</v>
      </c>
      <c r="BQ602" s="768">
        <f>AVERAGE(BM602:BP602)</f>
        <v>0.375</v>
      </c>
      <c r="BR602" s="756">
        <v>0.375</v>
      </c>
      <c r="BS602" s="753">
        <v>0.375</v>
      </c>
      <c r="BT602" s="753">
        <v>0.375</v>
      </c>
      <c r="BU602" s="756">
        <v>0.375</v>
      </c>
      <c r="BV602" s="768">
        <f>AVERAGE(BR602:BU602)</f>
        <v>0.375</v>
      </c>
      <c r="BW602" s="756">
        <v>0.375</v>
      </c>
      <c r="BX602" s="753">
        <v>0.375</v>
      </c>
      <c r="BY602" s="753">
        <v>0.375</v>
      </c>
      <c r="BZ602" s="756">
        <v>0.375</v>
      </c>
      <c r="CA602" s="768">
        <f>AVERAGE(BW602:BZ602)</f>
        <v>0.375</v>
      </c>
      <c r="CC602" s="29"/>
      <c r="CD602" s="29"/>
      <c r="CE602" s="753"/>
      <c r="CF602" s="753"/>
      <c r="CG602" s="753"/>
      <c r="CH602" s="753"/>
      <c r="CI602" s="753"/>
      <c r="CJ602" s="753"/>
      <c r="CK602" s="753"/>
      <c r="CL602" s="753"/>
      <c r="CM602" s="753"/>
      <c r="CN602" s="753"/>
      <c r="CO602" s="753"/>
      <c r="CP602" s="14"/>
      <c r="CQ602" s="14"/>
      <c r="CR602" s="14"/>
      <c r="CS602" s="14"/>
      <c r="CT602" s="14"/>
      <c r="CU602" s="1961"/>
      <c r="DB602" s="6"/>
      <c r="DC602" s="1961"/>
      <c r="DD602" s="1961"/>
      <c r="DE602" s="1961"/>
      <c r="DF602" s="1961"/>
      <c r="DG602" s="1961"/>
      <c r="DH602" s="1961"/>
      <c r="DI602" s="716"/>
    </row>
    <row r="603" spans="1:113" hidden="1" outlineLevel="2" x14ac:dyDescent="0.25">
      <c r="A603" s="939" t="s">
        <v>216</v>
      </c>
      <c r="B603" s="902"/>
      <c r="C603" s="751"/>
      <c r="D603" s="749"/>
      <c r="E603" s="750"/>
      <c r="F603" s="750"/>
      <c r="G603" s="750"/>
      <c r="H603" s="750"/>
      <c r="I603" s="751"/>
      <c r="J603" s="750"/>
      <c r="K603" s="750"/>
      <c r="L603" s="750"/>
      <c r="M603" s="750"/>
      <c r="N603" s="752"/>
      <c r="O603" s="750"/>
      <c r="P603" s="753"/>
      <c r="Q603" s="753"/>
      <c r="R603" s="753"/>
      <c r="S603" s="752"/>
      <c r="T603" s="753"/>
      <c r="U603" s="753"/>
      <c r="V603" s="753"/>
      <c r="W603" s="753"/>
      <c r="X603" s="752"/>
      <c r="Y603" s="753"/>
      <c r="Z603" s="753"/>
      <c r="AA603" s="753"/>
      <c r="AB603" s="753"/>
      <c r="AC603" s="752"/>
      <c r="AD603" s="753"/>
      <c r="AE603" s="753"/>
      <c r="AF603" s="753"/>
      <c r="AG603" s="753"/>
      <c r="AH603" s="752"/>
      <c r="AI603" s="753"/>
      <c r="AJ603" s="753"/>
      <c r="AK603" s="753"/>
      <c r="AL603" s="753"/>
      <c r="AM603" s="752"/>
      <c r="AN603" s="753"/>
      <c r="AO603" s="753"/>
      <c r="AP603" s="753"/>
      <c r="AQ603" s="753"/>
      <c r="AR603" s="752"/>
      <c r="AS603" s="753"/>
      <c r="AT603" s="753">
        <f>AT602-0.02</f>
        <v>0.35499999999999998</v>
      </c>
      <c r="AU603" s="753">
        <f>AU602-0.02</f>
        <v>0.38999999999999996</v>
      </c>
      <c r="AV603" s="756">
        <f>AV602-0.02</f>
        <v>0.38999999999999996</v>
      </c>
      <c r="AW603" s="752"/>
      <c r="AX603" s="753">
        <f>AX602-0.02</f>
        <v>0.35499999999999998</v>
      </c>
      <c r="AY603" s="753">
        <f>AY602-0.02</f>
        <v>0.35499999999999998</v>
      </c>
      <c r="AZ603" s="753">
        <f>AZ602-0.02</f>
        <v>0.35499999999999998</v>
      </c>
      <c r="BA603" s="756">
        <f>BA602-0.02</f>
        <v>0.35499999999999998</v>
      </c>
      <c r="BB603" s="757"/>
      <c r="BC603" s="753">
        <f>BC602-0.02</f>
        <v>0.35499999999999998</v>
      </c>
      <c r="BD603" s="753">
        <f>BD602-0.02</f>
        <v>0.35499999999999998</v>
      </c>
      <c r="BE603" s="753">
        <f>BE602-0.02</f>
        <v>0.35499999999999998</v>
      </c>
      <c r="BF603" s="756">
        <f>BF602-0.02</f>
        <v>0.35499999999999998</v>
      </c>
      <c r="BG603" s="757"/>
      <c r="BH603" s="756">
        <f>BH602-0.02</f>
        <v>0.35499999999999998</v>
      </c>
      <c r="BI603" s="753">
        <f>BI602-0.02</f>
        <v>0.35499999999999998</v>
      </c>
      <c r="BJ603" s="753">
        <f>BJ602-0.02</f>
        <v>0.35499999999999998</v>
      </c>
      <c r="BK603" s="756">
        <f>BK602-0.02</f>
        <v>0.35499999999999998</v>
      </c>
      <c r="BL603" s="757"/>
      <c r="BM603" s="756">
        <f>BM602-0.02</f>
        <v>0.35499999999999998</v>
      </c>
      <c r="BN603" s="753">
        <f>BN602-0.02</f>
        <v>0.35499999999999998</v>
      </c>
      <c r="BO603" s="753">
        <f>BO602-0.02</f>
        <v>0.35499999999999998</v>
      </c>
      <c r="BP603" s="756">
        <f>BP602-0.02</f>
        <v>0.35499999999999998</v>
      </c>
      <c r="BQ603" s="757"/>
      <c r="BR603" s="756">
        <f>BR602-0.02</f>
        <v>0.35499999999999998</v>
      </c>
      <c r="BS603" s="753">
        <f>BS602-0.02</f>
        <v>0.35499999999999998</v>
      </c>
      <c r="BT603" s="753">
        <f>BT602-0.02</f>
        <v>0.35499999999999998</v>
      </c>
      <c r="BU603" s="756">
        <f>BU602-0.02</f>
        <v>0.35499999999999998</v>
      </c>
      <c r="BV603" s="757"/>
      <c r="BW603" s="756">
        <f>BW602-0.02</f>
        <v>0.35499999999999998</v>
      </c>
      <c r="BX603" s="753">
        <f>BX602-0.02</f>
        <v>0.35499999999999998</v>
      </c>
      <c r="BY603" s="753">
        <f>BY602-0.02</f>
        <v>0.35499999999999998</v>
      </c>
      <c r="BZ603" s="756">
        <f>BZ602-0.02</f>
        <v>0.35499999999999998</v>
      </c>
      <c r="CA603" s="757"/>
      <c r="CC603" s="29"/>
      <c r="CD603" s="29"/>
      <c r="CE603" s="753"/>
      <c r="CF603" s="753"/>
      <c r="CG603" s="753"/>
      <c r="CH603" s="753"/>
      <c r="CI603" s="753"/>
      <c r="CJ603" s="753"/>
      <c r="CK603" s="753"/>
      <c r="CL603" s="753"/>
      <c r="CM603" s="753"/>
      <c r="CN603" s="753"/>
      <c r="CO603" s="753"/>
      <c r="CP603" s="14"/>
      <c r="CQ603" s="14"/>
      <c r="CR603" s="14"/>
      <c r="CS603" s="14"/>
      <c r="CT603" s="14"/>
      <c r="CU603" s="1961"/>
      <c r="DB603" s="6"/>
      <c r="DC603" s="1961"/>
      <c r="DD603" s="1961"/>
      <c r="DE603" s="1961"/>
      <c r="DF603" s="1961"/>
      <c r="DG603" s="1961"/>
      <c r="DH603" s="1961"/>
      <c r="DI603" s="716"/>
    </row>
    <row r="604" spans="1:113" hidden="1" outlineLevel="1" collapsed="1" x14ac:dyDescent="0.25">
      <c r="A604" s="1200"/>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220"/>
      <c r="AN604" s="14"/>
      <c r="AO604" s="14"/>
      <c r="AP604" s="14"/>
      <c r="AQ604" s="14"/>
      <c r="AR604" s="636"/>
      <c r="AS604" s="636"/>
      <c r="AT604" s="636"/>
      <c r="AU604" s="636"/>
      <c r="AV604" s="1203"/>
      <c r="AW604" s="1215"/>
      <c r="AX604" s="636"/>
      <c r="AY604" s="636"/>
      <c r="AZ604" s="636"/>
      <c r="BA604" s="1203"/>
      <c r="BB604" s="1216"/>
      <c r="BC604" s="636"/>
      <c r="BD604" s="636"/>
      <c r="BE604" s="636"/>
      <c r="BF604" s="1203"/>
      <c r="BG604" s="1216"/>
      <c r="BH604" s="1203"/>
      <c r="BI604" s="636"/>
      <c r="BJ604" s="636"/>
      <c r="BK604" s="1203"/>
      <c r="BL604" s="1216"/>
      <c r="BM604" s="1203"/>
      <c r="BN604" s="636"/>
      <c r="BO604" s="636"/>
      <c r="BP604" s="1203"/>
      <c r="BQ604" s="1216"/>
      <c r="BR604" s="1203"/>
      <c r="BS604" s="636"/>
      <c r="BT604" s="636"/>
      <c r="BU604" s="1203"/>
      <c r="BV604" s="1216"/>
      <c r="BW604" s="1203"/>
      <c r="BX604" s="636"/>
      <c r="BY604" s="636"/>
      <c r="BZ604" s="1203"/>
      <c r="CA604" s="1216"/>
      <c r="CC604" s="14"/>
      <c r="CD604" s="14"/>
      <c r="CE604" s="14"/>
      <c r="CF604" s="14"/>
      <c r="CG604" s="14"/>
      <c r="CH604" s="14"/>
      <c r="CI604" s="14"/>
      <c r="CJ604" s="14"/>
      <c r="CK604" s="14"/>
      <c r="CL604" s="14"/>
      <c r="CM604" s="14"/>
      <c r="CN604" s="14"/>
      <c r="CO604" s="14"/>
      <c r="CP604" s="14"/>
      <c r="CQ604" s="14"/>
      <c r="CR604" s="14"/>
      <c r="CS604" s="14"/>
      <c r="CT604" s="14"/>
      <c r="CU604" s="1961"/>
      <c r="DB604" s="1215"/>
      <c r="DC604" s="1961"/>
      <c r="DD604" s="1961"/>
      <c r="DE604" s="1961"/>
      <c r="DF604" s="1961"/>
      <c r="DG604" s="1961"/>
      <c r="DH604" s="1961"/>
      <c r="DI604" s="1199"/>
    </row>
    <row r="605" spans="1:113" hidden="1" outlineLevel="1" x14ac:dyDescent="0.25">
      <c r="A605" s="1200" t="s">
        <v>356</v>
      </c>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214">
        <v>76.869036000000008</v>
      </c>
      <c r="AN605" s="14"/>
      <c r="AO605" s="14"/>
      <c r="AP605" s="14"/>
      <c r="AQ605" s="14"/>
      <c r="AR605" s="636">
        <v>69.878</v>
      </c>
      <c r="AS605" s="636">
        <v>12.356</v>
      </c>
      <c r="AT605" s="636">
        <f>AT606*AT592</f>
        <v>12.837361177600002</v>
      </c>
      <c r="AU605" s="636">
        <f>AU606*AU592</f>
        <v>15.895</v>
      </c>
      <c r="AV605" s="636">
        <f>AV606*AV592</f>
        <v>15.613220234333333</v>
      </c>
      <c r="AW605" s="1215">
        <f>SUM(AS605:AV605)</f>
        <v>56.70158141193334</v>
      </c>
      <c r="AX605" s="636">
        <f>AX606*AX592</f>
        <v>16.8242935</v>
      </c>
      <c r="AY605" s="636">
        <f>AY606*AY592</f>
        <v>17.509783076800002</v>
      </c>
      <c r="AZ605" s="636">
        <f>AZ606*AZ592</f>
        <v>15.7675</v>
      </c>
      <c r="BA605" s="636">
        <f>BA606*BA592</f>
        <v>15.487980499833334</v>
      </c>
      <c r="BB605" s="1216">
        <f>SUM(AX605:BA605)</f>
        <v>65.589557076633326</v>
      </c>
      <c r="BC605" s="636">
        <f>BC606*BC592</f>
        <v>17.833751110000001</v>
      </c>
      <c r="BD605" s="636">
        <f>BD606*BD592</f>
        <v>18.560370061408001</v>
      </c>
      <c r="BE605" s="636">
        <f>BE606*BE592</f>
        <v>16.713550000000001</v>
      </c>
      <c r="BF605" s="636">
        <f>BF606*BF592</f>
        <v>16.417259329823334</v>
      </c>
      <c r="BG605" s="1216">
        <f>SUM(BC605:BF605)</f>
        <v>69.524930501231339</v>
      </c>
      <c r="BH605" s="636">
        <f>BH606*BH592</f>
        <v>18.903776176600005</v>
      </c>
      <c r="BI605" s="636">
        <f>BI606*BI592</f>
        <v>19.673992265092483</v>
      </c>
      <c r="BJ605" s="636">
        <f>BJ606*BJ592</f>
        <v>17.716363000000001</v>
      </c>
      <c r="BK605" s="636">
        <f>BK606*BK592</f>
        <v>17.402294889612737</v>
      </c>
      <c r="BL605" s="1216">
        <f>SUM(BH605:BK605)</f>
        <v>73.696426331305219</v>
      </c>
      <c r="BM605" s="636">
        <f>BM606*BM592</f>
        <v>20.038002747196007</v>
      </c>
      <c r="BN605" s="636">
        <f>BN606*BN592</f>
        <v>20.854431800998032</v>
      </c>
      <c r="BO605" s="636">
        <f>BO606*BO592</f>
        <v>18.779344780000002</v>
      </c>
      <c r="BP605" s="636">
        <f>BP606*BP592</f>
        <v>18.446432582989502</v>
      </c>
      <c r="BQ605" s="1216">
        <f>SUM(BM605:BP605)</f>
        <v>78.11821191118355</v>
      </c>
      <c r="BR605" s="636">
        <f>BR606*BR592</f>
        <v>21.240282912027766</v>
      </c>
      <c r="BS605" s="636">
        <f>BS606*BS592</f>
        <v>22.105697709057914</v>
      </c>
      <c r="BT605" s="636">
        <f>BT606*BT592</f>
        <v>19.906105466800003</v>
      </c>
      <c r="BU605" s="636">
        <f>BU606*BU592</f>
        <v>19.553218537968871</v>
      </c>
      <c r="BV605" s="1216">
        <f>SUM(BR605:BU605)</f>
        <v>82.805304625854561</v>
      </c>
      <c r="BW605" s="636">
        <f>BW606*BW592</f>
        <v>22.514699886749433</v>
      </c>
      <c r="BX605" s="636">
        <f>BX606*BX592</f>
        <v>23.43203957160139</v>
      </c>
      <c r="BY605" s="636">
        <f>BY606*BY592</f>
        <v>21.100471794808005</v>
      </c>
      <c r="BZ605" s="636">
        <f>BZ606*BZ592</f>
        <v>20.726411650247005</v>
      </c>
      <c r="CA605" s="1216">
        <f>SUM(BW605:BZ605)</f>
        <v>87.773622903405823</v>
      </c>
      <c r="CC605" s="14"/>
      <c r="CD605" s="14"/>
      <c r="CE605" s="14"/>
      <c r="CF605" s="14"/>
      <c r="CG605" s="14"/>
      <c r="CH605" s="14"/>
      <c r="CI605" s="14"/>
      <c r="CJ605" s="14"/>
      <c r="CK605" s="14"/>
      <c r="CL605" s="14"/>
      <c r="CM605" s="14"/>
      <c r="CN605" s="14"/>
      <c r="CO605" s="14"/>
      <c r="CP605" s="14"/>
      <c r="CQ605" s="14"/>
      <c r="CR605" s="14"/>
      <c r="CS605" s="14"/>
      <c r="CT605" s="14"/>
      <c r="CU605" s="1961"/>
      <c r="DB605" s="1215"/>
      <c r="DC605" s="1961"/>
      <c r="DD605" s="1961"/>
      <c r="DE605" s="1961"/>
      <c r="DF605" s="1961"/>
      <c r="DG605" s="1961"/>
      <c r="DH605" s="1961"/>
      <c r="DI605" s="1199"/>
    </row>
    <row r="606" spans="1:113" hidden="1" outlineLevel="1" x14ac:dyDescent="0.25">
      <c r="A606" s="1217" t="s">
        <v>355</v>
      </c>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205">
        <f>AM605/AM592</f>
        <v>0.23074647887323943</v>
      </c>
      <c r="AN606" s="14"/>
      <c r="AO606" s="14"/>
      <c r="AP606" s="14"/>
      <c r="AQ606" s="14"/>
      <c r="AR606" s="1205">
        <f>AR605/AR592</f>
        <v>0.18677914364603965</v>
      </c>
      <c r="AS606" s="1205">
        <f>AS605/AS592</f>
        <v>0.13623383353363397</v>
      </c>
      <c r="AT606" s="90">
        <f>CHOOSE($A$3,AT607,AT608,AT609)</f>
        <v>0.13600000000000001</v>
      </c>
      <c r="AU606" s="90">
        <f>CHOOSE($A$3,AU607,AU608,AU609)</f>
        <v>0.187</v>
      </c>
      <c r="AV606" s="90">
        <f>CHOOSE($A$3,AV607,AV608,AV609)</f>
        <v>0.187</v>
      </c>
      <c r="AW606" s="1204">
        <f>AW605/AW592</f>
        <v>0.15165956592649435</v>
      </c>
      <c r="AX606" s="90">
        <f>CHOOSE($A$3,AX607,AX608,AX609)</f>
        <v>0.17499999999999999</v>
      </c>
      <c r="AY606" s="90">
        <f>CHOOSE($A$3,AY607,AY608,AY609)</f>
        <v>0.17499999999999999</v>
      </c>
      <c r="AZ606" s="90">
        <f>CHOOSE($A$3,AZ607,AZ608,AZ609)</f>
        <v>0.17499999999999999</v>
      </c>
      <c r="BA606" s="90">
        <f>CHOOSE($A$3,BA607,BA608,BA609)</f>
        <v>0.17499999999999999</v>
      </c>
      <c r="BB606" s="1218">
        <f>BB605/BB592</f>
        <v>0.17499999999999996</v>
      </c>
      <c r="BC606" s="90">
        <f>CHOOSE($A$3,BC607,BC608,BC609)</f>
        <v>0.17499999999999999</v>
      </c>
      <c r="BD606" s="90">
        <f>CHOOSE($A$3,BD607,BD608,BD609)</f>
        <v>0.17499999999999999</v>
      </c>
      <c r="BE606" s="90">
        <f>CHOOSE($A$3,BE607,BE608,BE609)</f>
        <v>0.17499999999999999</v>
      </c>
      <c r="BF606" s="90">
        <f>CHOOSE($A$3,BF607,BF608,BF609)</f>
        <v>0.17499999999999999</v>
      </c>
      <c r="BG606" s="1218">
        <f>BG605/BG592</f>
        <v>0.17499999999999999</v>
      </c>
      <c r="BH606" s="90">
        <f>CHOOSE($A$3,BH607,BH608,BH609)</f>
        <v>0.17499999999999999</v>
      </c>
      <c r="BI606" s="90">
        <f>CHOOSE($A$3,BI607,BI608,BI609)</f>
        <v>0.17499999999999999</v>
      </c>
      <c r="BJ606" s="90">
        <f>CHOOSE($A$3,BJ607,BJ608,BJ609)</f>
        <v>0.17499999999999999</v>
      </c>
      <c r="BK606" s="90">
        <f>CHOOSE($A$3,BK607,BK608,BK609)</f>
        <v>0.17499999999999999</v>
      </c>
      <c r="BL606" s="1218">
        <f>BL605/BL592</f>
        <v>0.17499999999999999</v>
      </c>
      <c r="BM606" s="90">
        <f>CHOOSE($A$3,BM607,BM608,BM609)</f>
        <v>0.17499999999999999</v>
      </c>
      <c r="BN606" s="90">
        <f>CHOOSE($A$3,BN607,BN608,BN609)</f>
        <v>0.17499999999999999</v>
      </c>
      <c r="BO606" s="90">
        <f>CHOOSE($A$3,BO607,BO608,BO609)</f>
        <v>0.17499999999999999</v>
      </c>
      <c r="BP606" s="90">
        <f>CHOOSE($A$3,BP607,BP608,BP609)</f>
        <v>0.17499999999999999</v>
      </c>
      <c r="BQ606" s="1218">
        <f>BQ605/BQ592</f>
        <v>0.17500000000000002</v>
      </c>
      <c r="BR606" s="90">
        <f>CHOOSE($A$3,BR607,BR608,BR609)</f>
        <v>0.17499999999999999</v>
      </c>
      <c r="BS606" s="90">
        <f>CHOOSE($A$3,BS607,BS608,BS609)</f>
        <v>0.17499999999999999</v>
      </c>
      <c r="BT606" s="90">
        <f>CHOOSE($A$3,BT607,BT608,BT609)</f>
        <v>0.17499999999999999</v>
      </c>
      <c r="BU606" s="90">
        <f>CHOOSE($A$3,BU607,BU608,BU609)</f>
        <v>0.17499999999999999</v>
      </c>
      <c r="BV606" s="1218">
        <f>BV605/BV592</f>
        <v>0.17500000000000002</v>
      </c>
      <c r="BW606" s="90">
        <f>CHOOSE($A$3,BW607,BW608,BW609)</f>
        <v>0.17499999999999999</v>
      </c>
      <c r="BX606" s="90">
        <f>CHOOSE($A$3,BX607,BX608,BX609)</f>
        <v>0.17499999999999999</v>
      </c>
      <c r="BY606" s="90">
        <f>CHOOSE($A$3,BY607,BY608,BY609)</f>
        <v>0.17499999999999999</v>
      </c>
      <c r="BZ606" s="90">
        <f>CHOOSE($A$3,BZ607,BZ608,BZ609)</f>
        <v>0.17499999999999999</v>
      </c>
      <c r="CA606" s="1218">
        <f>CA605/CA592</f>
        <v>0.17499999999999996</v>
      </c>
      <c r="CC606" s="14"/>
      <c r="CD606" s="14"/>
      <c r="CE606" s="14"/>
      <c r="CF606" s="14"/>
      <c r="CG606" s="14"/>
      <c r="CH606" s="14"/>
      <c r="CI606" s="14"/>
      <c r="CJ606" s="14"/>
      <c r="CK606" s="14"/>
      <c r="CL606" s="14"/>
      <c r="CM606" s="14"/>
      <c r="CN606" s="14"/>
      <c r="CO606" s="14"/>
      <c r="CP606" s="14"/>
      <c r="CQ606" s="14"/>
      <c r="CR606" s="14"/>
      <c r="CS606" s="14"/>
      <c r="CT606" s="14"/>
      <c r="CU606" s="1961"/>
      <c r="DB606" s="1219"/>
      <c r="DC606" s="1961"/>
      <c r="DD606" s="1961"/>
      <c r="DE606" s="1961"/>
      <c r="DF606" s="1961"/>
      <c r="DG606" s="1961"/>
      <c r="DH606" s="1961"/>
      <c r="DI606" s="90"/>
    </row>
    <row r="607" spans="1:113" hidden="1" outlineLevel="2" x14ac:dyDescent="0.25">
      <c r="A607" s="939" t="s">
        <v>214</v>
      </c>
      <c r="B607" s="902"/>
      <c r="C607" s="751"/>
      <c r="D607" s="749"/>
      <c r="E607" s="750"/>
      <c r="F607" s="750"/>
      <c r="G607" s="750"/>
      <c r="H607" s="750"/>
      <c r="I607" s="751"/>
      <c r="J607" s="750"/>
      <c r="K607" s="750"/>
      <c r="L607" s="750"/>
      <c r="M607" s="750"/>
      <c r="N607" s="752"/>
      <c r="O607" s="750"/>
      <c r="P607" s="753"/>
      <c r="Q607" s="753"/>
      <c r="R607" s="753"/>
      <c r="S607" s="752"/>
      <c r="T607" s="753"/>
      <c r="U607" s="753"/>
      <c r="V607" s="753"/>
      <c r="W607" s="753"/>
      <c r="X607" s="752"/>
      <c r="Y607" s="753"/>
      <c r="Z607" s="753"/>
      <c r="AA607" s="753"/>
      <c r="AB607" s="753"/>
      <c r="AC607" s="752"/>
      <c r="AD607" s="753"/>
      <c r="AE607" s="753"/>
      <c r="AF607" s="753"/>
      <c r="AG607" s="753"/>
      <c r="AH607" s="752"/>
      <c r="AI607" s="753"/>
      <c r="AJ607" s="753"/>
      <c r="AK607" s="753"/>
      <c r="AL607" s="753"/>
      <c r="AM607" s="752"/>
      <c r="AN607" s="753"/>
      <c r="AO607" s="753"/>
      <c r="AP607" s="753"/>
      <c r="AQ607" s="753"/>
      <c r="AR607" s="752"/>
      <c r="AS607" s="753"/>
      <c r="AT607" s="753">
        <f>AT608+0.015</f>
        <v>0.15100000000000002</v>
      </c>
      <c r="AU607" s="753">
        <f>AU608+0.015</f>
        <v>0.20200000000000001</v>
      </c>
      <c r="AV607" s="756">
        <f>AV608+0.015</f>
        <v>0.20200000000000001</v>
      </c>
      <c r="AW607" s="752"/>
      <c r="AX607" s="753">
        <f>AX608+0.015</f>
        <v>0.19</v>
      </c>
      <c r="AY607" s="753">
        <f>AY608+0.015</f>
        <v>0.19</v>
      </c>
      <c r="AZ607" s="753">
        <f>AZ608+0.015</f>
        <v>0.19</v>
      </c>
      <c r="BA607" s="756">
        <f>BA608+0.015</f>
        <v>0.19</v>
      </c>
      <c r="BB607" s="757"/>
      <c r="BC607" s="753">
        <f>BC608+0.015</f>
        <v>0.19</v>
      </c>
      <c r="BD607" s="753">
        <f>BD608+0.015</f>
        <v>0.19</v>
      </c>
      <c r="BE607" s="753">
        <f>BE608+0.015</f>
        <v>0.19</v>
      </c>
      <c r="BF607" s="756">
        <f>BF608+0.015</f>
        <v>0.19</v>
      </c>
      <c r="BG607" s="757"/>
      <c r="BH607" s="756">
        <f>BH608+0.015</f>
        <v>0.19</v>
      </c>
      <c r="BI607" s="753">
        <f>BI608+0.015</f>
        <v>0.19</v>
      </c>
      <c r="BJ607" s="753">
        <f>BJ608+0.015</f>
        <v>0.19</v>
      </c>
      <c r="BK607" s="756">
        <f>BK608+0.015</f>
        <v>0.19</v>
      </c>
      <c r="BL607" s="757"/>
      <c r="BM607" s="756">
        <f>BM608+0.015</f>
        <v>0.19</v>
      </c>
      <c r="BN607" s="753">
        <f>BN608+0.015</f>
        <v>0.19</v>
      </c>
      <c r="BO607" s="753">
        <f>BO608+0.015</f>
        <v>0.19</v>
      </c>
      <c r="BP607" s="756">
        <f>BP608+0.015</f>
        <v>0.19</v>
      </c>
      <c r="BQ607" s="757"/>
      <c r="BR607" s="756">
        <f>BR608+0.015</f>
        <v>0.19</v>
      </c>
      <c r="BS607" s="753">
        <f>BS608+0.015</f>
        <v>0.19</v>
      </c>
      <c r="BT607" s="753">
        <f>BT608+0.015</f>
        <v>0.19</v>
      </c>
      <c r="BU607" s="756">
        <f>BU608+0.015</f>
        <v>0.19</v>
      </c>
      <c r="BV607" s="757"/>
      <c r="BW607" s="756">
        <f>BW608+0.015</f>
        <v>0.19</v>
      </c>
      <c r="BX607" s="753">
        <f>BX608+0.015</f>
        <v>0.19</v>
      </c>
      <c r="BY607" s="753">
        <f>BY608+0.015</f>
        <v>0.19</v>
      </c>
      <c r="BZ607" s="756">
        <f>BZ608+0.015</f>
        <v>0.19</v>
      </c>
      <c r="CA607" s="757"/>
      <c r="CC607" s="29"/>
      <c r="CD607" s="29"/>
      <c r="CE607" s="753"/>
      <c r="CF607" s="753"/>
      <c r="CG607" s="753"/>
      <c r="CH607" s="753"/>
      <c r="CI607" s="753"/>
      <c r="CJ607" s="753"/>
      <c r="CK607" s="753"/>
      <c r="CL607" s="753"/>
      <c r="CM607" s="753"/>
      <c r="CN607" s="753"/>
      <c r="CO607" s="753"/>
      <c r="CP607" s="14"/>
      <c r="CQ607" s="14"/>
      <c r="CR607" s="14"/>
      <c r="CS607" s="14"/>
      <c r="CT607" s="14"/>
      <c r="CU607" s="1961"/>
      <c r="DB607" s="6"/>
      <c r="DC607" s="1961"/>
      <c r="DD607" s="1961"/>
      <c r="DE607" s="1961"/>
      <c r="DF607" s="1961"/>
      <c r="DG607" s="1961"/>
      <c r="DH607" s="1961"/>
      <c r="DI607" s="716"/>
    </row>
    <row r="608" spans="1:113" hidden="1" outlineLevel="2" x14ac:dyDescent="0.25">
      <c r="A608" s="939" t="s">
        <v>215</v>
      </c>
      <c r="B608" s="902"/>
      <c r="C608" s="751"/>
      <c r="D608" s="749"/>
      <c r="E608" s="750"/>
      <c r="F608" s="750"/>
      <c r="G608" s="750"/>
      <c r="H608" s="750"/>
      <c r="I608" s="751"/>
      <c r="J608" s="750"/>
      <c r="K608" s="750"/>
      <c r="L608" s="750"/>
      <c r="M608" s="750"/>
      <c r="N608" s="752"/>
      <c r="O608" s="750"/>
      <c r="P608" s="753"/>
      <c r="Q608" s="753"/>
      <c r="R608" s="753"/>
      <c r="S608" s="752"/>
      <c r="T608" s="753"/>
      <c r="U608" s="753"/>
      <c r="V608" s="753"/>
      <c r="W608" s="753"/>
      <c r="X608" s="752"/>
      <c r="Y608" s="753"/>
      <c r="Z608" s="753"/>
      <c r="AA608" s="753"/>
      <c r="AB608" s="753"/>
      <c r="AC608" s="752"/>
      <c r="AD608" s="753"/>
      <c r="AE608" s="753"/>
      <c r="AF608" s="753"/>
      <c r="AG608" s="753"/>
      <c r="AH608" s="752"/>
      <c r="AI608" s="753"/>
      <c r="AJ608" s="753"/>
      <c r="AK608" s="753"/>
      <c r="AL608" s="753"/>
      <c r="AM608" s="752"/>
      <c r="AN608" s="753"/>
      <c r="AO608" s="753"/>
      <c r="AP608" s="753"/>
      <c r="AQ608" s="753"/>
      <c r="AR608" s="752"/>
      <c r="AS608" s="753"/>
      <c r="AT608" s="753">
        <v>0.13600000000000001</v>
      </c>
      <c r="AU608" s="753">
        <v>0.187</v>
      </c>
      <c r="AV608" s="753">
        <v>0.187</v>
      </c>
      <c r="AW608" s="752"/>
      <c r="AX608" s="753">
        <v>0.17499999999999999</v>
      </c>
      <c r="AY608" s="753">
        <v>0.17499999999999999</v>
      </c>
      <c r="AZ608" s="753">
        <v>0.17499999999999999</v>
      </c>
      <c r="BA608" s="753">
        <v>0.17499999999999999</v>
      </c>
      <c r="BB608" s="768">
        <f>AVERAGE(AX608:BA608)</f>
        <v>0.17499999999999999</v>
      </c>
      <c r="BC608" s="753">
        <v>0.17499999999999999</v>
      </c>
      <c r="BD608" s="753">
        <v>0.17499999999999999</v>
      </c>
      <c r="BE608" s="753">
        <v>0.17499999999999999</v>
      </c>
      <c r="BF608" s="753">
        <v>0.17499999999999999</v>
      </c>
      <c r="BG608" s="768">
        <f>AVERAGE(BC608:BF608)</f>
        <v>0.17499999999999999</v>
      </c>
      <c r="BH608" s="753">
        <v>0.17499999999999999</v>
      </c>
      <c r="BI608" s="753">
        <v>0.17499999999999999</v>
      </c>
      <c r="BJ608" s="753">
        <v>0.17499999999999999</v>
      </c>
      <c r="BK608" s="753">
        <v>0.17499999999999999</v>
      </c>
      <c r="BL608" s="768">
        <f>AVERAGE(BH608:BK608)</f>
        <v>0.17499999999999999</v>
      </c>
      <c r="BM608" s="753">
        <v>0.17499999999999999</v>
      </c>
      <c r="BN608" s="753">
        <v>0.17499999999999999</v>
      </c>
      <c r="BO608" s="753">
        <v>0.17499999999999999</v>
      </c>
      <c r="BP608" s="753">
        <v>0.17499999999999999</v>
      </c>
      <c r="BQ608" s="768">
        <f>AVERAGE(BM608:BP608)</f>
        <v>0.17499999999999999</v>
      </c>
      <c r="BR608" s="753">
        <v>0.17499999999999999</v>
      </c>
      <c r="BS608" s="753">
        <v>0.17499999999999999</v>
      </c>
      <c r="BT608" s="753">
        <v>0.17499999999999999</v>
      </c>
      <c r="BU608" s="753">
        <v>0.17499999999999999</v>
      </c>
      <c r="BV608" s="768">
        <f>AVERAGE(BR608:BU608)</f>
        <v>0.17499999999999999</v>
      </c>
      <c r="BW608" s="753">
        <v>0.17499999999999999</v>
      </c>
      <c r="BX608" s="753">
        <v>0.17499999999999999</v>
      </c>
      <c r="BY608" s="753">
        <v>0.17499999999999999</v>
      </c>
      <c r="BZ608" s="753">
        <v>0.17499999999999999</v>
      </c>
      <c r="CA608" s="768">
        <f>AVERAGE(BW608:BZ608)</f>
        <v>0.17499999999999999</v>
      </c>
      <c r="CC608" s="29"/>
      <c r="CD608" s="29"/>
      <c r="CE608" s="753"/>
      <c r="CF608" s="753"/>
      <c r="CG608" s="753"/>
      <c r="CH608" s="753"/>
      <c r="CI608" s="753"/>
      <c r="CJ608" s="753"/>
      <c r="CK608" s="753"/>
      <c r="CL608" s="753"/>
      <c r="CM608" s="753"/>
      <c r="CN608" s="753"/>
      <c r="CO608" s="753"/>
      <c r="CP608" s="14"/>
      <c r="CQ608" s="14"/>
      <c r="CR608" s="14"/>
      <c r="CS608" s="14"/>
      <c r="CT608" s="14"/>
      <c r="CU608" s="1961"/>
      <c r="DB608" s="6"/>
      <c r="DC608" s="1961"/>
      <c r="DD608" s="1961"/>
      <c r="DE608" s="1961"/>
      <c r="DF608" s="1961"/>
      <c r="DG608" s="1961"/>
      <c r="DH608" s="1961"/>
      <c r="DI608" s="716"/>
    </row>
    <row r="609" spans="1:113" hidden="1" outlineLevel="2" x14ac:dyDescent="0.25">
      <c r="A609" s="939" t="s">
        <v>216</v>
      </c>
      <c r="B609" s="902"/>
      <c r="C609" s="751"/>
      <c r="D609" s="749"/>
      <c r="E609" s="750"/>
      <c r="F609" s="750"/>
      <c r="G609" s="750"/>
      <c r="H609" s="750"/>
      <c r="I609" s="751"/>
      <c r="J609" s="750"/>
      <c r="K609" s="750"/>
      <c r="L609" s="750"/>
      <c r="M609" s="750"/>
      <c r="N609" s="752"/>
      <c r="O609" s="750"/>
      <c r="P609" s="753"/>
      <c r="Q609" s="753"/>
      <c r="R609" s="753"/>
      <c r="S609" s="752"/>
      <c r="T609" s="753"/>
      <c r="U609" s="753"/>
      <c r="V609" s="753"/>
      <c r="W609" s="753"/>
      <c r="X609" s="752"/>
      <c r="Y609" s="753"/>
      <c r="Z609" s="753"/>
      <c r="AA609" s="753"/>
      <c r="AB609" s="753"/>
      <c r="AC609" s="752"/>
      <c r="AD609" s="753"/>
      <c r="AE609" s="753"/>
      <c r="AF609" s="753"/>
      <c r="AG609" s="753"/>
      <c r="AH609" s="752"/>
      <c r="AI609" s="753"/>
      <c r="AJ609" s="753"/>
      <c r="AK609" s="753"/>
      <c r="AL609" s="753"/>
      <c r="AM609" s="752"/>
      <c r="AN609" s="753"/>
      <c r="AO609" s="753"/>
      <c r="AP609" s="753"/>
      <c r="AQ609" s="753"/>
      <c r="AR609" s="752"/>
      <c r="AS609" s="753"/>
      <c r="AT609" s="753">
        <f>AT608-0.015</f>
        <v>0.12100000000000001</v>
      </c>
      <c r="AU609" s="753">
        <f>AU608-0.015</f>
        <v>0.17199999999999999</v>
      </c>
      <c r="AV609" s="756">
        <f>AV608-0.015</f>
        <v>0.17199999999999999</v>
      </c>
      <c r="AW609" s="752"/>
      <c r="AX609" s="753">
        <f>AX608-0.015</f>
        <v>0.15999999999999998</v>
      </c>
      <c r="AY609" s="753">
        <f>AY608-0.015</f>
        <v>0.15999999999999998</v>
      </c>
      <c r="AZ609" s="753">
        <f>AZ608-0.015</f>
        <v>0.15999999999999998</v>
      </c>
      <c r="BA609" s="756">
        <f>BA608-0.015</f>
        <v>0.15999999999999998</v>
      </c>
      <c r="BB609" s="768"/>
      <c r="BC609" s="753">
        <f>BC608-0.015</f>
        <v>0.15999999999999998</v>
      </c>
      <c r="BD609" s="753">
        <f>BD608-0.015</f>
        <v>0.15999999999999998</v>
      </c>
      <c r="BE609" s="753">
        <f>BE608-0.015</f>
        <v>0.15999999999999998</v>
      </c>
      <c r="BF609" s="756">
        <f>BF608-0.015</f>
        <v>0.15999999999999998</v>
      </c>
      <c r="BG609" s="768"/>
      <c r="BH609" s="756">
        <f>BH608-0.015</f>
        <v>0.15999999999999998</v>
      </c>
      <c r="BI609" s="753">
        <f>BI608-0.015</f>
        <v>0.15999999999999998</v>
      </c>
      <c r="BJ609" s="753">
        <f>BJ608-0.015</f>
        <v>0.15999999999999998</v>
      </c>
      <c r="BK609" s="756">
        <f>BK608-0.015</f>
        <v>0.15999999999999998</v>
      </c>
      <c r="BL609" s="768"/>
      <c r="BM609" s="756">
        <f>BM608-0.015</f>
        <v>0.15999999999999998</v>
      </c>
      <c r="BN609" s="753">
        <f>BN608-0.015</f>
        <v>0.15999999999999998</v>
      </c>
      <c r="BO609" s="753">
        <f>BO608-0.015</f>
        <v>0.15999999999999998</v>
      </c>
      <c r="BP609" s="756">
        <f>BP608-0.015</f>
        <v>0.15999999999999998</v>
      </c>
      <c r="BQ609" s="768"/>
      <c r="BR609" s="756">
        <f>BR608-0.015</f>
        <v>0.15999999999999998</v>
      </c>
      <c r="BS609" s="753">
        <f>BS608-0.015</f>
        <v>0.15999999999999998</v>
      </c>
      <c r="BT609" s="753">
        <f>BT608-0.015</f>
        <v>0.15999999999999998</v>
      </c>
      <c r="BU609" s="756">
        <f>BU608-0.015</f>
        <v>0.15999999999999998</v>
      </c>
      <c r="BV609" s="768"/>
      <c r="BW609" s="756">
        <f>BW608-0.015</f>
        <v>0.15999999999999998</v>
      </c>
      <c r="BX609" s="753">
        <f>BX608-0.015</f>
        <v>0.15999999999999998</v>
      </c>
      <c r="BY609" s="753">
        <f>BY608-0.015</f>
        <v>0.15999999999999998</v>
      </c>
      <c r="BZ609" s="756">
        <f>BZ608-0.015</f>
        <v>0.15999999999999998</v>
      </c>
      <c r="CA609" s="768"/>
      <c r="CC609" s="29"/>
      <c r="CD609" s="29"/>
      <c r="CE609" s="753"/>
      <c r="CF609" s="753"/>
      <c r="CG609" s="753"/>
      <c r="CH609" s="753"/>
      <c r="CI609" s="753"/>
      <c r="CJ609" s="753"/>
      <c r="CK609" s="753"/>
      <c r="CL609" s="753"/>
      <c r="CM609" s="753"/>
      <c r="CN609" s="753"/>
      <c r="CO609" s="753"/>
      <c r="CP609" s="14"/>
      <c r="CQ609" s="14"/>
      <c r="CR609" s="14"/>
      <c r="CS609" s="14"/>
      <c r="CT609" s="14"/>
      <c r="CU609" s="1961"/>
      <c r="DB609" s="6"/>
      <c r="DC609" s="1961"/>
      <c r="DD609" s="1961"/>
      <c r="DE609" s="1961"/>
      <c r="DF609" s="1961"/>
      <c r="DG609" s="1961"/>
      <c r="DH609" s="1961"/>
      <c r="DI609" s="716"/>
    </row>
    <row r="610" spans="1:113" hidden="1" outlineLevel="1" collapsed="1" x14ac:dyDescent="0.25">
      <c r="A610" s="1200"/>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220"/>
      <c r="AN610" s="14"/>
      <c r="AO610" s="14"/>
      <c r="AP610" s="14"/>
      <c r="AQ610" s="14"/>
      <c r="AR610" s="636"/>
      <c r="AS610" s="636"/>
      <c r="AT610" s="636"/>
      <c r="AU610" s="636"/>
      <c r="AV610" s="1203"/>
      <c r="AW610" s="1216"/>
      <c r="AX610" s="636"/>
      <c r="AY610" s="636"/>
      <c r="AZ610" s="636"/>
      <c r="BA610" s="1203"/>
      <c r="BB610" s="1216"/>
      <c r="BC610" s="636"/>
      <c r="BD610" s="636"/>
      <c r="BE610" s="636"/>
      <c r="BF610" s="1203"/>
      <c r="BG610" s="1216"/>
      <c r="BH610" s="1203"/>
      <c r="BI610" s="636"/>
      <c r="BJ610" s="636"/>
      <c r="BK610" s="1203"/>
      <c r="BL610" s="1216"/>
      <c r="BM610" s="1203"/>
      <c r="BN610" s="636"/>
      <c r="BO610" s="636"/>
      <c r="BP610" s="1203"/>
      <c r="BQ610" s="1216"/>
      <c r="BR610" s="1203"/>
      <c r="BS610" s="636"/>
      <c r="BT610" s="636"/>
      <c r="BU610" s="1203"/>
      <c r="BV610" s="1216"/>
      <c r="BW610" s="1203"/>
      <c r="BX610" s="636"/>
      <c r="BY610" s="636"/>
      <c r="BZ610" s="1203"/>
      <c r="CA610" s="1216"/>
      <c r="CC610" s="14"/>
      <c r="CD610" s="14"/>
      <c r="CE610" s="14"/>
      <c r="CF610" s="14"/>
      <c r="CG610" s="14"/>
      <c r="CH610" s="14"/>
      <c r="CI610" s="14"/>
      <c r="CJ610" s="14"/>
      <c r="CK610" s="14"/>
      <c r="CL610" s="14"/>
      <c r="CM610" s="14"/>
      <c r="CN610" s="14"/>
      <c r="CO610" s="14"/>
      <c r="CP610" s="14"/>
      <c r="CQ610" s="14"/>
      <c r="CR610" s="14"/>
      <c r="CS610" s="14"/>
      <c r="CT610" s="14"/>
      <c r="CU610" s="1961"/>
      <c r="DB610" s="1216"/>
      <c r="DC610" s="1961"/>
      <c r="DD610" s="1961"/>
      <c r="DE610" s="1961"/>
      <c r="DF610" s="1961"/>
      <c r="DG610" s="1961"/>
      <c r="DH610" s="1961"/>
      <c r="DI610" s="18"/>
    </row>
    <row r="611" spans="1:113" hidden="1" outlineLevel="1" x14ac:dyDescent="0.25">
      <c r="A611" s="1221" t="s">
        <v>308</v>
      </c>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222">
        <f>AM592-AM599-AM605</f>
        <v>136.03515600000003</v>
      </c>
      <c r="AN611" s="14"/>
      <c r="AO611" s="14"/>
      <c r="AP611" s="14"/>
      <c r="AQ611" s="14"/>
      <c r="AR611" s="1223">
        <f>AR592-AR599-AR605</f>
        <v>164.46899999999999</v>
      </c>
      <c r="AS611" s="1223">
        <f>AS592-AS599-AS605-AS638</f>
        <v>38.084000000000003</v>
      </c>
      <c r="AT611" s="1223">
        <f>AT635-AT638</f>
        <v>37.732977594561731</v>
      </c>
      <c r="AU611" s="1223">
        <f>AU635-AU638</f>
        <v>25.830112772161726</v>
      </c>
      <c r="AV611" s="1223">
        <f>AV635-AV638</f>
        <v>25.222854774495062</v>
      </c>
      <c r="AW611" s="1223">
        <f>SUM(AS611:AV611)</f>
        <v>126.86994514121852</v>
      </c>
      <c r="AX611" s="1223">
        <f>AX635-AX638</f>
        <v>35.032544356008358</v>
      </c>
      <c r="AY611" s="1223">
        <f>AY635-AY638</f>
        <v>36.459911514387244</v>
      </c>
      <c r="AZ611" s="1223">
        <f>AZ635-AZ638</f>
        <v>32.832026089735166</v>
      </c>
      <c r="BA611" s="1223">
        <f>BA635-BA638</f>
        <v>32.249993965298081</v>
      </c>
      <c r="BB611" s="1224">
        <f>SUM(AX611:BA611)</f>
        <v>136.57447592542886</v>
      </c>
      <c r="BC611" s="1223">
        <f>BC635-BC638</f>
        <v>37.134497017368865</v>
      </c>
      <c r="BD611" s="1223">
        <f>BD635-BD638</f>
        <v>38.64750620525048</v>
      </c>
      <c r="BE611" s="1223">
        <f>BE635-BE638</f>
        <v>34.801947655119285</v>
      </c>
      <c r="BF611" s="1223">
        <f>BF635-BF638</f>
        <v>34.184993603215972</v>
      </c>
      <c r="BG611" s="1224">
        <f>SUM(BC611:BF611)</f>
        <v>144.76894448095459</v>
      </c>
      <c r="BH611" s="1223">
        <f>BH635-BH638</f>
        <v>39.362566838410999</v>
      </c>
      <c r="BI611" s="1223">
        <f>BI635-BI638</f>
        <v>40.96635657756552</v>
      </c>
      <c r="BJ611" s="1223">
        <f>BJ635-BJ638</f>
        <v>36.890064514426427</v>
      </c>
      <c r="BK611" s="1223">
        <f>BK635-BK638</f>
        <v>36.236093219408929</v>
      </c>
      <c r="BL611" s="1224">
        <f>SUM(BH611:BK611)</f>
        <v>153.45508114981186</v>
      </c>
      <c r="BM611" s="1223">
        <f>BM635-BM638</f>
        <v>41.724320848715664</v>
      </c>
      <c r="BN611" s="1223">
        <f>BN635-BN638</f>
        <v>43.424337972219433</v>
      </c>
      <c r="BO611" s="1223">
        <f>BO635-BO638</f>
        <v>39.103468385292025</v>
      </c>
      <c r="BP611" s="1223">
        <f>BP635-BP638</f>
        <v>38.410258812573467</v>
      </c>
      <c r="BQ611" s="1224">
        <f>SUM(BM611:BP611)</f>
        <v>162.66238601880059</v>
      </c>
      <c r="BR611" s="1223">
        <f>BR635-BR638</f>
        <v>44.227780099638593</v>
      </c>
      <c r="BS611" s="1223">
        <f>BS635-BS638</f>
        <v>46.029798250552609</v>
      </c>
      <c r="BT611" s="1223">
        <f>BT635-BT638</f>
        <v>41.449676488409544</v>
      </c>
      <c r="BU611" s="1223">
        <f>BU635-BU638</f>
        <v>40.714874341327871</v>
      </c>
      <c r="BV611" s="1224">
        <f>SUM(BR611:BU611)</f>
        <v>172.42212917992862</v>
      </c>
      <c r="BW611" s="1223">
        <f>BW635-BW638</f>
        <v>46.881446905616926</v>
      </c>
      <c r="BX611" s="1223">
        <f>BX635-BX638</f>
        <v>48.791586145585761</v>
      </c>
      <c r="BY611" s="1223">
        <f>BY635-BY638</f>
        <v>43.936657077714131</v>
      </c>
      <c r="BZ611" s="1223">
        <f>BZ635-BZ638</f>
        <v>43.157766801807547</v>
      </c>
      <c r="CA611" s="1224">
        <f>SUM(BW611:BZ611)</f>
        <v>182.76745693072436</v>
      </c>
      <c r="CC611" s="14"/>
      <c r="CD611" s="14"/>
      <c r="CE611" s="14"/>
      <c r="CF611" s="14"/>
      <c r="CG611" s="14"/>
      <c r="CH611" s="14"/>
      <c r="CI611" s="14"/>
      <c r="CJ611" s="14"/>
      <c r="CK611" s="14"/>
      <c r="CL611" s="14"/>
      <c r="CM611" s="14"/>
      <c r="CN611" s="14"/>
      <c r="CO611" s="14"/>
      <c r="CP611" s="14"/>
      <c r="CQ611" s="14"/>
      <c r="CR611" s="14"/>
      <c r="CS611" s="14"/>
      <c r="CT611" s="14"/>
      <c r="CU611" s="1961"/>
      <c r="DB611" s="1225"/>
      <c r="DC611" s="1961"/>
      <c r="DD611" s="1961"/>
      <c r="DE611" s="1961"/>
      <c r="DF611" s="1961"/>
      <c r="DG611" s="1961"/>
      <c r="DH611" s="1961"/>
      <c r="DI611" s="1226"/>
    </row>
    <row r="612" spans="1:113" hidden="1" outlineLevel="1" x14ac:dyDescent="0.25">
      <c r="A612" s="1210" t="s">
        <v>357</v>
      </c>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227">
        <v>0.40743192488262914</v>
      </c>
      <c r="AN612" s="14"/>
      <c r="AO612" s="14"/>
      <c r="AP612" s="14"/>
      <c r="AQ612" s="14"/>
      <c r="AR612" s="1205">
        <f t="shared" ref="AR612:BG612" si="671">AR611/AR592</f>
        <v>0.43961445628553331</v>
      </c>
      <c r="AS612" s="1205">
        <f t="shared" si="671"/>
        <v>0.41990363518087703</v>
      </c>
      <c r="AT612" s="1205">
        <f t="shared" si="671"/>
        <v>0.3997460912617079</v>
      </c>
      <c r="AU612" s="1205">
        <f t="shared" si="671"/>
        <v>0.30388367967249091</v>
      </c>
      <c r="AV612" s="1205">
        <f t="shared" si="671"/>
        <v>0.30209487678004132</v>
      </c>
      <c r="AW612" s="1205">
        <f t="shared" si="671"/>
        <v>0.33933869797123345</v>
      </c>
      <c r="AX612" s="1205">
        <f t="shared" si="671"/>
        <v>0.36439540610138915</v>
      </c>
      <c r="AY612" s="1205">
        <f t="shared" si="671"/>
        <v>0.36439540610138915</v>
      </c>
      <c r="AZ612" s="1205">
        <f t="shared" si="671"/>
        <v>0.36439540610138915</v>
      </c>
      <c r="BA612" s="1205">
        <f t="shared" si="671"/>
        <v>0.36439540610138915</v>
      </c>
      <c r="BB612" s="1228">
        <f t="shared" si="671"/>
        <v>0.36439540610138915</v>
      </c>
      <c r="BC612" s="1205">
        <f t="shared" si="671"/>
        <v>0.36439540610138921</v>
      </c>
      <c r="BD612" s="1205">
        <f t="shared" si="671"/>
        <v>0.36439540610138915</v>
      </c>
      <c r="BE612" s="1205">
        <f t="shared" si="671"/>
        <v>0.36439540610138921</v>
      </c>
      <c r="BF612" s="1205">
        <f t="shared" si="671"/>
        <v>0.36439540610138915</v>
      </c>
      <c r="BG612" s="1228">
        <f t="shared" si="671"/>
        <v>0.36439540610138915</v>
      </c>
      <c r="BH612" s="1205">
        <f t="shared" ref="BH612:CA612" si="672">BH611/BH592</f>
        <v>0.36439540610138915</v>
      </c>
      <c r="BI612" s="1205">
        <f t="shared" si="672"/>
        <v>0.36439540610138921</v>
      </c>
      <c r="BJ612" s="1205">
        <f t="shared" si="672"/>
        <v>0.3643954061013891</v>
      </c>
      <c r="BK612" s="1205">
        <f t="shared" si="672"/>
        <v>0.36439540610138915</v>
      </c>
      <c r="BL612" s="1228">
        <f t="shared" si="672"/>
        <v>0.36439540610138915</v>
      </c>
      <c r="BM612" s="1205">
        <f t="shared" si="672"/>
        <v>0.36439540610138921</v>
      </c>
      <c r="BN612" s="1205">
        <f t="shared" si="672"/>
        <v>0.36439540610138904</v>
      </c>
      <c r="BO612" s="1205">
        <f t="shared" si="672"/>
        <v>0.36439540610138915</v>
      </c>
      <c r="BP612" s="1205">
        <f t="shared" si="672"/>
        <v>0.36439540610138921</v>
      </c>
      <c r="BQ612" s="1228">
        <f t="shared" si="672"/>
        <v>0.36439540610138915</v>
      </c>
      <c r="BR612" s="1205">
        <f t="shared" si="672"/>
        <v>0.3643954061013891</v>
      </c>
      <c r="BS612" s="1205">
        <f t="shared" si="672"/>
        <v>0.3643954061013891</v>
      </c>
      <c r="BT612" s="1205">
        <f t="shared" si="672"/>
        <v>0.36439540610138915</v>
      </c>
      <c r="BU612" s="1205">
        <f t="shared" si="672"/>
        <v>0.3643954061013891</v>
      </c>
      <c r="BV612" s="1228">
        <f t="shared" si="672"/>
        <v>0.36439540610138915</v>
      </c>
      <c r="BW612" s="1205">
        <f t="shared" si="672"/>
        <v>0.36439540610138921</v>
      </c>
      <c r="BX612" s="1205">
        <f t="shared" si="672"/>
        <v>0.36439540610138904</v>
      </c>
      <c r="BY612" s="1205">
        <f t="shared" si="672"/>
        <v>0.36439540610138921</v>
      </c>
      <c r="BZ612" s="1205">
        <f t="shared" si="672"/>
        <v>0.36439540610138915</v>
      </c>
      <c r="CA612" s="1228">
        <f t="shared" si="672"/>
        <v>0.36439540610138915</v>
      </c>
      <c r="CC612" s="14"/>
      <c r="CD612" s="14"/>
      <c r="CE612" s="14"/>
      <c r="CF612" s="14"/>
      <c r="CG612" s="14"/>
      <c r="CH612" s="14"/>
      <c r="CI612" s="14"/>
      <c r="CJ612" s="14"/>
      <c r="CK612" s="14"/>
      <c r="CL612" s="14"/>
      <c r="CM612" s="14"/>
      <c r="CN612" s="14"/>
      <c r="CO612" s="14"/>
      <c r="CP612" s="14"/>
      <c r="CQ612" s="14"/>
      <c r="CR612" s="14"/>
      <c r="CS612" s="14"/>
      <c r="CT612" s="14"/>
      <c r="CU612" s="1961"/>
      <c r="DB612" s="1229"/>
      <c r="DC612" s="1961"/>
      <c r="DD612" s="1961"/>
      <c r="DE612" s="1961"/>
      <c r="DF612" s="1961"/>
      <c r="DG612" s="1961"/>
      <c r="DH612" s="1961"/>
      <c r="DI612" s="1230"/>
    </row>
    <row r="613" spans="1:113" hidden="1" outlineLevel="1" x14ac:dyDescent="0.25">
      <c r="A613" s="1210"/>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227"/>
      <c r="AN613" s="14"/>
      <c r="AO613" s="14"/>
      <c r="AP613" s="14"/>
      <c r="AQ613" s="14"/>
      <c r="AR613" s="14"/>
      <c r="AS613" s="636"/>
      <c r="AT613" s="636"/>
      <c r="AU613" s="636"/>
      <c r="AV613" s="1203"/>
      <c r="AW613" s="1229"/>
      <c r="AX613" s="636"/>
      <c r="AY613" s="636"/>
      <c r="AZ613" s="636"/>
      <c r="BA613" s="1203"/>
      <c r="BB613" s="1231"/>
      <c r="BC613" s="636"/>
      <c r="BD613" s="636"/>
      <c r="BE613" s="636"/>
      <c r="BF613" s="1203"/>
      <c r="BG613" s="1231"/>
      <c r="BH613" s="1203"/>
      <c r="BI613" s="636"/>
      <c r="BJ613" s="636"/>
      <c r="BK613" s="1203"/>
      <c r="BL613" s="1231"/>
      <c r="BM613" s="1203"/>
      <c r="BN613" s="636"/>
      <c r="BO613" s="636"/>
      <c r="BP613" s="1203"/>
      <c r="BQ613" s="1231"/>
      <c r="BR613" s="1203"/>
      <c r="BS613" s="636"/>
      <c r="BT613" s="636"/>
      <c r="BU613" s="1203"/>
      <c r="BV613" s="1231"/>
      <c r="BW613" s="1203"/>
      <c r="BX613" s="636"/>
      <c r="BY613" s="636"/>
      <c r="BZ613" s="1203"/>
      <c r="CA613" s="1231"/>
      <c r="CC613" s="14"/>
      <c r="CD613" s="14"/>
      <c r="CE613" s="14"/>
      <c r="CF613" s="14"/>
      <c r="CG613" s="14"/>
      <c r="CH613" s="14"/>
      <c r="CI613" s="14"/>
      <c r="CJ613" s="14"/>
      <c r="CK613" s="14"/>
      <c r="CL613" s="14"/>
      <c r="CM613" s="14"/>
      <c r="CN613" s="14"/>
      <c r="CO613" s="14"/>
      <c r="CP613" s="14"/>
      <c r="CQ613" s="14"/>
      <c r="CR613" s="14"/>
      <c r="CS613" s="14"/>
      <c r="CT613" s="14"/>
      <c r="CU613" s="1961"/>
      <c r="DB613" s="1229"/>
      <c r="DC613" s="1961"/>
      <c r="DD613" s="1961"/>
      <c r="DE613" s="1961"/>
      <c r="DF613" s="1961"/>
      <c r="DG613" s="1961"/>
      <c r="DH613" s="1961"/>
      <c r="DI613" s="1199"/>
    </row>
    <row r="614" spans="1:113" hidden="1" outlineLevel="1" x14ac:dyDescent="0.25">
      <c r="A614" s="1210" t="s">
        <v>358</v>
      </c>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232"/>
      <c r="AN614" s="14"/>
      <c r="AO614" s="14"/>
      <c r="AP614" s="14"/>
      <c r="AQ614" s="14"/>
      <c r="AR614" s="14"/>
      <c r="AS614" s="636"/>
      <c r="AT614" s="636">
        <f>-(1000*'Debt and Int'!Y68/4+'Debt and Int'!Y97+'Debt and Int'!Y98)</f>
        <v>-15.124169374999999</v>
      </c>
      <c r="AU614" s="636">
        <f>-(1000*'Debt and Int'!Z68/4+'Debt and Int'!Z97+'Debt and Int'!Z98)</f>
        <v>-18.74968625</v>
      </c>
      <c r="AV614" s="636">
        <f>-(1000*'Debt and Int'!AA68/4+'Debt and Int'!AA97+'Debt and Int'!AA98)</f>
        <v>-18.751023750000002</v>
      </c>
      <c r="AW614" s="1233"/>
      <c r="AX614" s="636">
        <f>-(1000*'Debt and Int'!AC68/4+'Debt and Int'!AC97+'Debt and Int'!AC98)</f>
        <v>-19.8781575</v>
      </c>
      <c r="AY614" s="636">
        <f>-(1000*'Debt and Int'!AD68/4+'Debt and Int'!AD97+'Debt and Int'!AD98)</f>
        <v>-19.8818625</v>
      </c>
      <c r="AZ614" s="636">
        <f>-(1000*'Debt and Int'!AE68/4+'Debt and Int'!AE97+'Debt and Int'!AE98)</f>
        <v>-19.885567500000001</v>
      </c>
      <c r="BA614" s="636">
        <f>-(1000*'Debt and Int'!AF68/4+'Debt and Int'!AF97+'Debt and Int'!AF98)</f>
        <v>-19.889749999999999</v>
      </c>
      <c r="BB614" s="1234"/>
      <c r="BC614" s="636">
        <f>-(1000*'Debt and Int'!AL68/4+'Debt and Int'!AL97+'Debt and Int'!AL98)</f>
        <v>-63.342750000000009</v>
      </c>
      <c r="BD614" s="636" t="e">
        <f>-(1000*'Debt and Int'!#REF!/4+'Debt and Int'!#REF!+'Debt and Int'!#REF!)</f>
        <v>#REF!</v>
      </c>
      <c r="BE614" s="636" t="e">
        <f>-(1000*'Debt and Int'!#REF!/4+'Debt and Int'!#REF!+'Debt and Int'!#REF!)</f>
        <v>#REF!</v>
      </c>
      <c r="BF614" s="636" t="e">
        <f>-(1000*'Debt and Int'!#REF!/4+'Debt and Int'!#REF!+'Debt and Int'!#REF!)</f>
        <v>#REF!</v>
      </c>
      <c r="BG614" s="1234"/>
      <c r="BH614" s="636">
        <f>-(1000*'Debt and Int'!BC68/4+'Debt and Int'!BC97+'Debt and Int'!BC98)</f>
        <v>-22.404125000000001</v>
      </c>
      <c r="BI614" s="636">
        <f>-(1000*'Debt and Int'!BD68/4+'Debt and Int'!BD97+'Debt and Int'!BD98)</f>
        <v>-22.404125000000001</v>
      </c>
      <c r="BJ614" s="636">
        <f>-(1000*'Debt and Int'!BE68/4+'Debt and Int'!BE97+'Debt and Int'!BE98)</f>
        <v>-22.404125000000001</v>
      </c>
      <c r="BK614" s="636">
        <f>-(1000*'Debt and Int'!BF68/4+'Debt and Int'!BF97+'Debt and Int'!BF98)</f>
        <v>-63.366500000000002</v>
      </c>
      <c r="BL614" s="1234"/>
      <c r="BM614" s="636">
        <f>-(1000*'Debt and Int'!BH68/4+'Debt and Int'!BH97+'Debt and Int'!BH98)</f>
        <v>0</v>
      </c>
      <c r="BN614" s="636">
        <f>-(1000*'Debt and Int'!BI68/4+'Debt and Int'!BI97+'Debt and Int'!BI98)</f>
        <v>0</v>
      </c>
      <c r="BO614" s="636">
        <f>-(1000*'Debt and Int'!BJ68/4+'Debt and Int'!BJ97+'Debt and Int'!BJ98)</f>
        <v>0</v>
      </c>
      <c r="BP614" s="636">
        <f>-(1000*'Debt and Int'!BK68/4+'Debt and Int'!BK97+'Debt and Int'!BK98)</f>
        <v>0</v>
      </c>
      <c r="BQ614" s="1234"/>
      <c r="BR614" s="636">
        <f>-(1000*'Debt and Int'!BM68/4+'Debt and Int'!BM97+'Debt and Int'!BM98)</f>
        <v>0</v>
      </c>
      <c r="BS614" s="636">
        <f>-(1000*'Debt and Int'!BN68/4+'Debt and Int'!BN97+'Debt and Int'!BN98)</f>
        <v>0</v>
      </c>
      <c r="BT614" s="636">
        <f>-(1000*'Debt and Int'!BO68/4+'Debt and Int'!BO97+'Debt and Int'!BO98)</f>
        <v>0</v>
      </c>
      <c r="BU614" s="636">
        <f>-(1000*'Debt and Int'!BP68/4+'Debt and Int'!BP97+'Debt and Int'!BP98)</f>
        <v>0</v>
      </c>
      <c r="BV614" s="1234"/>
      <c r="BW614" s="636">
        <f>-(1000*'Debt and Int'!BR68/4+'Debt and Int'!BR97+'Debt and Int'!BR98)</f>
        <v>0</v>
      </c>
      <c r="BX614" s="636">
        <f>-(1000*'Debt and Int'!BS68/4+'Debt and Int'!BS97+'Debt and Int'!BS98)</f>
        <v>0</v>
      </c>
      <c r="BY614" s="636">
        <f>-(1000*'Debt and Int'!BT68/4+'Debt and Int'!BT97+'Debt and Int'!BT98)</f>
        <v>0</v>
      </c>
      <c r="BZ614" s="636">
        <f>-(1000*'Debt and Int'!BU68/4+'Debt and Int'!BU97+'Debt and Int'!BU98)</f>
        <v>0</v>
      </c>
      <c r="CA614" s="1234"/>
      <c r="CC614" s="14"/>
      <c r="CD614" s="14"/>
      <c r="CE614" s="14"/>
      <c r="CF614" s="14"/>
      <c r="CG614" s="14"/>
      <c r="CH614" s="14"/>
      <c r="CI614" s="14"/>
      <c r="CJ614" s="14"/>
      <c r="CK614" s="14"/>
      <c r="CL614" s="14"/>
      <c r="CM614" s="14"/>
      <c r="CN614" s="14"/>
      <c r="CO614" s="14"/>
      <c r="CP614" s="14"/>
      <c r="CQ614" s="14"/>
      <c r="CR614" s="14"/>
      <c r="CS614" s="14"/>
      <c r="CT614" s="14"/>
      <c r="CU614" s="1961"/>
      <c r="DB614" s="1235"/>
      <c r="DC614" s="1961"/>
      <c r="DD614" s="1961"/>
      <c r="DE614" s="1961"/>
      <c r="DF614" s="1961"/>
      <c r="DG614" s="1961"/>
      <c r="DH614" s="1961"/>
      <c r="DI614" s="1199"/>
    </row>
    <row r="615" spans="1:113" hidden="1" outlineLevel="1" x14ac:dyDescent="0.25">
      <c r="A615" s="1210" t="s">
        <v>359</v>
      </c>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232"/>
      <c r="AN615" s="14"/>
      <c r="AO615" s="14"/>
      <c r="AP615" s="14"/>
      <c r="AQ615" s="14"/>
      <c r="AR615" s="14"/>
      <c r="AS615" s="636"/>
      <c r="AT615" s="636">
        <f>-0.22*AT614</f>
        <v>3.3273172624999998</v>
      </c>
      <c r="AU615" s="636">
        <f>-0.22*AU614</f>
        <v>4.1249309749999998</v>
      </c>
      <c r="AV615" s="636">
        <f>-0.22*AV614</f>
        <v>4.1252252250000003</v>
      </c>
      <c r="AW615" s="1233"/>
      <c r="AX615" s="636">
        <f>-0.22*AX614</f>
        <v>4.3731946500000003</v>
      </c>
      <c r="AY615" s="636">
        <f>-0.22*AY614</f>
        <v>4.3740097499999999</v>
      </c>
      <c r="AZ615" s="636">
        <f>-0.22*AZ614</f>
        <v>4.3748248500000004</v>
      </c>
      <c r="BA615" s="636">
        <f>-0.22*BA614</f>
        <v>4.3757450000000002</v>
      </c>
      <c r="BB615" s="1234"/>
      <c r="BC615" s="636">
        <f>-0.22*BC614</f>
        <v>13.935405000000003</v>
      </c>
      <c r="BD615" s="636" t="e">
        <f>-0.22*BD614</f>
        <v>#REF!</v>
      </c>
      <c r="BE615" s="636" t="e">
        <f>-0.22*BE614</f>
        <v>#REF!</v>
      </c>
      <c r="BF615" s="636" t="e">
        <f>-0.22*BF614</f>
        <v>#REF!</v>
      </c>
      <c r="BG615" s="1234"/>
      <c r="BH615" s="636">
        <f>-0.22*BH614</f>
        <v>4.9289075000000002</v>
      </c>
      <c r="BI615" s="636">
        <f>-0.22*BI614</f>
        <v>4.9289075000000002</v>
      </c>
      <c r="BJ615" s="636">
        <f>-0.22*BJ614</f>
        <v>4.9289075000000002</v>
      </c>
      <c r="BK615" s="636">
        <f>-0.22*BK614</f>
        <v>13.940630000000001</v>
      </c>
      <c r="BL615" s="1234"/>
      <c r="BM615" s="636">
        <f>-0.22*BM614</f>
        <v>0</v>
      </c>
      <c r="BN615" s="636">
        <f>-0.22*BN614</f>
        <v>0</v>
      </c>
      <c r="BO615" s="636">
        <f>-0.22*BO614</f>
        <v>0</v>
      </c>
      <c r="BP615" s="636">
        <f>-0.22*BP614</f>
        <v>0</v>
      </c>
      <c r="BQ615" s="1234"/>
      <c r="BR615" s="636">
        <f>-0.22*BR614</f>
        <v>0</v>
      </c>
      <c r="BS615" s="636">
        <f>-0.22*BS614</f>
        <v>0</v>
      </c>
      <c r="BT615" s="636">
        <f>-0.22*BT614</f>
        <v>0</v>
      </c>
      <c r="BU615" s="636">
        <f>-0.22*BU614</f>
        <v>0</v>
      </c>
      <c r="BV615" s="1234"/>
      <c r="BW615" s="636">
        <f>-0.22*BW614</f>
        <v>0</v>
      </c>
      <c r="BX615" s="636">
        <f>-0.22*BX614</f>
        <v>0</v>
      </c>
      <c r="BY615" s="636">
        <f>-0.22*BY614</f>
        <v>0</v>
      </c>
      <c r="BZ615" s="636">
        <f>-0.22*BZ614</f>
        <v>0</v>
      </c>
      <c r="CA615" s="1234"/>
      <c r="CC615" s="14"/>
      <c r="CD615" s="14"/>
      <c r="CE615" s="14"/>
      <c r="CF615" s="14"/>
      <c r="CG615" s="14"/>
      <c r="CH615" s="14"/>
      <c r="CI615" s="14"/>
      <c r="CJ615" s="14"/>
      <c r="CK615" s="14"/>
      <c r="CL615" s="14"/>
      <c r="CM615" s="14"/>
      <c r="CN615" s="14"/>
      <c r="CO615" s="14"/>
      <c r="CP615" s="14"/>
      <c r="CQ615" s="14"/>
      <c r="CR615" s="14"/>
      <c r="CS615" s="14"/>
      <c r="CT615" s="14"/>
      <c r="CU615" s="1961"/>
      <c r="DB615" s="1236"/>
      <c r="DC615" s="1961"/>
      <c r="DD615" s="1961"/>
      <c r="DE615" s="1961"/>
      <c r="DF615" s="1961"/>
      <c r="DG615" s="1961"/>
      <c r="DH615" s="1961"/>
      <c r="DI615" s="1199"/>
    </row>
    <row r="616" spans="1:113" hidden="1" outlineLevel="1" x14ac:dyDescent="0.25">
      <c r="A616" s="1200"/>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220"/>
      <c r="AN616" s="14"/>
      <c r="AO616" s="14"/>
      <c r="AP616" s="14"/>
      <c r="AQ616" s="14"/>
      <c r="AR616" s="14"/>
      <c r="AS616" s="636"/>
      <c r="AT616" s="1216" t="s">
        <v>360</v>
      </c>
      <c r="AU616" s="1216" t="s">
        <v>360</v>
      </c>
      <c r="AV616" s="1216" t="s">
        <v>360</v>
      </c>
      <c r="AW616" s="1216"/>
      <c r="AX616" s="1216" t="s">
        <v>360</v>
      </c>
      <c r="AY616" s="1216" t="s">
        <v>360</v>
      </c>
      <c r="AZ616" s="1216" t="s">
        <v>360</v>
      </c>
      <c r="BA616" s="1216" t="s">
        <v>360</v>
      </c>
      <c r="BB616" s="1216"/>
      <c r="BC616" s="1216" t="s">
        <v>360</v>
      </c>
      <c r="BD616" s="1216" t="s">
        <v>360</v>
      </c>
      <c r="BE616" s="1216" t="s">
        <v>360</v>
      </c>
      <c r="BF616" s="1216" t="s">
        <v>360</v>
      </c>
      <c r="BG616" s="1216"/>
      <c r="BH616" s="1216" t="s">
        <v>360</v>
      </c>
      <c r="BI616" s="1216" t="s">
        <v>360</v>
      </c>
      <c r="BJ616" s="1216" t="s">
        <v>360</v>
      </c>
      <c r="BK616" s="1216" t="s">
        <v>360</v>
      </c>
      <c r="BL616" s="1216"/>
      <c r="BM616" s="1216" t="s">
        <v>360</v>
      </c>
      <c r="BN616" s="1216" t="s">
        <v>360</v>
      </c>
      <c r="BO616" s="1216" t="s">
        <v>360</v>
      </c>
      <c r="BP616" s="1216" t="s">
        <v>360</v>
      </c>
      <c r="BQ616" s="1216"/>
      <c r="BR616" s="1216" t="s">
        <v>360</v>
      </c>
      <c r="BS616" s="1216" t="s">
        <v>360</v>
      </c>
      <c r="BT616" s="1216" t="s">
        <v>360</v>
      </c>
      <c r="BU616" s="1216" t="s">
        <v>360</v>
      </c>
      <c r="BV616" s="1216"/>
      <c r="BW616" s="1216" t="s">
        <v>360</v>
      </c>
      <c r="BX616" s="1216" t="s">
        <v>360</v>
      </c>
      <c r="BY616" s="1216" t="s">
        <v>360</v>
      </c>
      <c r="BZ616" s="1216" t="s">
        <v>360</v>
      </c>
      <c r="CA616" s="1216"/>
      <c r="CC616" s="14"/>
      <c r="CD616" s="14"/>
      <c r="CE616" s="14"/>
      <c r="CF616" s="14"/>
      <c r="CG616" s="14"/>
      <c r="CH616" s="14"/>
      <c r="CI616" s="14"/>
      <c r="CJ616" s="14"/>
      <c r="CK616" s="14"/>
      <c r="CL616" s="14"/>
      <c r="CM616" s="14"/>
      <c r="CN616" s="14"/>
      <c r="CO616" s="14"/>
      <c r="CP616" s="14"/>
      <c r="CQ616" s="14"/>
      <c r="CR616" s="14"/>
      <c r="CS616" s="14"/>
      <c r="CT616" s="14"/>
      <c r="CU616" s="1961"/>
      <c r="DB616" s="1216"/>
      <c r="DC616" s="1961"/>
      <c r="DD616" s="1961"/>
      <c r="DE616" s="1961"/>
      <c r="DF616" s="1961"/>
      <c r="DG616" s="1961"/>
      <c r="DH616" s="1961"/>
      <c r="DI616" s="1216"/>
    </row>
    <row r="617" spans="1:113" hidden="1" outlineLevel="1" x14ac:dyDescent="0.25">
      <c r="A617" s="1210" t="s">
        <v>361</v>
      </c>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214">
        <v>0.23772799999999999</v>
      </c>
      <c r="AN617" s="14"/>
      <c r="AO617" s="14"/>
      <c r="AP617" s="14"/>
      <c r="AQ617" s="14"/>
      <c r="AR617" s="14"/>
      <c r="AS617" s="636"/>
      <c r="AT617" s="1203">
        <f>AT614+AT615</f>
        <v>-11.7968521125</v>
      </c>
      <c r="AU617" s="1203">
        <f>AU614+AU615</f>
        <v>-14.624755275</v>
      </c>
      <c r="AV617" s="1203">
        <f>AV614+AV615</f>
        <v>-14.625798525</v>
      </c>
      <c r="AW617" s="1203"/>
      <c r="AX617" s="1203">
        <f>AX614+AX615</f>
        <v>-15.50496285</v>
      </c>
      <c r="AY617" s="1203">
        <f>AY614+AY615</f>
        <v>-15.507852750000001</v>
      </c>
      <c r="AZ617" s="1203">
        <f>AZ614+AZ615</f>
        <v>-15.510742650000001</v>
      </c>
      <c r="BA617" s="1203">
        <f>BA614+BA615</f>
        <v>-15.514004999999999</v>
      </c>
      <c r="BB617" s="1237"/>
      <c r="BC617" s="1203">
        <f>BC614+BC615</f>
        <v>-49.407345000000007</v>
      </c>
      <c r="BD617" s="1203" t="e">
        <f>BD614+BD615</f>
        <v>#REF!</v>
      </c>
      <c r="BE617" s="1203" t="e">
        <f>BE614+BE615</f>
        <v>#REF!</v>
      </c>
      <c r="BF617" s="1203" t="e">
        <f>BF614+BF615</f>
        <v>#REF!</v>
      </c>
      <c r="BG617" s="1237"/>
      <c r="BH617" s="1203">
        <f>BH614+BH615</f>
        <v>-17.475217499999999</v>
      </c>
      <c r="BI617" s="1203">
        <f>BI614+BI615</f>
        <v>-17.475217499999999</v>
      </c>
      <c r="BJ617" s="1203">
        <f>BJ614+BJ615</f>
        <v>-17.475217499999999</v>
      </c>
      <c r="BK617" s="1203">
        <f>BK614+BK615</f>
        <v>-49.425870000000003</v>
      </c>
      <c r="BL617" s="1237"/>
      <c r="BM617" s="1203">
        <f>BM614+BM615</f>
        <v>0</v>
      </c>
      <c r="BN617" s="1203">
        <f>BN614+BN615</f>
        <v>0</v>
      </c>
      <c r="BO617" s="1203">
        <f>BO614+BO615</f>
        <v>0</v>
      </c>
      <c r="BP617" s="1203">
        <f>BP614+BP615</f>
        <v>0</v>
      </c>
      <c r="BQ617" s="1237"/>
      <c r="BR617" s="1203">
        <f>BR614+BR615</f>
        <v>0</v>
      </c>
      <c r="BS617" s="1203">
        <f>BS614+BS615</f>
        <v>0</v>
      </c>
      <c r="BT617" s="1203">
        <f>BT614+BT615</f>
        <v>0</v>
      </c>
      <c r="BU617" s="1203">
        <f>BU614+BU615</f>
        <v>0</v>
      </c>
      <c r="BV617" s="1237"/>
      <c r="BW617" s="1203">
        <f>BW614+BW615</f>
        <v>0</v>
      </c>
      <c r="BX617" s="1203">
        <f>BX614+BX615</f>
        <v>0</v>
      </c>
      <c r="BY617" s="1203">
        <f>BY614+BY615</f>
        <v>0</v>
      </c>
      <c r="BZ617" s="1203">
        <f>BZ614+BZ615</f>
        <v>0</v>
      </c>
      <c r="CA617" s="1237"/>
      <c r="CC617" s="14"/>
      <c r="CD617" s="14"/>
      <c r="CE617" s="14"/>
      <c r="CF617" s="14"/>
      <c r="CG617" s="14"/>
      <c r="CH617" s="14"/>
      <c r="CI617" s="14"/>
      <c r="CJ617" s="14"/>
      <c r="CK617" s="14"/>
      <c r="CL617" s="14"/>
      <c r="CM617" s="14"/>
      <c r="CN617" s="14"/>
      <c r="CO617" s="14"/>
      <c r="CP617" s="14"/>
      <c r="CQ617" s="14"/>
      <c r="CR617" s="14"/>
      <c r="CS617" s="14"/>
      <c r="CT617" s="14"/>
      <c r="CU617" s="1961"/>
      <c r="DB617" s="1233"/>
      <c r="DC617" s="1961"/>
      <c r="DD617" s="1961"/>
      <c r="DE617" s="1961"/>
      <c r="DF617" s="1961"/>
      <c r="DG617" s="1961"/>
      <c r="DH617" s="1961"/>
      <c r="DI617" s="1199"/>
    </row>
    <row r="618" spans="1:113" hidden="1" outlineLevel="1" x14ac:dyDescent="0.25">
      <c r="A618" s="1210"/>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214"/>
      <c r="AN618" s="14"/>
      <c r="AO618" s="14"/>
      <c r="AP618" s="14"/>
      <c r="AQ618" s="14"/>
      <c r="AR618" s="14"/>
      <c r="AS618" s="636"/>
      <c r="AT618" s="636"/>
      <c r="AU618" s="636"/>
      <c r="AV618" s="1203"/>
      <c r="AW618" s="1233"/>
      <c r="AX618" s="636"/>
      <c r="AY618" s="636"/>
      <c r="AZ618" s="636"/>
      <c r="BA618" s="1203"/>
      <c r="BB618" s="1234"/>
      <c r="BC618" s="636"/>
      <c r="BD618" s="636"/>
      <c r="BE618" s="636"/>
      <c r="BF618" s="1203"/>
      <c r="BG618" s="1234"/>
      <c r="BH618" s="1203"/>
      <c r="BI618" s="636"/>
      <c r="BJ618" s="636"/>
      <c r="BK618" s="1203"/>
      <c r="BL618" s="1234"/>
      <c r="BM618" s="1203"/>
      <c r="BN618" s="636"/>
      <c r="BO618" s="636"/>
      <c r="BP618" s="1203"/>
      <c r="BQ618" s="1234"/>
      <c r="BR618" s="1203"/>
      <c r="BS618" s="636"/>
      <c r="BT618" s="636"/>
      <c r="BU618" s="1203"/>
      <c r="BV618" s="1234"/>
      <c r="BW618" s="1203"/>
      <c r="BX618" s="636"/>
      <c r="BY618" s="636"/>
      <c r="BZ618" s="1203"/>
      <c r="CA618" s="1234"/>
      <c r="CC618" s="14"/>
      <c r="CD618" s="14"/>
      <c r="CE618" s="14"/>
      <c r="CF618" s="14"/>
      <c r="CG618" s="14"/>
      <c r="CH618" s="14"/>
      <c r="CI618" s="14"/>
      <c r="CJ618" s="14"/>
      <c r="CK618" s="14"/>
      <c r="CL618" s="14"/>
      <c r="CM618" s="14"/>
      <c r="CN618" s="14"/>
      <c r="CO618" s="14"/>
      <c r="CP618" s="14"/>
      <c r="CQ618" s="14"/>
      <c r="CR618" s="14"/>
      <c r="CS618" s="14"/>
      <c r="CT618" s="14"/>
      <c r="CU618" s="1961"/>
      <c r="DB618" s="1233"/>
      <c r="DC618" s="1961"/>
      <c r="DD618" s="1961"/>
      <c r="DE618" s="1961"/>
      <c r="DF618" s="1961"/>
      <c r="DG618" s="1961"/>
      <c r="DH618" s="1961"/>
      <c r="DI618" s="1199"/>
    </row>
    <row r="619" spans="1:113" hidden="1" outlineLevel="1" x14ac:dyDescent="0.25">
      <c r="A619" s="1210" t="s">
        <v>362</v>
      </c>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214"/>
      <c r="AN619" s="14"/>
      <c r="AO619" s="14"/>
      <c r="AP619" s="14"/>
      <c r="AQ619" s="14"/>
      <c r="AR619" s="14"/>
      <c r="AS619" s="636"/>
      <c r="AT619" s="636">
        <f>AT611+AT617</f>
        <v>25.936125482061733</v>
      </c>
      <c r="AU619" s="636">
        <f>AU611+AU617</f>
        <v>11.205357497161726</v>
      </c>
      <c r="AV619" s="636">
        <f>AV611+AV617</f>
        <v>10.597056249495061</v>
      </c>
      <c r="AW619" s="636"/>
      <c r="AX619" s="636">
        <f>AX611+AX617</f>
        <v>19.52758150600836</v>
      </c>
      <c r="AY619" s="636">
        <f>AY611+AY617</f>
        <v>20.952058764387242</v>
      </c>
      <c r="AZ619" s="636">
        <f>AZ611+AZ617</f>
        <v>17.321283439735165</v>
      </c>
      <c r="BA619" s="636">
        <f>BA611+BA617</f>
        <v>16.735988965298084</v>
      </c>
      <c r="BB619" s="1238"/>
      <c r="BC619" s="636">
        <f>BC611+BC617</f>
        <v>-12.272847982631141</v>
      </c>
      <c r="BD619" s="636" t="e">
        <f>BD611+BD617</f>
        <v>#REF!</v>
      </c>
      <c r="BE619" s="636" t="e">
        <f>BE611+BE617</f>
        <v>#REF!</v>
      </c>
      <c r="BF619" s="636" t="e">
        <f>BF611+BF617</f>
        <v>#REF!</v>
      </c>
      <c r="BG619" s="1238"/>
      <c r="BH619" s="636">
        <f>BH611+BH617</f>
        <v>21.887349338410999</v>
      </c>
      <c r="BI619" s="636">
        <f>BI611+BI617</f>
        <v>23.491139077565521</v>
      </c>
      <c r="BJ619" s="636">
        <f>BJ611+BJ617</f>
        <v>19.414847014426428</v>
      </c>
      <c r="BK619" s="636">
        <f>BK611+BK617</f>
        <v>-13.189776780591075</v>
      </c>
      <c r="BL619" s="1238"/>
      <c r="BM619" s="636">
        <f>BM611+BM617</f>
        <v>41.724320848715664</v>
      </c>
      <c r="BN619" s="636">
        <f>BN611+BN617</f>
        <v>43.424337972219433</v>
      </c>
      <c r="BO619" s="636">
        <f>BO611+BO617</f>
        <v>39.103468385292025</v>
      </c>
      <c r="BP619" s="636">
        <f>BP611+BP617</f>
        <v>38.410258812573467</v>
      </c>
      <c r="BQ619" s="1238"/>
      <c r="BR619" s="636">
        <f>BR611+BR617</f>
        <v>44.227780099638593</v>
      </c>
      <c r="BS619" s="636">
        <f>BS611+BS617</f>
        <v>46.029798250552609</v>
      </c>
      <c r="BT619" s="636">
        <f>BT611+BT617</f>
        <v>41.449676488409544</v>
      </c>
      <c r="BU619" s="636">
        <f>BU611+BU617</f>
        <v>40.714874341327871</v>
      </c>
      <c r="BV619" s="1238"/>
      <c r="BW619" s="636">
        <f>BW611+BW617</f>
        <v>46.881446905616926</v>
      </c>
      <c r="BX619" s="636">
        <f>BX611+BX617</f>
        <v>48.791586145585761</v>
      </c>
      <c r="BY619" s="636">
        <f>BY611+BY617</f>
        <v>43.936657077714131</v>
      </c>
      <c r="BZ619" s="636">
        <f>BZ611+BZ617</f>
        <v>43.157766801807547</v>
      </c>
      <c r="CA619" s="1238"/>
      <c r="CC619" s="14"/>
      <c r="CD619" s="14"/>
      <c r="CE619" s="14"/>
      <c r="CF619" s="14"/>
      <c r="CG619" s="14"/>
      <c r="CH619" s="14"/>
      <c r="CI619" s="14"/>
      <c r="CJ619" s="14"/>
      <c r="CK619" s="14"/>
      <c r="CL619" s="14"/>
      <c r="CM619" s="14"/>
      <c r="CN619" s="14"/>
      <c r="CO619" s="14"/>
      <c r="CP619" s="14"/>
      <c r="CQ619" s="14"/>
      <c r="CR619" s="14"/>
      <c r="CS619" s="14"/>
      <c r="CT619" s="14"/>
      <c r="CU619" s="1961"/>
      <c r="DB619" s="1233"/>
      <c r="DC619" s="1961"/>
      <c r="DD619" s="1961"/>
      <c r="DE619" s="1961"/>
      <c r="DF619" s="1961"/>
      <c r="DG619" s="1961"/>
      <c r="DH619" s="1961"/>
      <c r="DI619" s="1199"/>
    </row>
    <row r="620" spans="1:113" hidden="1" outlineLevel="1" x14ac:dyDescent="0.25">
      <c r="A620" s="1210"/>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214"/>
      <c r="AN620" s="14"/>
      <c r="AO620" s="14"/>
      <c r="AP620" s="14"/>
      <c r="AQ620" s="14"/>
      <c r="AR620" s="14"/>
      <c r="AS620" s="636"/>
      <c r="AT620" s="636"/>
      <c r="AU620" s="636"/>
      <c r="AV620" s="1203"/>
      <c r="AW620" s="1233"/>
      <c r="AX620" s="636"/>
      <c r="AY620" s="636"/>
      <c r="AZ620" s="636"/>
      <c r="BA620" s="1203"/>
      <c r="BB620" s="1234"/>
      <c r="BC620" s="636"/>
      <c r="BD620" s="636"/>
      <c r="BE620" s="636"/>
      <c r="BF620" s="1203"/>
      <c r="BG620" s="1234"/>
      <c r="BH620" s="1203"/>
      <c r="BI620" s="636"/>
      <c r="BJ620" s="636"/>
      <c r="BK620" s="1203"/>
      <c r="BL620" s="1234"/>
      <c r="BM620" s="1203"/>
      <c r="BN620" s="636"/>
      <c r="BO620" s="636"/>
      <c r="BP620" s="1203"/>
      <c r="BQ620" s="1234"/>
      <c r="BR620" s="1203"/>
      <c r="BS620" s="636"/>
      <c r="BT620" s="636"/>
      <c r="BU620" s="1203"/>
      <c r="BV620" s="1234"/>
      <c r="BW620" s="1203"/>
      <c r="BX620" s="636"/>
      <c r="BY620" s="636"/>
      <c r="BZ620" s="1203"/>
      <c r="CA620" s="1234"/>
      <c r="CC620" s="14"/>
      <c r="CD620" s="14"/>
      <c r="CE620" s="14"/>
      <c r="CF620" s="14"/>
      <c r="CG620" s="14"/>
      <c r="CH620" s="14"/>
      <c r="CI620" s="14"/>
      <c r="CJ620" s="14"/>
      <c r="CK620" s="14"/>
      <c r="CL620" s="14"/>
      <c r="CM620" s="14"/>
      <c r="CN620" s="14"/>
      <c r="CO620" s="14"/>
      <c r="CP620" s="14"/>
      <c r="CQ620" s="14"/>
      <c r="CR620" s="14"/>
      <c r="CS620" s="14"/>
      <c r="CT620" s="14"/>
      <c r="CU620" s="1961"/>
      <c r="DB620" s="1233"/>
      <c r="DC620" s="1961"/>
      <c r="DD620" s="1961"/>
      <c r="DE620" s="1961"/>
      <c r="DF620" s="1961"/>
      <c r="DG620" s="1961"/>
      <c r="DH620" s="1961"/>
      <c r="DI620" s="1199"/>
    </row>
    <row r="621" spans="1:113" hidden="1" outlineLevel="1" x14ac:dyDescent="0.25">
      <c r="A621" s="1210" t="s">
        <v>363</v>
      </c>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214">
        <v>10.220739999999999</v>
      </c>
      <c r="AN621" s="14"/>
      <c r="AO621" s="14"/>
      <c r="AP621" s="14"/>
      <c r="AQ621" s="14"/>
      <c r="AR621" s="14"/>
      <c r="AS621" s="636"/>
      <c r="AT621" s="636">
        <f>-AT619*AT622</f>
        <v>-5.7059476060535816</v>
      </c>
      <c r="AU621" s="636">
        <f>-AU619*AU622</f>
        <v>-2.4651786493755798</v>
      </c>
      <c r="AV621" s="636">
        <f>-AV619*AV622</f>
        <v>-2.3313523748889136</v>
      </c>
      <c r="AW621" s="1239"/>
      <c r="AX621" s="636">
        <f>-AX619*AX622</f>
        <v>-4.2960679313218391</v>
      </c>
      <c r="AY621" s="636">
        <f>-AY619*AY622</f>
        <v>-4.6094529281651937</v>
      </c>
      <c r="AZ621" s="636">
        <f>-AZ619*AZ622</f>
        <v>-3.8106823567417365</v>
      </c>
      <c r="BA621" s="636">
        <f>-BA619*BA622</f>
        <v>-3.6819175723655784</v>
      </c>
      <c r="BB621" s="1216"/>
      <c r="BC621" s="636">
        <f>-BC619*BC622</f>
        <v>2.7000265561788512</v>
      </c>
      <c r="BD621" s="636" t="e">
        <f>-BD619*BD622</f>
        <v>#REF!</v>
      </c>
      <c r="BE621" s="636" t="e">
        <f>-BE619*BE622</f>
        <v>#REF!</v>
      </c>
      <c r="BF621" s="636" t="e">
        <f>-BF619*BF622</f>
        <v>#REF!</v>
      </c>
      <c r="BG621" s="1216"/>
      <c r="BH621" s="636">
        <f>-BH619*BH622</f>
        <v>-4.8152168544504201</v>
      </c>
      <c r="BI621" s="636">
        <f>-BI619*BI622</f>
        <v>-5.1680505970644148</v>
      </c>
      <c r="BJ621" s="636">
        <f>-BJ619*BJ622</f>
        <v>-4.2712663431738145</v>
      </c>
      <c r="BK621" s="636">
        <f>-BK619*BK622</f>
        <v>2.9017508917300363</v>
      </c>
      <c r="BL621" s="1216"/>
      <c r="BM621" s="636">
        <f>-BM619*BM622</f>
        <v>-9.1793505867174456</v>
      </c>
      <c r="BN621" s="636">
        <f>-BN619*BN622</f>
        <v>-9.5533543538882757</v>
      </c>
      <c r="BO621" s="636">
        <f>-BO619*BO622</f>
        <v>-8.6027630447642451</v>
      </c>
      <c r="BP621" s="636">
        <f>-BP619*BP622</f>
        <v>-8.450256938766163</v>
      </c>
      <c r="BQ621" s="1216"/>
      <c r="BR621" s="636">
        <f>-BR619*BR622</f>
        <v>-9.7301116219204911</v>
      </c>
      <c r="BS621" s="636">
        <f>-BS619*BS622</f>
        <v>-10.126555615121575</v>
      </c>
      <c r="BT621" s="636">
        <f>-BT619*BT622</f>
        <v>-9.1189288274500999</v>
      </c>
      <c r="BU621" s="636">
        <f>-BU619*BU622</f>
        <v>-8.9572723550921314</v>
      </c>
      <c r="BV621" s="1216"/>
      <c r="BW621" s="636">
        <f>-BW619*BW622</f>
        <v>-10.313918319235723</v>
      </c>
      <c r="BX621" s="636">
        <f>-BX619*BX622</f>
        <v>-10.734148952028868</v>
      </c>
      <c r="BY621" s="636">
        <f>-BY619*BY622</f>
        <v>-9.6660645570971084</v>
      </c>
      <c r="BZ621" s="636">
        <f>-BZ619*BZ622</f>
        <v>-9.4947086963976606</v>
      </c>
      <c r="CA621" s="1216"/>
      <c r="CC621" s="14"/>
      <c r="CD621" s="14"/>
      <c r="CE621" s="14"/>
      <c r="CF621" s="14"/>
      <c r="CG621" s="14"/>
      <c r="CH621" s="14"/>
      <c r="CI621" s="14"/>
      <c r="CJ621" s="14"/>
      <c r="CK621" s="14"/>
      <c r="CL621" s="14"/>
      <c r="CM621" s="14"/>
      <c r="CN621" s="14"/>
      <c r="CO621" s="14"/>
      <c r="CP621" s="14"/>
      <c r="CQ621" s="14"/>
      <c r="CR621" s="14"/>
      <c r="CS621" s="14"/>
      <c r="CT621" s="14"/>
      <c r="CU621" s="1961"/>
      <c r="DB621" s="1239"/>
      <c r="DC621" s="1961"/>
      <c r="DD621" s="1961"/>
      <c r="DE621" s="1961"/>
      <c r="DF621" s="1961"/>
      <c r="DG621" s="1961"/>
      <c r="DH621" s="1961"/>
      <c r="DI621" s="1199"/>
    </row>
    <row r="622" spans="1:113" hidden="1" outlineLevel="1" x14ac:dyDescent="0.25">
      <c r="A622" s="1210" t="s">
        <v>364</v>
      </c>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201">
        <v>7.5302766670891794E-2</v>
      </c>
      <c r="AN622" s="14"/>
      <c r="AO622" s="14"/>
      <c r="AP622" s="14"/>
      <c r="AQ622" s="14"/>
      <c r="AR622" s="14"/>
      <c r="AS622" s="1205"/>
      <c r="AT622" s="1206">
        <v>0.22</v>
      </c>
      <c r="AU622" s="1206">
        <v>0.22</v>
      </c>
      <c r="AV622" s="1206">
        <v>0.22</v>
      </c>
      <c r="AW622" s="1204"/>
      <c r="AX622" s="1206">
        <v>0.22</v>
      </c>
      <c r="AY622" s="1206">
        <v>0.22</v>
      </c>
      <c r="AZ622" s="1206">
        <v>0.22</v>
      </c>
      <c r="BA622" s="1206">
        <v>0.22</v>
      </c>
      <c r="BB622" s="1218"/>
      <c r="BC622" s="1206">
        <v>0.22</v>
      </c>
      <c r="BD622" s="1206">
        <v>0.22</v>
      </c>
      <c r="BE622" s="1206">
        <v>0.22</v>
      </c>
      <c r="BF622" s="1206">
        <v>0.22</v>
      </c>
      <c r="BG622" s="1218"/>
      <c r="BH622" s="1206">
        <v>0.22</v>
      </c>
      <c r="BI622" s="1206">
        <v>0.22</v>
      </c>
      <c r="BJ622" s="1206">
        <v>0.22</v>
      </c>
      <c r="BK622" s="1206">
        <v>0.22</v>
      </c>
      <c r="BL622" s="1218"/>
      <c r="BM622" s="1206">
        <v>0.22</v>
      </c>
      <c r="BN622" s="1206">
        <v>0.22</v>
      </c>
      <c r="BO622" s="1206">
        <v>0.22</v>
      </c>
      <c r="BP622" s="1206">
        <v>0.22</v>
      </c>
      <c r="BQ622" s="1218"/>
      <c r="BR622" s="1206">
        <v>0.22</v>
      </c>
      <c r="BS622" s="1206">
        <v>0.22</v>
      </c>
      <c r="BT622" s="1206">
        <v>0.22</v>
      </c>
      <c r="BU622" s="1206">
        <v>0.22</v>
      </c>
      <c r="BV622" s="1218"/>
      <c r="BW622" s="1206">
        <v>0.22</v>
      </c>
      <c r="BX622" s="1206">
        <v>0.22</v>
      </c>
      <c r="BY622" s="1206">
        <v>0.22</v>
      </c>
      <c r="BZ622" s="1206">
        <v>0.22</v>
      </c>
      <c r="CA622" s="1218"/>
      <c r="CC622" s="14"/>
      <c r="CD622" s="14"/>
      <c r="CE622" s="14"/>
      <c r="CF622" s="14"/>
      <c r="CG622" s="14"/>
      <c r="CH622" s="14"/>
      <c r="CI622" s="14"/>
      <c r="CJ622" s="14"/>
      <c r="CK622" s="14"/>
      <c r="CL622" s="14"/>
      <c r="CM622" s="14"/>
      <c r="CN622" s="14"/>
      <c r="CO622" s="14"/>
      <c r="CP622" s="14"/>
      <c r="CQ622" s="14"/>
      <c r="CR622" s="14"/>
      <c r="CS622" s="14"/>
      <c r="CT622" s="14"/>
      <c r="CU622" s="1961"/>
      <c r="DB622" s="1206"/>
      <c r="DC622" s="1961"/>
      <c r="DD622" s="1961"/>
      <c r="DE622" s="1961"/>
      <c r="DF622" s="1961"/>
      <c r="DG622" s="1961"/>
      <c r="DH622" s="1961"/>
      <c r="DI622" s="1206"/>
    </row>
    <row r="623" spans="1:113" hidden="1" outlineLevel="1" x14ac:dyDescent="0.25">
      <c r="A623" s="1210"/>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227"/>
      <c r="AN623" s="14"/>
      <c r="AO623" s="14"/>
      <c r="AP623" s="14"/>
      <c r="AQ623" s="14"/>
      <c r="AR623" s="14"/>
      <c r="AS623" s="636"/>
      <c r="AT623" s="636"/>
      <c r="AU623" s="636"/>
      <c r="AV623" s="1203"/>
      <c r="AW623" s="1229"/>
      <c r="AX623" s="636"/>
      <c r="AY623" s="636"/>
      <c r="AZ623" s="636"/>
      <c r="BA623" s="1203"/>
      <c r="BB623" s="1231"/>
      <c r="BC623" s="636"/>
      <c r="BD623" s="636"/>
      <c r="BE623" s="636"/>
      <c r="BF623" s="1203"/>
      <c r="BG623" s="1231"/>
      <c r="BH623" s="1203"/>
      <c r="BI623" s="636"/>
      <c r="BJ623" s="636"/>
      <c r="BK623" s="1203"/>
      <c r="BL623" s="1231"/>
      <c r="BM623" s="1203"/>
      <c r="BN623" s="636"/>
      <c r="BO623" s="636"/>
      <c r="BP623" s="1203"/>
      <c r="BQ623" s="1231"/>
      <c r="BR623" s="1203"/>
      <c r="BS623" s="636"/>
      <c r="BT623" s="636"/>
      <c r="BU623" s="1203"/>
      <c r="BV623" s="1231"/>
      <c r="BW623" s="1203"/>
      <c r="BX623" s="636"/>
      <c r="BY623" s="636"/>
      <c r="BZ623" s="1203"/>
      <c r="CA623" s="1231"/>
      <c r="CC623" s="14"/>
      <c r="CD623" s="14"/>
      <c r="CE623" s="14"/>
      <c r="CF623" s="14"/>
      <c r="CG623" s="14"/>
      <c r="CH623" s="14"/>
      <c r="CI623" s="14"/>
      <c r="CJ623" s="14"/>
      <c r="CK623" s="14"/>
      <c r="CL623" s="14"/>
      <c r="CM623" s="14"/>
      <c r="CN623" s="14"/>
      <c r="CO623" s="14"/>
      <c r="CP623" s="14"/>
      <c r="CQ623" s="14"/>
      <c r="CR623" s="14"/>
      <c r="CS623" s="14"/>
      <c r="CT623" s="14"/>
      <c r="CU623" s="1961"/>
      <c r="DB623" s="1229"/>
      <c r="DC623" s="1961"/>
      <c r="DD623" s="1961"/>
      <c r="DE623" s="1961"/>
      <c r="DF623" s="1961"/>
      <c r="DG623" s="1961"/>
      <c r="DH623" s="1961"/>
      <c r="DI623" s="18"/>
    </row>
    <row r="624" spans="1:113" hidden="1" outlineLevel="1" x14ac:dyDescent="0.25">
      <c r="A624" s="1200"/>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220"/>
      <c r="AN624" s="14"/>
      <c r="AO624" s="14"/>
      <c r="AP624" s="14"/>
      <c r="AQ624" s="14"/>
      <c r="AR624" s="14"/>
      <c r="AS624" s="636"/>
      <c r="AT624" s="636"/>
      <c r="AU624" s="636"/>
      <c r="AV624" s="1203"/>
      <c r="AW624" s="1215"/>
      <c r="AX624" s="636"/>
      <c r="AY624" s="636"/>
      <c r="AZ624" s="636"/>
      <c r="BA624" s="1203"/>
      <c r="BB624" s="1216"/>
      <c r="BC624" s="636"/>
      <c r="BD624" s="636"/>
      <c r="BE624" s="636"/>
      <c r="BF624" s="1203"/>
      <c r="BG624" s="1216"/>
      <c r="BH624" s="1203"/>
      <c r="BI624" s="636"/>
      <c r="BJ624" s="636"/>
      <c r="BK624" s="1203"/>
      <c r="BL624" s="1216"/>
      <c r="BM624" s="1203"/>
      <c r="BN624" s="636"/>
      <c r="BO624" s="636"/>
      <c r="BP624" s="1203"/>
      <c r="BQ624" s="1216"/>
      <c r="BR624" s="1203"/>
      <c r="BS624" s="636"/>
      <c r="BT624" s="636"/>
      <c r="BU624" s="1203"/>
      <c r="BV624" s="1216"/>
      <c r="BW624" s="1203"/>
      <c r="BX624" s="636"/>
      <c r="BY624" s="636"/>
      <c r="BZ624" s="1203"/>
      <c r="CA624" s="1216"/>
      <c r="CC624" s="14"/>
      <c r="CD624" s="14"/>
      <c r="CE624" s="14"/>
      <c r="CF624" s="14"/>
      <c r="CG624" s="14"/>
      <c r="CH624" s="14"/>
      <c r="CI624" s="14"/>
      <c r="CJ624" s="14"/>
      <c r="CK624" s="14"/>
      <c r="CL624" s="14"/>
      <c r="CM624" s="14"/>
      <c r="CN624" s="14"/>
      <c r="CO624" s="14"/>
      <c r="CP624" s="14"/>
      <c r="CQ624" s="14"/>
      <c r="CR624" s="14"/>
      <c r="CS624" s="14"/>
      <c r="CT624" s="14"/>
      <c r="CU624" s="1961"/>
      <c r="DB624" s="1215"/>
      <c r="DC624" s="1961"/>
      <c r="DD624" s="1961"/>
      <c r="DE624" s="1961"/>
      <c r="DF624" s="1961"/>
      <c r="DG624" s="1961"/>
      <c r="DH624" s="1961"/>
      <c r="DI624" s="18"/>
    </row>
    <row r="625" spans="1:113" hidden="1" outlineLevel="1" x14ac:dyDescent="0.25">
      <c r="A625" s="1200"/>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220"/>
      <c r="AN625" s="14"/>
      <c r="AO625" s="14"/>
      <c r="AP625" s="14"/>
      <c r="AQ625" s="14"/>
      <c r="AR625" s="14"/>
      <c r="AS625" s="636"/>
      <c r="AT625" s="636"/>
      <c r="AU625" s="636"/>
      <c r="AV625" s="1203"/>
      <c r="AW625" s="1216"/>
      <c r="AX625" s="636"/>
      <c r="AY625" s="636"/>
      <c r="AZ625" s="636"/>
      <c r="BA625" s="1203"/>
      <c r="BB625" s="1216"/>
      <c r="BC625" s="636"/>
      <c r="BD625" s="636"/>
      <c r="BE625" s="636"/>
      <c r="BF625" s="1203"/>
      <c r="BG625" s="1216"/>
      <c r="BH625" s="1203"/>
      <c r="BI625" s="636"/>
      <c r="BJ625" s="636"/>
      <c r="BK625" s="1203"/>
      <c r="BL625" s="1216"/>
      <c r="BM625" s="1203"/>
      <c r="BN625" s="636"/>
      <c r="BO625" s="636"/>
      <c r="BP625" s="1203"/>
      <c r="BQ625" s="1216"/>
      <c r="BR625" s="1203"/>
      <c r="BS625" s="636"/>
      <c r="BT625" s="636"/>
      <c r="BU625" s="1203"/>
      <c r="BV625" s="1216"/>
      <c r="BW625" s="1203"/>
      <c r="BX625" s="636"/>
      <c r="BY625" s="636"/>
      <c r="BZ625" s="1203"/>
      <c r="CA625" s="1216"/>
      <c r="CC625" s="14"/>
      <c r="CD625" s="14"/>
      <c r="CE625" s="14"/>
      <c r="CF625" s="14"/>
      <c r="CG625" s="14"/>
      <c r="CH625" s="14"/>
      <c r="CI625" s="14"/>
      <c r="CJ625" s="14"/>
      <c r="CK625" s="14"/>
      <c r="CL625" s="14"/>
      <c r="CM625" s="14"/>
      <c r="CN625" s="14"/>
      <c r="CO625" s="14"/>
      <c r="CP625" s="14"/>
      <c r="CQ625" s="14"/>
      <c r="CR625" s="14"/>
      <c r="CS625" s="14"/>
      <c r="CT625" s="14"/>
      <c r="CU625" s="1961"/>
      <c r="DB625" s="1216"/>
      <c r="DC625" s="1961"/>
      <c r="DD625" s="1961"/>
      <c r="DE625" s="1961"/>
      <c r="DF625" s="1961"/>
      <c r="DG625" s="1961"/>
      <c r="DH625" s="1961"/>
      <c r="DI625" s="18"/>
    </row>
    <row r="626" spans="1:113" hidden="1" outlineLevel="1" x14ac:dyDescent="0.25">
      <c r="A626" s="1221" t="s">
        <v>365</v>
      </c>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195">
        <v>125.74560000000004</v>
      </c>
      <c r="AN626" s="14"/>
      <c r="AO626" s="14"/>
      <c r="AP626" s="14"/>
      <c r="AQ626" s="14"/>
      <c r="AR626" s="14"/>
      <c r="AS626" s="636"/>
      <c r="AT626" s="1240">
        <f>AT619+AT621</f>
        <v>20.230177876008153</v>
      </c>
      <c r="AU626" s="1240">
        <f>AU619+AU621</f>
        <v>8.7401788477861473</v>
      </c>
      <c r="AV626" s="1240">
        <f>AV619+AV621</f>
        <v>8.2657038746061477</v>
      </c>
      <c r="AW626" s="1241"/>
      <c r="AX626" s="1240">
        <f>AX619+AX621</f>
        <v>15.23151357468652</v>
      </c>
      <c r="AY626" s="1240">
        <f>AY619+AY621</f>
        <v>16.342605836222049</v>
      </c>
      <c r="AZ626" s="1240">
        <f>AZ619+AZ621</f>
        <v>13.510601082993428</v>
      </c>
      <c r="BA626" s="1240">
        <f>BA619+BA621</f>
        <v>13.054071392932507</v>
      </c>
      <c r="BB626" s="1242"/>
      <c r="BC626" s="1240">
        <f>BC619+BC621</f>
        <v>-9.5728214264522897</v>
      </c>
      <c r="BD626" s="1240" t="e">
        <f>BD619+BD621</f>
        <v>#REF!</v>
      </c>
      <c r="BE626" s="1240" t="e">
        <f>BE619+BE621</f>
        <v>#REF!</v>
      </c>
      <c r="BF626" s="1240" t="e">
        <f>BF619+BF621</f>
        <v>#REF!</v>
      </c>
      <c r="BG626" s="1242"/>
      <c r="BH626" s="1240">
        <f>BH619+BH621</f>
        <v>17.07213248396058</v>
      </c>
      <c r="BI626" s="1240">
        <f>BI619+BI621</f>
        <v>18.323088480501106</v>
      </c>
      <c r="BJ626" s="1240">
        <f>BJ619+BJ621</f>
        <v>15.143580671252614</v>
      </c>
      <c r="BK626" s="1240">
        <f>BK619+BK621</f>
        <v>-10.288025888861039</v>
      </c>
      <c r="BL626" s="1242"/>
      <c r="BM626" s="1240">
        <f>BM619+BM621</f>
        <v>32.544970261998216</v>
      </c>
      <c r="BN626" s="1240">
        <f>BN619+BN621</f>
        <v>33.870983618331159</v>
      </c>
      <c r="BO626" s="1240">
        <f>BO619+BO621</f>
        <v>30.50070534052778</v>
      </c>
      <c r="BP626" s="1240">
        <f>BP619+BP621</f>
        <v>29.960001873807304</v>
      </c>
      <c r="BQ626" s="1242"/>
      <c r="BR626" s="1240">
        <f>BR619+BR621</f>
        <v>34.497668477718101</v>
      </c>
      <c r="BS626" s="1240">
        <f>BS619+BS621</f>
        <v>35.903242635431035</v>
      </c>
      <c r="BT626" s="1240">
        <f>BT619+BT621</f>
        <v>32.330747660959446</v>
      </c>
      <c r="BU626" s="1240">
        <f>BU619+BU621</f>
        <v>31.757601986235741</v>
      </c>
      <c r="BV626" s="1242"/>
      <c r="BW626" s="1240">
        <f>BW619+BW621</f>
        <v>36.567528586381201</v>
      </c>
      <c r="BX626" s="1240">
        <f>BX619+BX621</f>
        <v>38.057437193556893</v>
      </c>
      <c r="BY626" s="1240">
        <f>BY619+BY621</f>
        <v>34.270592520617022</v>
      </c>
      <c r="BZ626" s="1240">
        <f>BZ619+BZ621</f>
        <v>33.663058105409888</v>
      </c>
      <c r="CA626" s="1242"/>
      <c r="CC626" s="14"/>
      <c r="CD626" s="14"/>
      <c r="CE626" s="14"/>
      <c r="CF626" s="14"/>
      <c r="CG626" s="14"/>
      <c r="CH626" s="14"/>
      <c r="CI626" s="14"/>
      <c r="CJ626" s="14"/>
      <c r="CK626" s="14"/>
      <c r="CL626" s="14"/>
      <c r="CM626" s="14"/>
      <c r="CN626" s="14"/>
      <c r="CO626" s="14"/>
      <c r="CP626" s="14"/>
      <c r="CQ626" s="14"/>
      <c r="CR626" s="14"/>
      <c r="CS626" s="14"/>
      <c r="CT626" s="14"/>
      <c r="CU626" s="1961"/>
      <c r="DB626" s="1225"/>
      <c r="DC626" s="1961"/>
      <c r="DD626" s="1961"/>
      <c r="DE626" s="1961"/>
      <c r="DF626" s="1961"/>
      <c r="DG626" s="1961"/>
      <c r="DH626" s="1961"/>
      <c r="DI626" s="18"/>
    </row>
    <row r="627" spans="1:113" hidden="1" outlineLevel="1" x14ac:dyDescent="0.25">
      <c r="A627" s="1210"/>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636"/>
      <c r="AT627" s="636"/>
      <c r="AU627" s="636"/>
      <c r="AV627" s="1203"/>
      <c r="AW627" s="188"/>
      <c r="AX627" s="636"/>
      <c r="AY627" s="636"/>
      <c r="AZ627" s="636"/>
      <c r="BA627" s="1203"/>
      <c r="BB627" s="1243"/>
      <c r="BC627" s="636"/>
      <c r="BD627" s="636"/>
      <c r="BE627" s="636"/>
      <c r="BF627" s="1203"/>
      <c r="BG627" s="1243"/>
      <c r="BH627" s="1203"/>
      <c r="BI627" s="636"/>
      <c r="BJ627" s="636"/>
      <c r="BK627" s="1203"/>
      <c r="BL627" s="1243"/>
      <c r="BM627" s="1203"/>
      <c r="BN627" s="636"/>
      <c r="BO627" s="636"/>
      <c r="BP627" s="1203"/>
      <c r="BQ627" s="1243"/>
      <c r="BR627" s="1203"/>
      <c r="BS627" s="636"/>
      <c r="BT627" s="636"/>
      <c r="BU627" s="1203"/>
      <c r="BV627" s="1243"/>
      <c r="BW627" s="1203"/>
      <c r="BX627" s="636"/>
      <c r="BY627" s="636"/>
      <c r="BZ627" s="1203"/>
      <c r="CA627" s="1243"/>
      <c r="CC627" s="14"/>
      <c r="CD627" s="14"/>
      <c r="CE627" s="14"/>
      <c r="CF627" s="14"/>
      <c r="CG627" s="14"/>
      <c r="CH627" s="14"/>
      <c r="CI627" s="14"/>
      <c r="CJ627" s="14"/>
      <c r="CK627" s="14"/>
      <c r="CL627" s="14"/>
      <c r="CM627" s="14"/>
      <c r="CN627" s="14"/>
      <c r="CO627" s="14"/>
      <c r="CP627" s="14"/>
      <c r="CQ627" s="14"/>
      <c r="CR627" s="14"/>
      <c r="CS627" s="14"/>
      <c r="CT627" s="14"/>
      <c r="CU627" s="1961"/>
      <c r="DB627" s="18"/>
      <c r="DC627" s="1961"/>
      <c r="DD627" s="1961"/>
      <c r="DE627" s="1961"/>
      <c r="DF627" s="1961"/>
      <c r="DG627" s="1961"/>
      <c r="DH627" s="1961"/>
      <c r="DI627" s="18"/>
    </row>
    <row r="628" spans="1:113" hidden="1" outlineLevel="1" x14ac:dyDescent="0.25">
      <c r="A628" s="1210" t="s">
        <v>366</v>
      </c>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4"/>
      <c r="AR628" s="14"/>
      <c r="AS628" s="636"/>
      <c r="AT628" s="636">
        <f>AT437</f>
        <v>10.020845000000008</v>
      </c>
      <c r="AU628" s="636"/>
      <c r="AV628" s="1203"/>
      <c r="AW628" s="188"/>
      <c r="AX628" s="636"/>
      <c r="AY628" s="636"/>
      <c r="AZ628" s="636"/>
      <c r="BA628" s="1203"/>
      <c r="BB628" s="1243"/>
      <c r="BC628" s="636"/>
      <c r="BD628" s="636"/>
      <c r="BE628" s="636"/>
      <c r="BF628" s="1203"/>
      <c r="BG628" s="1243"/>
      <c r="BH628" s="1203"/>
      <c r="BI628" s="636"/>
      <c r="BJ628" s="636"/>
      <c r="BK628" s="1203"/>
      <c r="BL628" s="1243"/>
      <c r="BM628" s="1203"/>
      <c r="BN628" s="636"/>
      <c r="BO628" s="636"/>
      <c r="BP628" s="1203"/>
      <c r="BQ628" s="1243"/>
      <c r="BR628" s="1203"/>
      <c r="BS628" s="636"/>
      <c r="BT628" s="636"/>
      <c r="BU628" s="1203"/>
      <c r="BV628" s="1243"/>
      <c r="BW628" s="1203"/>
      <c r="BX628" s="636"/>
      <c r="BY628" s="636"/>
      <c r="BZ628" s="1203"/>
      <c r="CA628" s="1243"/>
      <c r="CC628" s="14"/>
      <c r="CD628" s="14"/>
      <c r="CE628" s="14"/>
      <c r="CF628" s="14"/>
      <c r="CG628" s="14"/>
      <c r="CH628" s="14"/>
      <c r="CI628" s="14"/>
      <c r="CJ628" s="14"/>
      <c r="CK628" s="14"/>
      <c r="CL628" s="14"/>
      <c r="CM628" s="14"/>
      <c r="CN628" s="14"/>
      <c r="CO628" s="14"/>
      <c r="CP628" s="14"/>
      <c r="CQ628" s="14"/>
      <c r="CR628" s="14"/>
      <c r="CS628" s="14"/>
      <c r="CT628" s="14"/>
      <c r="CU628" s="1961"/>
      <c r="DB628" s="18"/>
      <c r="DC628" s="1961"/>
      <c r="DD628" s="1961"/>
      <c r="DE628" s="1961"/>
      <c r="DF628" s="1961"/>
      <c r="DG628" s="1961"/>
      <c r="DH628" s="1961"/>
      <c r="DI628" s="18"/>
    </row>
    <row r="629" spans="1:113" hidden="1" outlineLevel="1" x14ac:dyDescent="0.25">
      <c r="A629" s="1211" t="s">
        <v>367</v>
      </c>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c r="AQ629" s="14"/>
      <c r="AR629" s="14"/>
      <c r="AS629" s="636"/>
      <c r="AT629" s="636">
        <f>AT67</f>
        <v>167.58609999999999</v>
      </c>
      <c r="AU629" s="636">
        <f>AU67</f>
        <v>172.17133699999999</v>
      </c>
      <c r="AV629" s="636">
        <f>AV67</f>
        <v>172.566722</v>
      </c>
      <c r="AW629" s="188"/>
      <c r="AX629" s="636">
        <f>AX67</f>
        <v>171.5</v>
      </c>
      <c r="AY629" s="636">
        <f>AY67</f>
        <v>171.2</v>
      </c>
      <c r="AZ629" s="636">
        <f>AZ67</f>
        <v>171.7859</v>
      </c>
      <c r="BA629" s="636">
        <f>BA67</f>
        <v>170.2</v>
      </c>
      <c r="BB629" s="1243"/>
      <c r="BC629" s="636">
        <f>BC67</f>
        <v>170.15086199999999</v>
      </c>
      <c r="BD629" s="636">
        <f>BD67</f>
        <v>168.3</v>
      </c>
      <c r="BE629" s="636">
        <f>BE67</f>
        <v>167.95705799999999</v>
      </c>
      <c r="BF629" s="636">
        <f>BF67</f>
        <v>168.33325600000001</v>
      </c>
      <c r="BG629" s="1243"/>
      <c r="BH629" s="636">
        <f>BH67</f>
        <v>167.32122153801535</v>
      </c>
      <c r="BI629" s="636">
        <f>BI67</f>
        <v>165.98362298271985</v>
      </c>
      <c r="BJ629" s="636">
        <f>BJ67</f>
        <v>164.67198452875868</v>
      </c>
      <c r="BK629" s="636">
        <f>BK67</f>
        <v>163.38580234270694</v>
      </c>
      <c r="BL629" s="1243"/>
      <c r="BM629" s="636">
        <f>BM67</f>
        <v>163.63891112697311</v>
      </c>
      <c r="BN629" s="636">
        <f>BN67</f>
        <v>161.97019189172099</v>
      </c>
      <c r="BO629" s="636">
        <f>BO67</f>
        <v>160.33385914513113</v>
      </c>
      <c r="BP629" s="636">
        <f>BP67</f>
        <v>158.72928433050819</v>
      </c>
      <c r="BQ629" s="1243"/>
      <c r="BR629" s="636">
        <f>BR67</f>
        <v>159.34222383040583</v>
      </c>
      <c r="BS629" s="636">
        <f>BS67</f>
        <v>157.55182188152054</v>
      </c>
      <c r="BT629" s="636">
        <f>BT67</f>
        <v>155.79616803836416</v>
      </c>
      <c r="BU629" s="636">
        <f>BU67</f>
        <v>154.07458790999755</v>
      </c>
      <c r="BV629" s="1243"/>
      <c r="BW629" s="636">
        <f>BW67</f>
        <v>154.9743629436812</v>
      </c>
      <c r="BX629" s="636">
        <f>BX67</f>
        <v>153.29084583926851</v>
      </c>
      <c r="BY629" s="636">
        <f>BY67</f>
        <v>151.64000242043633</v>
      </c>
      <c r="BZ629" s="636">
        <f>BZ67</f>
        <v>150.02119855657398</v>
      </c>
      <c r="CA629" s="1243"/>
      <c r="CC629" s="14"/>
      <c r="CD629" s="14"/>
      <c r="CE629" s="14"/>
      <c r="CF629" s="14"/>
      <c r="CG629" s="14"/>
      <c r="CH629" s="14"/>
      <c r="CI629" s="14"/>
      <c r="CJ629" s="14"/>
      <c r="CK629" s="14"/>
      <c r="CL629" s="14"/>
      <c r="CM629" s="14"/>
      <c r="CN629" s="14"/>
      <c r="CO629" s="14"/>
      <c r="CP629" s="14"/>
      <c r="CQ629" s="14"/>
      <c r="CR629" s="14"/>
      <c r="CS629" s="14"/>
      <c r="CT629" s="14"/>
      <c r="CU629" s="1961"/>
      <c r="DB629" s="18"/>
      <c r="DC629" s="1961"/>
      <c r="DD629" s="1961"/>
      <c r="DE629" s="1961"/>
      <c r="DF629" s="1961"/>
      <c r="DG629" s="1961"/>
      <c r="DH629" s="1961"/>
      <c r="DI629" s="18"/>
    </row>
    <row r="630" spans="1:113" hidden="1" outlineLevel="1" x14ac:dyDescent="0.25">
      <c r="A630" s="1200"/>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c r="AQ630" s="14"/>
      <c r="AR630" s="14"/>
      <c r="AS630" s="636"/>
      <c r="AT630" s="636"/>
      <c r="AU630" s="636"/>
      <c r="AV630" s="1203"/>
      <c r="AW630" s="188"/>
      <c r="AX630" s="636"/>
      <c r="AY630" s="636"/>
      <c r="AZ630" s="636"/>
      <c r="BA630" s="1203"/>
      <c r="BB630" s="1243"/>
      <c r="BC630" s="636"/>
      <c r="BD630" s="636"/>
      <c r="BE630" s="636"/>
      <c r="BF630" s="1203"/>
      <c r="BG630" s="1243"/>
      <c r="BH630" s="1203"/>
      <c r="BI630" s="636"/>
      <c r="BJ630" s="636"/>
      <c r="BK630" s="1203"/>
      <c r="BL630" s="1243"/>
      <c r="BM630" s="1203"/>
      <c r="BN630" s="636"/>
      <c r="BO630" s="636"/>
      <c r="BP630" s="1203"/>
      <c r="BQ630" s="1243"/>
      <c r="BR630" s="1203"/>
      <c r="BS630" s="636"/>
      <c r="BT630" s="636"/>
      <c r="BU630" s="1203"/>
      <c r="BV630" s="1243"/>
      <c r="BW630" s="1203"/>
      <c r="BX630" s="636"/>
      <c r="BY630" s="636"/>
      <c r="BZ630" s="1203"/>
      <c r="CA630" s="1243"/>
      <c r="CC630" s="14"/>
      <c r="CD630" s="14"/>
      <c r="CE630" s="14"/>
      <c r="CF630" s="14"/>
      <c r="CG630" s="14"/>
      <c r="CH630" s="14"/>
      <c r="CI630" s="14"/>
      <c r="CJ630" s="14"/>
      <c r="CK630" s="14"/>
      <c r="CL630" s="14"/>
      <c r="CM630" s="14"/>
      <c r="CN630" s="14"/>
      <c r="CO630" s="14"/>
      <c r="CP630" s="14"/>
      <c r="CQ630" s="14"/>
      <c r="CR630" s="14"/>
      <c r="CS630" s="14"/>
      <c r="CT630" s="14"/>
      <c r="CU630" s="1961"/>
      <c r="DB630" s="18"/>
      <c r="DC630" s="1961"/>
      <c r="DD630" s="1961"/>
      <c r="DE630" s="1961"/>
      <c r="DF630" s="1961"/>
      <c r="DG630" s="1961"/>
      <c r="DH630" s="1961"/>
      <c r="DI630" s="18"/>
    </row>
    <row r="631" spans="1:113" hidden="1" outlineLevel="1" x14ac:dyDescent="0.25">
      <c r="A631" s="1210" t="s">
        <v>368</v>
      </c>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14"/>
      <c r="AP631" s="14"/>
      <c r="AQ631" s="14"/>
      <c r="AR631" s="14"/>
      <c r="AS631" s="636"/>
      <c r="AT631" s="636">
        <f>AT629</f>
        <v>167.58609999999999</v>
      </c>
      <c r="AU631" s="636">
        <f>AU629</f>
        <v>172.17133699999999</v>
      </c>
      <c r="AV631" s="636">
        <f>AV629</f>
        <v>172.566722</v>
      </c>
      <c r="AW631" s="188"/>
      <c r="AX631" s="636">
        <f>AX629</f>
        <v>171.5</v>
      </c>
      <c r="AY631" s="636">
        <f>AY629</f>
        <v>171.2</v>
      </c>
      <c r="AZ631" s="636">
        <f>AZ629</f>
        <v>171.7859</v>
      </c>
      <c r="BA631" s="636">
        <f>BA629</f>
        <v>170.2</v>
      </c>
      <c r="BB631" s="1243"/>
      <c r="BC631" s="636">
        <f>BC629</f>
        <v>170.15086199999999</v>
      </c>
      <c r="BD631" s="636">
        <f>BD629</f>
        <v>168.3</v>
      </c>
      <c r="BE631" s="636">
        <f>BE629</f>
        <v>167.95705799999999</v>
      </c>
      <c r="BF631" s="636">
        <f>BF629</f>
        <v>168.33325600000001</v>
      </c>
      <c r="BG631" s="1243"/>
      <c r="BH631" s="636">
        <f>BH629</f>
        <v>167.32122153801535</v>
      </c>
      <c r="BI631" s="636">
        <f>BI629</f>
        <v>165.98362298271985</v>
      </c>
      <c r="BJ631" s="636">
        <f>BJ629</f>
        <v>164.67198452875868</v>
      </c>
      <c r="BK631" s="636">
        <f>BK629</f>
        <v>163.38580234270694</v>
      </c>
      <c r="BL631" s="1243"/>
      <c r="BM631" s="636">
        <f>BM629</f>
        <v>163.63891112697311</v>
      </c>
      <c r="BN631" s="636">
        <f>BN629</f>
        <v>161.97019189172099</v>
      </c>
      <c r="BO631" s="636">
        <f>BO629</f>
        <v>160.33385914513113</v>
      </c>
      <c r="BP631" s="636">
        <f>BP629</f>
        <v>158.72928433050819</v>
      </c>
      <c r="BQ631" s="1243"/>
      <c r="BR631" s="636">
        <f>BR629</f>
        <v>159.34222383040583</v>
      </c>
      <c r="BS631" s="636">
        <f>BS629</f>
        <v>157.55182188152054</v>
      </c>
      <c r="BT631" s="636">
        <f>BT629</f>
        <v>155.79616803836416</v>
      </c>
      <c r="BU631" s="636">
        <f>BU629</f>
        <v>154.07458790999755</v>
      </c>
      <c r="BV631" s="1243"/>
      <c r="BW631" s="636">
        <f>BW629</f>
        <v>154.9743629436812</v>
      </c>
      <c r="BX631" s="636">
        <f>BX629</f>
        <v>153.29084583926851</v>
      </c>
      <c r="BY631" s="636">
        <f>BY629</f>
        <v>151.64000242043633</v>
      </c>
      <c r="BZ631" s="636">
        <f>BZ629</f>
        <v>150.02119855657398</v>
      </c>
      <c r="CA631" s="1243"/>
      <c r="CC631" s="14"/>
      <c r="CD631" s="14"/>
      <c r="CE631" s="14"/>
      <c r="CF631" s="14"/>
      <c r="CG631" s="14"/>
      <c r="CH631" s="14"/>
      <c r="CI631" s="14"/>
      <c r="CJ631" s="14"/>
      <c r="CK631" s="14"/>
      <c r="CL631" s="14"/>
      <c r="CM631" s="14"/>
      <c r="CN631" s="14"/>
      <c r="CO631" s="14"/>
      <c r="CP631" s="14"/>
      <c r="CQ631" s="14"/>
      <c r="CR631" s="14"/>
      <c r="CS631" s="14"/>
      <c r="CT631" s="14"/>
      <c r="CU631" s="1961"/>
      <c r="DB631" s="18"/>
      <c r="DC631" s="1961"/>
      <c r="DD631" s="1961"/>
      <c r="DE631" s="1961"/>
      <c r="DF631" s="1961"/>
      <c r="DG631" s="1961"/>
      <c r="DH631" s="1961"/>
      <c r="DI631" s="18"/>
    </row>
    <row r="632" spans="1:113" hidden="1" outlineLevel="1" x14ac:dyDescent="0.25">
      <c r="A632" s="1244" t="s">
        <v>369</v>
      </c>
      <c r="B632" s="1245"/>
      <c r="C632" s="1245"/>
      <c r="D632" s="1245"/>
      <c r="E632" s="1245"/>
      <c r="F632" s="1245"/>
      <c r="G632" s="1245"/>
      <c r="H632" s="1245"/>
      <c r="I632" s="1245"/>
      <c r="J632" s="1245"/>
      <c r="K632" s="1245"/>
      <c r="L632" s="1245"/>
      <c r="M632" s="1245"/>
      <c r="N632" s="1245"/>
      <c r="O632" s="1245"/>
      <c r="P632" s="1245"/>
      <c r="Q632" s="1245"/>
      <c r="R632" s="1245"/>
      <c r="S632" s="1245"/>
      <c r="T632" s="1245"/>
      <c r="U632" s="1245"/>
      <c r="V632" s="1245"/>
      <c r="W632" s="1245"/>
      <c r="X632" s="1245"/>
      <c r="Y632" s="1245"/>
      <c r="Z632" s="1245"/>
      <c r="AA632" s="1245"/>
      <c r="AB632" s="1245"/>
      <c r="AC632" s="1245"/>
      <c r="AD632" s="1245"/>
      <c r="AE632" s="1245"/>
      <c r="AF632" s="1245"/>
      <c r="AG632" s="1245"/>
      <c r="AH632" s="1245"/>
      <c r="AI632" s="1245"/>
      <c r="AJ632" s="1245"/>
      <c r="AK632" s="1245"/>
      <c r="AL632" s="1245"/>
      <c r="AM632" s="1245"/>
      <c r="AN632" s="1245"/>
      <c r="AO632" s="1245"/>
      <c r="AP632" s="1245"/>
      <c r="AQ632" s="1245"/>
      <c r="AR632" s="1245"/>
      <c r="AS632" s="1246"/>
      <c r="AT632" s="1247">
        <f>AT626/AT631</f>
        <v>0.12071513016895885</v>
      </c>
      <c r="AU632" s="1247">
        <f>AU626/AU631</f>
        <v>5.0764424555674724E-2</v>
      </c>
      <c r="AV632" s="1247">
        <f>AV626/AV631</f>
        <v>4.7898597011109406E-2</v>
      </c>
      <c r="AW632" s="1248">
        <f>SUM(AU632:AV632)+(42/90)*AT632</f>
        <v>0.15499674897896493</v>
      </c>
      <c r="AX632" s="1247">
        <f>AX626/AX631</f>
        <v>8.8813490231408276E-2</v>
      </c>
      <c r="AY632" s="1247">
        <f>AY626/AY631</f>
        <v>9.5459146239614781E-2</v>
      </c>
      <c r="AZ632" s="1247">
        <f>AZ626/AZ631</f>
        <v>7.8647904647549241E-2</v>
      </c>
      <c r="BA632" s="1247">
        <f>BA626/BA631</f>
        <v>7.6698421815114617E-2</v>
      </c>
      <c r="BB632" s="1248">
        <f>SUM(AX632:BA632)</f>
        <v>0.33961896293368687</v>
      </c>
      <c r="BC632" s="1247">
        <f>BC626/BC631</f>
        <v>-5.6260787126969067E-2</v>
      </c>
      <c r="BD632" s="1247" t="e">
        <f>BD626/BD631</f>
        <v>#REF!</v>
      </c>
      <c r="BE632" s="1247" t="e">
        <f>BE626/BE631</f>
        <v>#REF!</v>
      </c>
      <c r="BF632" s="1247" t="e">
        <f>BF626/BF631</f>
        <v>#REF!</v>
      </c>
      <c r="BG632" s="1248" t="e">
        <f>SUM(BC632:BF632)</f>
        <v>#REF!</v>
      </c>
      <c r="BH632" s="1247">
        <f>BH626/BH631</f>
        <v>0.10203208132855876</v>
      </c>
      <c r="BI632" s="1247">
        <f>BI626/BI631</f>
        <v>0.11039094189677182</v>
      </c>
      <c r="BJ632" s="1247">
        <f>BJ626/BJ631</f>
        <v>9.1962094916077874E-2</v>
      </c>
      <c r="BK632" s="1247">
        <f>BK626/BK631</f>
        <v>-6.2967685939330123E-2</v>
      </c>
      <c r="BL632" s="1248">
        <f>SUM(BH632:BK632)</f>
        <v>0.24141743220207834</v>
      </c>
      <c r="BM632" s="1247">
        <f>BM626/BM631</f>
        <v>0.19888283317129532</v>
      </c>
      <c r="BN632" s="1247">
        <f>BN626/BN631</f>
        <v>0.20911862375871185</v>
      </c>
      <c r="BO632" s="1247">
        <f>BO626/BO631</f>
        <v>0.19023246557621448</v>
      </c>
      <c r="BP632" s="1247">
        <f>BP626/BP631</f>
        <v>0.18874905157024582</v>
      </c>
      <c r="BQ632" s="1248">
        <f>SUM(BM632:BP632)</f>
        <v>0.78698297407646745</v>
      </c>
      <c r="BR632" s="1247">
        <f>BR626/BR631</f>
        <v>0.21650048335233052</v>
      </c>
      <c r="BS632" s="1247">
        <f>BS626/BS631</f>
        <v>0.2278821165421393</v>
      </c>
      <c r="BT632" s="1247">
        <f>BT626/BT631</f>
        <v>0.20751953060230682</v>
      </c>
      <c r="BU632" s="1247">
        <f>BU626/BU631</f>
        <v>0.2061183639497183</v>
      </c>
      <c r="BV632" s="1248">
        <f>SUM(BR632:BU632)</f>
        <v>0.85802049444649497</v>
      </c>
      <c r="BW632" s="1247">
        <f>BW626/BW631</f>
        <v>0.23595856689967556</v>
      </c>
      <c r="BX632" s="1247">
        <f>BX626/BX631</f>
        <v>0.24826947092105953</v>
      </c>
      <c r="BY632" s="1247">
        <f>BY626/BY631</f>
        <v>0.22599968328672632</v>
      </c>
      <c r="BZ632" s="1247">
        <f>BZ626/BZ631</f>
        <v>0.22438867592912429</v>
      </c>
      <c r="CA632" s="1248">
        <f>SUM(BW632:BZ632)</f>
        <v>0.93461639703658572</v>
      </c>
      <c r="CC632" s="14"/>
      <c r="CD632" s="14"/>
      <c r="CE632" s="14"/>
      <c r="CF632" s="14"/>
      <c r="CG632" s="14"/>
      <c r="CH632" s="14"/>
      <c r="CI632" s="14"/>
      <c r="CJ632" s="14"/>
      <c r="CK632" s="14"/>
      <c r="CL632" s="14"/>
      <c r="CM632" s="14"/>
      <c r="CN632" s="14"/>
      <c r="CO632" s="14"/>
      <c r="CP632" s="14"/>
      <c r="CQ632" s="14"/>
      <c r="CR632" s="14"/>
      <c r="CS632" s="14"/>
      <c r="CT632" s="14"/>
      <c r="CU632" s="1961"/>
      <c r="DB632" s="18"/>
      <c r="DC632" s="1961"/>
      <c r="DD632" s="1961"/>
      <c r="DE632" s="1961"/>
      <c r="DF632" s="1961"/>
      <c r="DG632" s="1961"/>
      <c r="DH632" s="1961"/>
      <c r="DI632" s="18"/>
    </row>
    <row r="633" spans="1:113" hidden="1" outlineLevel="1" x14ac:dyDescent="0.25">
      <c r="A633" s="1249"/>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c r="AQ633" s="14"/>
      <c r="AR633" s="14"/>
      <c r="AS633" s="636"/>
      <c r="AT633" s="636"/>
      <c r="AU633" s="636"/>
      <c r="AV633" s="1203"/>
      <c r="AW633" s="188"/>
      <c r="AX633" s="636"/>
      <c r="AY633" s="636"/>
      <c r="AZ633" s="636"/>
      <c r="BA633" s="1203"/>
      <c r="BB633" s="1243"/>
      <c r="BC633" s="636"/>
      <c r="BD633" s="636"/>
      <c r="BE633" s="636"/>
      <c r="BF633" s="1203"/>
      <c r="BG633" s="1243"/>
      <c r="BH633" s="1203"/>
      <c r="BI633" s="636"/>
      <c r="BJ633" s="636"/>
      <c r="BK633" s="1203"/>
      <c r="BL633" s="1243"/>
      <c r="BM633" s="1203"/>
      <c r="BN633" s="636"/>
      <c r="BO633" s="636"/>
      <c r="BP633" s="1203"/>
      <c r="BQ633" s="1243"/>
      <c r="BR633" s="1203"/>
      <c r="BS633" s="636"/>
      <c r="BT633" s="636"/>
      <c r="BU633" s="1203"/>
      <c r="BV633" s="1243"/>
      <c r="BW633" s="1203"/>
      <c r="BX633" s="636"/>
      <c r="BY633" s="636"/>
      <c r="BZ633" s="1203"/>
      <c r="CA633" s="1243"/>
      <c r="CC633" s="14"/>
      <c r="CD633" s="14"/>
      <c r="CE633" s="14"/>
      <c r="CF633" s="14"/>
      <c r="CG633" s="14"/>
      <c r="CH633" s="14"/>
      <c r="CI633" s="14"/>
      <c r="CJ633" s="14"/>
      <c r="CK633" s="14"/>
      <c r="CL633" s="14"/>
      <c r="CM633" s="14"/>
      <c r="CN633" s="14"/>
      <c r="CO633" s="14"/>
      <c r="CP633" s="14"/>
      <c r="CQ633" s="14"/>
      <c r="CR633" s="14"/>
      <c r="CS633" s="14"/>
      <c r="CT633" s="14"/>
      <c r="CU633" s="1961"/>
      <c r="DB633" s="18"/>
      <c r="DC633" s="1961"/>
      <c r="DD633" s="1961"/>
      <c r="DE633" s="1961"/>
      <c r="DF633" s="1961"/>
      <c r="DG633" s="1961"/>
      <c r="DH633" s="1961"/>
      <c r="DI633" s="18"/>
    </row>
    <row r="634" spans="1:113" hidden="1" outlineLevel="1" x14ac:dyDescent="0.25">
      <c r="A634" s="1210"/>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c r="AP634" s="14"/>
      <c r="AQ634" s="14"/>
      <c r="AR634" s="14"/>
      <c r="AS634" s="636"/>
      <c r="AT634" s="636"/>
      <c r="AU634" s="636"/>
      <c r="AV634" s="1203"/>
      <c r="AW634" s="188"/>
      <c r="AX634" s="636"/>
      <c r="AY634" s="636"/>
      <c r="AZ634" s="636"/>
      <c r="BA634" s="1203"/>
      <c r="BB634" s="1243"/>
      <c r="BC634" s="636"/>
      <c r="BD634" s="636"/>
      <c r="BE634" s="636"/>
      <c r="BF634" s="1203"/>
      <c r="BG634" s="1243"/>
      <c r="BH634" s="1203"/>
      <c r="BI634" s="636"/>
      <c r="BJ634" s="636"/>
      <c r="BK634" s="1203"/>
      <c r="BL634" s="1243"/>
      <c r="BM634" s="1203"/>
      <c r="BN634" s="636"/>
      <c r="BO634" s="636"/>
      <c r="BP634" s="1203"/>
      <c r="BQ634" s="1243"/>
      <c r="BR634" s="1203"/>
      <c r="BS634" s="636"/>
      <c r="BT634" s="636"/>
      <c r="BU634" s="1203"/>
      <c r="BV634" s="1243"/>
      <c r="BW634" s="1203"/>
      <c r="BX634" s="636"/>
      <c r="BY634" s="636"/>
      <c r="BZ634" s="1203"/>
      <c r="CA634" s="1243"/>
      <c r="CC634" s="14"/>
      <c r="CD634" s="14"/>
      <c r="CE634" s="14"/>
      <c r="CF634" s="14"/>
      <c r="CG634" s="14"/>
      <c r="CH634" s="14"/>
      <c r="CI634" s="14"/>
      <c r="CJ634" s="14"/>
      <c r="CK634" s="14"/>
      <c r="CL634" s="14"/>
      <c r="CM634" s="14"/>
      <c r="CN634" s="14"/>
      <c r="CO634" s="14"/>
      <c r="CP634" s="14"/>
      <c r="CQ634" s="14"/>
      <c r="CR634" s="14"/>
      <c r="CS634" s="14"/>
      <c r="CT634" s="14"/>
      <c r="CU634" s="1961"/>
      <c r="DB634" s="18"/>
      <c r="DC634" s="1961"/>
      <c r="DD634" s="1961"/>
      <c r="DE634" s="1961"/>
      <c r="DF634" s="1961"/>
      <c r="DG634" s="1961"/>
      <c r="DH634" s="1961"/>
      <c r="DI634" s="18"/>
    </row>
    <row r="635" spans="1:113" hidden="1" outlineLevel="1" x14ac:dyDescent="0.25">
      <c r="A635" s="1221" t="s">
        <v>64</v>
      </c>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195">
        <v>164.22</v>
      </c>
      <c r="AN635" s="14"/>
      <c r="AO635" s="14"/>
      <c r="AP635" s="14"/>
      <c r="AQ635" s="14"/>
      <c r="AR635" s="1195">
        <f>99.96*1.6464</f>
        <v>164.57414399999999</v>
      </c>
      <c r="AS635" s="1195">
        <f>29.274*1.5152</f>
        <v>44.355964800000002</v>
      </c>
      <c r="AT635" s="1195">
        <f>AT592-AT599-AT605</f>
        <v>46.157864822400001</v>
      </c>
      <c r="AU635" s="1195">
        <f>AU592-AU599-AU605</f>
        <v>34.254999999999995</v>
      </c>
      <c r="AV635" s="1195">
        <f>AV592-AV599-AV605</f>
        <v>33.647742002333331</v>
      </c>
      <c r="AW635" s="1250">
        <f>SUM(AS635:AV635)</f>
        <v>158.41657162473334</v>
      </c>
      <c r="AX635" s="1195">
        <f>AX592-AX599-AX605</f>
        <v>43.26246900000001</v>
      </c>
      <c r="AY635" s="1195">
        <f>AY592-AY599-AY605</f>
        <v>45.025156483200007</v>
      </c>
      <c r="AZ635" s="1195">
        <f>AZ592-AZ599-AZ605</f>
        <v>40.545000000000009</v>
      </c>
      <c r="BA635" s="1195">
        <f>BA592-BA599-BA605</f>
        <v>39.826235571000005</v>
      </c>
      <c r="BB635" s="1251">
        <f>SUM(AX635:BA635)</f>
        <v>168.65886105420003</v>
      </c>
      <c r="BC635" s="1195">
        <f>BC592-BC599-BC605</f>
        <v>45.858217140000015</v>
      </c>
      <c r="BD635" s="1195">
        <f>BD592-BD599-BD605</f>
        <v>47.726665872192008</v>
      </c>
      <c r="BE635" s="1195">
        <f>BE592-BE599-BE605</f>
        <v>42.977700000000013</v>
      </c>
      <c r="BF635" s="1195">
        <f>BF592-BF599-BF605</f>
        <v>42.215809705260014</v>
      </c>
      <c r="BG635" s="1251">
        <f>SUM(BC635:BF635)</f>
        <v>178.77839271745205</v>
      </c>
      <c r="BH635" s="1195">
        <f>BH592-BH599-BH605</f>
        <v>48.609710168400014</v>
      </c>
      <c r="BI635" s="1195">
        <f>BI592-BI599-BI605</f>
        <v>50.590265824523541</v>
      </c>
      <c r="BJ635" s="1195">
        <f>BJ592-BJ599-BJ605</f>
        <v>45.556362000000007</v>
      </c>
      <c r="BK635" s="1195">
        <f>BK592-BK599-BK605</f>
        <v>44.748758287575612</v>
      </c>
      <c r="BL635" s="1251">
        <f>SUM(BH635:BK635)</f>
        <v>189.50509628049917</v>
      </c>
      <c r="BM635" s="1195">
        <f>BM592-BM599-BM605</f>
        <v>51.526292778504029</v>
      </c>
      <c r="BN635" s="1195">
        <f>BN592-BN599-BN605</f>
        <v>53.625681773994941</v>
      </c>
      <c r="BO635" s="1195">
        <f>BO592-BO599-BO605</f>
        <v>48.289743720000018</v>
      </c>
      <c r="BP635" s="1195">
        <f>BP592-BP599-BP605</f>
        <v>47.433683784830151</v>
      </c>
      <c r="BQ635" s="1251">
        <f>SUM(BM635:BP635)</f>
        <v>200.87540205732913</v>
      </c>
      <c r="BR635" s="1195">
        <f>BR592-BR599-BR605</f>
        <v>54.617870345214257</v>
      </c>
      <c r="BS635" s="1195">
        <f>BS592-BS599-BS605</f>
        <v>56.843222680434643</v>
      </c>
      <c r="BT635" s="1195">
        <f>BT592-BT599-BT605</f>
        <v>51.187128343200015</v>
      </c>
      <c r="BU635" s="1195">
        <f>BU592-BU599-BU605</f>
        <v>50.279704811919956</v>
      </c>
      <c r="BV635" s="1251">
        <f>SUM(BR635:BU635)</f>
        <v>212.92792618076885</v>
      </c>
      <c r="BW635" s="1195">
        <f>BW592-BW599-BW605</f>
        <v>57.894942565927131</v>
      </c>
      <c r="BX635" s="1195">
        <f>BX592-BX599-BX605</f>
        <v>60.25381604126072</v>
      </c>
      <c r="BY635" s="1195">
        <f>BY592-BY599-BY605</f>
        <v>54.258356043792034</v>
      </c>
      <c r="BZ635" s="1195">
        <f>BZ592-BZ599-BZ605</f>
        <v>53.296487100635161</v>
      </c>
      <c r="CA635" s="1251">
        <f>SUM(BW635:BZ635)</f>
        <v>225.70360175161505</v>
      </c>
      <c r="CC635" s="14"/>
      <c r="CD635" s="14"/>
      <c r="CE635" s="14"/>
      <c r="CF635" s="14"/>
      <c r="CG635" s="14"/>
      <c r="CH635" s="14"/>
      <c r="CI635" s="14"/>
      <c r="CJ635" s="14"/>
      <c r="CK635" s="14"/>
      <c r="CL635" s="14"/>
      <c r="CM635" s="14"/>
      <c r="CN635" s="14"/>
      <c r="CO635" s="14"/>
      <c r="CP635" s="14"/>
      <c r="CQ635" s="14"/>
      <c r="CR635" s="14"/>
      <c r="CS635" s="14"/>
      <c r="CT635" s="14"/>
      <c r="CU635" s="1961"/>
      <c r="DB635" s="1250"/>
      <c r="DC635" s="1961"/>
      <c r="DD635" s="1961"/>
      <c r="DE635" s="1961"/>
      <c r="DF635" s="1961"/>
      <c r="DG635" s="1961"/>
      <c r="DH635" s="1961"/>
      <c r="DI635" s="1961"/>
    </row>
    <row r="636" spans="1:113" s="6" customFormat="1" hidden="1" outlineLevel="1" x14ac:dyDescent="0.25">
      <c r="A636" s="1252" t="s">
        <v>357</v>
      </c>
      <c r="AM636" s="1231">
        <v>0.49295774647887314</v>
      </c>
      <c r="AR636" s="1231">
        <v>0.47136563876651982</v>
      </c>
      <c r="AS636" s="1253">
        <f t="shared" ref="AS636:BG636" si="673">AS635/AS592</f>
        <v>0.48905658180535189</v>
      </c>
      <c r="AT636" s="1253">
        <f t="shared" si="673"/>
        <v>0.48899999999999999</v>
      </c>
      <c r="AU636" s="1253">
        <f t="shared" si="673"/>
        <v>0.40299999999999997</v>
      </c>
      <c r="AV636" s="1253">
        <f t="shared" si="673"/>
        <v>0.40299999999999997</v>
      </c>
      <c r="AW636" s="1253">
        <f t="shared" si="673"/>
        <v>0.42371637421587166</v>
      </c>
      <c r="AX636" s="1253">
        <f t="shared" si="673"/>
        <v>0.45000000000000007</v>
      </c>
      <c r="AY636" s="1253">
        <f t="shared" si="673"/>
        <v>0.45</v>
      </c>
      <c r="AZ636" s="1253">
        <f t="shared" si="673"/>
        <v>0.45000000000000007</v>
      </c>
      <c r="BA636" s="1253">
        <f t="shared" si="673"/>
        <v>0.45</v>
      </c>
      <c r="BB636" s="1254">
        <f t="shared" si="673"/>
        <v>0.45</v>
      </c>
      <c r="BC636" s="1253">
        <f t="shared" si="673"/>
        <v>0.45000000000000007</v>
      </c>
      <c r="BD636" s="1253">
        <f t="shared" si="673"/>
        <v>0.45</v>
      </c>
      <c r="BE636" s="1253">
        <f t="shared" si="673"/>
        <v>0.45000000000000007</v>
      </c>
      <c r="BF636" s="1253">
        <f t="shared" si="673"/>
        <v>0.45000000000000007</v>
      </c>
      <c r="BG636" s="1254">
        <f t="shared" si="673"/>
        <v>0.45000000000000007</v>
      </c>
      <c r="BH636" s="1253">
        <f t="shared" ref="BH636:CA636" si="674">BH635/BH592</f>
        <v>0.45</v>
      </c>
      <c r="BI636" s="1253">
        <f t="shared" si="674"/>
        <v>0.45000000000000012</v>
      </c>
      <c r="BJ636" s="1253">
        <f t="shared" si="674"/>
        <v>0.45</v>
      </c>
      <c r="BK636" s="1253">
        <f t="shared" si="674"/>
        <v>0.45</v>
      </c>
      <c r="BL636" s="1254">
        <f t="shared" si="674"/>
        <v>0.45000000000000007</v>
      </c>
      <c r="BM636" s="1253">
        <f t="shared" si="674"/>
        <v>0.45000000000000012</v>
      </c>
      <c r="BN636" s="1253">
        <f t="shared" si="674"/>
        <v>0.44999999999999996</v>
      </c>
      <c r="BO636" s="1253">
        <f t="shared" si="674"/>
        <v>0.45000000000000007</v>
      </c>
      <c r="BP636" s="1253">
        <f t="shared" si="674"/>
        <v>0.45000000000000007</v>
      </c>
      <c r="BQ636" s="1254">
        <f t="shared" si="674"/>
        <v>0.45</v>
      </c>
      <c r="BR636" s="1253">
        <f t="shared" si="674"/>
        <v>0.45</v>
      </c>
      <c r="BS636" s="1253">
        <f t="shared" si="674"/>
        <v>0.45</v>
      </c>
      <c r="BT636" s="1253">
        <f t="shared" si="674"/>
        <v>0.45</v>
      </c>
      <c r="BU636" s="1253">
        <f t="shared" si="674"/>
        <v>0.44999999999999996</v>
      </c>
      <c r="BV636" s="1254">
        <f t="shared" si="674"/>
        <v>0.45</v>
      </c>
      <c r="BW636" s="1253">
        <f t="shared" si="674"/>
        <v>0.45000000000000007</v>
      </c>
      <c r="BX636" s="1253">
        <f t="shared" si="674"/>
        <v>0.44999999999999996</v>
      </c>
      <c r="BY636" s="1253">
        <f t="shared" si="674"/>
        <v>0.45000000000000012</v>
      </c>
      <c r="BZ636" s="1253">
        <f t="shared" si="674"/>
        <v>0.45</v>
      </c>
      <c r="CA636" s="1254">
        <f t="shared" si="674"/>
        <v>0.45000000000000007</v>
      </c>
      <c r="CB636"/>
      <c r="CV636"/>
      <c r="CW636"/>
      <c r="CX636"/>
      <c r="CY636"/>
      <c r="CZ636"/>
      <c r="DA636"/>
      <c r="DB636" s="1229"/>
      <c r="DI636" s="1230"/>
    </row>
    <row r="637" spans="1:113" hidden="1" outlineLevel="1" x14ac:dyDescent="0.25">
      <c r="A637" s="1210"/>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c r="AP637" s="14"/>
      <c r="AQ637" s="14"/>
      <c r="AR637" s="14"/>
      <c r="AS637" s="636"/>
      <c r="AT637" s="636"/>
      <c r="AU637" s="636"/>
      <c r="AV637" s="1203"/>
      <c r="AW637" s="1212"/>
      <c r="AX637" s="636"/>
      <c r="AY637" s="636"/>
      <c r="AZ637" s="636"/>
      <c r="BA637" s="1203"/>
      <c r="BB637" s="1213"/>
      <c r="BC637" s="636"/>
      <c r="BD637" s="636"/>
      <c r="BE637" s="636"/>
      <c r="BF637" s="1203"/>
      <c r="BG637" s="1213"/>
      <c r="BH637" s="1203"/>
      <c r="BI637" s="636"/>
      <c r="BJ637" s="636"/>
      <c r="BK637" s="1203"/>
      <c r="BL637" s="1213"/>
      <c r="BM637" s="1203"/>
      <c r="BN637" s="636"/>
      <c r="BO637" s="636"/>
      <c r="BP637" s="1203"/>
      <c r="BQ637" s="1213"/>
      <c r="BR637" s="1203"/>
      <c r="BS637" s="636"/>
      <c r="BT637" s="636"/>
      <c r="BU637" s="1203"/>
      <c r="BV637" s="1213"/>
      <c r="BW637" s="1203"/>
      <c r="BX637" s="636"/>
      <c r="BY637" s="636"/>
      <c r="BZ637" s="1203"/>
      <c r="CA637" s="1213"/>
      <c r="CC637" s="14"/>
      <c r="CD637" s="14"/>
      <c r="CE637" s="14"/>
      <c r="CF637" s="14"/>
      <c r="CG637" s="14"/>
      <c r="CH637" s="14"/>
      <c r="CI637" s="14"/>
      <c r="CJ637" s="14"/>
      <c r="CK637" s="14"/>
      <c r="CL637" s="14"/>
      <c r="CM637" s="14"/>
      <c r="CN637" s="14"/>
      <c r="CO637" s="14"/>
      <c r="CP637" s="14"/>
      <c r="CQ637" s="14"/>
      <c r="CR637" s="14"/>
      <c r="CS637" s="14"/>
      <c r="CT637" s="14"/>
      <c r="CU637" s="1961"/>
      <c r="DB637" s="1212"/>
      <c r="DC637" s="1961"/>
      <c r="DD637" s="1961"/>
      <c r="DE637" s="1961"/>
      <c r="DF637" s="1961"/>
      <c r="DG637" s="1961"/>
      <c r="DH637" s="1961"/>
      <c r="DI637" s="18"/>
    </row>
    <row r="638" spans="1:113" hidden="1" outlineLevel="1" x14ac:dyDescent="0.25">
      <c r="A638" s="1210" t="s">
        <v>370</v>
      </c>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c r="AQ638" s="14"/>
      <c r="AR638" s="636">
        <f>19.988+8.635</f>
        <v>28.622999999999998</v>
      </c>
      <c r="AS638" s="1255">
        <f>4.285+1.986</f>
        <v>6.2709999999999999</v>
      </c>
      <c r="AT638" s="1255">
        <f>AU638</f>
        <v>8.4248872278382674</v>
      </c>
      <c r="AU638" s="1255">
        <f>AV638</f>
        <v>8.4248872278382674</v>
      </c>
      <c r="AV638" s="1255">
        <f>(AW638-AS638)/3</f>
        <v>8.4248872278382674</v>
      </c>
      <c r="AW638" s="1255">
        <v>31.545661683514805</v>
      </c>
      <c r="AX638" s="1255">
        <f>AX592*AX639</f>
        <v>8.229924643991648</v>
      </c>
      <c r="AY638" s="1255">
        <f>AY592*AY639</f>
        <v>8.5652449688127614</v>
      </c>
      <c r="AZ638" s="1255">
        <f>AZ592*AZ639</f>
        <v>7.7129739102648394</v>
      </c>
      <c r="BA638" s="1255">
        <f>BA592*BA639</f>
        <v>7.5762416057019237</v>
      </c>
      <c r="BB638" s="1256">
        <f>SUM(AX638:BA638)</f>
        <v>32.084385128771174</v>
      </c>
      <c r="BC638" s="1255">
        <f>BC592*BC639</f>
        <v>8.723720122631148</v>
      </c>
      <c r="BD638" s="1255">
        <f>BD592*BD639</f>
        <v>9.0791596669415267</v>
      </c>
      <c r="BE638" s="1255">
        <f>BE592*BE639</f>
        <v>8.1757523448807294</v>
      </c>
      <c r="BF638" s="1255">
        <f>BF592*BF639</f>
        <v>8.0308161020440405</v>
      </c>
      <c r="BG638" s="1256">
        <f>SUM(BC638:BF638)</f>
        <v>34.009448236497448</v>
      </c>
      <c r="BH638" s="1255">
        <f>BH592*BH639</f>
        <v>9.2471433299890187</v>
      </c>
      <c r="BI638" s="1255">
        <f>BI592*BI639</f>
        <v>9.6239092469580196</v>
      </c>
      <c r="BJ638" s="1255">
        <f>BJ592*BJ639</f>
        <v>8.6662974855735762</v>
      </c>
      <c r="BK638" s="1255">
        <f>BK592*BK639</f>
        <v>8.5126650681666831</v>
      </c>
      <c r="BL638" s="1256">
        <f>SUM(BH638:BK638)</f>
        <v>36.050015130687299</v>
      </c>
      <c r="BM638" s="1255">
        <f>BM592*BM639</f>
        <v>9.8019719297883618</v>
      </c>
      <c r="BN638" s="1255">
        <f>BN592*BN639</f>
        <v>10.201343801775504</v>
      </c>
      <c r="BO638" s="1255">
        <f>BO592*BO639</f>
        <v>9.1862753347079913</v>
      </c>
      <c r="BP638" s="1255">
        <f>BP592*BP639</f>
        <v>9.0234249722566862</v>
      </c>
      <c r="BQ638" s="1256">
        <f>SUM(BM638:BP638)</f>
        <v>38.213016038528544</v>
      </c>
      <c r="BR638" s="1255">
        <f>BR592*BR639</f>
        <v>10.390090245575664</v>
      </c>
      <c r="BS638" s="1255">
        <f>BS592*BS639</f>
        <v>10.813424429882033</v>
      </c>
      <c r="BT638" s="1255">
        <f>BT592*BT639</f>
        <v>9.7374518547904714</v>
      </c>
      <c r="BU638" s="1255">
        <f>BU592*BU639</f>
        <v>9.5648304705920886</v>
      </c>
      <c r="BV638" s="1256">
        <f>SUM(BR638:BU638)</f>
        <v>40.505797000840261</v>
      </c>
      <c r="BW638" s="1255">
        <f>BW592*BW639</f>
        <v>11.013495660310207</v>
      </c>
      <c r="BX638" s="1255">
        <f>BX592*BX639</f>
        <v>11.462229895674959</v>
      </c>
      <c r="BY638" s="1255">
        <f>BY592*BY639</f>
        <v>10.321698966077902</v>
      </c>
      <c r="BZ638" s="1255">
        <f>BZ592*BZ639</f>
        <v>10.138720298827616</v>
      </c>
      <c r="CA638" s="1256">
        <f>SUM(BW638:BZ638)</f>
        <v>42.936144820890682</v>
      </c>
      <c r="CC638" s="14"/>
      <c r="CD638" s="14"/>
      <c r="CE638" s="14"/>
      <c r="CF638" s="14"/>
      <c r="CG638" s="14"/>
      <c r="CH638" s="14"/>
      <c r="CI638" s="14"/>
      <c r="CJ638" s="14"/>
      <c r="CK638" s="14"/>
      <c r="CL638" s="14"/>
      <c r="CM638" s="14"/>
      <c r="CN638" s="14"/>
      <c r="CO638" s="14"/>
      <c r="CP638" s="14"/>
      <c r="CQ638" s="14"/>
      <c r="CR638" s="14"/>
      <c r="CS638" s="14"/>
      <c r="CT638" s="14"/>
      <c r="CU638" s="1961"/>
      <c r="DB638" s="1255"/>
      <c r="DC638" s="1961"/>
      <c r="DD638" s="1961"/>
      <c r="DE638" s="1961"/>
      <c r="DF638" s="1961"/>
      <c r="DG638" s="1961"/>
      <c r="DH638" s="1961"/>
      <c r="DI638" s="1255"/>
    </row>
    <row r="639" spans="1:113" hidden="1" outlineLevel="1" x14ac:dyDescent="0.25">
      <c r="A639" s="1217" t="s">
        <v>355</v>
      </c>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c r="AQ639" s="14"/>
      <c r="AR639" s="1205">
        <f>AR638/AR592</f>
        <v>7.6507333188994997E-2</v>
      </c>
      <c r="AS639" s="1205">
        <f>AS638/AS592</f>
        <v>6.9142309006913122E-2</v>
      </c>
      <c r="AT639" s="1205">
        <f>AT638/AT592</f>
        <v>8.9253908738292101E-2</v>
      </c>
      <c r="AU639" s="1205">
        <f>AU638/AU592</f>
        <v>9.9116320327509028E-2</v>
      </c>
      <c r="AV639" s="1205">
        <f>AV638/AV592</f>
        <v>0.10090512321995861</v>
      </c>
      <c r="AW639" s="1206">
        <v>8.5604593898610859E-2</v>
      </c>
      <c r="AX639" s="1205">
        <f>AW639</f>
        <v>8.5604593898610859E-2</v>
      </c>
      <c r="AY639" s="1205">
        <f>AX639</f>
        <v>8.5604593898610859E-2</v>
      </c>
      <c r="AZ639" s="1205">
        <f>AY639</f>
        <v>8.5604593898610859E-2</v>
      </c>
      <c r="BA639" s="1205">
        <f>AZ639</f>
        <v>8.5604593898610859E-2</v>
      </c>
      <c r="BB639" s="1205">
        <f>BB638/BB592</f>
        <v>8.5604593898610859E-2</v>
      </c>
      <c r="BC639" s="1205">
        <f>BB639</f>
        <v>8.5604593898610859E-2</v>
      </c>
      <c r="BD639" s="1205">
        <f>BC639</f>
        <v>8.5604593898610859E-2</v>
      </c>
      <c r="BE639" s="1205">
        <f>BD639</f>
        <v>8.5604593898610859E-2</v>
      </c>
      <c r="BF639" s="1205">
        <f>BE639</f>
        <v>8.5604593898610859E-2</v>
      </c>
      <c r="BG639" s="1205">
        <f>BG638/BG592</f>
        <v>8.5604593898610873E-2</v>
      </c>
      <c r="BH639" s="1205">
        <f>BG639</f>
        <v>8.5604593898610873E-2</v>
      </c>
      <c r="BI639" s="1205">
        <f>BH639</f>
        <v>8.5604593898610873E-2</v>
      </c>
      <c r="BJ639" s="1205">
        <f>BI639</f>
        <v>8.5604593898610873E-2</v>
      </c>
      <c r="BK639" s="1205">
        <f>BJ639</f>
        <v>8.5604593898610873E-2</v>
      </c>
      <c r="BL639" s="1205">
        <f>BL638/BL592</f>
        <v>8.5604593898610887E-2</v>
      </c>
      <c r="BM639" s="1205">
        <f>BL639</f>
        <v>8.5604593898610887E-2</v>
      </c>
      <c r="BN639" s="1205">
        <f>BM639</f>
        <v>8.5604593898610887E-2</v>
      </c>
      <c r="BO639" s="1205">
        <f>BN639</f>
        <v>8.5604593898610887E-2</v>
      </c>
      <c r="BP639" s="1205">
        <f>BO639</f>
        <v>8.5604593898610887E-2</v>
      </c>
      <c r="BQ639" s="1205">
        <f>BQ638/BQ592</f>
        <v>8.5604593898610887E-2</v>
      </c>
      <c r="BR639" s="1205">
        <f>BQ639</f>
        <v>8.5604593898610887E-2</v>
      </c>
      <c r="BS639" s="1205">
        <f>BR639</f>
        <v>8.5604593898610887E-2</v>
      </c>
      <c r="BT639" s="1205">
        <f>BS639</f>
        <v>8.5604593898610887E-2</v>
      </c>
      <c r="BU639" s="1205">
        <f>BT639</f>
        <v>8.5604593898610887E-2</v>
      </c>
      <c r="BV639" s="1205">
        <f>BV638/BV592</f>
        <v>8.5604593898610901E-2</v>
      </c>
      <c r="BW639" s="1205">
        <f>BV639</f>
        <v>8.5604593898610901E-2</v>
      </c>
      <c r="BX639" s="1205">
        <f>BW639</f>
        <v>8.5604593898610901E-2</v>
      </c>
      <c r="BY639" s="1205">
        <f>BX639</f>
        <v>8.5604593898610901E-2</v>
      </c>
      <c r="BZ639" s="1205">
        <f>BY639</f>
        <v>8.5604593898610901E-2</v>
      </c>
      <c r="CA639" s="1205">
        <f>CA638/CA592</f>
        <v>8.5604593898610887E-2</v>
      </c>
      <c r="CC639" s="14"/>
      <c r="CD639" s="14"/>
      <c r="CE639" s="14"/>
      <c r="CF639" s="14"/>
      <c r="CG639" s="14"/>
      <c r="CH639" s="14"/>
      <c r="CI639" s="14"/>
      <c r="CJ639" s="14"/>
      <c r="CK639" s="14"/>
      <c r="CL639" s="14"/>
      <c r="CM639" s="14"/>
      <c r="CN639" s="14"/>
      <c r="CO639" s="14"/>
      <c r="CP639" s="14"/>
      <c r="CQ639" s="14"/>
      <c r="CR639" s="14"/>
      <c r="CS639" s="14"/>
      <c r="CT639" s="14"/>
      <c r="CU639" s="1961"/>
      <c r="DB639" s="1206"/>
      <c r="DC639" s="1961"/>
      <c r="DD639" s="1961"/>
      <c r="DE639" s="1961"/>
      <c r="DF639" s="1961"/>
      <c r="DG639" s="1961"/>
      <c r="DH639" s="1961"/>
      <c r="DI639" s="1206"/>
    </row>
    <row r="640" spans="1:113" hidden="1" outlineLevel="1" x14ac:dyDescent="0.2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14"/>
      <c r="AZ640" s="14"/>
      <c r="BA640" s="14"/>
      <c r="BB640" s="17"/>
      <c r="BC640" s="14"/>
      <c r="BD640" s="14"/>
      <c r="BE640" s="14"/>
      <c r="BF640" s="14"/>
      <c r="BG640" s="17"/>
      <c r="BH640" s="14"/>
      <c r="BI640" s="14"/>
      <c r="BJ640" s="14"/>
      <c r="BK640" s="14"/>
      <c r="BL640" s="17"/>
      <c r="BM640" s="14"/>
      <c r="BN640" s="14"/>
      <c r="BO640" s="14"/>
      <c r="BP640" s="14"/>
      <c r="BQ640" s="17"/>
      <c r="BR640" s="14"/>
      <c r="BS640" s="14"/>
      <c r="BT640" s="14"/>
      <c r="BU640" s="14"/>
      <c r="BV640" s="17"/>
      <c r="BW640" s="14"/>
      <c r="BX640" s="14"/>
      <c r="BY640" s="14"/>
      <c r="BZ640" s="14"/>
      <c r="CA640" s="17"/>
      <c r="CC640" s="14"/>
      <c r="CD640" s="14"/>
      <c r="CE640" s="14"/>
      <c r="CF640" s="14"/>
      <c r="CG640" s="14"/>
      <c r="CH640" s="14"/>
      <c r="CI640" s="14"/>
      <c r="CJ640" s="14"/>
      <c r="CK640" s="14"/>
      <c r="CL640" s="14"/>
      <c r="CM640" s="14"/>
      <c r="CN640" s="14"/>
      <c r="CO640" s="14"/>
      <c r="CP640" s="14"/>
      <c r="CQ640" s="14"/>
      <c r="CR640" s="14"/>
      <c r="CS640" s="14"/>
      <c r="CT640" s="14"/>
      <c r="CU640" s="1961"/>
      <c r="DB640" s="1961"/>
      <c r="DC640" s="1961"/>
      <c r="DD640" s="1961"/>
      <c r="DE640" s="1961"/>
      <c r="DF640" s="1961"/>
      <c r="DG640" s="1961"/>
      <c r="DH640" s="1961"/>
      <c r="DI640" s="18"/>
    </row>
    <row r="641" spans="1:88" hidden="1" outlineLevel="1" x14ac:dyDescent="0.25">
      <c r="A641" s="1252" t="s">
        <v>371</v>
      </c>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c r="AQ641" s="14"/>
      <c r="AR641" s="14"/>
      <c r="AS641" s="14"/>
      <c r="AT641" s="1255">
        <v>33</v>
      </c>
      <c r="AU641" s="1255">
        <f>AT641</f>
        <v>33</v>
      </c>
      <c r="AV641" s="1255">
        <f>AU641</f>
        <v>33</v>
      </c>
      <c r="AW641" s="643"/>
      <c r="AX641" s="1255">
        <v>30</v>
      </c>
      <c r="AY641" s="1255">
        <f>AX641</f>
        <v>30</v>
      </c>
      <c r="AZ641" s="1255">
        <f>AY641</f>
        <v>30</v>
      </c>
      <c r="BA641" s="1255">
        <f>AZ641</f>
        <v>30</v>
      </c>
      <c r="BB641" s="1257"/>
      <c r="BC641" s="1255">
        <v>30</v>
      </c>
      <c r="BD641" s="1255">
        <f>BC641</f>
        <v>30</v>
      </c>
      <c r="BE641" s="1255">
        <f>BD641</f>
        <v>30</v>
      </c>
      <c r="BF641" s="1255">
        <f>BE641</f>
        <v>30</v>
      </c>
      <c r="BG641" s="1257"/>
      <c r="BH641" s="1255">
        <f>BG641</f>
        <v>0</v>
      </c>
      <c r="BI641" s="1255">
        <f>BH641</f>
        <v>0</v>
      </c>
      <c r="BJ641" s="1255">
        <f>BI641</f>
        <v>0</v>
      </c>
      <c r="BK641" s="1255">
        <f>BJ641</f>
        <v>0</v>
      </c>
      <c r="BL641" s="1257"/>
      <c r="BM641" s="1255">
        <f>BL641</f>
        <v>0</v>
      </c>
      <c r="BN641" s="1255">
        <f>BM641</f>
        <v>0</v>
      </c>
      <c r="BO641" s="1255">
        <f>BN641</f>
        <v>0</v>
      </c>
      <c r="BP641" s="1255">
        <f>BO641</f>
        <v>0</v>
      </c>
      <c r="BQ641" s="1257"/>
      <c r="BR641" s="1255">
        <f>BQ641</f>
        <v>0</v>
      </c>
      <c r="BS641" s="1255">
        <f>BR641</f>
        <v>0</v>
      </c>
      <c r="BT641" s="1255">
        <f>BS641</f>
        <v>0</v>
      </c>
      <c r="BU641" s="1255">
        <f>BT641</f>
        <v>0</v>
      </c>
      <c r="BV641" s="1257"/>
      <c r="BW641" s="1255">
        <f>BV641</f>
        <v>0</v>
      </c>
      <c r="BX641" s="1255">
        <f>BW641</f>
        <v>0</v>
      </c>
      <c r="BY641" s="1255">
        <f>BX641</f>
        <v>0</v>
      </c>
      <c r="BZ641" s="1255">
        <f>BY641</f>
        <v>0</v>
      </c>
      <c r="CA641" s="1257"/>
      <c r="CC641" s="6"/>
      <c r="CD641" s="6"/>
      <c r="CE641" s="6"/>
      <c r="CF641" s="6"/>
      <c r="CG641" s="6"/>
      <c r="CH641" s="6"/>
      <c r="CI641" s="6"/>
      <c r="CJ641" s="6"/>
    </row>
    <row r="642" spans="1:88" hidden="1" outlineLevel="1" x14ac:dyDescent="0.2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643"/>
      <c r="AT642" s="643"/>
      <c r="AU642" s="643"/>
      <c r="AV642" s="643"/>
      <c r="AW642" s="643"/>
      <c r="AX642" s="643"/>
      <c r="AY642" s="643"/>
      <c r="AZ642" s="643"/>
      <c r="BA642" s="643"/>
      <c r="BB642" s="1257"/>
      <c r="BC642" s="643"/>
      <c r="BD642" s="643"/>
      <c r="BE642" s="643"/>
      <c r="BF642" s="643"/>
      <c r="BG642" s="1257"/>
      <c r="BH642" s="643"/>
      <c r="BI642" s="643"/>
      <c r="BJ642" s="643"/>
      <c r="BK642" s="643"/>
      <c r="BL642" s="1257"/>
      <c r="BM642" s="643"/>
      <c r="BN642" s="643"/>
      <c r="BO642" s="643"/>
      <c r="BP642" s="643"/>
      <c r="BQ642" s="1257"/>
      <c r="BR642" s="643"/>
      <c r="BS642" s="643"/>
      <c r="BT642" s="643"/>
      <c r="BU642" s="643"/>
      <c r="BV642" s="1257"/>
      <c r="BW642" s="643"/>
      <c r="BX642" s="643"/>
      <c r="BY642" s="643"/>
      <c r="BZ642" s="643"/>
      <c r="CA642" s="1257"/>
      <c r="CC642" s="14"/>
      <c r="CD642" s="14"/>
      <c r="CE642" s="14"/>
      <c r="CF642" s="14"/>
      <c r="CG642" s="14"/>
      <c r="CH642" s="14"/>
      <c r="CI642" s="14"/>
      <c r="CJ642" s="14"/>
    </row>
    <row r="643" spans="1:88" hidden="1" outlineLevel="1" x14ac:dyDescent="0.2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c r="AP643" s="14"/>
      <c r="AQ643" s="14"/>
      <c r="AR643" s="14"/>
      <c r="AS643" s="14"/>
      <c r="AT643" s="643"/>
      <c r="AU643" s="14"/>
      <c r="AV643" s="14"/>
      <c r="AW643" s="14"/>
      <c r="AX643" s="14"/>
      <c r="AY643" s="14"/>
      <c r="AZ643" s="14"/>
      <c r="BA643" s="14"/>
      <c r="BB643" s="17"/>
      <c r="BC643" s="14"/>
      <c r="BD643" s="14"/>
      <c r="BE643" s="14"/>
      <c r="BF643" s="14"/>
      <c r="BG643" s="17"/>
      <c r="BH643" s="14"/>
      <c r="BI643" s="14"/>
      <c r="BJ643" s="14"/>
      <c r="BK643" s="14"/>
      <c r="BL643" s="17"/>
      <c r="BM643" s="14"/>
      <c r="BN643" s="14"/>
      <c r="BO643" s="14"/>
      <c r="BP643" s="14"/>
      <c r="BQ643" s="17"/>
      <c r="BR643" s="14"/>
      <c r="BS643" s="14"/>
      <c r="BT643" s="14"/>
      <c r="BU643" s="14"/>
      <c r="BV643" s="17"/>
      <c r="BW643" s="14"/>
      <c r="BX643" s="14"/>
      <c r="BY643" s="14"/>
      <c r="BZ643" s="14"/>
      <c r="CA643" s="17"/>
      <c r="CC643" s="14"/>
      <c r="CD643" s="14"/>
      <c r="CE643" s="14"/>
      <c r="CF643" s="14"/>
      <c r="CG643" s="14"/>
      <c r="CH643" s="14"/>
      <c r="CI643" s="14"/>
      <c r="CJ643" s="14"/>
    </row>
    <row r="644" spans="1:88" hidden="1" outlineLevel="1" x14ac:dyDescent="0.2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c r="AX644" s="14"/>
      <c r="AY644" s="14"/>
      <c r="AZ644" s="14"/>
      <c r="BA644" s="14"/>
      <c r="BB644" s="17"/>
      <c r="BC644" s="14"/>
      <c r="BD644" s="14"/>
      <c r="BE644" s="14"/>
      <c r="BF644" s="14"/>
      <c r="BG644" s="17"/>
      <c r="BH644" s="14"/>
      <c r="BI644" s="14"/>
      <c r="BJ644" s="14"/>
      <c r="BK644" s="14"/>
      <c r="BL644" s="17"/>
      <c r="BM644" s="14"/>
      <c r="BN644" s="14"/>
      <c r="BO644" s="14"/>
      <c r="BP644" s="14"/>
      <c r="BQ644" s="17"/>
      <c r="BR644" s="14"/>
      <c r="BS644" s="14"/>
      <c r="BT644" s="14"/>
      <c r="BU644" s="14"/>
      <c r="BV644" s="17"/>
      <c r="BW644" s="14"/>
      <c r="BX644" s="14"/>
      <c r="BY644" s="14"/>
      <c r="BZ644" s="14"/>
      <c r="CA644" s="17"/>
      <c r="CC644" s="14"/>
      <c r="CD644" s="14"/>
      <c r="CE644" s="14"/>
      <c r="CF644" s="14"/>
      <c r="CG644" s="14"/>
      <c r="CH644" s="14"/>
      <c r="CI644" s="14"/>
      <c r="CJ644" s="14"/>
    </row>
    <row r="645" spans="1:88" hidden="1" outlineLevel="1" x14ac:dyDescent="0.25">
      <c r="A645" s="1258" t="s">
        <v>372</v>
      </c>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c r="AO645" s="14"/>
      <c r="AP645" s="14"/>
      <c r="AQ645" s="14"/>
      <c r="AR645" s="14"/>
      <c r="AS645" s="14"/>
      <c r="AT645" s="14"/>
      <c r="AU645" s="14"/>
      <c r="AV645" s="14"/>
      <c r="AW645" s="14"/>
      <c r="AX645" s="14"/>
      <c r="AY645" s="14"/>
      <c r="AZ645" s="14"/>
      <c r="BA645" s="14"/>
      <c r="BB645" s="17"/>
      <c r="BC645" s="14"/>
      <c r="BD645" s="14"/>
      <c r="BE645" s="14"/>
      <c r="BF645" s="14"/>
      <c r="BG645" s="17"/>
      <c r="BH645" s="14"/>
      <c r="BI645" s="14"/>
      <c r="BJ645" s="14"/>
      <c r="BK645" s="14"/>
      <c r="BL645" s="17"/>
      <c r="BM645" s="14"/>
      <c r="BN645" s="14"/>
      <c r="BO645" s="14"/>
      <c r="BP645" s="14"/>
      <c r="BQ645" s="17"/>
      <c r="BR645" s="14"/>
      <c r="BS645" s="14"/>
      <c r="BT645" s="14"/>
      <c r="BU645" s="14"/>
      <c r="BV645" s="17"/>
      <c r="BW645" s="14"/>
      <c r="BX645" s="14"/>
      <c r="BY645" s="14"/>
      <c r="BZ645" s="14"/>
      <c r="CA645" s="17"/>
      <c r="CC645" s="14"/>
      <c r="CD645" s="14"/>
      <c r="CE645" s="14"/>
      <c r="CF645" s="14"/>
      <c r="CG645" s="14"/>
      <c r="CH645" s="14"/>
      <c r="CI645" s="14"/>
      <c r="CJ645" s="14"/>
    </row>
    <row r="646" spans="1:88" hidden="1" outlineLevel="1" x14ac:dyDescent="0.25">
      <c r="A646" s="1259" t="s">
        <v>50</v>
      </c>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636">
        <f t="shared" ref="AN646:AS646" si="675">AN313</f>
        <v>247.32999999999998</v>
      </c>
      <c r="AO646" s="636">
        <f t="shared" si="675"/>
        <v>261.60199999999998</v>
      </c>
      <c r="AP646" s="636">
        <f t="shared" si="675"/>
        <v>287.21100000000001</v>
      </c>
      <c r="AQ646" s="636">
        <f t="shared" si="675"/>
        <v>299.93099999999998</v>
      </c>
      <c r="AR646" s="636">
        <f t="shared" si="675"/>
        <v>1096.0739999999998</v>
      </c>
      <c r="AS646" s="636">
        <f t="shared" si="675"/>
        <v>288.45499999999998</v>
      </c>
      <c r="AT646" s="636">
        <f>AT313+(42/90)*AT592</f>
        <v>369.9697687466666</v>
      </c>
      <c r="AU646" s="636">
        <f>AU313+AU592</f>
        <v>463.67399999999998</v>
      </c>
      <c r="AV646" s="636">
        <f>AV313+AV592</f>
        <v>470.2931563333334</v>
      </c>
      <c r="AW646" s="636">
        <f>SUM(AS646:AV646)</f>
        <v>1592.39192508</v>
      </c>
      <c r="AX646" s="636">
        <f>AX313+AX592</f>
        <v>409.08382</v>
      </c>
      <c r="AY646" s="636">
        <f>AY313+AY592</f>
        <v>417.23490329599997</v>
      </c>
      <c r="AZ646" s="636">
        <f>AZ313+AZ592</f>
        <v>407.40700000000004</v>
      </c>
      <c r="BA646" s="636">
        <f>BA313+BA592</f>
        <v>412.00274571333335</v>
      </c>
      <c r="BB646" s="636">
        <f>SUM(AX646:BA646)</f>
        <v>1645.7284690093334</v>
      </c>
      <c r="BC646" s="636">
        <f>BC313+BC592</f>
        <v>415.10714919999998</v>
      </c>
      <c r="BD646" s="636">
        <f>BD313+BD592</f>
        <v>436.65925749376004</v>
      </c>
      <c r="BE646" s="636">
        <f>BE313+BE592</f>
        <v>451.40600000000001</v>
      </c>
      <c r="BF646" s="636">
        <f>BF313+BF592</f>
        <v>468.91291045613337</v>
      </c>
      <c r="BG646" s="636">
        <f>SUM(BC646:BF646)</f>
        <v>1772.0853171498934</v>
      </c>
      <c r="BH646" s="636">
        <f>BH313+BH592</f>
        <v>477.77907815200001</v>
      </c>
      <c r="BI646" s="636">
        <f>BI313+BI592</f>
        <v>493.3563129433856</v>
      </c>
      <c r="BJ646" s="636">
        <f>BJ313+BJ592</f>
        <v>497.08769333333339</v>
      </c>
      <c r="BK646" s="636">
        <f>BK313+BK592</f>
        <v>506.29468508350129</v>
      </c>
      <c r="BL646" s="636">
        <f>SUM(BH646:BK646)</f>
        <v>1974.5177695122202</v>
      </c>
      <c r="BM646" s="636">
        <f>BM313+BM592</f>
        <v>506.54089284112001</v>
      </c>
      <c r="BN646" s="636">
        <f>BN313+BN592</f>
        <v>523.57942171998877</v>
      </c>
      <c r="BO646" s="636">
        <f>BO313+BO592</f>
        <v>527.66529534999995</v>
      </c>
      <c r="BP646" s="636">
        <f>BP313+BP592</f>
        <v>537.94276618851143</v>
      </c>
      <c r="BQ646" s="636">
        <f>SUM(BM646:BP646)</f>
        <v>2095.7283760996202</v>
      </c>
      <c r="BR646" s="636">
        <f>BR313+BR592</f>
        <v>536.64434641158732</v>
      </c>
      <c r="BS646" s="636">
        <f>BS313+BS592</f>
        <v>554.72739322318807</v>
      </c>
      <c r="BT646" s="636">
        <f>BT313+BT592</f>
        <v>559.10279395850011</v>
      </c>
      <c r="BU646" s="636">
        <f>BU313+BU592</f>
        <v>569.9213665598221</v>
      </c>
      <c r="BV646" s="636">
        <f>SUM(BR646:BU646)</f>
        <v>2220.3959001530975</v>
      </c>
      <c r="BW646" s="636">
        <f>BW313+BW592</f>
        <v>568.6087093002825</v>
      </c>
      <c r="BX646" s="636">
        <f>BX313+BX592</f>
        <v>587.80310787457938</v>
      </c>
      <c r="BY646" s="636">
        <f>BY313+BY592</f>
        <v>592.48923085763511</v>
      </c>
      <c r="BZ646" s="636">
        <f>BZ313+BZ592</f>
        <v>603.87947388941154</v>
      </c>
      <c r="CA646" s="636">
        <f>SUM(BW646:BZ646)</f>
        <v>2352.7805219219085</v>
      </c>
      <c r="CC646" s="14"/>
      <c r="CD646" s="14"/>
      <c r="CE646" s="14"/>
      <c r="CF646" s="14"/>
      <c r="CG646" s="14"/>
      <c r="CH646" s="14"/>
      <c r="CI646" s="14"/>
      <c r="CJ646" s="14"/>
    </row>
    <row r="647" spans="1:88" hidden="1" outlineLevel="1" x14ac:dyDescent="0.25">
      <c r="A647" s="1260" t="s">
        <v>209</v>
      </c>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205">
        <f>AN314</f>
        <v>0.1037378840077825</v>
      </c>
      <c r="AO647" s="1205">
        <f>AO314</f>
        <v>0.10798070366401658</v>
      </c>
      <c r="AP647" s="1205">
        <f>AP314</f>
        <v>0.11810940857703467</v>
      </c>
      <c r="AQ647" s="1205">
        <f>AQ314</f>
        <v>0.1519237711906718</v>
      </c>
      <c r="AR647" s="1205">
        <f>AR314</f>
        <v>0.1213755976088482</v>
      </c>
      <c r="AS647" s="1205">
        <f t="shared" ref="AS647:BB647" si="676">AS646/AN646-1</f>
        <v>0.16627582581975497</v>
      </c>
      <c r="AT647" s="1205">
        <f t="shared" si="676"/>
        <v>0.41424671350626774</v>
      </c>
      <c r="AU647" s="1205">
        <f t="shared" si="676"/>
        <v>0.61440195535686293</v>
      </c>
      <c r="AV647" s="1205">
        <f t="shared" si="676"/>
        <v>0.5680044954784047</v>
      </c>
      <c r="AW647" s="1205">
        <f t="shared" si="676"/>
        <v>0.45281424892844835</v>
      </c>
      <c r="AX647" s="1205">
        <f t="shared" si="676"/>
        <v>0.41818938829280139</v>
      </c>
      <c r="AY647" s="1205">
        <f t="shared" si="676"/>
        <v>0.12775404517361455</v>
      </c>
      <c r="AZ647" s="1205">
        <f t="shared" si="676"/>
        <v>-0.12135034528569633</v>
      </c>
      <c r="BA647" s="1205">
        <f t="shared" si="676"/>
        <v>-0.12394484128679328</v>
      </c>
      <c r="BB647" s="1205">
        <f t="shared" si="676"/>
        <v>3.3494608387099056E-2</v>
      </c>
      <c r="BC647" s="1205">
        <f t="shared" ref="BC647:CA647" si="677">BC646/AX646-1</f>
        <v>1.4723948749671756E-2</v>
      </c>
      <c r="BD647" s="1205">
        <f t="shared" si="677"/>
        <v>4.6554959914223204E-2</v>
      </c>
      <c r="BE647" s="1205">
        <f t="shared" si="677"/>
        <v>0.10799765345219892</v>
      </c>
      <c r="BF647" s="1205">
        <f t="shared" si="677"/>
        <v>0.13813054727163743</v>
      </c>
      <c r="BG647" s="1205">
        <f t="shared" si="677"/>
        <v>7.677867310433184E-2</v>
      </c>
      <c r="BH647" s="1205">
        <f t="shared" si="677"/>
        <v>0.15097771520625991</v>
      </c>
      <c r="BI647" s="1205">
        <f t="shared" si="677"/>
        <v>0.12984278811593897</v>
      </c>
      <c r="BJ647" s="1205">
        <f t="shared" si="677"/>
        <v>0.10119868440679425</v>
      </c>
      <c r="BK647" s="1205">
        <f t="shared" si="677"/>
        <v>7.9720079771326668E-2</v>
      </c>
      <c r="BL647" s="1205">
        <f t="shared" si="677"/>
        <v>0.11423403286694223</v>
      </c>
      <c r="BM647" s="1205">
        <f t="shared" si="677"/>
        <v>6.0198983179355015E-2</v>
      </c>
      <c r="BN647" s="1205">
        <f t="shared" si="677"/>
        <v>6.1260204812807029E-2</v>
      </c>
      <c r="BO647" s="1205">
        <f t="shared" si="677"/>
        <v>6.1513496364437259E-2</v>
      </c>
      <c r="BP647" s="1205">
        <f t="shared" si="677"/>
        <v>6.2509210618694411E-2</v>
      </c>
      <c r="BQ647" s="1205">
        <f t="shared" si="677"/>
        <v>6.1387447841172671E-2</v>
      </c>
      <c r="BR647" s="1205">
        <f t="shared" si="677"/>
        <v>5.9429463634458113E-2</v>
      </c>
      <c r="BS647" s="1205">
        <f t="shared" si="677"/>
        <v>5.9490442540458099E-2</v>
      </c>
      <c r="BT647" s="1205">
        <f t="shared" si="677"/>
        <v>5.9578484477831095E-2</v>
      </c>
      <c r="BU647" s="1205">
        <f t="shared" si="677"/>
        <v>5.944610166967923E-2</v>
      </c>
      <c r="BV647" s="1205">
        <f t="shared" si="677"/>
        <v>5.9486489506572982E-2</v>
      </c>
      <c r="BW647" s="1205">
        <f t="shared" si="677"/>
        <v>5.9563401911215896E-2</v>
      </c>
      <c r="BX647" s="1205">
        <f t="shared" si="677"/>
        <v>5.9625169146971801E-2</v>
      </c>
      <c r="BY647" s="1205">
        <f t="shared" si="677"/>
        <v>5.9714308817446327E-2</v>
      </c>
      <c r="BZ647" s="1205">
        <f t="shared" si="677"/>
        <v>5.9583846688479936E-2</v>
      </c>
      <c r="CA647" s="1205">
        <f t="shared" si="677"/>
        <v>5.9622079900112812E-2</v>
      </c>
      <c r="CC647" s="14"/>
      <c r="CD647" s="14"/>
      <c r="CE647" s="14"/>
      <c r="CF647" s="14"/>
      <c r="CG647" s="14"/>
      <c r="CH647" s="14"/>
      <c r="CI647" s="14"/>
      <c r="CJ647" s="14"/>
    </row>
    <row r="648" spans="1:88" hidden="1" outlineLevel="1" x14ac:dyDescent="0.25">
      <c r="A648" s="1260"/>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c r="AO648" s="14"/>
      <c r="AP648" s="14"/>
      <c r="AQ648" s="14"/>
      <c r="AR648" s="14"/>
      <c r="AS648" s="14"/>
      <c r="AT648" s="14"/>
      <c r="AU648" s="14"/>
      <c r="AV648" s="14"/>
      <c r="AW648" s="14"/>
      <c r="AX648" s="14"/>
      <c r="AY648" s="14"/>
      <c r="AZ648" s="14"/>
      <c r="BA648" s="14"/>
      <c r="BB648" s="14"/>
      <c r="BC648" s="14"/>
      <c r="BD648" s="14"/>
      <c r="BE648" s="14"/>
      <c r="BF648" s="14"/>
      <c r="BG648" s="14"/>
      <c r="BH648" s="14"/>
      <c r="BI648" s="14"/>
      <c r="BJ648" s="14"/>
      <c r="BK648" s="14"/>
      <c r="BL648" s="14"/>
      <c r="BM648" s="14"/>
      <c r="BN648" s="14"/>
      <c r="BO648" s="14"/>
      <c r="BP648" s="14"/>
      <c r="BQ648" s="14"/>
      <c r="BR648" s="14"/>
      <c r="BS648" s="14"/>
      <c r="BT648" s="14"/>
      <c r="BU648" s="14"/>
      <c r="BV648" s="14"/>
      <c r="BW648" s="14"/>
      <c r="BX648" s="14"/>
      <c r="BY648" s="14"/>
      <c r="BZ648" s="14"/>
      <c r="CA648" s="14"/>
      <c r="CC648" s="14"/>
      <c r="CD648" s="14"/>
      <c r="CE648" s="14"/>
      <c r="CF648" s="14"/>
      <c r="CG648" s="14"/>
      <c r="CH648" s="14"/>
      <c r="CI648" s="14"/>
      <c r="CJ648" s="14"/>
    </row>
    <row r="649" spans="1:88" hidden="1" outlineLevel="1" x14ac:dyDescent="0.25">
      <c r="A649" s="1260" t="s">
        <v>56</v>
      </c>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636">
        <f t="shared" ref="AN649:AS649" si="678">AN317</f>
        <v>119.759</v>
      </c>
      <c r="AO649" s="636">
        <f t="shared" si="678"/>
        <v>120.023</v>
      </c>
      <c r="AP649" s="636">
        <f t="shared" si="678"/>
        <v>130.059</v>
      </c>
      <c r="AQ649" s="636">
        <f t="shared" si="678"/>
        <v>138.57</v>
      </c>
      <c r="AR649" s="636">
        <f t="shared" si="678"/>
        <v>508.411</v>
      </c>
      <c r="AS649" s="636">
        <f t="shared" si="678"/>
        <v>133.244</v>
      </c>
      <c r="AT649" s="636">
        <f>AT317+(42/90)*AT599</f>
        <v>161.30066328000001</v>
      </c>
      <c r="AU649" s="636">
        <f>AU317+AU599</f>
        <v>196.76499999999999</v>
      </c>
      <c r="AV649" s="636">
        <f>AV317+AV599</f>
        <v>197.53219409666667</v>
      </c>
      <c r="AW649" s="636">
        <f>SUM(AS649:AV649)</f>
        <v>688.84185737666667</v>
      </c>
      <c r="AX649" s="636">
        <f>AX317+AX599</f>
        <v>157.64105749999999</v>
      </c>
      <c r="AY649" s="636">
        <f>AY317+AY599</f>
        <v>160.96396373600001</v>
      </c>
      <c r="AZ649" s="636">
        <f>AZ317+AZ599</f>
        <v>151.38650000000001</v>
      </c>
      <c r="BA649" s="636">
        <f>BA317+BA599</f>
        <v>161.28852964250001</v>
      </c>
      <c r="BB649" s="636">
        <f>SUM(AX649:BA649)</f>
        <v>631.28005087849999</v>
      </c>
      <c r="BC649" s="636">
        <f>BC317+BC599</f>
        <v>166.21518094999999</v>
      </c>
      <c r="BD649" s="636">
        <f>BD317+BD599</f>
        <v>175.37222156016</v>
      </c>
      <c r="BE649" s="636">
        <f>BE317+BE599</f>
        <v>177.51474999999999</v>
      </c>
      <c r="BF649" s="636">
        <f>BF317+BF599</f>
        <v>186.77984142105001</v>
      </c>
      <c r="BG649" s="636">
        <f>SUM(BC649:BF649)</f>
        <v>705.8819939312101</v>
      </c>
      <c r="BH649" s="636">
        <f>BH317+BH599</f>
        <v>199.01741805221076</v>
      </c>
      <c r="BI649" s="636">
        <f>BI317+BI599</f>
        <v>202.21284629660079</v>
      </c>
      <c r="BJ649" s="636">
        <f>BJ317+BJ599</f>
        <v>195.57008044347668</v>
      </c>
      <c r="BK649" s="636">
        <f>BK317+BK599</f>
        <v>201.7238891710424</v>
      </c>
      <c r="BL649" s="636">
        <f>SUM(BH649:BK649)</f>
        <v>798.52423396333063</v>
      </c>
      <c r="BM649" s="636">
        <f>BM317+BM599</f>
        <v>210.21514213519012</v>
      </c>
      <c r="BN649" s="636">
        <f>BN317+BN599</f>
        <v>213.7980227473914</v>
      </c>
      <c r="BO649" s="636">
        <f>BO317+BO599</f>
        <v>206.76311674893441</v>
      </c>
      <c r="BP649" s="636">
        <f>BP317+BP599</f>
        <v>213.47569681638359</v>
      </c>
      <c r="BQ649" s="636">
        <f>SUM(BM649:BP649)</f>
        <v>844.25197844789955</v>
      </c>
      <c r="BR649" s="636">
        <f>BR317+BR599</f>
        <v>221.87419622692966</v>
      </c>
      <c r="BS649" s="636">
        <f>BS317+BS599</f>
        <v>225.65752248470022</v>
      </c>
      <c r="BT649" s="636">
        <f>BT317+BT599</f>
        <v>218.19008617327177</v>
      </c>
      <c r="BU649" s="636">
        <f>BU317+BU599</f>
        <v>225.24803173172566</v>
      </c>
      <c r="BV649" s="636">
        <f>SUM(BR649:BU649)</f>
        <v>890.96983661662728</v>
      </c>
      <c r="BW649" s="636">
        <f>BW317+BW599</f>
        <v>234.20723874205765</v>
      </c>
      <c r="BX649" s="636">
        <f>BX317+BX599</f>
        <v>238.20262995313715</v>
      </c>
      <c r="BY649" s="636">
        <f>BY317+BY599</f>
        <v>230.27470397186639</v>
      </c>
      <c r="BZ649" s="636">
        <f>BZ317+BZ599</f>
        <v>237.69712041334259</v>
      </c>
      <c r="CA649" s="636">
        <f>SUM(BW649:BZ649)</f>
        <v>940.38169308040369</v>
      </c>
      <c r="CC649" s="14"/>
      <c r="CD649" s="14"/>
      <c r="CE649" s="14"/>
      <c r="CF649" s="14"/>
      <c r="CG649" s="14"/>
      <c r="CH649" s="14"/>
      <c r="CI649" s="14"/>
      <c r="CJ649" s="14"/>
    </row>
    <row r="650" spans="1:88" hidden="1" outlineLevel="1" x14ac:dyDescent="0.25">
      <c r="A650" s="1260" t="s">
        <v>57</v>
      </c>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205">
        <f t="shared" ref="AN650:BB650" si="679">1-(AN649/AN646)</f>
        <v>0.51579266566934856</v>
      </c>
      <c r="AO650" s="1205">
        <f t="shared" si="679"/>
        <v>0.5411999908257582</v>
      </c>
      <c r="AP650" s="1205">
        <f t="shared" si="679"/>
        <v>0.54716567262395943</v>
      </c>
      <c r="AQ650" s="1205">
        <f t="shared" si="679"/>
        <v>0.53799373855986876</v>
      </c>
      <c r="AR650" s="1205">
        <f t="shared" si="679"/>
        <v>0.5361526685242054</v>
      </c>
      <c r="AS650" s="1205">
        <f t="shared" si="679"/>
        <v>0.53807699641191864</v>
      </c>
      <c r="AT650" s="1205">
        <f t="shared" si="679"/>
        <v>0.56401663890962628</v>
      </c>
      <c r="AU650" s="1205">
        <f t="shared" si="679"/>
        <v>0.57563935006060296</v>
      </c>
      <c r="AV650" s="1205">
        <f t="shared" si="679"/>
        <v>0.5799807174811189</v>
      </c>
      <c r="AW650" s="1205">
        <f t="shared" si="679"/>
        <v>0.56741688617765385</v>
      </c>
      <c r="AX650" s="1205">
        <f t="shared" si="679"/>
        <v>0.61464851506471219</v>
      </c>
      <c r="AY650" s="1205">
        <f t="shared" si="679"/>
        <v>0.61421261149428108</v>
      </c>
      <c r="AZ650" s="1205">
        <f t="shared" si="679"/>
        <v>0.62841458296003749</v>
      </c>
      <c r="BA650" s="1205">
        <f t="shared" si="679"/>
        <v>0.60852559522813798</v>
      </c>
      <c r="BB650" s="1205">
        <f t="shared" si="679"/>
        <v>0.61641299718263554</v>
      </c>
      <c r="BC650" s="1205">
        <f t="shared" ref="BC650:CA650" si="680">1-(BC649/BC646)</f>
        <v>0.59958487520551718</v>
      </c>
      <c r="BD650" s="1205">
        <f t="shared" si="680"/>
        <v>0.59837741087473428</v>
      </c>
      <c r="BE650" s="1205">
        <f t="shared" si="680"/>
        <v>0.60675146099077115</v>
      </c>
      <c r="BF650" s="1205">
        <f t="shared" si="680"/>
        <v>0.60167477316979689</v>
      </c>
      <c r="BG650" s="1205">
        <f t="shared" si="680"/>
        <v>0.60166590902829409</v>
      </c>
      <c r="BH650" s="1205">
        <f t="shared" si="680"/>
        <v>0.58345304942612908</v>
      </c>
      <c r="BI650" s="1205">
        <f t="shared" si="680"/>
        <v>0.59012818729289185</v>
      </c>
      <c r="BJ650" s="1205">
        <f t="shared" si="680"/>
        <v>0.6065682513038344</v>
      </c>
      <c r="BK650" s="1205">
        <f t="shared" si="680"/>
        <v>0.60156822673780819</v>
      </c>
      <c r="BL650" s="1205">
        <f t="shared" si="680"/>
        <v>0.59558518728317345</v>
      </c>
      <c r="BM650" s="1205">
        <f t="shared" si="680"/>
        <v>0.58499867413246431</v>
      </c>
      <c r="BN650" s="1205">
        <f t="shared" si="680"/>
        <v>0.59166076075898388</v>
      </c>
      <c r="BO650" s="1205">
        <f t="shared" si="680"/>
        <v>0.60815479325433253</v>
      </c>
      <c r="BP650" s="1205">
        <f t="shared" si="680"/>
        <v>0.6031628079527418</v>
      </c>
      <c r="BQ650" s="1205">
        <f t="shared" si="680"/>
        <v>0.59715582034579073</v>
      </c>
      <c r="BR650" s="1205">
        <f t="shared" si="680"/>
        <v>0.5865526251966513</v>
      </c>
      <c r="BS650" s="1205">
        <f t="shared" si="680"/>
        <v>0.59321006093905027</v>
      </c>
      <c r="BT650" s="1205">
        <f t="shared" si="680"/>
        <v>0.60974960502617859</v>
      </c>
      <c r="BU650" s="1205">
        <f t="shared" si="680"/>
        <v>0.60477349166363914</v>
      </c>
      <c r="BV650" s="1205">
        <f t="shared" si="680"/>
        <v>0.59873379492585332</v>
      </c>
      <c r="BW650" s="1205">
        <f t="shared" si="680"/>
        <v>0.58810472841636918</v>
      </c>
      <c r="BX650" s="1205">
        <f t="shared" si="680"/>
        <v>0.59475779089626235</v>
      </c>
      <c r="BY650" s="1205">
        <f t="shared" si="680"/>
        <v>0.61134364646840744</v>
      </c>
      <c r="BZ650" s="1205">
        <f t="shared" si="680"/>
        <v>0.60638317629442717</v>
      </c>
      <c r="CA650" s="1205">
        <f t="shared" si="680"/>
        <v>0.60031049036727113</v>
      </c>
      <c r="CC650" s="14"/>
      <c r="CD650" s="14"/>
      <c r="CE650" s="14"/>
      <c r="CF650" s="14"/>
      <c r="CG650" s="14"/>
      <c r="CH650" s="14"/>
      <c r="CI650" s="14"/>
      <c r="CJ650" s="14"/>
    </row>
    <row r="651" spans="1:88" hidden="1" outlineLevel="1" x14ac:dyDescent="0.25">
      <c r="A651" s="1260"/>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c r="AQ651" s="14"/>
      <c r="AR651" s="14"/>
      <c r="AS651" s="14"/>
      <c r="AT651" s="14"/>
      <c r="AU651" s="14"/>
      <c r="AV651" s="14"/>
      <c r="AW651" s="14"/>
      <c r="AX651" s="14"/>
      <c r="AY651" s="14"/>
      <c r="AZ651" s="14"/>
      <c r="BA651" s="14"/>
      <c r="BB651" s="14"/>
      <c r="BC651" s="14"/>
      <c r="BD651" s="14"/>
      <c r="BE651" s="14"/>
      <c r="BF651" s="14"/>
      <c r="BG651" s="14"/>
      <c r="BH651" s="14"/>
      <c r="BI651" s="14"/>
      <c r="BJ651" s="14"/>
      <c r="BK651" s="14"/>
      <c r="BL651" s="14"/>
      <c r="BM651" s="14"/>
      <c r="BN651" s="14"/>
      <c r="BO651" s="14"/>
      <c r="BP651" s="14"/>
      <c r="BQ651" s="14"/>
      <c r="BR651" s="14"/>
      <c r="BS651" s="14"/>
      <c r="BT651" s="14"/>
      <c r="BU651" s="14"/>
      <c r="BV651" s="14"/>
      <c r="BW651" s="14"/>
      <c r="BX651" s="14"/>
      <c r="BY651" s="14"/>
      <c r="BZ651" s="14"/>
      <c r="CA651" s="14"/>
      <c r="CC651" s="14"/>
      <c r="CD651" s="14"/>
      <c r="CE651" s="14"/>
      <c r="CF651" s="14"/>
      <c r="CG651" s="14"/>
      <c r="CH651" s="14"/>
      <c r="CI651" s="14"/>
      <c r="CJ651" s="14"/>
    </row>
    <row r="652" spans="1:88" hidden="1" outlineLevel="1" x14ac:dyDescent="0.25">
      <c r="A652" s="1260" t="s">
        <v>58</v>
      </c>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636">
        <f t="shared" ref="AN652:AS652" si="681">AN323</f>
        <v>38.051000000000002</v>
      </c>
      <c r="AO652" s="636">
        <f t="shared" si="681"/>
        <v>38.625</v>
      </c>
      <c r="AP652" s="636">
        <f t="shared" si="681"/>
        <v>38.604999999999997</v>
      </c>
      <c r="AQ652" s="636">
        <f t="shared" si="681"/>
        <v>38.171999999999997</v>
      </c>
      <c r="AR652" s="636">
        <f t="shared" si="681"/>
        <v>153.453</v>
      </c>
      <c r="AS652" s="636">
        <f t="shared" si="681"/>
        <v>39.237000000000002</v>
      </c>
      <c r="AT652" s="636">
        <f>AT323+(42/90)*AT605</f>
        <v>77.388768549546668</v>
      </c>
      <c r="AU652" s="636">
        <f>AU323+AU605</f>
        <v>73.948999999999998</v>
      </c>
      <c r="AV652" s="636">
        <f>AV323+AV605</f>
        <v>77.813220234333329</v>
      </c>
      <c r="AW652" s="636">
        <f>SUM(AS652:AV652)</f>
        <v>268.38798878388002</v>
      </c>
      <c r="AX652" s="636">
        <f>AX323+AX605</f>
        <v>69.208293499999996</v>
      </c>
      <c r="AY652" s="636">
        <f>AY323+AY605</f>
        <v>71.514783076800001</v>
      </c>
      <c r="AZ652" s="636">
        <f>AZ323+AZ605</f>
        <v>71.145499999999998</v>
      </c>
      <c r="BA652" s="636">
        <f>BA323+BA605</f>
        <v>68.687980499833344</v>
      </c>
      <c r="BB652" s="636">
        <f>SUM(AX652:BA652)</f>
        <v>280.55655707663334</v>
      </c>
      <c r="BC652" s="636">
        <f>BC323+BC605</f>
        <v>73.933751110000003</v>
      </c>
      <c r="BD652" s="636">
        <f>BD323+BD605</f>
        <v>76.260370061407997</v>
      </c>
      <c r="BE652" s="636">
        <f>BE323+BE605</f>
        <v>77.113550000000004</v>
      </c>
      <c r="BF652" s="636">
        <f>BF323+BF605</f>
        <v>80.517259329823332</v>
      </c>
      <c r="BG652" s="636">
        <f>SUM(BC652:BF652)</f>
        <v>307.82493050123134</v>
      </c>
      <c r="BH652" s="636">
        <f>BH323+BH605</f>
        <v>81.806468734071274</v>
      </c>
      <c r="BI652" s="636">
        <f>BI323+BI605</f>
        <v>84.635022179188056</v>
      </c>
      <c r="BJ652" s="636">
        <f>BJ323+BJ605</f>
        <v>84.896527465673884</v>
      </c>
      <c r="BK652" s="636">
        <f>BK323+BK605</f>
        <v>86.928494036506876</v>
      </c>
      <c r="BL652" s="636">
        <f>SUM(BH652:BK652)</f>
        <v>338.2665124154401</v>
      </c>
      <c r="BM652" s="636">
        <f>BM323+BM605</f>
        <v>86.338992029954625</v>
      </c>
      <c r="BN652" s="636">
        <f>BN323+BN605</f>
        <v>89.414736605232747</v>
      </c>
      <c r="BO652" s="636">
        <f>BO323+BO605</f>
        <v>89.697644498011726</v>
      </c>
      <c r="BP652" s="636">
        <f>BP323+BP605</f>
        <v>91.928764913146779</v>
      </c>
      <c r="BQ652" s="636">
        <f>SUM(BM652:BP652)</f>
        <v>357.38013804634591</v>
      </c>
      <c r="BR652" s="636">
        <f>BR323+BR605</f>
        <v>91.055184924881416</v>
      </c>
      <c r="BS652" s="636">
        <f>BS323+BS605</f>
        <v>94.305981819759182</v>
      </c>
      <c r="BT652" s="636">
        <f>BT323+BT605</f>
        <v>94.596625087695969</v>
      </c>
      <c r="BU652" s="636">
        <f>BU323+BU605</f>
        <v>96.93568140942223</v>
      </c>
      <c r="BV652" s="636">
        <f>SUM(BR652:BU652)</f>
        <v>376.89347324175878</v>
      </c>
      <c r="BW652" s="636">
        <f>BW323+BW605</f>
        <v>96.039152863984555</v>
      </c>
      <c r="BX652" s="636">
        <f>BX323+BX605</f>
        <v>99.475392485198796</v>
      </c>
      <c r="BY652" s="636">
        <f>BY323+BY605</f>
        <v>99.773718949810515</v>
      </c>
      <c r="BZ652" s="636">
        <f>BZ323+BZ605</f>
        <v>102.22632355959392</v>
      </c>
      <c r="CA652" s="636">
        <f>SUM(BW652:BZ652)</f>
        <v>397.51458785858779</v>
      </c>
      <c r="CC652" s="14"/>
      <c r="CD652" s="14"/>
      <c r="CE652" s="14"/>
      <c r="CF652" s="14"/>
      <c r="CG652" s="14"/>
      <c r="CH652" s="14"/>
      <c r="CI652" s="14"/>
      <c r="CJ652" s="14"/>
    </row>
    <row r="653" spans="1:88" hidden="1" outlineLevel="1" x14ac:dyDescent="0.25">
      <c r="A653" s="1260" t="s">
        <v>217</v>
      </c>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205">
        <f t="shared" ref="AN653:BB653" si="682">AN652/AN646</f>
        <v>0.15384708688796347</v>
      </c>
      <c r="AO653" s="1205">
        <f t="shared" si="682"/>
        <v>0.14764795376182141</v>
      </c>
      <c r="AP653" s="1205">
        <f t="shared" si="682"/>
        <v>0.13441337553227417</v>
      </c>
      <c r="AQ653" s="1205">
        <f t="shared" si="682"/>
        <v>0.12726927193254448</v>
      </c>
      <c r="AR653" s="1205">
        <f t="shared" si="682"/>
        <v>0.1400024085964999</v>
      </c>
      <c r="AS653" s="1205">
        <f t="shared" si="682"/>
        <v>0.13602468322615313</v>
      </c>
      <c r="AT653" s="1205">
        <f t="shared" si="682"/>
        <v>0.20917592486465542</v>
      </c>
      <c r="AU653" s="1205">
        <f t="shared" si="682"/>
        <v>0.15948489671622734</v>
      </c>
      <c r="AV653" s="1205">
        <f t="shared" si="682"/>
        <v>0.16545684151776394</v>
      </c>
      <c r="AW653" s="1205">
        <f t="shared" si="682"/>
        <v>0.16854392725609715</v>
      </c>
      <c r="AX653" s="1205">
        <f t="shared" si="682"/>
        <v>0.16917876023549402</v>
      </c>
      <c r="AY653" s="1205">
        <f t="shared" si="682"/>
        <v>0.17140172720896529</v>
      </c>
      <c r="AZ653" s="1205">
        <f t="shared" si="682"/>
        <v>0.17463003826640189</v>
      </c>
      <c r="BA653" s="1205">
        <f t="shared" si="682"/>
        <v>0.16671728820862186</v>
      </c>
      <c r="BB653" s="1205">
        <f t="shared" si="682"/>
        <v>0.17047560539893791</v>
      </c>
      <c r="BC653" s="1205">
        <f t="shared" ref="BC653:CA653" si="683">BC652/BC646</f>
        <v>0.1781076313729747</v>
      </c>
      <c r="BD653" s="1205">
        <f t="shared" si="683"/>
        <v>0.17464503214499644</v>
      </c>
      <c r="BE653" s="1205">
        <f t="shared" si="683"/>
        <v>0.17082969654811855</v>
      </c>
      <c r="BF653" s="1205">
        <f t="shared" si="683"/>
        <v>0.17171047658188907</v>
      </c>
      <c r="BG653" s="1205">
        <f t="shared" si="683"/>
        <v>0.17370773716263102</v>
      </c>
      <c r="BH653" s="1205">
        <f t="shared" si="683"/>
        <v>0.17122237551817929</v>
      </c>
      <c r="BI653" s="1205">
        <f t="shared" si="683"/>
        <v>0.17154948656530158</v>
      </c>
      <c r="BJ653" s="1205">
        <f t="shared" si="683"/>
        <v>0.17078782799143771</v>
      </c>
      <c r="BK653" s="1205">
        <f t="shared" si="683"/>
        <v>0.17169545049079488</v>
      </c>
      <c r="BL653" s="1205">
        <f t="shared" si="683"/>
        <v>0.17131601327599325</v>
      </c>
      <c r="BM653" s="1205">
        <f t="shared" si="683"/>
        <v>0.1704482170149991</v>
      </c>
      <c r="BN653" s="1205">
        <f t="shared" si="683"/>
        <v>0.17077588021221338</v>
      </c>
      <c r="BO653" s="1205">
        <f t="shared" si="683"/>
        <v>0.16998966065887536</v>
      </c>
      <c r="BP653" s="1205">
        <f t="shared" si="683"/>
        <v>0.17088948990705854</v>
      </c>
      <c r="BQ653" s="1205">
        <f t="shared" si="683"/>
        <v>0.17052789002717492</v>
      </c>
      <c r="BR653" s="1205">
        <f t="shared" si="683"/>
        <v>0.16967510332261154</v>
      </c>
      <c r="BS653" s="1205">
        <f t="shared" si="683"/>
        <v>0.17000419119705573</v>
      </c>
      <c r="BT653" s="1205">
        <f t="shared" si="683"/>
        <v>0.16919361897289587</v>
      </c>
      <c r="BU653" s="1205">
        <f t="shared" si="683"/>
        <v>0.1700860629152203</v>
      </c>
      <c r="BV653" s="1205">
        <f t="shared" si="683"/>
        <v>0.16974156420292966</v>
      </c>
      <c r="BW653" s="1205">
        <f t="shared" si="683"/>
        <v>0.16890200817037826</v>
      </c>
      <c r="BX653" s="1205">
        <f t="shared" si="683"/>
        <v>0.16923250515787344</v>
      </c>
      <c r="BY653" s="1205">
        <f t="shared" si="683"/>
        <v>0.16839752311681158</v>
      </c>
      <c r="BZ653" s="1205">
        <f t="shared" si="683"/>
        <v>0.16928265983472496</v>
      </c>
      <c r="CA653" s="1205">
        <f t="shared" si="683"/>
        <v>0.16895523579644023</v>
      </c>
      <c r="CC653" s="14"/>
      <c r="CD653" s="14"/>
      <c r="CE653" s="14"/>
      <c r="CF653" s="14"/>
      <c r="CG653" s="14"/>
      <c r="CH653" s="14"/>
      <c r="CI653" s="14"/>
      <c r="CJ653" s="14"/>
    </row>
    <row r="654" spans="1:88" hidden="1" outlineLevel="1" x14ac:dyDescent="0.25">
      <c r="A654" s="1260"/>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c r="AN654" s="14"/>
      <c r="AO654" s="14"/>
      <c r="AP654" s="14"/>
      <c r="AQ654" s="14"/>
      <c r="AR654" s="14"/>
      <c r="AS654" s="14"/>
      <c r="AT654" s="14"/>
      <c r="AU654" s="14"/>
      <c r="AV654" s="14"/>
      <c r="AW654" s="14"/>
      <c r="AX654" s="14"/>
      <c r="AY654" s="14"/>
      <c r="AZ654" s="14"/>
      <c r="BA654" s="14"/>
      <c r="BB654" s="14"/>
      <c r="BC654" s="14"/>
      <c r="BD654" s="14"/>
      <c r="BE654" s="14"/>
      <c r="BF654" s="14"/>
      <c r="BG654" s="14"/>
      <c r="BH654" s="14"/>
      <c r="BI654" s="14"/>
      <c r="BJ654" s="14"/>
      <c r="BK654" s="14"/>
      <c r="BL654" s="14"/>
      <c r="BM654" s="14"/>
      <c r="BN654" s="14"/>
      <c r="BO654" s="14"/>
      <c r="BP654" s="14"/>
      <c r="BQ654" s="14"/>
      <c r="BR654" s="14"/>
      <c r="BS654" s="14"/>
      <c r="BT654" s="14"/>
      <c r="BU654" s="14"/>
      <c r="BV654" s="14"/>
      <c r="BW654" s="14"/>
      <c r="BX654" s="14"/>
      <c r="BY654" s="14"/>
      <c r="BZ654" s="14"/>
      <c r="CA654" s="14"/>
      <c r="CC654" s="14"/>
      <c r="CD654" s="14"/>
      <c r="CE654" s="14"/>
      <c r="CF654" s="14"/>
      <c r="CG654" s="14"/>
      <c r="CH654" s="14"/>
      <c r="CI654" s="14"/>
      <c r="CJ654" s="14"/>
    </row>
    <row r="655" spans="1:88" hidden="1" outlineLevel="1" x14ac:dyDescent="0.25">
      <c r="A655" s="1260" t="s">
        <v>61</v>
      </c>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c r="AN655" s="636">
        <f t="shared" ref="AN655:BB655" si="684">AN649+AN652</f>
        <v>157.81</v>
      </c>
      <c r="AO655" s="636">
        <f t="shared" si="684"/>
        <v>158.648</v>
      </c>
      <c r="AP655" s="636">
        <f t="shared" si="684"/>
        <v>168.66399999999999</v>
      </c>
      <c r="AQ655" s="636">
        <f t="shared" si="684"/>
        <v>176.74199999999999</v>
      </c>
      <c r="AR655" s="636">
        <f t="shared" si="684"/>
        <v>661.86400000000003</v>
      </c>
      <c r="AS655" s="636">
        <f t="shared" si="684"/>
        <v>172.48099999999999</v>
      </c>
      <c r="AT655" s="636">
        <f t="shared" si="684"/>
        <v>238.68943182954666</v>
      </c>
      <c r="AU655" s="636">
        <f t="shared" si="684"/>
        <v>270.714</v>
      </c>
      <c r="AV655" s="636">
        <f t="shared" si="684"/>
        <v>275.34541433100003</v>
      </c>
      <c r="AW655" s="636">
        <f t="shared" si="684"/>
        <v>957.22984616054669</v>
      </c>
      <c r="AX655" s="636">
        <f t="shared" si="684"/>
        <v>226.84935099999998</v>
      </c>
      <c r="AY655" s="636">
        <f t="shared" si="684"/>
        <v>232.47874681280001</v>
      </c>
      <c r="AZ655" s="636">
        <f t="shared" si="684"/>
        <v>222.53200000000001</v>
      </c>
      <c r="BA655" s="636">
        <f t="shared" si="684"/>
        <v>229.97651014233335</v>
      </c>
      <c r="BB655" s="636">
        <f t="shared" si="684"/>
        <v>911.83660795513333</v>
      </c>
      <c r="BC655" s="636">
        <f t="shared" ref="BC655:CA655" si="685">BC649+BC652</f>
        <v>240.14893205999999</v>
      </c>
      <c r="BD655" s="636">
        <f t="shared" si="685"/>
        <v>251.632591621568</v>
      </c>
      <c r="BE655" s="636">
        <f t="shared" si="685"/>
        <v>254.6283</v>
      </c>
      <c r="BF655" s="636">
        <f t="shared" si="685"/>
        <v>267.29710075087337</v>
      </c>
      <c r="BG655" s="636">
        <f t="shared" si="685"/>
        <v>1013.7069244324414</v>
      </c>
      <c r="BH655" s="636">
        <f t="shared" si="685"/>
        <v>280.82388678628206</v>
      </c>
      <c r="BI655" s="636">
        <f t="shared" si="685"/>
        <v>286.84786847578886</v>
      </c>
      <c r="BJ655" s="636">
        <f t="shared" si="685"/>
        <v>280.46660790915058</v>
      </c>
      <c r="BK655" s="636">
        <f t="shared" si="685"/>
        <v>288.65238320754929</v>
      </c>
      <c r="BL655" s="636">
        <f t="shared" si="685"/>
        <v>1136.7907463787708</v>
      </c>
      <c r="BM655" s="636">
        <f t="shared" si="685"/>
        <v>296.55413416514477</v>
      </c>
      <c r="BN655" s="636">
        <f t="shared" si="685"/>
        <v>303.21275935262418</v>
      </c>
      <c r="BO655" s="636">
        <f t="shared" si="685"/>
        <v>296.46076124694616</v>
      </c>
      <c r="BP655" s="636">
        <f t="shared" si="685"/>
        <v>305.40446172953034</v>
      </c>
      <c r="BQ655" s="636">
        <f t="shared" si="685"/>
        <v>1201.6321164942456</v>
      </c>
      <c r="BR655" s="636">
        <f t="shared" si="685"/>
        <v>312.92938115181107</v>
      </c>
      <c r="BS655" s="636">
        <f t="shared" si="685"/>
        <v>319.96350430445943</v>
      </c>
      <c r="BT655" s="636">
        <f t="shared" si="685"/>
        <v>312.78671126096776</v>
      </c>
      <c r="BU655" s="636">
        <f t="shared" si="685"/>
        <v>322.1837131411479</v>
      </c>
      <c r="BV655" s="636">
        <f t="shared" si="685"/>
        <v>1267.8633098583859</v>
      </c>
      <c r="BW655" s="636">
        <f t="shared" si="685"/>
        <v>330.24639160604221</v>
      </c>
      <c r="BX655" s="636">
        <f t="shared" si="685"/>
        <v>337.67802243833592</v>
      </c>
      <c r="BY655" s="636">
        <f t="shared" si="685"/>
        <v>330.04842292167689</v>
      </c>
      <c r="BZ655" s="636">
        <f t="shared" si="685"/>
        <v>339.92344397293652</v>
      </c>
      <c r="CA655" s="636">
        <f t="shared" si="685"/>
        <v>1337.8962809389914</v>
      </c>
      <c r="CC655" s="14"/>
      <c r="CD655" s="14"/>
      <c r="CE655" s="14"/>
      <c r="CF655" s="14"/>
      <c r="CG655" s="14"/>
      <c r="CH655" s="14"/>
      <c r="CI655" s="14"/>
      <c r="CJ655" s="14"/>
    </row>
    <row r="656" spans="1:88" hidden="1" outlineLevel="1" x14ac:dyDescent="0.25">
      <c r="A656" s="628"/>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s="14"/>
      <c r="BA656" s="14"/>
      <c r="BB656" s="14"/>
      <c r="BC656" s="14"/>
      <c r="BD656" s="14"/>
      <c r="BE656" s="14"/>
      <c r="BF656" s="14"/>
      <c r="BG656" s="14"/>
      <c r="BH656" s="14"/>
      <c r="BI656" s="14"/>
      <c r="BJ656" s="14"/>
      <c r="BK656" s="14"/>
      <c r="BL656" s="14"/>
      <c r="BM656" s="14"/>
      <c r="BN656" s="14"/>
      <c r="BO656" s="14"/>
      <c r="BP656" s="14"/>
      <c r="BQ656" s="14"/>
      <c r="BR656" s="14"/>
      <c r="BS656" s="14"/>
      <c r="BT656" s="14"/>
      <c r="BU656" s="14"/>
      <c r="BV656" s="14"/>
      <c r="BW656" s="14"/>
      <c r="BX656" s="14"/>
      <c r="BY656" s="14"/>
      <c r="BZ656" s="14"/>
      <c r="CA656" s="14"/>
      <c r="CC656" s="14"/>
      <c r="CD656" s="14"/>
      <c r="CE656" s="14"/>
      <c r="CF656" s="14"/>
      <c r="CG656" s="14"/>
      <c r="CH656" s="14"/>
      <c r="CI656" s="14"/>
      <c r="CJ656" s="14"/>
    </row>
    <row r="657" spans="1:79" hidden="1" outlineLevel="1" x14ac:dyDescent="0.25">
      <c r="A657" s="1261" t="s">
        <v>220</v>
      </c>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262">
        <f t="shared" ref="AN657:BB657" si="686">AN646-AN655</f>
        <v>89.519999999999982</v>
      </c>
      <c r="AO657" s="1262">
        <f t="shared" si="686"/>
        <v>102.95399999999998</v>
      </c>
      <c r="AP657" s="1262">
        <f t="shared" si="686"/>
        <v>118.54700000000003</v>
      </c>
      <c r="AQ657" s="1262">
        <f t="shared" si="686"/>
        <v>123.18899999999999</v>
      </c>
      <c r="AR657" s="1262">
        <f t="shared" si="686"/>
        <v>434.20999999999981</v>
      </c>
      <c r="AS657" s="1262">
        <f t="shared" si="686"/>
        <v>115.97399999999999</v>
      </c>
      <c r="AT657" s="1262">
        <f t="shared" si="686"/>
        <v>131.28033691711994</v>
      </c>
      <c r="AU657" s="1262">
        <f t="shared" si="686"/>
        <v>192.95999999999998</v>
      </c>
      <c r="AV657" s="1262">
        <f t="shared" si="686"/>
        <v>194.94774200233337</v>
      </c>
      <c r="AW657" s="1262">
        <f t="shared" si="686"/>
        <v>635.16207891945328</v>
      </c>
      <c r="AX657" s="1262">
        <f t="shared" si="686"/>
        <v>182.23446900000002</v>
      </c>
      <c r="AY657" s="1262">
        <f t="shared" si="686"/>
        <v>184.75615648319996</v>
      </c>
      <c r="AZ657" s="1262">
        <f t="shared" si="686"/>
        <v>184.87500000000003</v>
      </c>
      <c r="BA657" s="1262">
        <f t="shared" si="686"/>
        <v>182.026235571</v>
      </c>
      <c r="BB657" s="1262">
        <f t="shared" si="686"/>
        <v>733.89186105420004</v>
      </c>
      <c r="BC657" s="1262">
        <f t="shared" ref="BC657:CA657" si="687">BC646-BC655</f>
        <v>174.95821713999999</v>
      </c>
      <c r="BD657" s="1262">
        <f t="shared" si="687"/>
        <v>185.02666587219204</v>
      </c>
      <c r="BE657" s="1262">
        <f t="shared" si="687"/>
        <v>196.77770000000001</v>
      </c>
      <c r="BF657" s="1262">
        <f t="shared" si="687"/>
        <v>201.61580970526001</v>
      </c>
      <c r="BG657" s="1262">
        <f t="shared" si="687"/>
        <v>758.37839271745202</v>
      </c>
      <c r="BH657" s="1262">
        <f t="shared" si="687"/>
        <v>196.95519136571795</v>
      </c>
      <c r="BI657" s="1262">
        <f t="shared" si="687"/>
        <v>206.50844446759675</v>
      </c>
      <c r="BJ657" s="1262">
        <f t="shared" si="687"/>
        <v>216.62108542418281</v>
      </c>
      <c r="BK657" s="1262">
        <f t="shared" si="687"/>
        <v>217.642301875952</v>
      </c>
      <c r="BL657" s="1262">
        <f t="shared" si="687"/>
        <v>837.72702313344939</v>
      </c>
      <c r="BM657" s="1262">
        <f t="shared" si="687"/>
        <v>209.98675867597524</v>
      </c>
      <c r="BN657" s="1262">
        <f t="shared" si="687"/>
        <v>220.3666623673646</v>
      </c>
      <c r="BO657" s="1262">
        <f t="shared" si="687"/>
        <v>231.20453410305379</v>
      </c>
      <c r="BP657" s="1262">
        <f t="shared" si="687"/>
        <v>232.53830445898109</v>
      </c>
      <c r="BQ657" s="1262">
        <f t="shared" si="687"/>
        <v>894.0962596053746</v>
      </c>
      <c r="BR657" s="1262">
        <f t="shared" si="687"/>
        <v>223.71496525977625</v>
      </c>
      <c r="BS657" s="1262">
        <f t="shared" si="687"/>
        <v>234.76388891872864</v>
      </c>
      <c r="BT657" s="1262">
        <f t="shared" si="687"/>
        <v>246.31608269753235</v>
      </c>
      <c r="BU657" s="1262">
        <f t="shared" si="687"/>
        <v>247.7376534186742</v>
      </c>
      <c r="BV657" s="1262">
        <f t="shared" si="687"/>
        <v>952.53259029471155</v>
      </c>
      <c r="BW657" s="1262">
        <f t="shared" si="687"/>
        <v>238.36231769424029</v>
      </c>
      <c r="BX657" s="1262">
        <f t="shared" si="687"/>
        <v>250.12508543624347</v>
      </c>
      <c r="BY657" s="1262">
        <f t="shared" si="687"/>
        <v>262.44080793595822</v>
      </c>
      <c r="BZ657" s="1262">
        <f t="shared" si="687"/>
        <v>263.95602991647502</v>
      </c>
      <c r="CA657" s="1262">
        <f t="shared" si="687"/>
        <v>1014.8842409829172</v>
      </c>
    </row>
    <row r="658" spans="1:79" hidden="1" outlineLevel="1" x14ac:dyDescent="0.25">
      <c r="A658" s="1263" t="s">
        <v>68</v>
      </c>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264">
        <f t="shared" ref="AN658:BB658" si="688">AN657/AN646</f>
        <v>0.36194557878138517</v>
      </c>
      <c r="AO658" s="1264">
        <f t="shared" si="688"/>
        <v>0.39355203706393677</v>
      </c>
      <c r="AP658" s="1264">
        <f t="shared" si="688"/>
        <v>0.41275229709168526</v>
      </c>
      <c r="AQ658" s="1264">
        <f t="shared" si="688"/>
        <v>0.41072446662732426</v>
      </c>
      <c r="AR658" s="1264">
        <f t="shared" si="688"/>
        <v>0.39615025992770547</v>
      </c>
      <c r="AS658" s="1264">
        <f t="shared" si="688"/>
        <v>0.40205231318576551</v>
      </c>
      <c r="AT658" s="1264">
        <f t="shared" si="688"/>
        <v>0.35484071404497092</v>
      </c>
      <c r="AU658" s="1264">
        <f t="shared" si="688"/>
        <v>0.41615445334437556</v>
      </c>
      <c r="AV658" s="1264">
        <f t="shared" si="688"/>
        <v>0.41452387596335488</v>
      </c>
      <c r="AW658" s="1264">
        <f t="shared" si="688"/>
        <v>0.39887295892155661</v>
      </c>
      <c r="AX658" s="1264">
        <f t="shared" si="688"/>
        <v>0.44546975482921819</v>
      </c>
      <c r="AY658" s="1264">
        <f t="shared" si="688"/>
        <v>0.44281088428531579</v>
      </c>
      <c r="AZ658" s="1264">
        <f t="shared" si="688"/>
        <v>0.45378454469363561</v>
      </c>
      <c r="BA658" s="1264">
        <f t="shared" si="688"/>
        <v>0.44180830701951607</v>
      </c>
      <c r="BB658" s="1264">
        <f t="shared" si="688"/>
        <v>0.44593739178369768</v>
      </c>
      <c r="BC658" s="1264">
        <f t="shared" ref="BC658:CA658" si="689">BC657/BC646</f>
        <v>0.42147724383254248</v>
      </c>
      <c r="BD658" s="1264">
        <f t="shared" si="689"/>
        <v>0.42373237872973785</v>
      </c>
      <c r="BE658" s="1264">
        <f t="shared" si="689"/>
        <v>0.43592176444265252</v>
      </c>
      <c r="BF658" s="1264">
        <f t="shared" si="689"/>
        <v>0.42996429658790786</v>
      </c>
      <c r="BG658" s="1264">
        <f t="shared" si="689"/>
        <v>0.42795817186566298</v>
      </c>
      <c r="BH658" s="1264">
        <f t="shared" si="689"/>
        <v>0.41223067390794976</v>
      </c>
      <c r="BI658" s="1264">
        <f t="shared" si="689"/>
        <v>0.41857870072759024</v>
      </c>
      <c r="BJ658" s="1264">
        <f t="shared" si="689"/>
        <v>0.43578042331239658</v>
      </c>
      <c r="BK658" s="1264">
        <f t="shared" si="689"/>
        <v>0.42987277624701326</v>
      </c>
      <c r="BL658" s="1264">
        <f t="shared" si="689"/>
        <v>0.42426917400718017</v>
      </c>
      <c r="BM658" s="1264">
        <f t="shared" si="689"/>
        <v>0.41455045711746519</v>
      </c>
      <c r="BN658" s="1264">
        <f t="shared" si="689"/>
        <v>0.42088488054677042</v>
      </c>
      <c r="BO658" s="1264">
        <f t="shared" si="689"/>
        <v>0.43816513259545714</v>
      </c>
      <c r="BP658" s="1264">
        <f t="shared" si="689"/>
        <v>0.43227331804568336</v>
      </c>
      <c r="BQ658" s="1264">
        <f t="shared" si="689"/>
        <v>0.42662793031861579</v>
      </c>
      <c r="BR658" s="1264">
        <f t="shared" si="689"/>
        <v>0.41687752187403976</v>
      </c>
      <c r="BS658" s="1264">
        <f t="shared" si="689"/>
        <v>0.42320586974199442</v>
      </c>
      <c r="BT658" s="1264">
        <f t="shared" si="689"/>
        <v>0.44055598605328267</v>
      </c>
      <c r="BU658" s="1264">
        <f t="shared" si="689"/>
        <v>0.43468742874841892</v>
      </c>
      <c r="BV658" s="1264">
        <f t="shared" si="689"/>
        <v>0.42899223072292375</v>
      </c>
      <c r="BW658" s="1264">
        <f t="shared" si="689"/>
        <v>0.41920272024599092</v>
      </c>
      <c r="BX658" s="1264">
        <f t="shared" si="689"/>
        <v>0.42552528573838899</v>
      </c>
      <c r="BY658" s="1264">
        <f t="shared" si="689"/>
        <v>0.44294612335159589</v>
      </c>
      <c r="BZ658" s="1264">
        <f t="shared" si="689"/>
        <v>0.43710051645970216</v>
      </c>
      <c r="CA658" s="1264">
        <f t="shared" si="689"/>
        <v>0.43135525457083085</v>
      </c>
    </row>
    <row r="659" spans="1:79" hidden="1" outlineLevel="1" x14ac:dyDescent="0.2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4"/>
      <c r="BA659" s="14"/>
      <c r="BB659" s="17"/>
      <c r="BC659" s="14"/>
      <c r="BD659" s="14"/>
      <c r="BE659" s="14"/>
      <c r="BF659" s="14"/>
      <c r="BG659" s="17"/>
      <c r="BH659" s="14"/>
      <c r="BI659" s="14"/>
      <c r="BJ659" s="14"/>
      <c r="BK659" s="14"/>
      <c r="BL659" s="17"/>
      <c r="BM659" s="14"/>
      <c r="BN659" s="14"/>
      <c r="BO659" s="14"/>
      <c r="BP659" s="14"/>
      <c r="BQ659" s="17"/>
      <c r="BR659" s="14"/>
      <c r="BS659" s="14"/>
      <c r="BT659" s="14"/>
      <c r="BU659" s="14"/>
      <c r="BV659" s="17"/>
      <c r="BW659" s="14"/>
      <c r="BX659" s="14"/>
      <c r="BY659" s="14"/>
      <c r="BZ659" s="14"/>
      <c r="CA659" s="17"/>
    </row>
    <row r="660" spans="1:79" collapsed="1" x14ac:dyDescent="0.25">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c r="AO660" s="14"/>
      <c r="AP660" s="14"/>
      <c r="AQ660" s="14"/>
      <c r="AR660" s="14"/>
      <c r="AS660" s="14"/>
      <c r="AT660" s="14"/>
      <c r="AU660" s="14"/>
      <c r="AV660" s="14"/>
      <c r="AW660" s="14"/>
      <c r="AX660" s="14"/>
      <c r="AY660" s="14"/>
      <c r="AZ660" s="14"/>
      <c r="BA660" s="14"/>
      <c r="BB660" s="17"/>
      <c r="BC660" s="14"/>
      <c r="BD660" s="14"/>
      <c r="BE660" s="14"/>
      <c r="BF660" s="14"/>
      <c r="BG660" s="17"/>
      <c r="BH660" s="14"/>
      <c r="BI660" s="14"/>
      <c r="BJ660" s="14"/>
      <c r="BK660" s="14"/>
      <c r="BL660" s="17"/>
      <c r="BM660" s="14"/>
      <c r="BN660" s="14"/>
      <c r="BO660" s="14"/>
      <c r="BP660" s="14"/>
      <c r="BQ660" s="17"/>
      <c r="BR660" s="14"/>
      <c r="BS660" s="14"/>
      <c r="BT660" s="14"/>
      <c r="BU660" s="14"/>
      <c r="BV660" s="17"/>
      <c r="BW660" s="14"/>
      <c r="BX660" s="14"/>
      <c r="BY660" s="14"/>
      <c r="BZ660" s="14"/>
      <c r="CA660" s="17"/>
    </row>
    <row r="661" spans="1:79" x14ac:dyDescent="0.2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c r="AZ661" s="14"/>
      <c r="BA661" s="14"/>
      <c r="BB661" s="17"/>
      <c r="BC661" s="14"/>
      <c r="BD661" s="14"/>
      <c r="BE661" s="14"/>
      <c r="BF661" s="14"/>
      <c r="BG661" s="17"/>
      <c r="BH661" s="14"/>
      <c r="BI661" s="14"/>
      <c r="BJ661" s="14"/>
      <c r="BK661" s="14"/>
      <c r="BL661" s="17"/>
      <c r="BM661" s="14"/>
      <c r="BN661" s="14"/>
      <c r="BO661" s="14"/>
      <c r="BP661" s="14"/>
      <c r="BQ661" s="17"/>
      <c r="BR661" s="14"/>
      <c r="BS661" s="14"/>
      <c r="BT661" s="14"/>
      <c r="BU661" s="14"/>
      <c r="BV661" s="17"/>
      <c r="BW661" s="14"/>
      <c r="BX661" s="14"/>
      <c r="BY661" s="14"/>
      <c r="BZ661" s="14"/>
      <c r="CA661" s="17"/>
    </row>
    <row r="663" spans="1:79" hidden="1" x14ac:dyDescent="0.25">
      <c r="A663" s="315" t="s">
        <v>373</v>
      </c>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c r="AO663" s="14"/>
      <c r="AP663" s="14"/>
      <c r="AQ663" s="14"/>
      <c r="AR663" s="14"/>
      <c r="AS663" s="14"/>
      <c r="AT663" s="14"/>
      <c r="AU663" s="14"/>
      <c r="AV663" s="14"/>
      <c r="AW663" s="14"/>
      <c r="AX663" s="1265" t="s">
        <v>374</v>
      </c>
      <c r="AY663" s="1265"/>
      <c r="AZ663" s="1265"/>
      <c r="BA663" s="14"/>
      <c r="BB663" s="17"/>
      <c r="BC663" s="14"/>
      <c r="BD663" s="14"/>
      <c r="BE663" s="14"/>
      <c r="BF663" s="14"/>
      <c r="BG663" s="17"/>
      <c r="BH663" s="14"/>
      <c r="BI663" s="14"/>
      <c r="BJ663" s="14"/>
      <c r="BK663" s="14"/>
      <c r="BL663" s="17"/>
      <c r="BM663" s="14"/>
      <c r="BN663" s="14"/>
      <c r="BO663" s="14"/>
      <c r="BP663" s="14"/>
      <c r="BQ663" s="17"/>
      <c r="BR663" s="14"/>
      <c r="BS663" s="14"/>
      <c r="BT663" s="14"/>
      <c r="BU663" s="14"/>
      <c r="BV663" s="17"/>
      <c r="BW663" s="14"/>
      <c r="BX663" s="14"/>
      <c r="BY663" s="14"/>
      <c r="BZ663" s="14"/>
      <c r="CA663" s="17"/>
    </row>
    <row r="664" spans="1:79" hidden="1" x14ac:dyDescent="0.25">
      <c r="B664" s="14"/>
      <c r="C664" s="14"/>
      <c r="D664" s="14"/>
      <c r="E664" s="14"/>
      <c r="F664" s="14"/>
      <c r="G664" s="14"/>
      <c r="H664" s="14"/>
      <c r="I664" s="14"/>
      <c r="J664" s="14"/>
      <c r="K664" s="14"/>
      <c r="L664" s="14"/>
      <c r="M664" s="14"/>
      <c r="N664" s="14"/>
      <c r="O664" s="14"/>
      <c r="P664" s="14"/>
      <c r="Q664" s="14"/>
      <c r="R664" s="14"/>
      <c r="S664" s="14"/>
      <c r="T664" s="1266">
        <f>Revenue_end_mkt!D53</f>
        <v>14.294</v>
      </c>
      <c r="U664" s="1266">
        <f>Revenue_end_mkt!E53</f>
        <v>15.037000000000001</v>
      </c>
      <c r="V664" s="1266">
        <f>Revenue_end_mkt!F53</f>
        <v>14.388999999999999</v>
      </c>
      <c r="W664" s="1266">
        <f>Revenue_end_mkt!G53</f>
        <v>14.252000000000001</v>
      </c>
      <c r="X664" s="1266">
        <f>Revenue_end_mkt!H53</f>
        <v>57.972000000000001</v>
      </c>
      <c r="Y664" s="1266">
        <f>Revenue_end_mkt!I53</f>
        <v>15.617000000000001</v>
      </c>
      <c r="Z664" s="1266">
        <f>Revenue_end_mkt!J53</f>
        <v>19.321999999999999</v>
      </c>
      <c r="AA664" s="1266">
        <f>Revenue_end_mkt!K53</f>
        <v>30.277000000000001</v>
      </c>
      <c r="AB664" s="1266">
        <f>Revenue_end_mkt!L53</f>
        <v>38.506</v>
      </c>
      <c r="AC664" s="1266">
        <f>Revenue_end_mkt!M53</f>
        <v>103.72200000000001</v>
      </c>
      <c r="AD664" s="1266">
        <f>Revenue_end_mkt!N53</f>
        <v>30.448</v>
      </c>
      <c r="AE664" s="1266">
        <f>Revenue_end_mkt!O53</f>
        <v>50.381</v>
      </c>
      <c r="AF664" s="1266">
        <f>Revenue_end_mkt!P53</f>
        <v>69.323999999999998</v>
      </c>
      <c r="AG664" s="1266">
        <f>Revenue_end_mkt!Q53</f>
        <v>72.802000000000007</v>
      </c>
      <c r="AH664" s="1266">
        <f>Revenue_end_mkt!R53</f>
        <v>222.95500000000004</v>
      </c>
      <c r="AI664" s="1266">
        <f>Revenue_end_mkt!S53</f>
        <v>59.048999999999999</v>
      </c>
      <c r="AJ664" s="1266">
        <f>Revenue_end_mkt!T53</f>
        <v>61.087000000000003</v>
      </c>
      <c r="AK664" s="1266">
        <f>Revenue_end_mkt!U53</f>
        <v>73.611999999999995</v>
      </c>
      <c r="AL664" s="1266">
        <f>Revenue_end_mkt!V53</f>
        <v>77.790000000000006</v>
      </c>
      <c r="AM664" s="1266">
        <f>Revenue_end_mkt!W53</f>
        <v>271.53800000000001</v>
      </c>
      <c r="AN664" s="1266">
        <f>Revenue_end_mkt!X53</f>
        <v>58.4</v>
      </c>
      <c r="AO664" s="1266">
        <f>Revenue_end_mkt!Y53</f>
        <v>56</v>
      </c>
      <c r="AP664" s="1266">
        <f>Revenue_end_mkt!Z53</f>
        <v>81.099999999999994</v>
      </c>
      <c r="AQ664" s="1266">
        <f>Revenue_end_mkt!AA53</f>
        <v>84</v>
      </c>
      <c r="AR664" s="1266">
        <f>Revenue_end_mkt!AB53</f>
        <v>279.5</v>
      </c>
      <c r="AS664" s="1266">
        <f>Revenue_end_mkt!AC53</f>
        <v>75.103999999999999</v>
      </c>
      <c r="AT664" s="1266">
        <f>Revenue_end_mkt!AD53</f>
        <v>69.051000000000002</v>
      </c>
      <c r="AU664" s="1266">
        <f>Revenue_end_mkt!AE53</f>
        <v>79.992999999999995</v>
      </c>
      <c r="AV664" s="1266">
        <f>Revenue_end_mkt!AF53</f>
        <v>83.2</v>
      </c>
      <c r="AW664" s="1266">
        <f>Revenue_end_mkt!AG53</f>
        <v>307.34800000000001</v>
      </c>
      <c r="AX664" s="1266">
        <f>Revenue_end_mkt!AH53</f>
        <v>69.150999999999996</v>
      </c>
      <c r="AY664" s="1266">
        <f>Revenue_end_mkt!AI53</f>
        <v>0</v>
      </c>
      <c r="AZ664" s="1266"/>
      <c r="BA664" s="1266"/>
      <c r="BB664" s="17"/>
      <c r="BC664" s="14"/>
      <c r="BD664" s="14"/>
      <c r="BE664" s="14"/>
      <c r="BF664" s="14"/>
      <c r="BG664" s="17"/>
      <c r="BH664" s="14"/>
      <c r="BI664" s="14"/>
      <c r="BJ664" s="14"/>
      <c r="BK664" s="14"/>
      <c r="BL664" s="17"/>
      <c r="BM664" s="14"/>
      <c r="BN664" s="14"/>
      <c r="BO664" s="14"/>
      <c r="BP664" s="14"/>
      <c r="BQ664" s="17"/>
      <c r="BR664" s="14"/>
      <c r="BS664" s="14"/>
      <c r="BT664" s="14"/>
      <c r="BU664" s="14"/>
      <c r="BV664" s="17"/>
      <c r="BW664" s="14"/>
      <c r="BX664" s="14"/>
      <c r="BY664" s="14"/>
      <c r="BZ664" s="14"/>
      <c r="CA664" s="17"/>
    </row>
    <row r="665" spans="1:79" hidden="1" x14ac:dyDescent="0.25">
      <c r="A665" s="677" t="s">
        <v>375</v>
      </c>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c r="AP665" s="14"/>
      <c r="AQ665" s="14"/>
      <c r="AR665" s="14"/>
      <c r="AS665" s="1267"/>
      <c r="AT665" s="1267"/>
      <c r="AU665" s="1267"/>
      <c r="AV665" s="1267"/>
      <c r="AW665" s="1268">
        <f>0.25*AW664</f>
        <v>76.837000000000003</v>
      </c>
      <c r="AX665" s="1268">
        <f>0.25*AX664</f>
        <v>17.287749999999999</v>
      </c>
      <c r="AY665" s="1268">
        <f>0.25*AY664</f>
        <v>0</v>
      </c>
      <c r="AZ665" s="1268"/>
      <c r="BA665" s="1268"/>
      <c r="BB665" s="17"/>
      <c r="BC665" s="14"/>
      <c r="BD665" s="14"/>
      <c r="BE665" s="14"/>
      <c r="BF665" s="14"/>
      <c r="BG665" s="17"/>
      <c r="BH665" s="14"/>
      <c r="BI665" s="14"/>
      <c r="BJ665" s="14"/>
      <c r="BK665" s="14"/>
      <c r="BL665" s="17"/>
      <c r="BM665" s="14"/>
      <c r="BN665" s="14"/>
      <c r="BO665" s="14"/>
      <c r="BP665" s="14"/>
      <c r="BQ665" s="17"/>
      <c r="BR665" s="14"/>
      <c r="BS665" s="14"/>
      <c r="BT665" s="14"/>
      <c r="BU665" s="14"/>
      <c r="BV665" s="17"/>
      <c r="BW665" s="14"/>
      <c r="BX665" s="14"/>
      <c r="BY665" s="14"/>
      <c r="BZ665" s="14"/>
      <c r="CA665" s="17"/>
    </row>
    <row r="666" spans="1:79" hidden="1" x14ac:dyDescent="0.25">
      <c r="A666" s="677" t="s">
        <v>376</v>
      </c>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O666" s="14"/>
      <c r="AP666" s="14"/>
      <c r="AQ666" s="14"/>
      <c r="AR666" s="14"/>
      <c r="AS666" s="14"/>
      <c r="AT666" s="14"/>
      <c r="AU666" s="14"/>
      <c r="AV666" s="14"/>
      <c r="AW666" s="643">
        <f>AW664-AW665</f>
        <v>230.51100000000002</v>
      </c>
      <c r="AX666" s="643">
        <f>AX664-AX665</f>
        <v>51.863249999999994</v>
      </c>
      <c r="AY666" s="643">
        <f>AY664-AY665</f>
        <v>0</v>
      </c>
      <c r="AZ666" s="643"/>
      <c r="BA666" s="643"/>
      <c r="BB666" s="17"/>
      <c r="BC666" s="14"/>
      <c r="BD666" s="14"/>
      <c r="BE666" s="14"/>
      <c r="BF666" s="14"/>
      <c r="BG666" s="17"/>
      <c r="BH666" s="14"/>
      <c r="BI666" s="14"/>
      <c r="BJ666" s="14"/>
      <c r="BK666" s="14"/>
      <c r="BL666" s="17"/>
      <c r="BM666" s="14"/>
      <c r="BN666" s="14"/>
      <c r="BO666" s="14"/>
      <c r="BP666" s="14"/>
      <c r="BQ666" s="17"/>
      <c r="BR666" s="14"/>
      <c r="BS666" s="14"/>
      <c r="BT666" s="14"/>
      <c r="BU666" s="14"/>
      <c r="BV666" s="17"/>
      <c r="BW666" s="14"/>
      <c r="BX666" s="14"/>
      <c r="BY666" s="14"/>
      <c r="BZ666" s="14"/>
      <c r="CA666" s="17"/>
    </row>
    <row r="667" spans="1:79" hidden="1" x14ac:dyDescent="0.25">
      <c r="A667" s="677" t="s">
        <v>377</v>
      </c>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268">
        <f>$AR$40*AX664</f>
        <v>5.6365124100746202</v>
      </c>
      <c r="AY667" s="1268">
        <f>$AR$40*AY664</f>
        <v>0</v>
      </c>
      <c r="AZ667" s="1268"/>
      <c r="BA667" s="1268"/>
      <c r="BB667" s="17"/>
      <c r="BC667" s="14"/>
      <c r="BD667" s="14"/>
      <c r="BE667" s="14"/>
      <c r="BF667" s="14"/>
      <c r="BG667" s="17"/>
      <c r="BH667" s="14"/>
      <c r="BI667" s="14"/>
      <c r="BJ667" s="14"/>
      <c r="BK667" s="14"/>
      <c r="BL667" s="17"/>
      <c r="BM667" s="14"/>
      <c r="BN667" s="14"/>
      <c r="BO667" s="14"/>
      <c r="BP667" s="14"/>
      <c r="BQ667" s="17"/>
      <c r="BR667" s="14"/>
      <c r="BS667" s="14"/>
      <c r="BT667" s="14"/>
      <c r="BU667" s="14"/>
      <c r="BV667" s="17"/>
      <c r="BW667" s="14"/>
      <c r="BX667" s="14"/>
      <c r="BY667" s="14"/>
      <c r="BZ667" s="14"/>
      <c r="CA667" s="17"/>
    </row>
    <row r="668" spans="1:79" hidden="1" x14ac:dyDescent="0.25">
      <c r="A668" s="677" t="s">
        <v>308</v>
      </c>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c r="AP668" s="14"/>
      <c r="AQ668" s="14"/>
      <c r="AR668" s="14"/>
      <c r="AS668" s="14"/>
      <c r="AT668" s="14"/>
      <c r="AU668" s="14"/>
      <c r="AV668" s="14"/>
      <c r="AW668" s="14"/>
      <c r="AX668" s="643">
        <f>AX665-AX667</f>
        <v>11.65123758992538</v>
      </c>
      <c r="AY668" s="643">
        <f>AY665-AY667</f>
        <v>0</v>
      </c>
      <c r="AZ668" s="643"/>
      <c r="BA668" s="643"/>
      <c r="BB668" s="17"/>
      <c r="BC668" s="14"/>
      <c r="BD668" s="14"/>
      <c r="BE668" s="14"/>
      <c r="BF668" s="14"/>
      <c r="BG668" s="17"/>
      <c r="BH668" s="14"/>
      <c r="BI668" s="14"/>
      <c r="BJ668" s="14"/>
      <c r="BK668" s="14"/>
      <c r="BL668" s="17"/>
      <c r="BM668" s="14"/>
      <c r="BN668" s="14"/>
      <c r="BO668" s="14"/>
      <c r="BP668" s="14"/>
      <c r="BQ668" s="17"/>
      <c r="BR668" s="14"/>
      <c r="BS668" s="14"/>
      <c r="BT668" s="14"/>
      <c r="BU668" s="14"/>
      <c r="BV668" s="17"/>
      <c r="BW668" s="14"/>
      <c r="BX668" s="14"/>
      <c r="BY668" s="14"/>
      <c r="BZ668" s="14"/>
      <c r="CA668" s="17"/>
    </row>
    <row r="669" spans="1:79" hidden="1" x14ac:dyDescent="0.25">
      <c r="A669" s="677" t="s">
        <v>378</v>
      </c>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269">
        <f>AX668*(1-AX380)</f>
        <v>7.9586799182183379</v>
      </c>
      <c r="AY669" s="1269">
        <f>AY668*(1-AY380)</f>
        <v>0</v>
      </c>
      <c r="AZ669" s="1269"/>
      <c r="BA669" s="1269"/>
      <c r="BB669" s="17"/>
      <c r="BC669" s="14"/>
      <c r="BD669" s="14"/>
      <c r="BE669" s="14"/>
      <c r="BF669" s="14"/>
      <c r="BG669" s="17"/>
      <c r="BH669" s="14"/>
      <c r="BI669" s="14"/>
      <c r="BJ669" s="14"/>
      <c r="BK669" s="14"/>
      <c r="BL669" s="17"/>
      <c r="BM669" s="14"/>
      <c r="BN669" s="14"/>
      <c r="BO669" s="14"/>
      <c r="BP669" s="14"/>
      <c r="BQ669" s="17"/>
      <c r="BR669" s="14"/>
      <c r="BS669" s="14"/>
      <c r="BT669" s="14"/>
      <c r="BU669" s="14"/>
      <c r="BV669" s="17"/>
      <c r="BW669" s="14"/>
      <c r="BX669" s="14"/>
      <c r="BY669" s="14"/>
      <c r="BZ669" s="14"/>
      <c r="CA669" s="17"/>
    </row>
    <row r="670" spans="1:79" hidden="1" x14ac:dyDescent="0.2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4"/>
      <c r="BA670" s="14"/>
      <c r="BB670" s="17"/>
      <c r="BC670" s="14"/>
      <c r="BD670" s="14"/>
      <c r="BE670" s="14"/>
      <c r="BF670" s="14"/>
      <c r="BG670" s="17"/>
      <c r="BH670" s="14"/>
      <c r="BI670" s="14"/>
      <c r="BJ670" s="14"/>
      <c r="BK670" s="14"/>
      <c r="BL670" s="17"/>
      <c r="BM670" s="14"/>
      <c r="BN670" s="14"/>
      <c r="BO670" s="14"/>
      <c r="BP670" s="14"/>
      <c r="BQ670" s="17"/>
      <c r="BR670" s="14"/>
      <c r="BS670" s="14"/>
      <c r="BT670" s="14"/>
      <c r="BU670" s="14"/>
      <c r="BV670" s="17"/>
      <c r="BW670" s="14"/>
      <c r="BX670" s="14"/>
      <c r="BY670" s="14"/>
      <c r="BZ670" s="14"/>
      <c r="CA670" s="17"/>
    </row>
    <row r="671" spans="1:79" x14ac:dyDescent="0.2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O671" s="14"/>
      <c r="AP671" s="14"/>
      <c r="AQ671" s="14"/>
      <c r="AR671" s="14"/>
      <c r="AS671" s="14"/>
      <c r="AT671" s="14"/>
      <c r="AU671" s="14"/>
      <c r="AV671" s="14"/>
      <c r="AW671" s="14"/>
      <c r="AX671" s="14"/>
      <c r="AY671" s="14"/>
      <c r="AZ671" s="14"/>
      <c r="BA671" s="14"/>
      <c r="BB671" s="17"/>
      <c r="BC671" s="14"/>
      <c r="BD671" s="14"/>
      <c r="BE671" s="14"/>
      <c r="BF671" s="14"/>
      <c r="BG671" s="17"/>
      <c r="BH671" s="14"/>
      <c r="BI671" s="14"/>
      <c r="BJ671" s="14"/>
      <c r="BK671" s="14"/>
      <c r="BL671" s="17"/>
      <c r="BM671" s="14"/>
      <c r="BN671" s="14"/>
      <c r="BO671" s="14"/>
      <c r="BP671" s="14"/>
      <c r="BQ671" s="17"/>
      <c r="BR671" s="14"/>
      <c r="BS671" s="14"/>
      <c r="BT671" s="14"/>
      <c r="BU671" s="14"/>
      <c r="BV671" s="17"/>
      <c r="BW671" s="14"/>
      <c r="BX671" s="14"/>
      <c r="BY671" s="14"/>
      <c r="BZ671" s="14"/>
      <c r="CA671" s="17"/>
    </row>
  </sheetData>
  <conditionalFormatting sqref="AS227:BG227">
    <cfRule type="cellIs" dxfId="16" priority="18" stopIfTrue="1" operator="greaterThan">
      <formula>0</formula>
    </cfRule>
  </conditionalFormatting>
  <conditionalFormatting sqref="BH227 BK227">
    <cfRule type="cellIs" dxfId="15" priority="17" stopIfTrue="1" operator="greaterThan">
      <formula>0</formula>
    </cfRule>
  </conditionalFormatting>
  <conditionalFormatting sqref="BJ227">
    <cfRule type="cellIs" dxfId="14" priority="16" stopIfTrue="1" operator="greaterThan">
      <formula>0</formula>
    </cfRule>
  </conditionalFormatting>
  <conditionalFormatting sqref="BI227">
    <cfRule type="cellIs" dxfId="13" priority="15" stopIfTrue="1" operator="greaterThan">
      <formula>0</formula>
    </cfRule>
  </conditionalFormatting>
  <conditionalFormatting sqref="BL227">
    <cfRule type="cellIs" dxfId="12" priority="14" stopIfTrue="1" operator="greaterThan">
      <formula>0</formula>
    </cfRule>
  </conditionalFormatting>
  <conditionalFormatting sqref="BM227 BP227">
    <cfRule type="cellIs" dxfId="11" priority="13" stopIfTrue="1" operator="greaterThan">
      <formula>0</formula>
    </cfRule>
  </conditionalFormatting>
  <conditionalFormatting sqref="BO227">
    <cfRule type="cellIs" dxfId="10" priority="12" stopIfTrue="1" operator="greaterThan">
      <formula>0</formula>
    </cfRule>
  </conditionalFormatting>
  <conditionalFormatting sqref="BN227">
    <cfRule type="cellIs" dxfId="9" priority="11" stopIfTrue="1" operator="greaterThan">
      <formula>0</formula>
    </cfRule>
  </conditionalFormatting>
  <conditionalFormatting sqref="BQ227">
    <cfRule type="cellIs" dxfId="8" priority="10" stopIfTrue="1" operator="greaterThan">
      <formula>0</formula>
    </cfRule>
  </conditionalFormatting>
  <conditionalFormatting sqref="BR227 BU227">
    <cfRule type="cellIs" dxfId="7" priority="9" stopIfTrue="1" operator="greaterThan">
      <formula>0</formula>
    </cfRule>
  </conditionalFormatting>
  <conditionalFormatting sqref="BT227">
    <cfRule type="cellIs" dxfId="6" priority="8" stopIfTrue="1" operator="greaterThan">
      <formula>0</formula>
    </cfRule>
  </conditionalFormatting>
  <conditionalFormatting sqref="BS227">
    <cfRule type="cellIs" dxfId="5" priority="7" stopIfTrue="1" operator="greaterThan">
      <formula>0</formula>
    </cfRule>
  </conditionalFormatting>
  <conditionalFormatting sqref="BV227">
    <cfRule type="cellIs" dxfId="4" priority="6" stopIfTrue="1" operator="greaterThan">
      <formula>0</formula>
    </cfRule>
  </conditionalFormatting>
  <conditionalFormatting sqref="BW227 BZ227">
    <cfRule type="cellIs" dxfId="3" priority="4" stopIfTrue="1" operator="greaterThan">
      <formula>0</formula>
    </cfRule>
  </conditionalFormatting>
  <conditionalFormatting sqref="BY227">
    <cfRule type="cellIs" dxfId="2" priority="3" stopIfTrue="1" operator="greaterThan">
      <formula>0</formula>
    </cfRule>
  </conditionalFormatting>
  <conditionalFormatting sqref="BX227">
    <cfRule type="cellIs" dxfId="1" priority="2" stopIfTrue="1" operator="greaterThan">
      <formula>0</formula>
    </cfRule>
  </conditionalFormatting>
  <conditionalFormatting sqref="CA227">
    <cfRule type="cellIs" dxfId="0" priority="1" stopIfTrue="1" operator="greaterThan">
      <formula>0</formula>
    </cfRule>
  </conditionalFormatting>
  <printOptions horizontalCentered="1" verticalCentered="1"/>
  <pageMargins left="0" right="0" top="0" bottom="0" header="0" footer="0"/>
  <pageSetup paperSize="5" scale="15"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Group Box 1">
              <controlPr defaultSize="0" autoFill="0" autoPict="0" altText="WMI Scenario Analysis">
                <anchor moveWithCells="1" sizeWithCells="1">
                  <from>
                    <xdr:col>0</xdr:col>
                    <xdr:colOff>38100</xdr:colOff>
                    <xdr:row>2</xdr:row>
                    <xdr:rowOff>76200</xdr:rowOff>
                  </from>
                  <to>
                    <xdr:col>0</xdr:col>
                    <xdr:colOff>2228850</xdr:colOff>
                    <xdr:row>5</xdr:row>
                    <xdr:rowOff>104775</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sizeWithCells="1">
                  <from>
                    <xdr:col>0</xdr:col>
                    <xdr:colOff>85725</xdr:colOff>
                    <xdr:row>3</xdr:row>
                    <xdr:rowOff>123825</xdr:rowOff>
                  </from>
                  <to>
                    <xdr:col>0</xdr:col>
                    <xdr:colOff>790575</xdr:colOff>
                    <xdr:row>4</xdr:row>
                    <xdr:rowOff>171450</xdr:rowOff>
                  </to>
                </anchor>
              </controlPr>
            </control>
          </mc:Choice>
        </mc:AlternateContent>
        <mc:AlternateContent xmlns:mc="http://schemas.openxmlformats.org/markup-compatibility/2006">
          <mc:Choice Requires="x14">
            <control shapeId="1027" r:id="rId6" name="Option Button 3">
              <controlPr defaultSize="0" autoFill="0" autoLine="0" autoPict="0">
                <anchor moveWithCells="1" sizeWithCells="1">
                  <from>
                    <xdr:col>0</xdr:col>
                    <xdr:colOff>790575</xdr:colOff>
                    <xdr:row>3</xdr:row>
                    <xdr:rowOff>123825</xdr:rowOff>
                  </from>
                  <to>
                    <xdr:col>0</xdr:col>
                    <xdr:colOff>1476375</xdr:colOff>
                    <xdr:row>4</xdr:row>
                    <xdr:rowOff>171450</xdr:rowOff>
                  </to>
                </anchor>
              </controlPr>
            </control>
          </mc:Choice>
        </mc:AlternateContent>
        <mc:AlternateContent xmlns:mc="http://schemas.openxmlformats.org/markup-compatibility/2006">
          <mc:Choice Requires="x14">
            <control shapeId="1028" r:id="rId7" name="Option Button 4">
              <controlPr defaultSize="0" autoFill="0" autoLine="0" autoPict="0">
                <anchor moveWithCells="1" sizeWithCells="1">
                  <from>
                    <xdr:col>0</xdr:col>
                    <xdr:colOff>1533525</xdr:colOff>
                    <xdr:row>3</xdr:row>
                    <xdr:rowOff>123825</xdr:rowOff>
                  </from>
                  <to>
                    <xdr:col>0</xdr:col>
                    <xdr:colOff>2143125</xdr:colOff>
                    <xdr:row>4</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pageSetUpPr fitToPage="1"/>
  </sheetPr>
  <dimension ref="A1:CD208"/>
  <sheetViews>
    <sheetView showGridLines="0" zoomScale="115" zoomScaleNormal="115" workbookViewId="0">
      <pane xSplit="1" ySplit="1" topLeftCell="AL2" activePane="bottomRight" state="frozen"/>
      <selection activeCell="M35" sqref="M35"/>
      <selection pane="topRight" activeCell="M35" sqref="M35"/>
      <selection pane="bottomLeft" activeCell="M35" sqref="M35"/>
      <selection pane="bottomRight"/>
    </sheetView>
  </sheetViews>
  <sheetFormatPr defaultRowHeight="12.75" outlineLevelRow="2" outlineLevelCol="1" x14ac:dyDescent="0.2"/>
  <cols>
    <col min="1" max="1" width="38.7109375" style="14" bestFit="1" customWidth="1"/>
    <col min="2" max="2" width="1.7109375" style="14" hidden="1" customWidth="1" outlineLevel="1"/>
    <col min="3" max="3" width="7.5703125" style="14" hidden="1" customWidth="1" outlineLevel="1"/>
    <col min="4" max="7" width="8.140625" style="14" hidden="1" customWidth="1" outlineLevel="1"/>
    <col min="8" max="8" width="8.140625" style="14" hidden="1" customWidth="1" collapsed="1"/>
    <col min="9" max="12" width="7.5703125" style="14" hidden="1" customWidth="1" outlineLevel="1"/>
    <col min="13" max="13" width="8.5703125" style="14" hidden="1" customWidth="1" collapsed="1"/>
    <col min="14" max="17" width="7.85546875" style="14" hidden="1" customWidth="1" outlineLevel="1"/>
    <col min="18" max="18" width="7.85546875" style="14" hidden="1" customWidth="1" collapsed="1"/>
    <col min="19" max="22" width="7.85546875" style="14" hidden="1" customWidth="1" outlineLevel="1"/>
    <col min="23" max="23" width="7.85546875" style="14" hidden="1" customWidth="1" collapsed="1"/>
    <col min="24" max="24" width="7.85546875" style="14" hidden="1" customWidth="1" outlineLevel="1"/>
    <col min="25" max="25" width="8" style="14" hidden="1" customWidth="1" outlineLevel="1"/>
    <col min="26" max="27" width="7.85546875" style="14" hidden="1" customWidth="1" outlineLevel="1"/>
    <col min="28" max="28" width="7.85546875" style="14" hidden="1" customWidth="1" collapsed="1"/>
    <col min="29" max="29" width="7.85546875" style="14" hidden="1" customWidth="1" outlineLevel="1"/>
    <col min="30" max="30" width="8" style="14" hidden="1" customWidth="1" outlineLevel="1"/>
    <col min="31" max="32" width="7.85546875" style="14" hidden="1" customWidth="1" outlineLevel="1"/>
    <col min="33" max="33" width="7.85546875" style="14" hidden="1" customWidth="1" collapsed="1"/>
    <col min="34" max="37" width="7.85546875" style="14" hidden="1" customWidth="1" outlineLevel="1"/>
    <col min="38" max="38" width="7.85546875" style="14" customWidth="1" collapsed="1"/>
    <col min="39" max="42" width="7.85546875" style="14" customWidth="1" outlineLevel="1"/>
    <col min="43" max="43" width="7.85546875" style="14" customWidth="1"/>
    <col min="44" max="47" width="7.85546875" style="14" customWidth="1" outlineLevel="1"/>
    <col min="48" max="48" width="7.85546875" style="14" customWidth="1"/>
    <col min="49" max="52" width="7.85546875" style="14" customWidth="1" outlineLevel="1"/>
    <col min="53" max="53" width="7.85546875" style="14" customWidth="1"/>
    <col min="54" max="57" width="7.85546875" style="14" hidden="1" customWidth="1" outlineLevel="1"/>
    <col min="58" max="58" width="7.85546875" style="14" customWidth="1" collapsed="1"/>
    <col min="59" max="62" width="7.85546875" style="14" hidden="1" customWidth="1" outlineLevel="1"/>
    <col min="63" max="63" width="7.85546875" style="14" customWidth="1" collapsed="1"/>
    <col min="64" max="66" width="9.140625" style="6" hidden="1" customWidth="1" outlineLevel="1"/>
    <col min="67" max="68" width="9.140625" style="6" hidden="1" customWidth="1" outlineLevel="1" collapsed="1"/>
    <col min="69" max="69" width="9.140625" style="6" collapsed="1"/>
    <col min="70" max="70" width="43.140625" style="14" customWidth="1"/>
    <col min="71" max="73" width="7.85546875" style="330" hidden="1" customWidth="1"/>
    <col min="74" max="82" width="7.85546875" style="330" customWidth="1"/>
    <col min="83" max="16384" width="9.140625" style="14"/>
  </cols>
  <sheetData>
    <row r="1" spans="1:82" x14ac:dyDescent="0.2">
      <c r="A1" s="1270" t="s">
        <v>49</v>
      </c>
      <c r="B1" s="1271">
        <v>2008</v>
      </c>
      <c r="C1" s="1271">
        <v>2009</v>
      </c>
      <c r="D1" s="1272" t="s">
        <v>12</v>
      </c>
      <c r="E1" s="1272" t="s">
        <v>13</v>
      </c>
      <c r="F1" s="1272" t="s">
        <v>14</v>
      </c>
      <c r="G1" s="1272" t="s">
        <v>15</v>
      </c>
      <c r="H1" s="1271">
        <v>2010</v>
      </c>
      <c r="I1" s="1272" t="s">
        <v>16</v>
      </c>
      <c r="J1" s="1272" t="s">
        <v>17</v>
      </c>
      <c r="K1" s="1272" t="s">
        <v>18</v>
      </c>
      <c r="L1" s="1273" t="str">
        <f>VA!AB1</f>
        <v>4Q11</v>
      </c>
      <c r="M1" s="1274">
        <f>VA!AC1</f>
        <v>2011</v>
      </c>
      <c r="N1" s="1273" t="str">
        <f>VA!AD1</f>
        <v>1Q12</v>
      </c>
      <c r="O1" s="1273" t="str">
        <f>VA!AE1</f>
        <v>2Q12</v>
      </c>
      <c r="P1" s="1273" t="str">
        <f>VA!AF1</f>
        <v>3Q12</v>
      </c>
      <c r="Q1" s="1273" t="str">
        <f>VA!AG1</f>
        <v>4Q12</v>
      </c>
      <c r="R1" s="1274">
        <f>VA!AH1</f>
        <v>2012</v>
      </c>
      <c r="S1" s="1273" t="str">
        <f>VA!AI1</f>
        <v>1Q13</v>
      </c>
      <c r="T1" s="1273" t="str">
        <f>VA!AJ1</f>
        <v>2Q13</v>
      </c>
      <c r="U1" s="1273" t="str">
        <f>VA!AK1</f>
        <v>3Q13</v>
      </c>
      <c r="V1" s="1273" t="str">
        <f>VA!AL1</f>
        <v>4Q13</v>
      </c>
      <c r="W1" s="1275">
        <f>VA!AM1</f>
        <v>2013</v>
      </c>
      <c r="X1" s="1275" t="str">
        <f>VA!AN1</f>
        <v>1Q14</v>
      </c>
      <c r="Y1" s="1273" t="str">
        <f>VA!AO1</f>
        <v>2Q14</v>
      </c>
      <c r="Z1" s="1273" t="str">
        <f>VA!AP1</f>
        <v>3Q14</v>
      </c>
      <c r="AA1" s="1276" t="str">
        <f>VA!AQ1</f>
        <v>4Q14</v>
      </c>
      <c r="AB1" s="1274">
        <f>VA!AR1</f>
        <v>2014</v>
      </c>
      <c r="AC1" s="1275" t="str">
        <f>VA!AS1</f>
        <v>1Q15</v>
      </c>
      <c r="AD1" s="1273" t="str">
        <f>VA!AT1</f>
        <v>2Q15</v>
      </c>
      <c r="AE1" s="1273" t="str">
        <f>VA!AU1</f>
        <v>3Q15</v>
      </c>
      <c r="AF1" s="1276" t="str">
        <f>VA!AV1</f>
        <v>4Q15</v>
      </c>
      <c r="AG1" s="1274">
        <f>VA!AW1</f>
        <v>2015</v>
      </c>
      <c r="AH1" s="1273" t="str">
        <f>VA!AX1</f>
        <v>1Q16</v>
      </c>
      <c r="AI1" s="1273" t="str">
        <f>VA!AY1</f>
        <v>2Q16</v>
      </c>
      <c r="AJ1" s="1273" t="str">
        <f>VA!AZ1</f>
        <v>3Q16</v>
      </c>
      <c r="AK1" s="1273" t="str">
        <f>VA!BA1</f>
        <v>4Q16</v>
      </c>
      <c r="AL1" s="1274">
        <f>VA!BB1</f>
        <v>2016</v>
      </c>
      <c r="AM1" s="1273" t="str">
        <f>VA!BC1</f>
        <v>1Q17</v>
      </c>
      <c r="AN1" s="1273" t="str">
        <f>VA!BD1</f>
        <v>2Q17</v>
      </c>
      <c r="AO1" s="1273" t="str">
        <f>VA!BE1</f>
        <v>3Q17</v>
      </c>
      <c r="AP1" s="1273" t="str">
        <f>VA!BF1</f>
        <v>4Q17</v>
      </c>
      <c r="AQ1" s="1274">
        <f>VA!BG1</f>
        <v>2017</v>
      </c>
      <c r="AR1" s="1273" t="str">
        <f>VA!BH1</f>
        <v>1Q18E</v>
      </c>
      <c r="AS1" s="1273" t="str">
        <f>VA!BI1</f>
        <v>2Q18E</v>
      </c>
      <c r="AT1" s="1273" t="str">
        <f>VA!BJ1</f>
        <v>3Q18E</v>
      </c>
      <c r="AU1" s="1273" t="str">
        <f>VA!BK1</f>
        <v>4Q18E</v>
      </c>
      <c r="AV1" s="1274" t="str">
        <f>VA!BL1</f>
        <v>2018E</v>
      </c>
      <c r="AW1" s="1273" t="str">
        <f>VA!BM1</f>
        <v>1Q19E</v>
      </c>
      <c r="AX1" s="1273" t="str">
        <f>VA!BN1</f>
        <v>2Q19E</v>
      </c>
      <c r="AY1" s="1273" t="str">
        <f>VA!BO1</f>
        <v>3Q19E</v>
      </c>
      <c r="AZ1" s="1273" t="str">
        <f>VA!BP1</f>
        <v>4Q19E</v>
      </c>
      <c r="BA1" s="1274" t="str">
        <f>VA!BQ1</f>
        <v>2019E</v>
      </c>
      <c r="BB1" s="1273" t="str">
        <f>VA!BR1</f>
        <v>1Q20E</v>
      </c>
      <c r="BC1" s="1273" t="str">
        <f>VA!BS1</f>
        <v>2Q20E</v>
      </c>
      <c r="BD1" s="1273" t="str">
        <f>VA!BT1</f>
        <v>3Q20E</v>
      </c>
      <c r="BE1" s="1273" t="str">
        <f>VA!BU1</f>
        <v>4Q20E</v>
      </c>
      <c r="BF1" s="1274" t="str">
        <f>VA!BV1</f>
        <v>2020E</v>
      </c>
      <c r="BG1" s="1273" t="str">
        <f>VA!BW1</f>
        <v>1Q21E</v>
      </c>
      <c r="BH1" s="1273" t="str">
        <f>VA!BX1</f>
        <v>2Q21E</v>
      </c>
      <c r="BI1" s="1273" t="str">
        <f>VA!BY1</f>
        <v>3Q21E</v>
      </c>
      <c r="BJ1" s="1273" t="str">
        <f>VA!BZ1</f>
        <v>4Q21E</v>
      </c>
      <c r="BK1" s="1274" t="str">
        <f>VA!CA1</f>
        <v>2021E</v>
      </c>
      <c r="BL1" s="1277"/>
      <c r="BM1" s="1277"/>
      <c r="BN1" s="1277"/>
      <c r="BO1" s="1277"/>
      <c r="BP1" s="1277"/>
      <c r="BQ1" s="1278"/>
      <c r="BR1" s="1270" t="s">
        <v>49</v>
      </c>
      <c r="BS1" s="1273">
        <v>2010</v>
      </c>
      <c r="BT1" s="1273">
        <v>2011</v>
      </c>
      <c r="BU1" s="1273">
        <v>2012</v>
      </c>
      <c r="BV1" s="1273">
        <v>2013</v>
      </c>
      <c r="BW1" s="1273">
        <v>2014</v>
      </c>
      <c r="BX1" s="1273">
        <v>2015</v>
      </c>
      <c r="BY1" s="1273" t="s">
        <v>379</v>
      </c>
      <c r="BZ1" s="1273">
        <f>AQ1</f>
        <v>2017</v>
      </c>
      <c r="CA1" s="1273" t="str">
        <f>AV1</f>
        <v>2018E</v>
      </c>
      <c r="CB1" s="1273" t="str">
        <f>BA1</f>
        <v>2019E</v>
      </c>
      <c r="CC1" s="1273" t="str">
        <f>BF1</f>
        <v>2020E</v>
      </c>
      <c r="CD1" s="1273" t="str">
        <f>BK1</f>
        <v>2021E</v>
      </c>
    </row>
    <row r="2" spans="1:82" x14ac:dyDescent="0.2">
      <c r="A2" s="1279"/>
      <c r="B2" s="1280"/>
      <c r="C2" s="1280"/>
      <c r="D2" s="1278"/>
      <c r="E2" s="1278"/>
      <c r="F2" s="1278"/>
      <c r="G2" s="1278"/>
      <c r="H2" s="1280"/>
      <c r="I2" s="1278"/>
      <c r="J2" s="1278"/>
      <c r="K2" s="1278"/>
      <c r="L2" s="1278"/>
      <c r="M2" s="1280"/>
      <c r="N2" s="1278"/>
      <c r="O2" s="1278"/>
      <c r="P2" s="1278"/>
      <c r="Q2" s="1278"/>
      <c r="R2" s="1280"/>
      <c r="S2" s="1278"/>
      <c r="T2" s="1278"/>
      <c r="U2" s="1278"/>
      <c r="V2" s="1278"/>
      <c r="W2" s="1281"/>
      <c r="X2" s="1282"/>
      <c r="Y2" s="1278"/>
      <c r="Z2" s="1278"/>
      <c r="AA2" s="1283"/>
      <c r="AB2" s="1281"/>
      <c r="AC2" s="1282"/>
      <c r="AD2" s="1278"/>
      <c r="AE2" s="1278"/>
      <c r="AF2" s="1283"/>
      <c r="AG2" s="1283"/>
      <c r="AH2" s="1278"/>
      <c r="AI2" s="1278"/>
      <c r="AJ2" s="1278"/>
      <c r="AK2" s="1278"/>
      <c r="AL2" s="1280"/>
      <c r="AM2" s="1278"/>
      <c r="AN2" s="1278"/>
      <c r="AO2" s="1278"/>
      <c r="AP2" s="1278"/>
      <c r="AQ2" s="1968"/>
      <c r="AR2" s="1278"/>
      <c r="AS2" s="1278"/>
      <c r="AT2" s="1278"/>
      <c r="AU2" s="1278"/>
      <c r="AV2" s="1280"/>
      <c r="AW2" s="1278"/>
      <c r="AX2" s="1278"/>
      <c r="AY2" s="1278"/>
      <c r="AZ2" s="1278"/>
      <c r="BA2" s="1280"/>
      <c r="BB2" s="1278"/>
      <c r="BC2" s="1278"/>
      <c r="BD2" s="1278"/>
      <c r="BE2" s="1278"/>
      <c r="BF2" s="1280"/>
      <c r="BG2" s="1278"/>
      <c r="BH2" s="1278"/>
      <c r="BI2" s="1278"/>
      <c r="BJ2" s="1278"/>
      <c r="BK2" s="1280"/>
      <c r="BL2" s="1277"/>
      <c r="BM2" s="1277"/>
      <c r="BN2" s="1277"/>
      <c r="BO2" s="1277"/>
      <c r="BP2" s="1277"/>
      <c r="BQ2" s="1278"/>
      <c r="BR2" s="1278"/>
      <c r="BS2" s="1278"/>
      <c r="BT2" s="1278"/>
      <c r="BU2" s="1278"/>
      <c r="BV2" s="1278"/>
      <c r="BW2" s="1278"/>
      <c r="BX2" s="1278"/>
      <c r="BY2" s="1278"/>
      <c r="BZ2" s="1278"/>
      <c r="CA2" s="1278"/>
      <c r="CB2" s="1278"/>
      <c r="CC2" s="1278"/>
      <c r="CD2" s="1278"/>
    </row>
    <row r="3" spans="1:82" x14ac:dyDescent="0.2">
      <c r="A3" s="1284" t="s">
        <v>101</v>
      </c>
      <c r="B3" s="1280"/>
      <c r="C3" s="1280"/>
      <c r="D3" s="1278"/>
      <c r="E3" s="1278"/>
      <c r="F3" s="1278"/>
      <c r="G3" s="1278"/>
      <c r="H3" s="1280"/>
      <c r="I3" s="1278"/>
      <c r="J3" s="1278"/>
      <c r="K3" s="1278"/>
      <c r="L3" s="1278"/>
      <c r="M3" s="1280"/>
      <c r="N3" s="1278"/>
      <c r="O3" s="1278"/>
      <c r="P3" s="1278"/>
      <c r="Q3" s="1278"/>
      <c r="R3" s="1280"/>
      <c r="S3" s="1278"/>
      <c r="T3" s="1278"/>
      <c r="U3" s="1278"/>
      <c r="V3" s="1278"/>
      <c r="W3" s="1280"/>
      <c r="X3" s="1282"/>
      <c r="Y3" s="1278"/>
      <c r="Z3" s="1278"/>
      <c r="AA3" s="1283"/>
      <c r="AB3" s="1280"/>
      <c r="AC3" s="1282"/>
      <c r="AD3" s="1278"/>
      <c r="AE3" s="1278"/>
      <c r="AF3" s="1283"/>
      <c r="AG3" s="1283"/>
      <c r="AH3" s="1278"/>
      <c r="AI3" s="1285"/>
      <c r="AJ3" s="1285"/>
      <c r="AK3" s="1278"/>
      <c r="AL3" s="1280"/>
      <c r="AM3" s="1278"/>
      <c r="AN3" s="1278"/>
      <c r="AO3" s="1278"/>
      <c r="AP3" s="1278"/>
      <c r="AQ3" s="1280"/>
      <c r="AR3" s="1278"/>
      <c r="AS3" s="1278"/>
      <c r="AT3" s="1278"/>
      <c r="AU3" s="1278"/>
      <c r="AV3" s="1280"/>
      <c r="AW3" s="1278"/>
      <c r="AX3" s="1278"/>
      <c r="AY3" s="1278"/>
      <c r="AZ3" s="1278"/>
      <c r="BA3" s="1280"/>
      <c r="BB3" s="1278"/>
      <c r="BC3" s="1278"/>
      <c r="BD3" s="1278"/>
      <c r="BE3" s="1278"/>
      <c r="BF3" s="1280"/>
      <c r="BG3" s="1278"/>
      <c r="BH3" s="1278"/>
      <c r="BI3" s="1278"/>
      <c r="BJ3" s="1278"/>
      <c r="BK3" s="1280"/>
      <c r="BL3" s="1277"/>
      <c r="BM3" s="1277"/>
      <c r="BN3" s="1277"/>
      <c r="BO3" s="1277"/>
      <c r="BP3" s="1277"/>
      <c r="BQ3" s="1278"/>
      <c r="BR3" s="1286" t="str">
        <f>A3</f>
        <v>Risk Assessment</v>
      </c>
      <c r="BS3" s="1278"/>
      <c r="BT3" s="1278"/>
      <c r="BU3" s="1278"/>
      <c r="BV3" s="1278"/>
      <c r="BW3" s="1278"/>
      <c r="BX3" s="1278"/>
      <c r="BY3" s="1278"/>
      <c r="BZ3" s="1278"/>
      <c r="CA3" s="1278"/>
      <c r="CB3" s="1278"/>
      <c r="CC3" s="1278"/>
      <c r="CD3" s="1278"/>
    </row>
    <row r="4" spans="1:82" ht="11.25" hidden="1" customHeight="1" outlineLevel="1" x14ac:dyDescent="0.2">
      <c r="A4" s="1280" t="s">
        <v>208</v>
      </c>
      <c r="B4" s="1287">
        <f>VA!R233</f>
        <v>84.727000000000004</v>
      </c>
      <c r="C4" s="1287">
        <f>VA!S233</f>
        <v>341.07900000000006</v>
      </c>
      <c r="D4" s="1288">
        <f>VA!T233</f>
        <v>88.043999999999997</v>
      </c>
      <c r="E4" s="1289">
        <f>VA!U233</f>
        <v>87.427000000000007</v>
      </c>
      <c r="F4" s="1289">
        <f>VA!V233</f>
        <v>88.644000000000005</v>
      </c>
      <c r="G4" s="1290">
        <f>VA!W233</f>
        <v>89.385999999999996</v>
      </c>
      <c r="H4" s="1287">
        <f>VA!X233</f>
        <v>353.50099999999998</v>
      </c>
      <c r="I4" s="1288">
        <f>VA!Y233</f>
        <v>92.856999999999999</v>
      </c>
      <c r="J4" s="1289">
        <f>VA!Z233</f>
        <v>92.388999999999996</v>
      </c>
      <c r="K4" s="1289">
        <f>VA!AA233</f>
        <v>92.894000000000005</v>
      </c>
      <c r="L4" s="1291">
        <v>93.754000000000005</v>
      </c>
      <c r="M4" s="145">
        <f>SUM(I4:L4)</f>
        <v>371.89400000000001</v>
      </c>
      <c r="N4" s="1289">
        <f>VA!AD233</f>
        <v>99.134</v>
      </c>
      <c r="O4" s="1289">
        <f>VA!AE233</f>
        <v>98.01</v>
      </c>
      <c r="P4" s="1289">
        <f>VA!AF233</f>
        <v>98.27</v>
      </c>
      <c r="Q4" s="1289">
        <f>VA!AG233</f>
        <v>114.05200000000001</v>
      </c>
      <c r="R4" s="145">
        <f>SUM(N4:Q4)</f>
        <v>409.46600000000001</v>
      </c>
      <c r="S4" s="1289">
        <f>VA!AI233</f>
        <v>116.45</v>
      </c>
      <c r="T4" s="1289">
        <f>VA!AJ233</f>
        <v>117.289</v>
      </c>
      <c r="U4" s="1289">
        <f>VA!AK233</f>
        <v>118.23399999999999</v>
      </c>
      <c r="V4" s="1289">
        <f>VA!AL233</f>
        <v>119.157</v>
      </c>
      <c r="W4" s="145">
        <f>SUM(S4:V4)</f>
        <v>471.13</v>
      </c>
      <c r="X4" s="1292">
        <f>VA!AN233</f>
        <v>123.81699999999999</v>
      </c>
      <c r="Y4" s="1292">
        <v>123.194</v>
      </c>
      <c r="Z4" s="1292">
        <v>122.83</v>
      </c>
      <c r="AA4" s="1293">
        <v>125.224</v>
      </c>
      <c r="AB4" s="145">
        <f>SUM(X4:AA4)</f>
        <v>495.065</v>
      </c>
      <c r="AC4" s="1292">
        <v>130.596</v>
      </c>
      <c r="AD4" s="1291">
        <v>130.77600000000001</v>
      </c>
      <c r="AE4" s="1291">
        <v>131.09299999999999</v>
      </c>
      <c r="AF4" s="1291">
        <v>132.1</v>
      </c>
      <c r="AG4" s="145">
        <f>SUM(AC4:AF4)</f>
        <v>524.56500000000005</v>
      </c>
      <c r="AH4" s="719">
        <v>137.42699999999999</v>
      </c>
      <c r="AI4" s="1291">
        <v>138.59899999999999</v>
      </c>
      <c r="AJ4" s="1291">
        <v>138.178</v>
      </c>
      <c r="AK4" s="1291">
        <v>139.9</v>
      </c>
      <c r="AL4" s="145">
        <f>SUM(AH4:AK4)</f>
        <v>554.10399999999993</v>
      </c>
      <c r="AM4" s="1877">
        <v>145.6</v>
      </c>
      <c r="AN4" s="1912">
        <v>148.1</v>
      </c>
      <c r="AO4" s="1937">
        <v>149</v>
      </c>
      <c r="AP4" s="1937">
        <v>151</v>
      </c>
      <c r="AQ4" s="145">
        <f>SUM(AM4:AP4)</f>
        <v>593.70000000000005</v>
      </c>
      <c r="AR4" s="147">
        <f>+AM4*(1+AR5)</f>
        <v>153.244</v>
      </c>
      <c r="AS4" s="147">
        <f>+AN4*(1+AS5)</f>
        <v>155.87524999999999</v>
      </c>
      <c r="AT4" s="147">
        <f>+AO4*(1+AT5)</f>
        <v>155.70499999999998</v>
      </c>
      <c r="AU4" s="147">
        <f>+AP4*(1+AU5)</f>
        <v>157.41749999999999</v>
      </c>
      <c r="AV4" s="145">
        <f>SUM(AR4:AU4)</f>
        <v>622.24174999999991</v>
      </c>
      <c r="AW4" s="147">
        <f>+AR4*(1+AW5)</f>
        <v>161.67241999999999</v>
      </c>
      <c r="AX4" s="147">
        <f>+AS4*(1+AX5)</f>
        <v>164.44838874999999</v>
      </c>
      <c r="AY4" s="147">
        <f>+AT4*(1+AY5)</f>
        <v>164.26877499999998</v>
      </c>
      <c r="AZ4" s="147">
        <f>+AU4*(1+AZ5)</f>
        <v>166.07546249999999</v>
      </c>
      <c r="BA4" s="145">
        <f>SUM(AW4:AZ4)</f>
        <v>656.46504624999989</v>
      </c>
      <c r="BB4" s="147">
        <f>+AW4*(1+BB5)</f>
        <v>170.56440309999996</v>
      </c>
      <c r="BC4" s="147">
        <f>+AX4*(1+BC5)</f>
        <v>173.49305013124999</v>
      </c>
      <c r="BD4" s="147">
        <f>+AY4*(1+BD5)</f>
        <v>173.30355762499997</v>
      </c>
      <c r="BE4" s="147">
        <f>+AZ4*(1+BE5)</f>
        <v>175.20961293749997</v>
      </c>
      <c r="BF4" s="145">
        <f>SUM(BB4:BE4)</f>
        <v>692.57062379374986</v>
      </c>
      <c r="BG4" s="147">
        <f>+BB4*(1+BG5)</f>
        <v>179.94544527049996</v>
      </c>
      <c r="BH4" s="147">
        <f>+BC4*(1+BH5)</f>
        <v>183.03516788846872</v>
      </c>
      <c r="BI4" s="147">
        <f>+BD4*(1+BI5)</f>
        <v>182.83525329437495</v>
      </c>
      <c r="BJ4" s="147">
        <f>+BE4*(1+BJ5)</f>
        <v>184.84614164906245</v>
      </c>
      <c r="BK4" s="145">
        <f>SUM(BG4:BJ4)</f>
        <v>730.66200810240616</v>
      </c>
      <c r="BL4" s="147"/>
      <c r="BM4" s="147"/>
      <c r="BN4" s="716"/>
      <c r="BO4" s="147"/>
      <c r="BP4" s="147"/>
      <c r="BQ4" s="147"/>
      <c r="BR4" s="1294" t="str">
        <f>A4</f>
        <v>Industry Standard Insurance Programs</v>
      </c>
      <c r="BS4" s="147">
        <f>H4</f>
        <v>353.50099999999998</v>
      </c>
      <c r="BT4" s="147">
        <f>M4</f>
        <v>371.89400000000001</v>
      </c>
      <c r="BU4" s="147">
        <f>R4</f>
        <v>409.46600000000001</v>
      </c>
      <c r="BV4" s="147">
        <f>W4</f>
        <v>471.13</v>
      </c>
      <c r="BW4" s="147">
        <f>AB4</f>
        <v>495.065</v>
      </c>
      <c r="BX4" s="147">
        <f>AG4</f>
        <v>524.56500000000005</v>
      </c>
      <c r="BY4" s="147">
        <f>AL4</f>
        <v>554.10399999999993</v>
      </c>
      <c r="BZ4" s="147">
        <f>AQ4</f>
        <v>593.70000000000005</v>
      </c>
      <c r="CA4" s="147">
        <f>AV4</f>
        <v>622.24174999999991</v>
      </c>
      <c r="CB4" s="147">
        <f>BA4</f>
        <v>656.46504624999989</v>
      </c>
      <c r="CC4" s="147">
        <f>BF4</f>
        <v>692.57062379374986</v>
      </c>
      <c r="CD4" s="147">
        <f>BK4</f>
        <v>730.66200810240616</v>
      </c>
    </row>
    <row r="5" spans="1:82" ht="11.25" hidden="1" customHeight="1" outlineLevel="1" x14ac:dyDescent="0.2">
      <c r="A5" s="729" t="s">
        <v>209</v>
      </c>
      <c r="B5" s="91">
        <f>VA!R234</f>
        <v>2.9014549782603538E-2</v>
      </c>
      <c r="C5" s="91">
        <f>VA!S234</f>
        <v>3.4017668208744523E-2</v>
      </c>
      <c r="D5" s="745">
        <f>VA!T234</f>
        <v>3.4023512278764878E-2</v>
      </c>
      <c r="E5" s="90">
        <f>VA!U234</f>
        <v>4.3769960710429157E-3</v>
      </c>
      <c r="F5" s="90">
        <f>VA!V234</f>
        <v>5.3291983032117685E-2</v>
      </c>
      <c r="G5" s="746">
        <f>VA!W234</f>
        <v>5.4988374426097941E-2</v>
      </c>
      <c r="H5" s="91">
        <f>VA!X234</f>
        <v>3.6419715080670212E-2</v>
      </c>
      <c r="I5" s="745">
        <f>VA!Y234</f>
        <v>5.4665848893735047E-2</v>
      </c>
      <c r="J5" s="90">
        <f>VA!Z234</f>
        <v>5.6755922083566723E-2</v>
      </c>
      <c r="K5" s="90">
        <f>VA!AA234</f>
        <v>4.7944587338116573E-2</v>
      </c>
      <c r="L5" s="90">
        <f>L4/G4-1</f>
        <v>4.8866712908061771E-2</v>
      </c>
      <c r="M5" s="91">
        <f>M4/H4-1</f>
        <v>5.2030970209419491E-2</v>
      </c>
      <c r="N5" s="90">
        <f>N4/I4-1</f>
        <v>6.7598565536254762E-2</v>
      </c>
      <c r="O5" s="90">
        <f>O4/J4-1</f>
        <v>6.084057625907846E-2</v>
      </c>
      <c r="P5" s="90">
        <f>P4/K4-1</f>
        <v>5.7872413718862203E-2</v>
      </c>
      <c r="Q5" s="90">
        <f>Q4/SUM(L4,L10,L13)-1</f>
        <v>5.8006103952726873E-2</v>
      </c>
      <c r="R5" s="91">
        <f>AVERAGE(N5:Q5)</f>
        <v>6.1079414866730575E-2</v>
      </c>
      <c r="S5" s="90">
        <f>S4/SUM(N4,N10,N13)-1</f>
        <v>3.5921431875600485E-2</v>
      </c>
      <c r="T5" s="90">
        <f>T4/SUM(O4,O10,O13)-1</f>
        <v>4.9753870938870515E-2</v>
      </c>
      <c r="U5" s="90">
        <f>U4/SUM(P4,P10,P13)-1</f>
        <v>5.1417493686194859E-2</v>
      </c>
      <c r="V5" s="90">
        <f>V4/SUM(Q4,Q10,Q13)-1</f>
        <v>4.4760284782379811E-2</v>
      </c>
      <c r="W5" s="91">
        <f>+W4/(R4+SUM(N10:P10,N13:P13))-1</f>
        <v>4.5454747185151856E-2</v>
      </c>
      <c r="X5" s="90">
        <f>X4/SUM(S4,S10,S13)-1</f>
        <v>6.32632030914555E-2</v>
      </c>
      <c r="Y5" s="90">
        <f>Y4/SUM(T4,T10,T13)-1</f>
        <v>5.0345727220796554E-2</v>
      </c>
      <c r="Z5" s="90">
        <f>Z4/SUM(U4,U10,U13)-1</f>
        <v>3.8872067256457532E-2</v>
      </c>
      <c r="AA5" s="746">
        <f>AA4/SUM(V4,V10,V13)-1</f>
        <v>5.091601836232873E-2</v>
      </c>
      <c r="AB5" s="91">
        <f>+AB4/(W4+SUM(S10:U10,S13:U13))-1</f>
        <v>5.0803387600025562E-2</v>
      </c>
      <c r="AC5" s="90">
        <f>AC4/X4-1</f>
        <v>5.4750155471381179E-2</v>
      </c>
      <c r="AD5" s="90">
        <f>AD4/Y4-1</f>
        <v>6.1545205123626268E-2</v>
      </c>
      <c r="AE5" s="90">
        <f>AE4/Z4-1</f>
        <v>6.7271839127248878E-2</v>
      </c>
      <c r="AF5" s="90">
        <f>AF4/AA4-1</f>
        <v>5.490960199322803E-2</v>
      </c>
      <c r="AG5" s="91">
        <f>+AG4/(AB4+SUM(X10:Z10,X13:Z13))-1</f>
        <v>5.9588134891378042E-2</v>
      </c>
      <c r="AH5" s="90">
        <f>AH4/AC4-1</f>
        <v>5.2306349352200687E-2</v>
      </c>
      <c r="AI5" s="90">
        <f>AI4/AD4-1</f>
        <v>5.9819844619807716E-2</v>
      </c>
      <c r="AJ5" s="90">
        <f>AJ4/AE4-1</f>
        <v>5.4045601214405048E-2</v>
      </c>
      <c r="AK5" s="90">
        <f>AK4/AF4-1</f>
        <v>5.9046177138531553E-2</v>
      </c>
      <c r="AL5" s="91">
        <f t="shared" ref="AL5:AQ5" si="0">+AL4/(AG4+SUM(AC10:AE10,AC13:AE13))-1</f>
        <v>5.6311419938424923E-2</v>
      </c>
      <c r="AM5" s="745">
        <f t="shared" si="0"/>
        <v>5.947157399928682E-2</v>
      </c>
      <c r="AN5" s="90">
        <f t="shared" si="0"/>
        <v>6.8550278140534937E-2</v>
      </c>
      <c r="AO5" s="90">
        <f t="shared" si="0"/>
        <v>7.8319269348231968E-2</v>
      </c>
      <c r="AP5" s="90">
        <f t="shared" si="0"/>
        <v>7.9342387419585325E-2</v>
      </c>
      <c r="AQ5" s="91">
        <f t="shared" si="0"/>
        <v>7.1459509406176736E-2</v>
      </c>
      <c r="AR5" s="1310">
        <v>5.2499999999999998E-2</v>
      </c>
      <c r="AS5" s="1310">
        <v>5.2499999999999998E-2</v>
      </c>
      <c r="AT5" s="1310">
        <v>4.4999999999999998E-2</v>
      </c>
      <c r="AU5" s="1310">
        <v>4.2500000000000003E-2</v>
      </c>
      <c r="AV5" s="91">
        <f>+AV4/(AQ4+SUM(AM10:AO10,AM13:AO13))-1</f>
        <v>4.8074364156981408E-2</v>
      </c>
      <c r="AW5" s="1310">
        <v>5.5E-2</v>
      </c>
      <c r="AX5" s="1310">
        <v>5.5E-2</v>
      </c>
      <c r="AY5" s="1310">
        <v>5.5E-2</v>
      </c>
      <c r="AZ5" s="1310">
        <v>5.5E-2</v>
      </c>
      <c r="BA5" s="91">
        <f>+BA4/(AV4+SUM(AR10:AT10,AR13:AT13))-1</f>
        <v>5.4999999999999938E-2</v>
      </c>
      <c r="BB5" s="1310">
        <v>5.5E-2</v>
      </c>
      <c r="BC5" s="1310">
        <v>5.5E-2</v>
      </c>
      <c r="BD5" s="1310">
        <v>5.5E-2</v>
      </c>
      <c r="BE5" s="1310">
        <v>5.5E-2</v>
      </c>
      <c r="BF5" s="91">
        <f>+BF4/(BA4+SUM(AW10:AY10,AW13:AY13))-1</f>
        <v>5.4999999999999938E-2</v>
      </c>
      <c r="BG5" s="1310">
        <v>5.5E-2</v>
      </c>
      <c r="BH5" s="1310">
        <v>5.5E-2</v>
      </c>
      <c r="BI5" s="1310">
        <v>5.5E-2</v>
      </c>
      <c r="BJ5" s="1310">
        <v>5.5E-2</v>
      </c>
      <c r="BK5" s="91">
        <f>+BK4/(BF4+SUM(BB10:BD10,BB13:BD13))-1</f>
        <v>5.500000000000016E-2</v>
      </c>
      <c r="BL5" s="147"/>
      <c r="BM5" s="147"/>
      <c r="BN5" s="716"/>
      <c r="BO5" s="147"/>
      <c r="BP5" s="147"/>
      <c r="BQ5" s="147"/>
      <c r="BR5" s="1294" t="str">
        <f>A5</f>
        <v>YoY Change</v>
      </c>
      <c r="BS5" s="90">
        <f>H5</f>
        <v>3.6419715080670212E-2</v>
      </c>
      <c r="BT5" s="90">
        <f>M5</f>
        <v>5.2030970209419491E-2</v>
      </c>
      <c r="BU5" s="90">
        <f>R5</f>
        <v>6.1079414866730575E-2</v>
      </c>
      <c r="BV5" s="90">
        <f>W5</f>
        <v>4.5454747185151856E-2</v>
      </c>
      <c r="BW5" s="90">
        <f>AB5</f>
        <v>5.0803387600025562E-2</v>
      </c>
      <c r="BX5" s="90">
        <f>AG5</f>
        <v>5.9588134891378042E-2</v>
      </c>
      <c r="BY5" s="90">
        <f>AL5</f>
        <v>5.6311419938424923E-2</v>
      </c>
      <c r="BZ5" s="90">
        <f>AQ5</f>
        <v>7.1459509406176736E-2</v>
      </c>
      <c r="CA5" s="90">
        <f>AV5</f>
        <v>4.8074364156981408E-2</v>
      </c>
      <c r="CB5" s="90">
        <f>BA5</f>
        <v>5.4999999999999938E-2</v>
      </c>
      <c r="CC5" s="90">
        <f>BF5</f>
        <v>5.4999999999999938E-2</v>
      </c>
      <c r="CD5" s="90">
        <f>BK5</f>
        <v>5.500000000000016E-2</v>
      </c>
    </row>
    <row r="6" spans="1:82" ht="9" hidden="1" customHeight="1" outlineLevel="1" x14ac:dyDescent="0.2">
      <c r="A6" s="729"/>
      <c r="B6" s="91"/>
      <c r="C6" s="108"/>
      <c r="D6" s="105"/>
      <c r="E6" s="106"/>
      <c r="F6" s="106"/>
      <c r="G6" s="107"/>
      <c r="H6" s="108"/>
      <c r="I6" s="105"/>
      <c r="J6" s="106"/>
      <c r="K6" s="106"/>
      <c r="L6" s="90"/>
      <c r="M6" s="91"/>
      <c r="N6" s="90"/>
      <c r="O6" s="90"/>
      <c r="P6" s="90"/>
      <c r="Q6" s="90"/>
      <c r="R6" s="91"/>
      <c r="S6" s="90"/>
      <c r="T6" s="90"/>
      <c r="U6" s="90"/>
      <c r="V6" s="90"/>
      <c r="W6" s="91"/>
      <c r="X6" s="90"/>
      <c r="Y6" s="90"/>
      <c r="Z6" s="90"/>
      <c r="AA6" s="746"/>
      <c r="AB6" s="91"/>
      <c r="AC6" s="90"/>
      <c r="AD6" s="90"/>
      <c r="AE6" s="90"/>
      <c r="AF6" s="746"/>
      <c r="AG6" s="91"/>
      <c r="AH6" s="90"/>
      <c r="AI6" s="90"/>
      <c r="AJ6" s="90"/>
      <c r="AK6" s="90"/>
      <c r="AL6" s="91"/>
      <c r="AM6" s="90"/>
      <c r="AN6" s="90"/>
      <c r="AO6" s="90"/>
      <c r="AP6" s="90"/>
      <c r="AQ6" s="91"/>
      <c r="AR6" s="90"/>
      <c r="AS6" s="90"/>
      <c r="AT6" s="90"/>
      <c r="AU6" s="90"/>
      <c r="AV6" s="91"/>
      <c r="AW6" s="90"/>
      <c r="AX6" s="90"/>
      <c r="AY6" s="90"/>
      <c r="AZ6" s="90"/>
      <c r="BA6" s="91"/>
      <c r="BB6" s="90"/>
      <c r="BC6" s="90"/>
      <c r="BD6" s="90"/>
      <c r="BE6" s="90"/>
      <c r="BF6" s="91"/>
      <c r="BG6" s="90"/>
      <c r="BH6" s="90"/>
      <c r="BI6" s="90"/>
      <c r="BJ6" s="90"/>
      <c r="BK6" s="91"/>
      <c r="BL6" s="147"/>
      <c r="BM6" s="147"/>
      <c r="BN6" s="716"/>
      <c r="BO6" s="147"/>
      <c r="BP6" s="147"/>
      <c r="BQ6" s="147"/>
      <c r="BR6" s="1294"/>
      <c r="BS6" s="90"/>
      <c r="BT6" s="90"/>
      <c r="BU6" s="90"/>
      <c r="BV6" s="90"/>
      <c r="BW6" s="90"/>
      <c r="BX6" s="90"/>
      <c r="BY6" s="90"/>
      <c r="BZ6" s="90"/>
      <c r="CA6" s="90"/>
      <c r="CB6" s="90"/>
      <c r="CC6" s="90"/>
      <c r="CD6" s="90"/>
    </row>
    <row r="7" spans="1:82" ht="11.25" hidden="1" customHeight="1" outlineLevel="1" x14ac:dyDescent="0.2">
      <c r="A7" s="1295" t="s">
        <v>210</v>
      </c>
      <c r="B7" s="1287">
        <f>VA!R236</f>
        <v>32.939</v>
      </c>
      <c r="C7" s="1287">
        <f>VA!S236</f>
        <v>132.02699999999999</v>
      </c>
      <c r="D7" s="1288">
        <f>VA!T236</f>
        <v>33.959000000000003</v>
      </c>
      <c r="E7" s="1289">
        <f>VA!U236</f>
        <v>34.267000000000003</v>
      </c>
      <c r="F7" s="1289">
        <f>VA!V236</f>
        <v>34.506999999999998</v>
      </c>
      <c r="G7" s="1290">
        <f>VA!W236</f>
        <v>34.338000000000001</v>
      </c>
      <c r="H7" s="1287">
        <f>VA!X236</f>
        <v>137.071</v>
      </c>
      <c r="I7" s="1288">
        <f>VA!Y236</f>
        <v>34.497</v>
      </c>
      <c r="J7" s="1289">
        <f>VA!Z236</f>
        <v>35.017000000000003</v>
      </c>
      <c r="K7" s="1289">
        <f>VA!AA236</f>
        <v>33.106999999999999</v>
      </c>
      <c r="L7" s="1289">
        <f>VA!AB236</f>
        <v>34.512</v>
      </c>
      <c r="M7" s="145">
        <f>SUM(I7:L7)</f>
        <v>137.13300000000001</v>
      </c>
      <c r="N7" s="1289">
        <f>VA!AD236</f>
        <v>32.557000000000002</v>
      </c>
      <c r="O7" s="1289">
        <f>VA!AE236</f>
        <v>32.459000000000003</v>
      </c>
      <c r="P7" s="1289">
        <f>VA!AF236</f>
        <v>31.414999999999999</v>
      </c>
      <c r="Q7" s="1289">
        <f>VA!AG236</f>
        <v>32.429000000000002</v>
      </c>
      <c r="R7" s="145">
        <f>SUM(N7:Q7)</f>
        <v>128.86000000000001</v>
      </c>
      <c r="S7" s="1289">
        <f>VA!AI236</f>
        <v>36.162999999999997</v>
      </c>
      <c r="T7" s="1289">
        <f>VA!AJ236</f>
        <v>36.97</v>
      </c>
      <c r="U7" s="1289">
        <f>VA!AK236</f>
        <v>36.820999999999998</v>
      </c>
      <c r="V7" s="1289">
        <f>VA!AL236</f>
        <v>37.192</v>
      </c>
      <c r="W7" s="145">
        <f>SUM(S7:V7)</f>
        <v>147.14599999999999</v>
      </c>
      <c r="X7" s="1292">
        <f>VA!AN236</f>
        <v>38.496000000000002</v>
      </c>
      <c r="Y7" s="1292">
        <v>38.758000000000003</v>
      </c>
      <c r="Z7" s="1292">
        <v>38.624000000000002</v>
      </c>
      <c r="AA7" s="1293">
        <v>39.709000000000003</v>
      </c>
      <c r="AB7" s="1296">
        <f>+AB16-AB4</f>
        <v>155.58700000000005</v>
      </c>
      <c r="AC7" s="1292">
        <v>40.345999999999997</v>
      </c>
      <c r="AD7" s="1291">
        <v>40.954000000000001</v>
      </c>
      <c r="AE7" s="1291">
        <v>40.634</v>
      </c>
      <c r="AF7" s="1297">
        <v>41.7</v>
      </c>
      <c r="AG7" s="145">
        <f>+AG16-AG4</f>
        <v>163.63400000000001</v>
      </c>
      <c r="AH7" s="719">
        <v>42.329000000000001</v>
      </c>
      <c r="AI7" s="516">
        <v>42.518000000000001</v>
      </c>
      <c r="AJ7" s="516">
        <v>42.595999999999997</v>
      </c>
      <c r="AK7" s="1291">
        <v>42.7</v>
      </c>
      <c r="AL7" s="145">
        <f t="shared" ref="AL7:AQ7" si="1">+AL16-AL4</f>
        <v>170.14300000000003</v>
      </c>
      <c r="AM7" s="1877">
        <v>43.8</v>
      </c>
      <c r="AN7" s="1912">
        <v>44.5</v>
      </c>
      <c r="AO7" s="1937">
        <v>44.2</v>
      </c>
      <c r="AP7" s="1937">
        <v>44.2</v>
      </c>
      <c r="AQ7" s="145">
        <f t="shared" si="1"/>
        <v>176.70000000000005</v>
      </c>
      <c r="AR7" s="147">
        <f t="shared" ref="AR7:BK7" si="2">+AR16-AR4</f>
        <v>45.152500000000003</v>
      </c>
      <c r="AS7" s="147">
        <f t="shared" si="2"/>
        <v>45.873250000000013</v>
      </c>
      <c r="AT7" s="147">
        <f t="shared" si="2"/>
        <v>46.672000000000025</v>
      </c>
      <c r="AU7" s="147">
        <f t="shared" si="2"/>
        <v>46.078499999999991</v>
      </c>
      <c r="AV7" s="145">
        <f t="shared" si="2"/>
        <v>183.77625</v>
      </c>
      <c r="AW7" s="147">
        <f t="shared" si="2"/>
        <v>46.643905000000018</v>
      </c>
      <c r="AX7" s="147">
        <f t="shared" si="2"/>
        <v>47.387536250000011</v>
      </c>
      <c r="AY7" s="147">
        <f t="shared" si="2"/>
        <v>48.227075000000042</v>
      </c>
      <c r="AZ7" s="147">
        <f t="shared" si="2"/>
        <v>47.595337499999999</v>
      </c>
      <c r="BA7" s="145">
        <f t="shared" si="2"/>
        <v>189.8538537500001</v>
      </c>
      <c r="BB7" s="147">
        <f t="shared" si="2"/>
        <v>48.167738150000048</v>
      </c>
      <c r="BC7" s="147">
        <f t="shared" si="2"/>
        <v>48.934671118750032</v>
      </c>
      <c r="BD7" s="147">
        <f t="shared" si="2"/>
        <v>49.817084875000063</v>
      </c>
      <c r="BE7" s="147">
        <f t="shared" si="2"/>
        <v>49.144727062500039</v>
      </c>
      <c r="BF7" s="145">
        <f t="shared" si="2"/>
        <v>196.06422120625018</v>
      </c>
      <c r="BG7" s="147">
        <f t="shared" si="2"/>
        <v>49.723303042000055</v>
      </c>
      <c r="BH7" s="147">
        <f t="shared" si="2"/>
        <v>50.513939424031321</v>
      </c>
      <c r="BI7" s="147">
        <f t="shared" si="2"/>
        <v>51.441421330625104</v>
      </c>
      <c r="BJ7" s="147">
        <f t="shared" si="2"/>
        <v>50.725915350937584</v>
      </c>
      <c r="BK7" s="145">
        <f t="shared" si="2"/>
        <v>202.40457914759395</v>
      </c>
      <c r="BL7" s="147"/>
      <c r="BM7" s="147"/>
      <c r="BN7" s="716"/>
      <c r="BO7" s="147"/>
      <c r="BP7" s="147"/>
      <c r="BQ7" s="147"/>
      <c r="BR7" s="1294" t="str">
        <f>A7</f>
        <v>Property-Specific Rating and U/W Info (SPI Database)</v>
      </c>
      <c r="BS7" s="147">
        <f>H7</f>
        <v>137.071</v>
      </c>
      <c r="BT7" s="147">
        <f>M7</f>
        <v>137.13300000000001</v>
      </c>
      <c r="BU7" s="147">
        <f>R7</f>
        <v>128.86000000000001</v>
      </c>
      <c r="BV7" s="147">
        <f>W7</f>
        <v>147.14599999999999</v>
      </c>
      <c r="BW7" s="147">
        <f>AB7</f>
        <v>155.58700000000005</v>
      </c>
      <c r="BX7" s="147">
        <f>AG7</f>
        <v>163.63400000000001</v>
      </c>
      <c r="BY7" s="147">
        <f>AL7</f>
        <v>170.14300000000003</v>
      </c>
      <c r="BZ7" s="147">
        <f>AQ7</f>
        <v>176.70000000000005</v>
      </c>
      <c r="CA7" s="147">
        <f>AV7</f>
        <v>183.77625</v>
      </c>
      <c r="CB7" s="147">
        <f>BA7</f>
        <v>189.8538537500001</v>
      </c>
      <c r="CC7" s="147">
        <f>BF7</f>
        <v>196.06422120625018</v>
      </c>
      <c r="CD7" s="147">
        <f>BK7</f>
        <v>202.40457914759395</v>
      </c>
    </row>
    <row r="8" spans="1:82" ht="11.25" hidden="1" customHeight="1" outlineLevel="1" x14ac:dyDescent="0.2">
      <c r="A8" s="729" t="s">
        <v>209</v>
      </c>
      <c r="B8" s="91">
        <f>VA!R237</f>
        <v>5.3677105658808122E-2</v>
      </c>
      <c r="C8" s="91">
        <f>VA!S237</f>
        <v>4.9207295267612361E-2</v>
      </c>
      <c r="D8" s="745">
        <f>VA!T237</f>
        <v>6.1185587950376652E-2</v>
      </c>
      <c r="E8" s="90">
        <f>VA!U237</f>
        <v>1.1781032242825118E-2</v>
      </c>
      <c r="F8" s="90">
        <f>VA!V237</f>
        <v>3.8772991360366049E-2</v>
      </c>
      <c r="G8" s="746">
        <f>VA!W237</f>
        <v>4.2472449072528118E-2</v>
      </c>
      <c r="H8" s="91">
        <f>VA!X237</f>
        <v>3.820430669484276E-2</v>
      </c>
      <c r="I8" s="745">
        <f>VA!Y237</f>
        <v>1.5842633764244995E-2</v>
      </c>
      <c r="J8" s="90">
        <f>VA!Z237</f>
        <v>2.1886946625032877E-2</v>
      </c>
      <c r="K8" s="90">
        <f>VA!AA237</f>
        <v>-4.0571478250789661E-2</v>
      </c>
      <c r="L8" s="90">
        <f t="shared" ref="L8:AL8" si="3">L7/G7-1</f>
        <v>5.0672724095752741E-3</v>
      </c>
      <c r="M8" s="91">
        <f t="shared" si="3"/>
        <v>4.5232033033992813E-4</v>
      </c>
      <c r="N8" s="90">
        <f t="shared" si="3"/>
        <v>-5.6236774212250262E-2</v>
      </c>
      <c r="O8" s="90">
        <f t="shared" si="3"/>
        <v>-7.3050232744095722E-2</v>
      </c>
      <c r="P8" s="90">
        <f t="shared" si="3"/>
        <v>-5.1107016643005987E-2</v>
      </c>
      <c r="Q8" s="90">
        <f t="shared" si="3"/>
        <v>-6.035581826611025E-2</v>
      </c>
      <c r="R8" s="91">
        <f t="shared" si="3"/>
        <v>-6.0328294429495388E-2</v>
      </c>
      <c r="S8" s="90">
        <f t="shared" si="3"/>
        <v>0.11075959087139453</v>
      </c>
      <c r="T8" s="90">
        <f t="shared" si="3"/>
        <v>0.13897532271480939</v>
      </c>
      <c r="U8" s="90">
        <f t="shared" si="3"/>
        <v>0.17208339964984876</v>
      </c>
      <c r="V8" s="90">
        <f t="shared" si="3"/>
        <v>0.14687471090690418</v>
      </c>
      <c r="W8" s="91">
        <f t="shared" si="3"/>
        <v>0.1419059444358215</v>
      </c>
      <c r="X8" s="90">
        <f t="shared" si="3"/>
        <v>6.4513452976799668E-2</v>
      </c>
      <c r="Y8" s="90">
        <f t="shared" si="3"/>
        <v>4.836353800378701E-2</v>
      </c>
      <c r="Z8" s="90">
        <f t="shared" si="3"/>
        <v>4.8966622307922147E-2</v>
      </c>
      <c r="AA8" s="746">
        <f t="shared" si="3"/>
        <v>6.767584426758444E-2</v>
      </c>
      <c r="AB8" s="91">
        <f t="shared" si="3"/>
        <v>5.7364794150028375E-2</v>
      </c>
      <c r="AC8" s="90">
        <f t="shared" si="3"/>
        <v>4.8056940980881091E-2</v>
      </c>
      <c r="AD8" s="90">
        <f t="shared" si="3"/>
        <v>5.6659270344187052E-2</v>
      </c>
      <c r="AE8" s="90">
        <f t="shared" si="3"/>
        <v>5.2040182270091107E-2</v>
      </c>
      <c r="AF8" s="746">
        <f t="shared" si="3"/>
        <v>5.0139766803495522E-2</v>
      </c>
      <c r="AG8" s="91">
        <f t="shared" si="3"/>
        <v>5.1720259404705926E-2</v>
      </c>
      <c r="AH8" s="90">
        <f t="shared" si="3"/>
        <v>4.9149853764933527E-2</v>
      </c>
      <c r="AI8" s="90">
        <f>AI7/AD7-1</f>
        <v>3.8189187869316799E-2</v>
      </c>
      <c r="AJ8" s="90">
        <f>AJ7/AE7-1</f>
        <v>4.8284687699955642E-2</v>
      </c>
      <c r="AK8" s="90">
        <f t="shared" si="3"/>
        <v>2.3980815347721895E-2</v>
      </c>
      <c r="AL8" s="91">
        <f t="shared" si="3"/>
        <v>3.9777796790398279E-2</v>
      </c>
      <c r="AM8" s="90">
        <f t="shared" ref="AM8:BK8" si="4">AM7/AH7-1</f>
        <v>3.4751588745304485E-2</v>
      </c>
      <c r="AN8" s="90">
        <f t="shared" si="4"/>
        <v>4.6615551060727123E-2</v>
      </c>
      <c r="AO8" s="90">
        <f t="shared" si="4"/>
        <v>3.7656117945347178E-2</v>
      </c>
      <c r="AP8" s="90">
        <f t="shared" si="4"/>
        <v>3.5128805620608938E-2</v>
      </c>
      <c r="AQ8" s="91">
        <f t="shared" si="4"/>
        <v>3.8538170832770113E-2</v>
      </c>
      <c r="AR8" s="90">
        <f t="shared" si="4"/>
        <v>3.0878995433790024E-2</v>
      </c>
      <c r="AS8" s="90">
        <f t="shared" si="4"/>
        <v>3.0859550561798121E-2</v>
      </c>
      <c r="AT8" s="90">
        <f t="shared" si="4"/>
        <v>5.5927601809955263E-2</v>
      </c>
      <c r="AU8" s="90">
        <f t="shared" si="4"/>
        <v>4.249999999999976E-2</v>
      </c>
      <c r="AV8" s="91">
        <f t="shared" si="4"/>
        <v>4.0046689303904648E-2</v>
      </c>
      <c r="AW8" s="90">
        <f t="shared" si="4"/>
        <v>3.3030396987985489E-2</v>
      </c>
      <c r="AX8" s="90">
        <f t="shared" si="4"/>
        <v>3.3010223823252138E-2</v>
      </c>
      <c r="AY8" s="90">
        <f t="shared" si="4"/>
        <v>3.3319227802537155E-2</v>
      </c>
      <c r="AZ8" s="90">
        <f t="shared" si="4"/>
        <v>3.29185520361992E-2</v>
      </c>
      <c r="BA8" s="91">
        <f t="shared" si="4"/>
        <v>3.3070670176369887E-2</v>
      </c>
      <c r="BB8" s="90">
        <f t="shared" si="4"/>
        <v>3.2669502049625265E-2</v>
      </c>
      <c r="BC8" s="90">
        <f t="shared" si="4"/>
        <v>3.2648561017983413E-2</v>
      </c>
      <c r="BD8" s="90">
        <f t="shared" si="4"/>
        <v>3.2969237197155721E-2</v>
      </c>
      <c r="BE8" s="90">
        <f t="shared" si="4"/>
        <v>3.2553389552076206E-2</v>
      </c>
      <c r="BF8" s="91">
        <f t="shared" si="4"/>
        <v>3.2711305741667474E-2</v>
      </c>
      <c r="BG8" s="90">
        <f t="shared" si="4"/>
        <v>3.2294746478561898E-2</v>
      </c>
      <c r="BH8" s="90">
        <f t="shared" si="4"/>
        <v>3.2272993139135897E-2</v>
      </c>
      <c r="BI8" s="90">
        <f t="shared" si="4"/>
        <v>3.2606011766862508E-2</v>
      </c>
      <c r="BJ8" s="90">
        <f t="shared" si="4"/>
        <v>3.2174118831236109E-2</v>
      </c>
      <c r="BK8" s="91">
        <f t="shared" si="4"/>
        <v>3.233816910773335E-2</v>
      </c>
      <c r="BL8" s="147"/>
      <c r="BM8" s="147"/>
      <c r="BN8" s="716"/>
      <c r="BO8" s="147"/>
      <c r="BP8" s="147"/>
      <c r="BQ8" s="147"/>
      <c r="BR8" s="1294" t="str">
        <f>A8</f>
        <v>YoY Change</v>
      </c>
      <c r="BS8" s="90">
        <f>H8</f>
        <v>3.820430669484276E-2</v>
      </c>
      <c r="BT8" s="90">
        <f>M8</f>
        <v>4.5232033033992813E-4</v>
      </c>
      <c r="BU8" s="90">
        <f>R8</f>
        <v>-6.0328294429495388E-2</v>
      </c>
      <c r="BV8" s="90">
        <f>W8</f>
        <v>0.1419059444358215</v>
      </c>
      <c r="BW8" s="90">
        <f>AB8</f>
        <v>5.7364794150028375E-2</v>
      </c>
      <c r="BX8" s="90">
        <f>AG8</f>
        <v>5.1720259404705926E-2</v>
      </c>
      <c r="BY8" s="90">
        <f>AL8</f>
        <v>3.9777796790398279E-2</v>
      </c>
      <c r="BZ8" s="90">
        <f>AQ8</f>
        <v>3.8538170832770113E-2</v>
      </c>
      <c r="CA8" s="90">
        <f>AV8</f>
        <v>4.0046689303904648E-2</v>
      </c>
      <c r="CB8" s="90">
        <f>BA8</f>
        <v>3.3070670176369887E-2</v>
      </c>
      <c r="CC8" s="90">
        <f>BF8</f>
        <v>3.2711305741667474E-2</v>
      </c>
      <c r="CD8" s="90">
        <f>BK8</f>
        <v>3.233816910773335E-2</v>
      </c>
    </row>
    <row r="9" spans="1:82" ht="9" hidden="1" customHeight="1" outlineLevel="2" x14ac:dyDescent="0.2">
      <c r="A9" s="729"/>
      <c r="B9" s="91"/>
      <c r="C9" s="108"/>
      <c r="D9" s="105"/>
      <c r="E9" s="106"/>
      <c r="F9" s="106"/>
      <c r="G9" s="107"/>
      <c r="H9" s="108"/>
      <c r="I9" s="105"/>
      <c r="J9" s="106"/>
      <c r="K9" s="106"/>
      <c r="L9" s="90"/>
      <c r="M9" s="91"/>
      <c r="N9" s="90"/>
      <c r="O9" s="90"/>
      <c r="P9" s="90"/>
      <c r="Q9" s="90"/>
      <c r="R9" s="91"/>
      <c r="S9" s="90"/>
      <c r="T9" s="90"/>
      <c r="U9" s="90"/>
      <c r="V9" s="90"/>
      <c r="W9" s="91"/>
      <c r="X9" s="745"/>
      <c r="Y9" s="90"/>
      <c r="Z9" s="90"/>
      <c r="AA9" s="746"/>
      <c r="AB9" s="91"/>
      <c r="AC9" s="745"/>
      <c r="AD9" s="90"/>
      <c r="AE9" s="90"/>
      <c r="AF9" s="746"/>
      <c r="AG9" s="746"/>
      <c r="AH9" s="90"/>
      <c r="AI9" s="90"/>
      <c r="AJ9" s="90"/>
      <c r="AK9" s="90"/>
      <c r="AL9" s="91"/>
      <c r="AM9" s="90"/>
      <c r="AN9" s="90"/>
      <c r="AO9" s="90"/>
      <c r="AP9" s="90"/>
      <c r="AQ9" s="91"/>
      <c r="AR9" s="90"/>
      <c r="AS9" s="90"/>
      <c r="AT9" s="90"/>
      <c r="AU9" s="90"/>
      <c r="AV9" s="91"/>
      <c r="AW9" s="90"/>
      <c r="AX9" s="90"/>
      <c r="AY9" s="90"/>
      <c r="AZ9" s="90"/>
      <c r="BA9" s="91"/>
      <c r="BB9" s="90"/>
      <c r="BC9" s="90"/>
      <c r="BD9" s="90"/>
      <c r="BE9" s="90"/>
      <c r="BF9" s="91"/>
      <c r="BG9" s="90"/>
      <c r="BH9" s="90"/>
      <c r="BI9" s="90"/>
      <c r="BJ9" s="90"/>
      <c r="BK9" s="91"/>
      <c r="BL9" s="147"/>
      <c r="BM9" s="147"/>
      <c r="BN9" s="716"/>
      <c r="BO9" s="147"/>
      <c r="BP9" s="147"/>
      <c r="BQ9" s="147"/>
      <c r="BR9" s="1294"/>
      <c r="BS9" s="90"/>
      <c r="BT9" s="90"/>
      <c r="BU9" s="90"/>
      <c r="BV9" s="90"/>
      <c r="BW9" s="90"/>
      <c r="BX9" s="90"/>
      <c r="BY9" s="90"/>
      <c r="BZ9" s="90"/>
      <c r="CA9" s="90"/>
      <c r="CB9" s="90"/>
      <c r="CC9" s="90"/>
      <c r="CD9" s="90"/>
    </row>
    <row r="10" spans="1:82" ht="11.25" hidden="1" customHeight="1" outlineLevel="2" x14ac:dyDescent="0.2">
      <c r="A10" s="1280" t="s">
        <v>211</v>
      </c>
      <c r="B10" s="1287">
        <f>VA!R239</f>
        <v>7.4649999999999999</v>
      </c>
      <c r="C10" s="1287">
        <f>VA!S239</f>
        <v>28.619</v>
      </c>
      <c r="D10" s="1288">
        <f>VA!T239</f>
        <v>7.1790000000000003</v>
      </c>
      <c r="E10" s="1289">
        <f>VA!U239</f>
        <v>7.19</v>
      </c>
      <c r="F10" s="1289">
        <f>VA!V239</f>
        <v>7.51</v>
      </c>
      <c r="G10" s="1290">
        <f>VA!W239</f>
        <v>7.4779999999999998</v>
      </c>
      <c r="H10" s="1287">
        <f>VA!X239</f>
        <v>29.356999999999999</v>
      </c>
      <c r="I10" s="1288">
        <f>VA!Y239</f>
        <v>7.742</v>
      </c>
      <c r="J10" s="1289">
        <f>VA!Z239</f>
        <v>7.633</v>
      </c>
      <c r="K10" s="1289">
        <f>VA!AA239</f>
        <v>7.8879999999999999</v>
      </c>
      <c r="L10" s="1291">
        <v>8.2550000000000008</v>
      </c>
      <c r="M10" s="145">
        <f>SUM(I10:L10)</f>
        <v>31.518000000000001</v>
      </c>
      <c r="N10" s="1291">
        <v>7.7240000000000002</v>
      </c>
      <c r="O10" s="1291">
        <v>8.1300000000000008</v>
      </c>
      <c r="P10" s="1291">
        <v>8.0559999999999992</v>
      </c>
      <c r="Q10" s="1291"/>
      <c r="R10" s="1296">
        <f>SUM(N10:P10)</f>
        <v>23.91</v>
      </c>
      <c r="S10" s="1291"/>
      <c r="T10" s="1291"/>
      <c r="U10" s="1291"/>
      <c r="V10" s="1291"/>
      <c r="W10" s="145"/>
      <c r="X10" s="1298"/>
      <c r="Y10" s="147"/>
      <c r="Z10" s="147"/>
      <c r="AA10" s="1299"/>
      <c r="AB10" s="1296"/>
      <c r="AC10" s="1298"/>
      <c r="AD10" s="147"/>
      <c r="AE10" s="147"/>
      <c r="AF10" s="1299"/>
      <c r="AG10" s="1297"/>
      <c r="AH10" s="147"/>
      <c r="AI10" s="147"/>
      <c r="AJ10" s="147"/>
      <c r="AK10" s="147"/>
      <c r="AL10" s="1296"/>
      <c r="AM10" s="147"/>
      <c r="AN10" s="147"/>
      <c r="AO10" s="147"/>
      <c r="AP10" s="147"/>
      <c r="AQ10" s="1296"/>
      <c r="AR10" s="147"/>
      <c r="AS10" s="147"/>
      <c r="AT10" s="147"/>
      <c r="AU10" s="147"/>
      <c r="AV10" s="1296"/>
      <c r="AW10" s="147"/>
      <c r="AX10" s="147"/>
      <c r="AY10" s="147"/>
      <c r="AZ10" s="147"/>
      <c r="BA10" s="1296"/>
      <c r="BB10" s="147"/>
      <c r="BC10" s="147"/>
      <c r="BD10" s="147"/>
      <c r="BE10" s="147"/>
      <c r="BF10" s="1296"/>
      <c r="BG10" s="147"/>
      <c r="BH10" s="147"/>
      <c r="BI10" s="147"/>
      <c r="BJ10" s="147"/>
      <c r="BK10" s="1296"/>
      <c r="BL10" s="147"/>
      <c r="BM10" s="147"/>
      <c r="BN10" s="716"/>
      <c r="BO10" s="147"/>
      <c r="BP10" s="147"/>
      <c r="BQ10" s="147"/>
      <c r="BR10" s="1278"/>
      <c r="BS10" s="147"/>
      <c r="BT10" s="147"/>
      <c r="BU10" s="147"/>
      <c r="BV10" s="147"/>
      <c r="BW10" s="147"/>
      <c r="BX10" s="147"/>
      <c r="BY10" s="147"/>
      <c r="BZ10" s="147"/>
      <c r="CA10" s="147"/>
      <c r="CB10" s="147"/>
      <c r="CC10" s="147"/>
      <c r="CD10" s="147"/>
    </row>
    <row r="11" spans="1:82" ht="11.25" hidden="1" customHeight="1" outlineLevel="2" x14ac:dyDescent="0.2">
      <c r="A11" s="729" t="s">
        <v>209</v>
      </c>
      <c r="B11" s="91">
        <f>VA!R240</f>
        <v>8.266860043509805E-2</v>
      </c>
      <c r="C11" s="91">
        <f>VA!S240</f>
        <v>4.2548541036756315E-2</v>
      </c>
      <c r="D11" s="745">
        <f>VA!T240</f>
        <v>1.7143666761122223E-2</v>
      </c>
      <c r="E11" s="90">
        <f>VA!U240</f>
        <v>1.5967217747633322E-2</v>
      </c>
      <c r="F11" s="90">
        <f>VA!V240</f>
        <v>6.995298475566325E-2</v>
      </c>
      <c r="G11" s="746">
        <f>VA!W240</f>
        <v>1.7414601473542124E-3</v>
      </c>
      <c r="H11" s="91">
        <f>VA!X240</f>
        <v>2.5787064537544868E-2</v>
      </c>
      <c r="I11" s="745">
        <f>VA!Y240</f>
        <v>7.8423178715698594E-2</v>
      </c>
      <c r="J11" s="90">
        <f>VA!Z240</f>
        <v>6.1613351877607636E-2</v>
      </c>
      <c r="K11" s="90">
        <f>VA!AA240</f>
        <v>5.0332889480692478E-2</v>
      </c>
      <c r="L11" s="90">
        <f>L10/G10-1</f>
        <v>0.10390478737630393</v>
      </c>
      <c r="M11" s="91">
        <f>M10/H10-1</f>
        <v>7.3611063800797183E-2</v>
      </c>
      <c r="N11" s="90">
        <f>N10/I10-1</f>
        <v>-2.3249806251613991E-3</v>
      </c>
      <c r="O11" s="90">
        <f>O10/J10-1</f>
        <v>6.5112013625049148E-2</v>
      </c>
      <c r="P11" s="90">
        <f>P10/K10-1</f>
        <v>2.1298174442190509E-2</v>
      </c>
      <c r="Q11" s="90"/>
      <c r="R11" s="91"/>
      <c r="S11" s="90"/>
      <c r="T11" s="90"/>
      <c r="U11" s="90"/>
      <c r="V11" s="90"/>
      <c r="W11" s="91"/>
      <c r="X11" s="745"/>
      <c r="Y11" s="90"/>
      <c r="Z11" s="90"/>
      <c r="AA11" s="746"/>
      <c r="AB11" s="91"/>
      <c r="AC11" s="745"/>
      <c r="AD11" s="90"/>
      <c r="AE11" s="90"/>
      <c r="AF11" s="746"/>
      <c r="AG11" s="746"/>
      <c r="AH11" s="90"/>
      <c r="AI11" s="90"/>
      <c r="AJ11" s="90"/>
      <c r="AK11" s="90"/>
      <c r="AL11" s="91"/>
      <c r="AM11" s="90"/>
      <c r="AN11" s="90"/>
      <c r="AO11" s="90"/>
      <c r="AP11" s="90"/>
      <c r="AQ11" s="91"/>
      <c r="AR11" s="90"/>
      <c r="AS11" s="90"/>
      <c r="AT11" s="90"/>
      <c r="AU11" s="90"/>
      <c r="AV11" s="91"/>
      <c r="AW11" s="90"/>
      <c r="AX11" s="90"/>
      <c r="AY11" s="90"/>
      <c r="AZ11" s="90"/>
      <c r="BA11" s="91"/>
      <c r="BB11" s="90"/>
      <c r="BC11" s="90"/>
      <c r="BD11" s="90"/>
      <c r="BE11" s="90"/>
      <c r="BF11" s="91"/>
      <c r="BG11" s="90"/>
      <c r="BH11" s="90"/>
      <c r="BI11" s="90"/>
      <c r="BJ11" s="90"/>
      <c r="BK11" s="91"/>
      <c r="BL11" s="147"/>
      <c r="BM11" s="147"/>
      <c r="BN11" s="716"/>
      <c r="BO11" s="147"/>
      <c r="BP11" s="147"/>
      <c r="BQ11" s="147"/>
      <c r="BR11" s="1294"/>
      <c r="BS11" s="90"/>
      <c r="BT11" s="90"/>
      <c r="BU11" s="90"/>
      <c r="BV11" s="90"/>
      <c r="BW11" s="90"/>
      <c r="BX11" s="90"/>
      <c r="BY11" s="90"/>
      <c r="BZ11" s="90"/>
      <c r="CA11" s="90"/>
      <c r="CB11" s="90"/>
      <c r="CC11" s="90"/>
      <c r="CD11" s="90"/>
    </row>
    <row r="12" spans="1:82" ht="9" hidden="1" customHeight="1" outlineLevel="2" x14ac:dyDescent="0.2">
      <c r="A12" s="729"/>
      <c r="B12" s="91"/>
      <c r="C12" s="108"/>
      <c r="D12" s="105"/>
      <c r="E12" s="106"/>
      <c r="F12" s="106"/>
      <c r="G12" s="107"/>
      <c r="H12" s="108"/>
      <c r="I12" s="105"/>
      <c r="J12" s="106"/>
      <c r="K12" s="106"/>
      <c r="L12" s="90"/>
      <c r="M12" s="91"/>
      <c r="N12" s="90"/>
      <c r="O12" s="90"/>
      <c r="P12" s="90"/>
      <c r="Q12" s="90"/>
      <c r="R12" s="91"/>
      <c r="S12" s="90"/>
      <c r="T12" s="90"/>
      <c r="U12" s="90"/>
      <c r="V12" s="90"/>
      <c r="W12" s="91"/>
      <c r="X12" s="745"/>
      <c r="Y12" s="90"/>
      <c r="Z12" s="90"/>
      <c r="AA12" s="746"/>
      <c r="AB12" s="91"/>
      <c r="AC12" s="745"/>
      <c r="AD12" s="90"/>
      <c r="AE12" s="90"/>
      <c r="AF12" s="746"/>
      <c r="AG12" s="746"/>
      <c r="AH12" s="90"/>
      <c r="AI12" s="90"/>
      <c r="AJ12" s="90"/>
      <c r="AK12" s="90"/>
      <c r="AL12" s="91"/>
      <c r="AM12" s="90"/>
      <c r="AN12" s="90"/>
      <c r="AO12" s="90"/>
      <c r="AP12" s="90"/>
      <c r="AQ12" s="91"/>
      <c r="AR12" s="90"/>
      <c r="AS12" s="90"/>
      <c r="AT12" s="90"/>
      <c r="AU12" s="90"/>
      <c r="AV12" s="91"/>
      <c r="AW12" s="90"/>
      <c r="AX12" s="90"/>
      <c r="AY12" s="90"/>
      <c r="AZ12" s="90"/>
      <c r="BA12" s="91"/>
      <c r="BB12" s="90"/>
      <c r="BC12" s="90"/>
      <c r="BD12" s="90"/>
      <c r="BE12" s="90"/>
      <c r="BF12" s="91"/>
      <c r="BG12" s="90"/>
      <c r="BH12" s="90"/>
      <c r="BI12" s="90"/>
      <c r="BJ12" s="90"/>
      <c r="BK12" s="91"/>
      <c r="BL12" s="147"/>
      <c r="BM12" s="147"/>
      <c r="BN12" s="716"/>
      <c r="BO12" s="147"/>
      <c r="BP12" s="147"/>
      <c r="BQ12" s="147"/>
      <c r="BR12" s="1294"/>
      <c r="BS12" s="90"/>
      <c r="BT12" s="90"/>
      <c r="BU12" s="90"/>
      <c r="BV12" s="90"/>
      <c r="BW12" s="90"/>
      <c r="BX12" s="90"/>
      <c r="BY12" s="90"/>
      <c r="BZ12" s="90"/>
      <c r="CA12" s="90"/>
      <c r="CB12" s="90"/>
      <c r="CC12" s="90"/>
      <c r="CD12" s="90"/>
    </row>
    <row r="13" spans="1:82" ht="11.25" hidden="1" customHeight="1" outlineLevel="2" x14ac:dyDescent="0.2">
      <c r="A13" s="1280" t="s">
        <v>212</v>
      </c>
      <c r="B13" s="1287">
        <f>VA!R242</f>
        <v>5.952</v>
      </c>
      <c r="C13" s="1287">
        <f>VA!S242</f>
        <v>22.250999999999998</v>
      </c>
      <c r="D13" s="1288">
        <f>VA!T242</f>
        <v>5.3959999999999999</v>
      </c>
      <c r="E13" s="1289">
        <f>VA!U242</f>
        <v>5.4050000000000002</v>
      </c>
      <c r="F13" s="1289">
        <f>VA!V242</f>
        <v>5.6079999999999997</v>
      </c>
      <c r="G13" s="1290">
        <f>VA!W242</f>
        <v>5.8</v>
      </c>
      <c r="H13" s="1287">
        <f>VA!X242</f>
        <v>22.209</v>
      </c>
      <c r="I13" s="1288">
        <f>VA!Y242</f>
        <v>5.4470000000000001</v>
      </c>
      <c r="J13" s="1289">
        <f>VA!Z242</f>
        <v>5.4909999999999997</v>
      </c>
      <c r="K13" s="1289">
        <f>VA!AA242</f>
        <v>6.0880000000000001</v>
      </c>
      <c r="L13" s="1291">
        <v>5.79</v>
      </c>
      <c r="M13" s="145">
        <f>SUM(I13:L13)</f>
        <v>22.815999999999999</v>
      </c>
      <c r="N13" s="1291">
        <v>5.5540000000000003</v>
      </c>
      <c r="O13" s="1291">
        <v>5.59</v>
      </c>
      <c r="P13" s="1291">
        <v>6.1260000000000003</v>
      </c>
      <c r="Q13" s="1291"/>
      <c r="R13" s="1296">
        <f>SUM(N13:P13)</f>
        <v>17.27</v>
      </c>
      <c r="S13" s="1291"/>
      <c r="T13" s="1291"/>
      <c r="U13" s="1291"/>
      <c r="V13" s="1291"/>
      <c r="W13" s="145"/>
      <c r="X13" s="1298"/>
      <c r="Y13" s="147"/>
      <c r="Z13" s="147"/>
      <c r="AA13" s="1299"/>
      <c r="AB13" s="1296"/>
      <c r="AC13" s="1298"/>
      <c r="AD13" s="147"/>
      <c r="AE13" s="147"/>
      <c r="AF13" s="1299"/>
      <c r="AG13" s="1297"/>
      <c r="AH13" s="147"/>
      <c r="AI13" s="147"/>
      <c r="AJ13" s="147"/>
      <c r="AK13" s="147"/>
      <c r="AL13" s="1296"/>
      <c r="AM13" s="147"/>
      <c r="AN13" s="147"/>
      <c r="AO13" s="147"/>
      <c r="AP13" s="147"/>
      <c r="AQ13" s="1296"/>
      <c r="AR13" s="147"/>
      <c r="AS13" s="147"/>
      <c r="AT13" s="147"/>
      <c r="AU13" s="147"/>
      <c r="AV13" s="1296"/>
      <c r="AW13" s="147"/>
      <c r="AX13" s="147"/>
      <c r="AY13" s="147"/>
      <c r="AZ13" s="147"/>
      <c r="BA13" s="1296"/>
      <c r="BB13" s="147"/>
      <c r="BC13" s="147"/>
      <c r="BD13" s="147"/>
      <c r="BE13" s="147"/>
      <c r="BF13" s="1296"/>
      <c r="BG13" s="147"/>
      <c r="BH13" s="147"/>
      <c r="BI13" s="147"/>
      <c r="BJ13" s="147"/>
      <c r="BK13" s="1296"/>
      <c r="BL13" s="147"/>
      <c r="BM13" s="147"/>
      <c r="BN13" s="716"/>
      <c r="BO13" s="147"/>
      <c r="BP13" s="147"/>
      <c r="BQ13" s="147"/>
      <c r="BR13" s="1278"/>
      <c r="BS13" s="147"/>
      <c r="BT13" s="147"/>
      <c r="BU13" s="147"/>
      <c r="BV13" s="147"/>
      <c r="BW13" s="147"/>
      <c r="BX13" s="147"/>
      <c r="BY13" s="147"/>
      <c r="BZ13" s="147"/>
      <c r="CA13" s="147"/>
      <c r="CB13" s="147"/>
      <c r="CC13" s="147"/>
      <c r="CD13" s="147"/>
    </row>
    <row r="14" spans="1:82" ht="11.25" hidden="1" customHeight="1" outlineLevel="2" x14ac:dyDescent="0.2">
      <c r="A14" s="729" t="s">
        <v>209</v>
      </c>
      <c r="B14" s="91">
        <f>VA!R243</f>
        <v>0.11148459383753484</v>
      </c>
      <c r="C14" s="91">
        <f>VA!S243</f>
        <v>4.7253729938344202E-2</v>
      </c>
      <c r="D14" s="745">
        <f>VA!T243</f>
        <v>6.7164179104477473E-3</v>
      </c>
      <c r="E14" s="90">
        <f>VA!U243</f>
        <v>1.674191121143731E-2</v>
      </c>
      <c r="F14" s="90">
        <f>VA!V243</f>
        <v>-2.6676151520541591E-3</v>
      </c>
      <c r="G14" s="746">
        <f>VA!W243</f>
        <v>-2.5537634408602128E-2</v>
      </c>
      <c r="H14" s="91">
        <f>VA!X243</f>
        <v>-1.8875556154778206E-3</v>
      </c>
      <c r="I14" s="745">
        <f>VA!Y243</f>
        <v>9.4514455151963883E-3</v>
      </c>
      <c r="J14" s="90">
        <f>VA!Z243</f>
        <v>1.5911193339500418E-2</v>
      </c>
      <c r="K14" s="90">
        <f>VA!AA243</f>
        <v>8.5592011412268354E-2</v>
      </c>
      <c r="L14" s="90">
        <f>L13/G13-1</f>
        <v>-1.7241379310344307E-3</v>
      </c>
      <c r="M14" s="91">
        <f>M13/H13-1</f>
        <v>2.7331262100950049E-2</v>
      </c>
      <c r="N14" s="90">
        <f>N13/I13-1</f>
        <v>1.9643840646227373E-2</v>
      </c>
      <c r="O14" s="90">
        <f>O13/J13-1</f>
        <v>1.8029502822801025E-2</v>
      </c>
      <c r="P14" s="90">
        <f>P13/K13-1</f>
        <v>6.241787122207576E-3</v>
      </c>
      <c r="Q14" s="90"/>
      <c r="R14" s="91"/>
      <c r="S14" s="90"/>
      <c r="T14" s="90"/>
      <c r="U14" s="90"/>
      <c r="V14" s="90"/>
      <c r="W14" s="91"/>
      <c r="X14" s="745"/>
      <c r="Y14" s="90"/>
      <c r="Z14" s="90"/>
      <c r="AA14" s="746"/>
      <c r="AB14" s="91"/>
      <c r="AC14" s="745"/>
      <c r="AD14" s="90"/>
      <c r="AE14" s="90"/>
      <c r="AF14" s="746"/>
      <c r="AG14" s="746"/>
      <c r="AH14" s="90"/>
      <c r="AI14" s="90"/>
      <c r="AJ14" s="90"/>
      <c r="AK14" s="90"/>
      <c r="AL14" s="91"/>
      <c r="AM14" s="90"/>
      <c r="AN14" s="90"/>
      <c r="AO14" s="90"/>
      <c r="AP14" s="90"/>
      <c r="AQ14" s="91"/>
      <c r="AR14" s="90"/>
      <c r="AS14" s="90"/>
      <c r="AT14" s="90"/>
      <c r="AU14" s="90"/>
      <c r="AV14" s="91"/>
      <c r="AW14" s="90"/>
      <c r="AX14" s="90"/>
      <c r="AY14" s="90"/>
      <c r="AZ14" s="90"/>
      <c r="BA14" s="91"/>
      <c r="BB14" s="90"/>
      <c r="BC14" s="90"/>
      <c r="BD14" s="90"/>
      <c r="BE14" s="90"/>
      <c r="BF14" s="91"/>
      <c r="BG14" s="90"/>
      <c r="BH14" s="90"/>
      <c r="BI14" s="90"/>
      <c r="BJ14" s="90"/>
      <c r="BK14" s="91"/>
      <c r="BL14" s="147"/>
      <c r="BM14" s="147"/>
      <c r="BN14" s="716"/>
      <c r="BO14" s="147"/>
      <c r="BP14" s="147"/>
      <c r="BQ14" s="147"/>
      <c r="BR14" s="1294"/>
      <c r="BS14" s="90"/>
      <c r="BT14" s="90"/>
      <c r="BU14" s="90"/>
      <c r="BV14" s="90"/>
      <c r="BW14" s="90"/>
      <c r="BX14" s="90"/>
      <c r="BY14" s="90"/>
      <c r="BZ14" s="90"/>
      <c r="CA14" s="90"/>
      <c r="CB14" s="90"/>
      <c r="CC14" s="90"/>
      <c r="CD14" s="90"/>
    </row>
    <row r="15" spans="1:82" ht="9" hidden="1" customHeight="1" outlineLevel="1" collapsed="1" x14ac:dyDescent="0.2">
      <c r="A15" s="729"/>
      <c r="B15" s="91"/>
      <c r="C15" s="91"/>
      <c r="D15" s="90"/>
      <c r="E15" s="90"/>
      <c r="F15" s="90"/>
      <c r="G15" s="90"/>
      <c r="H15" s="91"/>
      <c r="I15" s="90"/>
      <c r="J15" s="90"/>
      <c r="K15" s="90"/>
      <c r="L15" s="90"/>
      <c r="M15" s="91"/>
      <c r="N15" s="90"/>
      <c r="O15" s="90"/>
      <c r="P15" s="90"/>
      <c r="Q15" s="90"/>
      <c r="R15" s="91"/>
      <c r="S15" s="90"/>
      <c r="T15" s="90"/>
      <c r="U15" s="90"/>
      <c r="V15" s="90"/>
      <c r="W15" s="91"/>
      <c r="X15" s="745"/>
      <c r="Y15" s="90"/>
      <c r="Z15" s="90"/>
      <c r="AA15" s="746"/>
      <c r="AB15" s="91"/>
      <c r="AC15" s="745"/>
      <c r="AD15" s="90"/>
      <c r="AE15" s="90"/>
      <c r="AF15" s="746"/>
      <c r="AG15" s="746"/>
      <c r="AH15" s="90"/>
      <c r="AI15" s="90"/>
      <c r="AJ15" s="90"/>
      <c r="AK15" s="90"/>
      <c r="AL15" s="91"/>
      <c r="AM15" s="90"/>
      <c r="AN15" s="90"/>
      <c r="AO15" s="90"/>
      <c r="AP15" s="90"/>
      <c r="AQ15" s="91"/>
      <c r="AR15" s="90"/>
      <c r="AS15" s="90"/>
      <c r="AT15" s="90"/>
      <c r="AU15" s="90"/>
      <c r="AV15" s="91"/>
      <c r="AW15" s="90"/>
      <c r="AX15" s="90"/>
      <c r="AY15" s="90"/>
      <c r="AZ15" s="90"/>
      <c r="BA15" s="91"/>
      <c r="BB15" s="90"/>
      <c r="BC15" s="90"/>
      <c r="BD15" s="90"/>
      <c r="BE15" s="90"/>
      <c r="BF15" s="91"/>
      <c r="BG15" s="90"/>
      <c r="BH15" s="90"/>
      <c r="BI15" s="90"/>
      <c r="BJ15" s="90"/>
      <c r="BK15" s="91"/>
      <c r="BL15" s="147"/>
      <c r="BM15" s="147"/>
      <c r="BN15" s="716"/>
      <c r="BO15" s="147"/>
      <c r="BP15" s="147"/>
      <c r="BQ15" s="147"/>
      <c r="BR15" s="1294"/>
      <c r="BS15" s="90"/>
      <c r="BT15" s="90"/>
      <c r="BU15" s="90"/>
      <c r="BV15" s="90"/>
      <c r="BW15" s="90"/>
      <c r="BX15" s="90"/>
      <c r="BY15" s="90"/>
      <c r="BZ15" s="90"/>
      <c r="CA15" s="90"/>
      <c r="CB15" s="90"/>
      <c r="CC15" s="90"/>
      <c r="CD15" s="90"/>
    </row>
    <row r="16" spans="1:82" collapsed="1" x14ac:dyDescent="0.2">
      <c r="A16" s="702" t="s">
        <v>348</v>
      </c>
      <c r="B16" s="1300">
        <f>VA!N245</f>
        <v>504.39100000000002</v>
      </c>
      <c r="C16" s="1300">
        <f>VA!S245</f>
        <v>523.976</v>
      </c>
      <c r="D16" s="1301">
        <f>VA!T245</f>
        <v>134.57799999999997</v>
      </c>
      <c r="E16" s="1301">
        <f>VA!U245</f>
        <v>134.28900000000002</v>
      </c>
      <c r="F16" s="1301">
        <f>VA!V245</f>
        <v>136.26900000000001</v>
      </c>
      <c r="G16" s="1301">
        <f>VA!W245</f>
        <v>137.00200000000001</v>
      </c>
      <c r="H16" s="1300">
        <f>VA!X245</f>
        <v>542.13799999999992</v>
      </c>
      <c r="I16" s="1301">
        <f>VA!Y245</f>
        <v>140.54300000000001</v>
      </c>
      <c r="J16" s="1301">
        <f>VA!Z245</f>
        <v>140.53000000000003</v>
      </c>
      <c r="K16" s="1301">
        <f>VA!AA245</f>
        <v>139.977</v>
      </c>
      <c r="L16" s="1301">
        <f>VA!AB245</f>
        <v>142.31100000000001</v>
      </c>
      <c r="M16" s="1302">
        <f>SUM(I16:L16)</f>
        <v>563.3610000000001</v>
      </c>
      <c r="N16" s="1303">
        <f>SUM(N4,N7,N10,N13)</f>
        <v>144.96899999999999</v>
      </c>
      <c r="O16" s="1303">
        <f>SUM(O4,O7,O10,O13)</f>
        <v>144.18899999999999</v>
      </c>
      <c r="P16" s="1303">
        <f>SUM(P4,P7,P10,P13)</f>
        <v>143.86700000000002</v>
      </c>
      <c r="Q16" s="1304">
        <f>VA!AG245</f>
        <v>146.48099999999999</v>
      </c>
      <c r="R16" s="1302">
        <f>SUM(N16:Q16)</f>
        <v>579.50600000000009</v>
      </c>
      <c r="S16" s="1304">
        <f>VA!AI245</f>
        <v>152.613</v>
      </c>
      <c r="T16" s="1304">
        <f>VA!AJ245</f>
        <v>154.25900000000001</v>
      </c>
      <c r="U16" s="1304">
        <f>VA!AK245</f>
        <v>155.05500000000001</v>
      </c>
      <c r="V16" s="1304">
        <f>VA!AL245</f>
        <v>156.34899999999999</v>
      </c>
      <c r="W16" s="1302">
        <f>SUM(S16:V16)</f>
        <v>618.27600000000007</v>
      </c>
      <c r="X16" s="1305">
        <f>VA!AN245</f>
        <v>162.31299999999999</v>
      </c>
      <c r="Y16" s="1303">
        <f>VA!AO245</f>
        <v>161.952</v>
      </c>
      <c r="Z16" s="1303">
        <f>VA!AP245</f>
        <v>161.45400000000001</v>
      </c>
      <c r="AA16" s="1303">
        <f>VA!AQ245</f>
        <v>164.93299999999999</v>
      </c>
      <c r="AB16" s="1302">
        <f>SUM(X16:AA16)</f>
        <v>650.65200000000004</v>
      </c>
      <c r="AC16" s="1305">
        <f>AC4+AC7</f>
        <v>170.94200000000001</v>
      </c>
      <c r="AD16" s="1303">
        <f>AD4+AD7</f>
        <v>171.73000000000002</v>
      </c>
      <c r="AE16" s="1303">
        <f>AE4+AE7</f>
        <v>171.72699999999998</v>
      </c>
      <c r="AF16" s="1306">
        <f>AF4+AF7</f>
        <v>173.8</v>
      </c>
      <c r="AG16" s="1306">
        <f>SUM(AC16:AF16)</f>
        <v>688.19900000000007</v>
      </c>
      <c r="AH16" s="1305">
        <f>AH4+AH7</f>
        <v>179.756</v>
      </c>
      <c r="AI16" s="1303">
        <f>AI4+AI7</f>
        <v>181.11699999999999</v>
      </c>
      <c r="AJ16" s="1303">
        <f>AJ4+AJ7</f>
        <v>180.774</v>
      </c>
      <c r="AK16" s="1303">
        <f>AK4+AK7</f>
        <v>182.60000000000002</v>
      </c>
      <c r="AL16" s="1302">
        <f>SUM(AH16:AK16)</f>
        <v>724.24699999999996</v>
      </c>
      <c r="AM16" s="1305">
        <f>AM4+AM7</f>
        <v>189.39999999999998</v>
      </c>
      <c r="AN16" s="1303">
        <f>AN4+AN7</f>
        <v>192.6</v>
      </c>
      <c r="AO16" s="1303">
        <f>AO4+AO7</f>
        <v>193.2</v>
      </c>
      <c r="AP16" s="1303">
        <f>AP4+AP7</f>
        <v>195.2</v>
      </c>
      <c r="AQ16" s="1302">
        <f>SUM(AM16:AP16)</f>
        <v>770.40000000000009</v>
      </c>
      <c r="AR16" s="1303">
        <f>AM16*(1+AR17)</f>
        <v>198.3965</v>
      </c>
      <c r="AS16" s="1303">
        <f>AN16*(1+AS17)</f>
        <v>201.74850000000001</v>
      </c>
      <c r="AT16" s="1303">
        <f>AO16*(1+AT17)</f>
        <v>202.37700000000001</v>
      </c>
      <c r="AU16" s="1303">
        <f>AP16*(1+AU17)</f>
        <v>203.49599999999998</v>
      </c>
      <c r="AV16" s="1302">
        <f>SUM(AR16:AU16)</f>
        <v>806.01799999999992</v>
      </c>
      <c r="AW16" s="1303">
        <f>AR16*(1+AW17)</f>
        <v>208.31632500000001</v>
      </c>
      <c r="AX16" s="1303">
        <f>AS16*(1+AX17)</f>
        <v>211.835925</v>
      </c>
      <c r="AY16" s="1303">
        <f>AT16*(1+AY17)</f>
        <v>212.49585000000002</v>
      </c>
      <c r="AZ16" s="1303">
        <f>AU16*(1+AZ17)</f>
        <v>213.67079999999999</v>
      </c>
      <c r="BA16" s="1302">
        <f>SUM(AW16:AZ16)</f>
        <v>846.31889999999999</v>
      </c>
      <c r="BB16" s="1303">
        <f>AW16*(1+BB17)</f>
        <v>218.73214125000001</v>
      </c>
      <c r="BC16" s="1303">
        <f>AX16*(1+BC17)</f>
        <v>222.42772125000002</v>
      </c>
      <c r="BD16" s="1303">
        <f>AY16*(1+BD17)</f>
        <v>223.12064250000003</v>
      </c>
      <c r="BE16" s="1303">
        <f>AZ16*(1+BE17)</f>
        <v>224.35434000000001</v>
      </c>
      <c r="BF16" s="1302">
        <f>SUM(BB16:BE16)</f>
        <v>888.63484500000004</v>
      </c>
      <c r="BG16" s="1303">
        <f>BB16*(1+BG17)</f>
        <v>229.66874831250001</v>
      </c>
      <c r="BH16" s="1303">
        <f>BC16*(1+BH17)</f>
        <v>233.54910731250004</v>
      </c>
      <c r="BI16" s="1303">
        <f>BD16*(1+BI17)</f>
        <v>234.27667462500006</v>
      </c>
      <c r="BJ16" s="1303">
        <f>BE16*(1+BJ17)</f>
        <v>235.57205700000003</v>
      </c>
      <c r="BK16" s="1302">
        <f>SUM(BG16:BJ16)</f>
        <v>933.06658725000011</v>
      </c>
      <c r="BL16" s="1304"/>
      <c r="BM16" s="1304"/>
      <c r="BN16" s="1304"/>
      <c r="BO16" s="1304"/>
      <c r="BP16" s="1304"/>
      <c r="BQ16" s="1304"/>
      <c r="BR16" s="1044" t="str">
        <f t="shared" ref="BR16:BR21" si="5">A16</f>
        <v>Total Risk Assessment</v>
      </c>
      <c r="BS16" s="1303">
        <f>H16</f>
        <v>542.13799999999992</v>
      </c>
      <c r="BT16" s="1303">
        <f>M16</f>
        <v>563.3610000000001</v>
      </c>
      <c r="BU16" s="1303">
        <f>R16</f>
        <v>579.50600000000009</v>
      </c>
      <c r="BV16" s="1303">
        <f>W16</f>
        <v>618.27600000000007</v>
      </c>
      <c r="BW16" s="1303">
        <f>AB16</f>
        <v>650.65200000000004</v>
      </c>
      <c r="BX16" s="1303">
        <f>AG16</f>
        <v>688.19900000000007</v>
      </c>
      <c r="BY16" s="1303">
        <f>AL16</f>
        <v>724.24699999999996</v>
      </c>
      <c r="BZ16" s="1303">
        <f>AQ16</f>
        <v>770.40000000000009</v>
      </c>
      <c r="CA16" s="1303">
        <f>AV16</f>
        <v>806.01799999999992</v>
      </c>
      <c r="CB16" s="1303">
        <f>BA16</f>
        <v>846.31889999999999</v>
      </c>
      <c r="CC16" s="1303">
        <f>BF16</f>
        <v>888.63484500000004</v>
      </c>
      <c r="CD16" s="1303">
        <f>BK16</f>
        <v>933.06658725000011</v>
      </c>
    </row>
    <row r="17" spans="1:82" x14ac:dyDescent="0.2">
      <c r="A17" s="729" t="s">
        <v>209</v>
      </c>
      <c r="B17" s="108"/>
      <c r="C17" s="108">
        <f>VA!S246</f>
        <v>3.8829003689597963E-2</v>
      </c>
      <c r="D17" s="106">
        <f>VA!T246</f>
        <v>3.8682987820878756E-2</v>
      </c>
      <c r="E17" s="106">
        <f>VA!U246</f>
        <v>7.3664548748377801E-3</v>
      </c>
      <c r="F17" s="106">
        <f>VA!V246</f>
        <v>4.8061836640516775E-2</v>
      </c>
      <c r="G17" s="106">
        <f>VA!W246</f>
        <v>4.5154596705903938E-2</v>
      </c>
      <c r="H17" s="108">
        <f>VA!X246</f>
        <v>3.4661892911125536E-2</v>
      </c>
      <c r="I17" s="106">
        <f>VA!Y246</f>
        <v>4.432373790664168E-2</v>
      </c>
      <c r="J17" s="106">
        <f>VA!Z246</f>
        <v>4.6474394775447125E-2</v>
      </c>
      <c r="K17" s="106">
        <f>VA!AA246</f>
        <v>2.7210884353741527E-2</v>
      </c>
      <c r="L17" s="106">
        <f>VA!AB246</f>
        <v>3.8751259105706426E-2</v>
      </c>
      <c r="M17" s="91">
        <f t="shared" ref="M17:AP17" si="6">M16/H16-1</f>
        <v>3.9146859286750102E-2</v>
      </c>
      <c r="N17" s="90">
        <f t="shared" si="6"/>
        <v>3.1492141195221368E-2</v>
      </c>
      <c r="O17" s="90">
        <f t="shared" si="6"/>
        <v>2.6037145093574132E-2</v>
      </c>
      <c r="P17" s="90">
        <f t="shared" si="6"/>
        <v>2.7790279831686693E-2</v>
      </c>
      <c r="Q17" s="90">
        <f t="shared" si="6"/>
        <v>2.9302021628686337E-2</v>
      </c>
      <c r="R17" s="91">
        <f t="shared" si="6"/>
        <v>2.8658355832228422E-2</v>
      </c>
      <c r="S17" s="90">
        <f t="shared" si="6"/>
        <v>5.2728514372038182E-2</v>
      </c>
      <c r="T17" s="90">
        <f t="shared" si="6"/>
        <v>6.9838892009792763E-2</v>
      </c>
      <c r="U17" s="90">
        <f t="shared" si="6"/>
        <v>7.7766270235703816E-2</v>
      </c>
      <c r="V17" s="90">
        <f t="shared" si="6"/>
        <v>6.7367098804623105E-2</v>
      </c>
      <c r="W17" s="91">
        <f>W16/R16-1</f>
        <v>6.6901809472205587E-2</v>
      </c>
      <c r="X17" s="90">
        <f t="shared" si="6"/>
        <v>6.3559460858511274E-2</v>
      </c>
      <c r="Y17" s="90">
        <f t="shared" si="6"/>
        <v>4.9870672051549603E-2</v>
      </c>
      <c r="Z17" s="90">
        <f t="shared" si="6"/>
        <v>4.1269227048466695E-2</v>
      </c>
      <c r="AA17" s="90">
        <f t="shared" si="6"/>
        <v>5.4902813577317522E-2</v>
      </c>
      <c r="AB17" s="91">
        <f>AB16/W16-1</f>
        <v>5.2364963220309368E-2</v>
      </c>
      <c r="AC17" s="90">
        <f t="shared" si="6"/>
        <v>5.3162716479887795E-2</v>
      </c>
      <c r="AD17" s="90">
        <f t="shared" si="6"/>
        <v>6.0375913851017815E-2</v>
      </c>
      <c r="AE17" s="90">
        <f t="shared" si="6"/>
        <v>6.3628030274876846E-2</v>
      </c>
      <c r="AF17" s="746">
        <f t="shared" si="6"/>
        <v>5.3761224254697426E-2</v>
      </c>
      <c r="AG17" s="746">
        <f t="shared" si="6"/>
        <v>5.7706731094348429E-2</v>
      </c>
      <c r="AH17" s="90">
        <f t="shared" si="6"/>
        <v>5.1561348293573284E-2</v>
      </c>
      <c r="AI17" s="90">
        <f t="shared" si="6"/>
        <v>5.4661387061084143E-2</v>
      </c>
      <c r="AJ17" s="90">
        <f t="shared" si="6"/>
        <v>5.2682455292411889E-2</v>
      </c>
      <c r="AK17" s="90">
        <f t="shared" si="6"/>
        <v>5.0632911392405111E-2</v>
      </c>
      <c r="AL17" s="91">
        <f t="shared" si="6"/>
        <v>5.2380198169424741E-2</v>
      </c>
      <c r="AM17" s="90">
        <f t="shared" si="6"/>
        <v>5.3650504016555578E-2</v>
      </c>
      <c r="AN17" s="90">
        <f t="shared" si="6"/>
        <v>6.3401005979560221E-2</v>
      </c>
      <c r="AO17" s="90">
        <f t="shared" si="6"/>
        <v>6.8737760961200101E-2</v>
      </c>
      <c r="AP17" s="90">
        <f t="shared" si="6"/>
        <v>6.900328587075566E-2</v>
      </c>
      <c r="AQ17" s="91">
        <f>AQ16/AL16-1</f>
        <v>6.3725496964433637E-2</v>
      </c>
      <c r="AR17" s="90">
        <f>CHOOSE(VA!$A$3,AR18,AR19,AR20)</f>
        <v>4.7500000000000001E-2</v>
      </c>
      <c r="AS17" s="90">
        <f>CHOOSE(VA!$A$3,AS18,AS19,AS20)</f>
        <v>4.7500000000000001E-2</v>
      </c>
      <c r="AT17" s="90">
        <f>CHOOSE(VA!$A$3,AT18,AT19,AT20)</f>
        <v>4.7500000000000001E-2</v>
      </c>
      <c r="AU17" s="90">
        <f>CHOOSE(VA!$A$3,AU18,AU19,AU20)</f>
        <v>4.2500000000000003E-2</v>
      </c>
      <c r="AV17" s="91">
        <f>AV16/AQ16-1</f>
        <v>4.6233125649013163E-2</v>
      </c>
      <c r="AW17" s="90">
        <f>CHOOSE(VA!$A$3,AW18,AW19,AW20)</f>
        <v>0.05</v>
      </c>
      <c r="AX17" s="90">
        <f>CHOOSE(VA!$A$3,AX18,AX19,AX20)</f>
        <v>0.05</v>
      </c>
      <c r="AY17" s="90">
        <f>CHOOSE(VA!$A$3,AY18,AY19,AY20)</f>
        <v>0.05</v>
      </c>
      <c r="AZ17" s="90">
        <f>CHOOSE(VA!$A$3,AZ18,AZ19,AZ20)</f>
        <v>0.05</v>
      </c>
      <c r="BA17" s="91">
        <f>BA16/AV16-1</f>
        <v>5.0000000000000044E-2</v>
      </c>
      <c r="BB17" s="90">
        <f>CHOOSE(VA!$A$3,BB18,BB19,BB20)</f>
        <v>0.05</v>
      </c>
      <c r="BC17" s="90">
        <f>CHOOSE(VA!$A$3,BC18,BC19,BC20)</f>
        <v>0.05</v>
      </c>
      <c r="BD17" s="90">
        <f>CHOOSE(VA!$A$3,BD18,BD19,BD20)</f>
        <v>0.05</v>
      </c>
      <c r="BE17" s="90">
        <f>CHOOSE(VA!$A$3,BE18,BE19,BE20)</f>
        <v>0.05</v>
      </c>
      <c r="BF17" s="91">
        <f>BF16/BA16-1</f>
        <v>5.0000000000000044E-2</v>
      </c>
      <c r="BG17" s="90">
        <f>CHOOSE(VA!$A$3,BG18,BG19,BG20)</f>
        <v>0.05</v>
      </c>
      <c r="BH17" s="90">
        <f>CHOOSE(VA!$A$3,BH18,BH19,BH20)</f>
        <v>0.05</v>
      </c>
      <c r="BI17" s="90">
        <f>CHOOSE(VA!$A$3,BI18,BI19,BI20)</f>
        <v>0.05</v>
      </c>
      <c r="BJ17" s="90">
        <f>CHOOSE(VA!$A$3,BJ18,BJ19,BJ20)</f>
        <v>0.05</v>
      </c>
      <c r="BK17" s="91">
        <f>BK16/BF16-1</f>
        <v>5.0000000000000044E-2</v>
      </c>
      <c r="BL17" s="90"/>
      <c r="BM17" s="90"/>
      <c r="BN17" s="90"/>
      <c r="BO17" s="90"/>
      <c r="BP17" s="90"/>
      <c r="BQ17" s="90"/>
      <c r="BR17" s="1294" t="str">
        <f t="shared" si="5"/>
        <v>YoY Change</v>
      </c>
      <c r="BS17" s="90">
        <f>H17</f>
        <v>3.4661892911125536E-2</v>
      </c>
      <c r="BT17" s="90">
        <f>M17</f>
        <v>3.9146859286750102E-2</v>
      </c>
      <c r="BU17" s="90">
        <f>R17</f>
        <v>2.8658355832228422E-2</v>
      </c>
      <c r="BV17" s="90">
        <f>W17</f>
        <v>6.6901809472205587E-2</v>
      </c>
      <c r="BW17" s="90">
        <f>AB17</f>
        <v>5.2364963220309368E-2</v>
      </c>
      <c r="BX17" s="90">
        <f>AG17</f>
        <v>5.7706731094348429E-2</v>
      </c>
      <c r="BY17" s="90">
        <f>AL17</f>
        <v>5.2380198169424741E-2</v>
      </c>
      <c r="BZ17" s="90">
        <f>AQ17</f>
        <v>6.3725496964433637E-2</v>
      </c>
      <c r="CA17" s="90">
        <f>AV17</f>
        <v>4.6233125649013163E-2</v>
      </c>
      <c r="CB17" s="90">
        <f>BA17</f>
        <v>5.0000000000000044E-2</v>
      </c>
      <c r="CC17" s="90">
        <f>BF17</f>
        <v>5.0000000000000044E-2</v>
      </c>
      <c r="CD17" s="90">
        <f>BK17</f>
        <v>5.0000000000000044E-2</v>
      </c>
    </row>
    <row r="18" spans="1:82" ht="12.75" hidden="1" customHeight="1" outlineLevel="1" x14ac:dyDescent="0.2">
      <c r="A18" s="748" t="s">
        <v>214</v>
      </c>
      <c r="B18" s="751"/>
      <c r="C18" s="751"/>
      <c r="D18" s="750"/>
      <c r="E18" s="750"/>
      <c r="F18" s="750"/>
      <c r="G18" s="750"/>
      <c r="H18" s="751"/>
      <c r="I18" s="750"/>
      <c r="J18" s="750"/>
      <c r="K18" s="750"/>
      <c r="L18" s="750"/>
      <c r="M18" s="752"/>
      <c r="N18" s="753"/>
      <c r="O18" s="753"/>
      <c r="P18" s="753"/>
      <c r="Q18" s="753"/>
      <c r="R18" s="752"/>
      <c r="S18" s="753"/>
      <c r="T18" s="753"/>
      <c r="U18" s="753"/>
      <c r="V18" s="753"/>
      <c r="W18" s="752"/>
      <c r="X18" s="753"/>
      <c r="Y18" s="753"/>
      <c r="Z18" s="753"/>
      <c r="AA18" s="753"/>
      <c r="AB18" s="752"/>
      <c r="AC18" s="753"/>
      <c r="AD18" s="753"/>
      <c r="AE18" s="753"/>
      <c r="AF18" s="756"/>
      <c r="AG18" s="756"/>
      <c r="AH18" s="750"/>
      <c r="AI18" s="750"/>
      <c r="AJ18" s="750"/>
      <c r="AK18" s="750"/>
      <c r="AL18" s="751"/>
      <c r="AM18" s="750"/>
      <c r="AN18" s="750"/>
      <c r="AO18" s="750"/>
      <c r="AP18" s="750"/>
      <c r="AQ18" s="751"/>
      <c r="AR18" s="750">
        <f t="shared" ref="AR18:BJ18" si="7">AR19-0.015</f>
        <v>3.2500000000000001E-2</v>
      </c>
      <c r="AS18" s="750">
        <f t="shared" si="7"/>
        <v>3.2500000000000001E-2</v>
      </c>
      <c r="AT18" s="750">
        <f t="shared" si="7"/>
        <v>3.2500000000000001E-2</v>
      </c>
      <c r="AU18" s="750">
        <f t="shared" si="7"/>
        <v>2.7500000000000004E-2</v>
      </c>
      <c r="AV18" s="751"/>
      <c r="AW18" s="750">
        <f t="shared" si="7"/>
        <v>3.5000000000000003E-2</v>
      </c>
      <c r="AX18" s="750">
        <f t="shared" si="7"/>
        <v>3.5000000000000003E-2</v>
      </c>
      <c r="AY18" s="750">
        <f t="shared" si="7"/>
        <v>3.5000000000000003E-2</v>
      </c>
      <c r="AZ18" s="750">
        <f t="shared" si="7"/>
        <v>3.5000000000000003E-2</v>
      </c>
      <c r="BA18" s="751"/>
      <c r="BB18" s="750">
        <f t="shared" si="7"/>
        <v>3.5000000000000003E-2</v>
      </c>
      <c r="BC18" s="750">
        <f t="shared" si="7"/>
        <v>3.5000000000000003E-2</v>
      </c>
      <c r="BD18" s="750">
        <f t="shared" si="7"/>
        <v>3.5000000000000003E-2</v>
      </c>
      <c r="BE18" s="750">
        <f t="shared" si="7"/>
        <v>3.5000000000000003E-2</v>
      </c>
      <c r="BF18" s="751"/>
      <c r="BG18" s="750">
        <f t="shared" si="7"/>
        <v>3.5000000000000003E-2</v>
      </c>
      <c r="BH18" s="750">
        <f t="shared" si="7"/>
        <v>3.5000000000000003E-2</v>
      </c>
      <c r="BI18" s="750">
        <f t="shared" si="7"/>
        <v>3.5000000000000003E-2</v>
      </c>
      <c r="BJ18" s="750">
        <f t="shared" si="7"/>
        <v>3.5000000000000003E-2</v>
      </c>
      <c r="BK18" s="751"/>
      <c r="BL18" s="716"/>
      <c r="BM18" s="716"/>
      <c r="BN18" s="716"/>
      <c r="BO18" s="716"/>
      <c r="BP18" s="716"/>
      <c r="BQ18" s="716"/>
      <c r="BR18" s="939" t="str">
        <f t="shared" si="5"/>
        <v>BEAR</v>
      </c>
      <c r="BS18" s="750"/>
      <c r="BT18" s="750"/>
      <c r="BU18" s="750"/>
      <c r="BV18" s="750"/>
      <c r="BW18" s="750"/>
      <c r="BX18" s="750"/>
      <c r="BY18" s="750"/>
      <c r="BZ18" s="750"/>
      <c r="CA18" s="750"/>
      <c r="CB18" s="750"/>
      <c r="CC18" s="750"/>
      <c r="CD18" s="750"/>
    </row>
    <row r="19" spans="1:82" ht="12.75" hidden="1" customHeight="1" outlineLevel="1" x14ac:dyDescent="0.2">
      <c r="A19" s="748" t="s">
        <v>215</v>
      </c>
      <c r="B19" s="751"/>
      <c r="C19" s="751"/>
      <c r="D19" s="750"/>
      <c r="E19" s="750"/>
      <c r="F19" s="750"/>
      <c r="G19" s="750"/>
      <c r="H19" s="751"/>
      <c r="I19" s="750"/>
      <c r="J19" s="750"/>
      <c r="K19" s="750"/>
      <c r="L19" s="750"/>
      <c r="M19" s="752"/>
      <c r="N19" s="753"/>
      <c r="O19" s="753"/>
      <c r="P19" s="753"/>
      <c r="Q19" s="753"/>
      <c r="R19" s="752"/>
      <c r="S19" s="753"/>
      <c r="T19" s="753"/>
      <c r="U19" s="753"/>
      <c r="V19" s="753"/>
      <c r="W19" s="752"/>
      <c r="X19" s="753"/>
      <c r="Y19" s="753"/>
      <c r="Z19" s="753"/>
      <c r="AA19" s="753"/>
      <c r="AB19" s="752"/>
      <c r="AC19" s="753"/>
      <c r="AD19" s="753"/>
      <c r="AE19" s="753"/>
      <c r="AF19" s="756"/>
      <c r="AG19" s="756"/>
      <c r="AH19" s="753"/>
      <c r="AI19" s="753"/>
      <c r="AJ19" s="753"/>
      <c r="AK19" s="753"/>
      <c r="AL19" s="1307"/>
      <c r="AM19" s="753"/>
      <c r="AN19" s="1953"/>
      <c r="AO19" s="753"/>
      <c r="AP19" s="753"/>
      <c r="AQ19" s="1307"/>
      <c r="AR19" s="753">
        <f>AR21</f>
        <v>4.7500000000000001E-2</v>
      </c>
      <c r="AS19" s="753">
        <f>AS21</f>
        <v>4.7500000000000001E-2</v>
      </c>
      <c r="AT19" s="753">
        <f>AT21</f>
        <v>4.7500000000000001E-2</v>
      </c>
      <c r="AU19" s="753">
        <f>AU21</f>
        <v>4.2500000000000003E-2</v>
      </c>
      <c r="AV19" s="1307">
        <f>AVERAGE(AR19:AU19)</f>
        <v>4.6250000000000006E-2</v>
      </c>
      <c r="AW19" s="753">
        <f>AW21</f>
        <v>0.05</v>
      </c>
      <c r="AX19" s="753">
        <f>AX21</f>
        <v>0.05</v>
      </c>
      <c r="AY19" s="753">
        <f>AY21</f>
        <v>0.05</v>
      </c>
      <c r="AZ19" s="753">
        <f>AZ21</f>
        <v>0.05</v>
      </c>
      <c r="BA19" s="1307">
        <f>AVERAGE(AW19:AZ19)</f>
        <v>0.05</v>
      </c>
      <c r="BB19" s="753">
        <f>BB21</f>
        <v>0.05</v>
      </c>
      <c r="BC19" s="753">
        <f>BC21</f>
        <v>0.05</v>
      </c>
      <c r="BD19" s="753">
        <f>BD21</f>
        <v>0.05</v>
      </c>
      <c r="BE19" s="753">
        <f>BE21</f>
        <v>0.05</v>
      </c>
      <c r="BF19" s="1307">
        <f>AVERAGE(BB19:BE19)</f>
        <v>0.05</v>
      </c>
      <c r="BG19" s="753">
        <f>BG21</f>
        <v>0.05</v>
      </c>
      <c r="BH19" s="753">
        <f>BH21</f>
        <v>0.05</v>
      </c>
      <c r="BI19" s="753">
        <f>BI21</f>
        <v>0.05</v>
      </c>
      <c r="BJ19" s="753">
        <f>BJ21</f>
        <v>0.05</v>
      </c>
      <c r="BK19" s="1307">
        <f>AVERAGE(BG19:BJ19)</f>
        <v>0.05</v>
      </c>
      <c r="BL19" s="716"/>
      <c r="BM19" s="716"/>
      <c r="BN19" s="716"/>
      <c r="BO19" s="716"/>
      <c r="BP19" s="716"/>
      <c r="BQ19" s="716"/>
      <c r="BR19" s="939" t="str">
        <f t="shared" si="5"/>
        <v>BASE</v>
      </c>
      <c r="BS19" s="750"/>
      <c r="BT19" s="750"/>
      <c r="BU19" s="750"/>
      <c r="BV19" s="750"/>
      <c r="BW19" s="750"/>
      <c r="BX19" s="750"/>
      <c r="BY19" s="750"/>
      <c r="BZ19" s="750"/>
      <c r="CA19" s="750"/>
      <c r="CB19" s="750"/>
      <c r="CC19" s="750"/>
      <c r="CD19" s="750"/>
    </row>
    <row r="20" spans="1:82" ht="12.75" hidden="1" customHeight="1" outlineLevel="1" x14ac:dyDescent="0.2">
      <c r="A20" s="748" t="s">
        <v>216</v>
      </c>
      <c r="B20" s="751"/>
      <c r="C20" s="751"/>
      <c r="D20" s="750"/>
      <c r="E20" s="750"/>
      <c r="F20" s="750"/>
      <c r="G20" s="750"/>
      <c r="H20" s="751"/>
      <c r="I20" s="750"/>
      <c r="J20" s="750"/>
      <c r="K20" s="750"/>
      <c r="L20" s="750"/>
      <c r="M20" s="752"/>
      <c r="N20" s="753"/>
      <c r="O20" s="753"/>
      <c r="P20" s="753"/>
      <c r="Q20" s="753"/>
      <c r="R20" s="752"/>
      <c r="S20" s="753"/>
      <c r="T20" s="753"/>
      <c r="U20" s="753"/>
      <c r="V20" s="753"/>
      <c r="W20" s="752"/>
      <c r="X20" s="753"/>
      <c r="Y20" s="753"/>
      <c r="Z20" s="753"/>
      <c r="AA20" s="753"/>
      <c r="AB20" s="752"/>
      <c r="AC20" s="753"/>
      <c r="AD20" s="753"/>
      <c r="AE20" s="753"/>
      <c r="AF20" s="756"/>
      <c r="AG20" s="756"/>
      <c r="AH20" s="750"/>
      <c r="AI20" s="750"/>
      <c r="AJ20" s="750"/>
      <c r="AK20" s="750"/>
      <c r="AL20" s="751"/>
      <c r="AM20" s="750"/>
      <c r="AN20" s="750"/>
      <c r="AO20" s="750"/>
      <c r="AP20" s="750"/>
      <c r="AQ20" s="751"/>
      <c r="AR20" s="750">
        <f>AR19+0.015</f>
        <v>6.25E-2</v>
      </c>
      <c r="AS20" s="750">
        <f>AS19+0.015</f>
        <v>6.25E-2</v>
      </c>
      <c r="AT20" s="750">
        <f>AT19+0.015</f>
        <v>6.25E-2</v>
      </c>
      <c r="AU20" s="750">
        <f>AU19+0.015</f>
        <v>5.7500000000000002E-2</v>
      </c>
      <c r="AV20" s="751"/>
      <c r="AW20" s="750">
        <f>AW19+0.015</f>
        <v>6.5000000000000002E-2</v>
      </c>
      <c r="AX20" s="750">
        <f>AX19+0.015</f>
        <v>6.5000000000000002E-2</v>
      </c>
      <c r="AY20" s="750">
        <f>AY19+0.015</f>
        <v>6.5000000000000002E-2</v>
      </c>
      <c r="AZ20" s="750">
        <f>AZ19+0.015</f>
        <v>6.5000000000000002E-2</v>
      </c>
      <c r="BA20" s="751"/>
      <c r="BB20" s="750">
        <f>BB19+0.015</f>
        <v>6.5000000000000002E-2</v>
      </c>
      <c r="BC20" s="750">
        <f>BC19+0.015</f>
        <v>6.5000000000000002E-2</v>
      </c>
      <c r="BD20" s="750">
        <f>BD19+0.015</f>
        <v>6.5000000000000002E-2</v>
      </c>
      <c r="BE20" s="750">
        <f>BE19+0.015</f>
        <v>6.5000000000000002E-2</v>
      </c>
      <c r="BF20" s="751"/>
      <c r="BG20" s="750">
        <f>BG19+0.015</f>
        <v>6.5000000000000002E-2</v>
      </c>
      <c r="BH20" s="750">
        <f>BH19+0.015</f>
        <v>6.5000000000000002E-2</v>
      </c>
      <c r="BI20" s="750">
        <f>BI19+0.015</f>
        <v>6.5000000000000002E-2</v>
      </c>
      <c r="BJ20" s="750">
        <f>BJ19+0.015</f>
        <v>6.5000000000000002E-2</v>
      </c>
      <c r="BK20" s="751"/>
      <c r="BL20" s="716"/>
      <c r="BM20" s="716"/>
      <c r="BN20" s="716"/>
      <c r="BO20" s="716"/>
      <c r="BP20" s="716"/>
      <c r="BQ20" s="716"/>
      <c r="BR20" s="939" t="str">
        <f t="shared" si="5"/>
        <v>BULL</v>
      </c>
      <c r="BS20" s="750"/>
      <c r="BT20" s="750"/>
      <c r="BU20" s="750"/>
      <c r="BV20" s="750"/>
      <c r="BW20" s="750"/>
      <c r="BX20" s="750"/>
      <c r="BY20" s="750"/>
      <c r="BZ20" s="750"/>
      <c r="CA20" s="750"/>
      <c r="CB20" s="750"/>
      <c r="CC20" s="750"/>
      <c r="CD20" s="750"/>
    </row>
    <row r="21" spans="1:82" collapsed="1" x14ac:dyDescent="0.2">
      <c r="A21" s="1308" t="s">
        <v>343</v>
      </c>
      <c r="B21" s="713"/>
      <c r="C21" s="731">
        <v>3.9E-2</v>
      </c>
      <c r="D21" s="716">
        <v>3.9E-2</v>
      </c>
      <c r="E21" s="716">
        <v>7.0000000000000001E-3</v>
      </c>
      <c r="F21" s="716">
        <v>4.8000000000000001E-2</v>
      </c>
      <c r="G21" s="716">
        <v>4.4999999999999998E-2</v>
      </c>
      <c r="H21" s="731">
        <v>3.5000000000000003E-2</v>
      </c>
      <c r="I21" s="716">
        <v>4.3999999999999997E-2</v>
      </c>
      <c r="J21" s="716">
        <v>4.5999999999999999E-2</v>
      </c>
      <c r="K21" s="716">
        <v>2.7E-2</v>
      </c>
      <c r="L21" s="716">
        <f>L17</f>
        <v>3.8751259105706426E-2</v>
      </c>
      <c r="M21" s="91">
        <f>M17</f>
        <v>3.9146859286750102E-2</v>
      </c>
      <c r="N21" s="716">
        <v>5.1999999999999998E-2</v>
      </c>
      <c r="O21" s="716">
        <v>4.9000000000000002E-2</v>
      </c>
      <c r="P21" s="716">
        <v>4.9000000000000002E-2</v>
      </c>
      <c r="Q21" s="716">
        <v>0.05</v>
      </c>
      <c r="R21" s="108">
        <f>+(R16+12)/M16-1</f>
        <v>4.9959084849678925E-2</v>
      </c>
      <c r="S21" s="716">
        <v>5.2999999999999999E-2</v>
      </c>
      <c r="T21" s="706">
        <f>T17</f>
        <v>6.9838892009792763E-2</v>
      </c>
      <c r="U21" s="706">
        <v>7.8E-2</v>
      </c>
      <c r="V21" s="706">
        <f>+V17</f>
        <v>6.7367098804623105E-2</v>
      </c>
      <c r="W21" s="1309">
        <f>W17</f>
        <v>6.6901809472205587E-2</v>
      </c>
      <c r="X21" s="716">
        <f>+X17</f>
        <v>6.3559460858511274E-2</v>
      </c>
      <c r="Y21" s="706">
        <f>+Y17</f>
        <v>4.9870672051549603E-2</v>
      </c>
      <c r="Z21" s="706">
        <f>+Z17</f>
        <v>4.1269227048466695E-2</v>
      </c>
      <c r="AA21" s="711">
        <f>+AA17</f>
        <v>5.4902813577317522E-2</v>
      </c>
      <c r="AB21" s="731">
        <v>5.1999999999999998E-2</v>
      </c>
      <c r="AC21" s="706">
        <f>+AC17</f>
        <v>5.3162716479887795E-2</v>
      </c>
      <c r="AD21" s="706">
        <f>AD17</f>
        <v>6.0375913851017815E-2</v>
      </c>
      <c r="AE21" s="706">
        <f>AE17</f>
        <v>6.3628030274876846E-2</v>
      </c>
      <c r="AF21" s="714">
        <v>5.3999999999999999E-2</v>
      </c>
      <c r="AG21" s="746">
        <f>AG17</f>
        <v>5.7706731094348429E-2</v>
      </c>
      <c r="AH21" s="706">
        <f>AH17</f>
        <v>5.1561348293573284E-2</v>
      </c>
      <c r="AI21" s="716">
        <v>5.2999999999999999E-2</v>
      </c>
      <c r="AJ21" s="716">
        <v>0.05</v>
      </c>
      <c r="AK21" s="716">
        <f>((1.054)*AF4+(1.014)*AF7)/AF16-1</f>
        <v>4.4402761795166779E-2</v>
      </c>
      <c r="AL21" s="731">
        <f>((1.053)*AG4+(1.037)*AG7)/AG16-1</f>
        <v>4.9195658523188524E-2</v>
      </c>
      <c r="AM21" s="1878">
        <v>4.2000000000000003E-2</v>
      </c>
      <c r="AN21" s="1913">
        <v>4.3999999999999997E-2</v>
      </c>
      <c r="AO21" s="1938">
        <v>4.9000000000000002E-2</v>
      </c>
      <c r="AP21" s="1938">
        <v>5.2999999999999999E-2</v>
      </c>
      <c r="AQ21" s="91">
        <f>SUMPRODUCT(AM21:AP21,AH16:AK16)/AL16</f>
        <v>4.7020734638873206E-2</v>
      </c>
      <c r="AR21" s="1310">
        <v>4.7500000000000001E-2</v>
      </c>
      <c r="AS21" s="1310">
        <v>4.7500000000000001E-2</v>
      </c>
      <c r="AT21" s="1310">
        <v>4.7500000000000001E-2</v>
      </c>
      <c r="AU21" s="1332">
        <v>4.2500000000000003E-2</v>
      </c>
      <c r="AV21" s="746">
        <f>SUMPRODUCT(AR21:AU21,AM16:AP16)/AQ16</f>
        <v>4.6233125649013489E-2</v>
      </c>
      <c r="AW21" s="1310">
        <v>0.05</v>
      </c>
      <c r="AX21" s="1310">
        <v>0.05</v>
      </c>
      <c r="AY21" s="1310">
        <v>0.05</v>
      </c>
      <c r="AZ21" s="1332">
        <v>0.05</v>
      </c>
      <c r="BA21" s="746">
        <f>SUMPRODUCT(AW21:AZ21,AR16:AU16)/AV16</f>
        <v>5.000000000000001E-2</v>
      </c>
      <c r="BB21" s="1310">
        <v>0.05</v>
      </c>
      <c r="BC21" s="1310">
        <v>0.05</v>
      </c>
      <c r="BD21" s="1310">
        <v>0.05</v>
      </c>
      <c r="BE21" s="1332">
        <v>0.05</v>
      </c>
      <c r="BF21" s="746">
        <f>SUMPRODUCT(BB21:BE21,AW16:AZ16)/BA16</f>
        <v>0.05</v>
      </c>
      <c r="BG21" s="1310">
        <v>0.05</v>
      </c>
      <c r="BH21" s="1310">
        <v>0.05</v>
      </c>
      <c r="BI21" s="1310">
        <v>0.05</v>
      </c>
      <c r="BJ21" s="1332">
        <v>0.05</v>
      </c>
      <c r="BK21" s="746">
        <f>SUMPRODUCT(BG21:BJ21,BB16:BE16)/BF16</f>
        <v>0.05</v>
      </c>
      <c r="BL21" s="90"/>
      <c r="BM21" s="90"/>
      <c r="BN21" s="716"/>
      <c r="BO21" s="90"/>
      <c r="BP21" s="90"/>
      <c r="BQ21" s="90"/>
      <c r="BR21" s="1294" t="str">
        <f t="shared" si="5"/>
        <v>Organic growth</v>
      </c>
      <c r="BS21" s="90">
        <f>H21</f>
        <v>3.5000000000000003E-2</v>
      </c>
      <c r="BT21" s="90">
        <f>M21</f>
        <v>3.9146859286750102E-2</v>
      </c>
      <c r="BU21" s="90">
        <f>R21</f>
        <v>4.9959084849678925E-2</v>
      </c>
      <c r="BV21" s="90">
        <f>W21</f>
        <v>6.6901809472205587E-2</v>
      </c>
      <c r="BW21" s="90">
        <f>AB21</f>
        <v>5.1999999999999998E-2</v>
      </c>
      <c r="BX21" s="90">
        <f>AG21</f>
        <v>5.7706731094348429E-2</v>
      </c>
      <c r="BY21" s="90">
        <f>AL21</f>
        <v>4.9195658523188524E-2</v>
      </c>
      <c r="BZ21" s="90">
        <f>AQ21</f>
        <v>4.7020734638873206E-2</v>
      </c>
      <c r="CA21" s="90">
        <f>AV21</f>
        <v>4.6233125649013489E-2</v>
      </c>
      <c r="CB21" s="90">
        <f>BA21</f>
        <v>5.000000000000001E-2</v>
      </c>
      <c r="CC21" s="90">
        <f>BF21</f>
        <v>0.05</v>
      </c>
      <c r="CD21" s="90">
        <f>BK21</f>
        <v>0.05</v>
      </c>
    </row>
    <row r="22" spans="1:82" x14ac:dyDescent="0.2">
      <c r="A22" s="1280"/>
      <c r="B22" s="1280"/>
      <c r="C22" s="1280"/>
      <c r="D22" s="1278"/>
      <c r="E22" s="1278"/>
      <c r="F22" s="1278"/>
      <c r="G22" s="1278"/>
      <c r="H22" s="1280"/>
      <c r="I22" s="1278"/>
      <c r="J22" s="1278"/>
      <c r="K22" s="1278"/>
      <c r="L22" s="1278"/>
      <c r="M22" s="1280"/>
      <c r="N22" s="1312"/>
      <c r="O22" s="1312"/>
      <c r="P22" s="1313"/>
      <c r="Q22" s="1313"/>
      <c r="R22" s="1280"/>
      <c r="S22" s="1312"/>
      <c r="T22" s="1312"/>
      <c r="U22" s="1230"/>
      <c r="V22" s="1312"/>
      <c r="W22" s="1280"/>
      <c r="X22" s="1314"/>
      <c r="Y22" s="1312"/>
      <c r="Z22" s="1230"/>
      <c r="AA22" s="1315"/>
      <c r="AB22" s="1280"/>
      <c r="AC22" s="1314"/>
      <c r="AD22" s="1312"/>
      <c r="AE22" s="1230"/>
      <c r="AF22" s="1315"/>
      <c r="AG22" s="1280"/>
      <c r="AH22" s="1230"/>
      <c r="AI22" s="1230"/>
      <c r="AJ22" s="1230"/>
      <c r="AK22" s="1230"/>
      <c r="AL22" s="1280"/>
      <c r="AM22" s="1230"/>
      <c r="AN22" s="1230"/>
      <c r="AO22" s="1905">
        <f>(AJ24*(1+AO27)+AJ16*(1+AO21))/SUM(AJ24,AJ16)-1</f>
        <v>6.9694915826811421E-2</v>
      </c>
      <c r="AP22" s="2016">
        <f>(AK24*(1+AP27)+AK16*(1+AP21))/SUM(AK24,AK16)-1</f>
        <v>6.7332224993073009E-2</v>
      </c>
      <c r="AQ22" s="2017"/>
      <c r="AR22" s="1230"/>
      <c r="AS22" s="1230"/>
      <c r="AT22" s="1230"/>
      <c r="AU22" s="1324"/>
      <c r="AV22" s="2017">
        <f>(AQ24*(1+AV29)+AQ16*(1+AV21))/SUM(AQ24,AQ16)-1</f>
        <v>5.9527683107195584E-2</v>
      </c>
      <c r="AW22" s="1230"/>
      <c r="AX22" s="1230"/>
      <c r="AY22" s="1230"/>
      <c r="AZ22" s="1324"/>
      <c r="BA22" s="1283"/>
      <c r="BB22" s="1230"/>
      <c r="BC22" s="1230"/>
      <c r="BD22" s="1230"/>
      <c r="BE22" s="1324"/>
      <c r="BF22" s="1283"/>
      <c r="BG22" s="1230"/>
      <c r="BH22" s="1230"/>
      <c r="BI22" s="1230"/>
      <c r="BJ22" s="1324"/>
      <c r="BK22" s="1283"/>
      <c r="BL22" s="1278"/>
      <c r="BM22" s="1278"/>
      <c r="BN22" s="1278"/>
      <c r="BO22" s="1278"/>
      <c r="BP22" s="1278"/>
      <c r="BQ22" s="1278"/>
      <c r="BR22" s="1278"/>
      <c r="BS22" s="1278"/>
      <c r="BT22" s="1278"/>
      <c r="BU22" s="1278"/>
      <c r="BV22" s="1278"/>
      <c r="BW22" s="1278"/>
      <c r="BX22" s="1278"/>
      <c r="BY22" s="1278"/>
      <c r="BZ22" s="1278"/>
      <c r="CA22" s="1278"/>
      <c r="CB22" s="1278"/>
      <c r="CC22" s="1278"/>
      <c r="CD22" s="1278"/>
    </row>
    <row r="23" spans="1:82" x14ac:dyDescent="0.2">
      <c r="A23" s="1284" t="s">
        <v>106</v>
      </c>
      <c r="B23" s="1280"/>
      <c r="C23" s="1322"/>
      <c r="D23" s="1323"/>
      <c r="E23" s="1323"/>
      <c r="F23" s="1323"/>
      <c r="G23" s="1323"/>
      <c r="H23" s="1322"/>
      <c r="I23" s="1230"/>
      <c r="J23" s="1230"/>
      <c r="K23" s="1230"/>
      <c r="L23" s="1230"/>
      <c r="M23" s="1322"/>
      <c r="N23" s="1230"/>
      <c r="O23" s="1230"/>
      <c r="P23" s="1230"/>
      <c r="Q23" s="1230"/>
      <c r="R23" s="1322"/>
      <c r="S23" s="1230" t="s">
        <v>380</v>
      </c>
      <c r="T23" s="1230"/>
      <c r="U23" s="1230"/>
      <c r="V23" s="1230"/>
      <c r="W23" s="91"/>
      <c r="X23" s="1230">
        <f t="shared" ref="X23:AK23" si="8">((1+X17)*S16+(1+X25)*S24)/(S16+S24)-1</f>
        <v>8.8052815211239199E-2</v>
      </c>
      <c r="Y23" s="1230">
        <f t="shared" si="8"/>
        <v>9.2829567704934002E-2</v>
      </c>
      <c r="Z23" s="1230">
        <f t="shared" si="8"/>
        <v>5.1124647596898276E-2</v>
      </c>
      <c r="AA23" s="1324">
        <f t="shared" si="8"/>
        <v>8.6751088677079036E-2</v>
      </c>
      <c r="AB23" s="91">
        <f t="shared" si="8"/>
        <v>7.9472035361224158E-2</v>
      </c>
      <c r="AC23" s="1230">
        <f t="shared" si="8"/>
        <v>6.8913522286933482E-2</v>
      </c>
      <c r="AD23" s="1230">
        <f t="shared" si="8"/>
        <v>7.0597840417049529E-2</v>
      </c>
      <c r="AE23" s="1230">
        <f t="shared" si="8"/>
        <v>7.4446052420003017E-2</v>
      </c>
      <c r="AF23" s="1324">
        <f t="shared" si="8"/>
        <v>6.1472245751454269E-2</v>
      </c>
      <c r="AG23" s="746">
        <f t="shared" si="8"/>
        <v>6.8809333052667343E-2</v>
      </c>
      <c r="AH23" s="1230">
        <f t="shared" si="8"/>
        <v>8.2008162008161856E-2</v>
      </c>
      <c r="AI23" s="1230">
        <f t="shared" si="8"/>
        <v>5.8120626932457897E-2</v>
      </c>
      <c r="AJ23" s="1230">
        <f t="shared" si="8"/>
        <v>6.3217788739265979E-2</v>
      </c>
      <c r="AK23" s="1230">
        <f t="shared" si="8"/>
        <v>6.2720848056537326E-2</v>
      </c>
      <c r="AL23" s="91">
        <f t="shared" ref="AL23:AQ23" si="9">((1+AL17)*AG16+(1+AL25)*AG24)/(AG16+AG24)-1</f>
        <v>6.6373616498674348E-2</v>
      </c>
      <c r="AM23" s="1230">
        <f t="shared" si="9"/>
        <v>4.7534735170124742E-2</v>
      </c>
      <c r="AN23" s="1230">
        <f t="shared" si="9"/>
        <v>7.5736203458845353E-2</v>
      </c>
      <c r="AO23" s="1230">
        <f t="shared" si="9"/>
        <v>0.11789876696131962</v>
      </c>
      <c r="AP23" s="1230">
        <f t="shared" si="9"/>
        <v>0.12607370462732037</v>
      </c>
      <c r="AQ23" s="91">
        <f t="shared" si="9"/>
        <v>9.20538702568936E-2</v>
      </c>
      <c r="AR23" s="1230">
        <f t="shared" ref="AR23:BK23" si="10">((1+AR17)*AM16+(1+AR25)*AM24)/(AM16+AM24)-1</f>
        <v>0.10005570652173912</v>
      </c>
      <c r="AS23" s="1230">
        <f t="shared" si="10"/>
        <v>8.9333941605839406E-2</v>
      </c>
      <c r="AT23" s="1230">
        <f t="shared" si="10"/>
        <v>6.9916477797364207E-2</v>
      </c>
      <c r="AU23" s="1324">
        <f t="shared" si="10"/>
        <v>5.5492125984251794E-2</v>
      </c>
      <c r="AV23" s="746">
        <f t="shared" si="10"/>
        <v>7.8068827299423216E-2</v>
      </c>
      <c r="AW23" s="1230">
        <f t="shared" si="10"/>
        <v>6.0198297764070707E-2</v>
      </c>
      <c r="AX23" s="1230">
        <f t="shared" si="10"/>
        <v>6.1636914483862659E-2</v>
      </c>
      <c r="AY23" s="1230">
        <f t="shared" si="10"/>
        <v>6.1782489723178013E-2</v>
      </c>
      <c r="AZ23" s="1324">
        <f t="shared" si="10"/>
        <v>6.3139931740614275E-2</v>
      </c>
      <c r="BA23" s="746">
        <f t="shared" si="10"/>
        <v>6.1710991438636675E-2</v>
      </c>
      <c r="BB23" s="1230">
        <f t="shared" si="10"/>
        <v>6.029258265229176E-2</v>
      </c>
      <c r="BC23" s="1230">
        <f t="shared" si="10"/>
        <v>6.0449767075035465E-2</v>
      </c>
      <c r="BD23" s="1230">
        <f t="shared" si="10"/>
        <v>6.0579040727721578E-2</v>
      </c>
      <c r="BE23" s="1324">
        <f t="shared" si="10"/>
        <v>6.0629213483146316E-2</v>
      </c>
      <c r="BF23" s="746">
        <f t="shared" si="10"/>
        <v>6.0490604461353792E-2</v>
      </c>
      <c r="BG23" s="1230">
        <f t="shared" si="10"/>
        <v>6.0386815505587332E-2</v>
      </c>
      <c r="BH23" s="1230">
        <f t="shared" si="10"/>
        <v>6.0543875926465152E-2</v>
      </c>
      <c r="BI23" s="1230">
        <f t="shared" si="10"/>
        <v>6.0673012707185947E-2</v>
      </c>
      <c r="BJ23" s="1324">
        <f t="shared" si="10"/>
        <v>6.0723123861180506E-2</v>
      </c>
      <c r="BK23" s="746">
        <f t="shared" si="10"/>
        <v>6.0584673476998807E-2</v>
      </c>
      <c r="BL23" s="1277"/>
      <c r="BM23" s="1277"/>
      <c r="BN23" s="1277"/>
      <c r="BO23" s="1277"/>
      <c r="BP23" s="1277"/>
      <c r="BQ23" s="1278"/>
      <c r="BR23" s="1294" t="str">
        <f t="shared" ref="BR23:BR29" si="11">A23</f>
        <v>Decision Analytics</v>
      </c>
      <c r="BS23" s="90"/>
      <c r="BT23" s="90"/>
      <c r="BU23" s="90"/>
      <c r="BV23" s="90"/>
      <c r="BW23" s="90"/>
      <c r="BX23" s="90"/>
      <c r="BY23" s="90"/>
      <c r="BZ23" s="90"/>
      <c r="CA23" s="90"/>
      <c r="CB23" s="90"/>
      <c r="CC23" s="90"/>
      <c r="CD23" s="90"/>
    </row>
    <row r="24" spans="1:82" x14ac:dyDescent="0.2">
      <c r="A24" s="1280" t="s">
        <v>342</v>
      </c>
      <c r="B24" s="1316">
        <v>311.125</v>
      </c>
      <c r="C24" s="1316">
        <v>331.58699999999999</v>
      </c>
      <c r="D24" s="1317">
        <v>87.816999999999993</v>
      </c>
      <c r="E24" s="1317">
        <v>93.018000000000001</v>
      </c>
      <c r="F24" s="1317">
        <v>93.828000000000003</v>
      </c>
      <c r="G24" s="1317">
        <v>98.18</v>
      </c>
      <c r="H24" s="1318">
        <f>SUM(D24:G24)</f>
        <v>372.84300000000002</v>
      </c>
      <c r="I24" s="1317">
        <v>105.3</v>
      </c>
      <c r="J24" s="1317">
        <v>112.334</v>
      </c>
      <c r="K24" s="1292">
        <v>116.28100000000001</v>
      </c>
      <c r="L24" s="1292">
        <v>117.301</v>
      </c>
      <c r="M24" s="1319">
        <f>SUM(I24:L24)</f>
        <v>451.21600000000001</v>
      </c>
      <c r="N24" s="1292">
        <v>116.336</v>
      </c>
      <c r="O24" s="1292">
        <v>122.21</v>
      </c>
      <c r="P24" s="1292">
        <v>126.301</v>
      </c>
      <c r="Q24" s="1292">
        <v>128.60900000000001</v>
      </c>
      <c r="R24" s="1319">
        <f>SUM(N24:Q24)</f>
        <v>493.45600000000002</v>
      </c>
      <c r="S24" s="1292">
        <v>126.54900000000001</v>
      </c>
      <c r="T24" s="1292">
        <v>133.785</v>
      </c>
      <c r="U24" s="1292">
        <v>140.77099999999999</v>
      </c>
      <c r="V24" s="1292">
        <v>138.04499999999999</v>
      </c>
      <c r="W24" s="1320">
        <f>SUM(S24:V24)</f>
        <v>539.15</v>
      </c>
      <c r="X24" s="1292">
        <v>141.43</v>
      </c>
      <c r="Y24" s="1292">
        <v>152.83099999999999</v>
      </c>
      <c r="Z24" s="1292">
        <v>149.49600000000001</v>
      </c>
      <c r="AA24" s="1293">
        <v>155</v>
      </c>
      <c r="AB24" s="1320">
        <f>SUM(X24:AA24)</f>
        <v>598.75699999999995</v>
      </c>
      <c r="AC24" s="1292">
        <v>153.733</v>
      </c>
      <c r="AD24" s="1292">
        <v>165.27600000000001</v>
      </c>
      <c r="AE24" s="1292">
        <v>162.37200000000001</v>
      </c>
      <c r="AF24" s="1293">
        <v>165.8</v>
      </c>
      <c r="AG24" s="1320">
        <f>SUM(AC24:AF24)</f>
        <v>647.18100000000004</v>
      </c>
      <c r="AH24" s="1292">
        <v>171.54499999999999</v>
      </c>
      <c r="AI24" s="1292">
        <v>175.476</v>
      </c>
      <c r="AJ24" s="1292">
        <v>174.446</v>
      </c>
      <c r="AK24" s="1292">
        <v>178.3</v>
      </c>
      <c r="AL24" s="1320">
        <f>SUM(AH24:AK24)</f>
        <v>699.76700000000005</v>
      </c>
      <c r="AM24" s="1875">
        <v>178.6</v>
      </c>
      <c r="AN24" s="1914">
        <v>191</v>
      </c>
      <c r="AO24" s="1939">
        <v>203.9</v>
      </c>
      <c r="AP24" s="1939">
        <v>211.2</v>
      </c>
      <c r="AQ24" s="1320">
        <f>SUM(AM24:AP24)</f>
        <v>784.7</v>
      </c>
      <c r="AR24" s="1321">
        <f>(1+AR25)*AM24</f>
        <v>206.42399999999998</v>
      </c>
      <c r="AS24" s="1321">
        <f>(1+AS25)*AN24</f>
        <v>216.12</v>
      </c>
      <c r="AT24" s="1321">
        <f>(1+AT25)*AO24</f>
        <v>222.48683333333335</v>
      </c>
      <c r="AU24" s="1500">
        <f>(1+AU25)*AP24</f>
        <v>225.45599999999996</v>
      </c>
      <c r="AV24" s="1500">
        <f>SUM(AR24:AU24)</f>
        <v>870.48683333333338</v>
      </c>
      <c r="AW24" s="1321">
        <f>(1+AW25)*AR24</f>
        <v>220.87367999999998</v>
      </c>
      <c r="AX24" s="1321">
        <f>(1+AX25)*AS24</f>
        <v>231.78870000000001</v>
      </c>
      <c r="AY24" s="1321">
        <f>(1+AY25)*AT24</f>
        <v>238.61712875000003</v>
      </c>
      <c r="AZ24" s="1500">
        <f>(1+AZ25)*AU24</f>
        <v>242.36519999999996</v>
      </c>
      <c r="BA24" s="1500">
        <f>SUM(AW24:AZ24)</f>
        <v>933.64470874999995</v>
      </c>
      <c r="BB24" s="1321">
        <f>(1+BB25)*AW24</f>
        <v>236.33483759999999</v>
      </c>
      <c r="BC24" s="1321">
        <f>(1+BC25)*AX24</f>
        <v>248.01390900000001</v>
      </c>
      <c r="BD24" s="1321">
        <f>(1+BD25)*AY24</f>
        <v>255.32032776250006</v>
      </c>
      <c r="BE24" s="1500">
        <f>(1+BE25)*AZ24</f>
        <v>259.33076399999999</v>
      </c>
      <c r="BF24" s="1500">
        <f>SUM(BB24:BE24)</f>
        <v>998.99983836249999</v>
      </c>
      <c r="BG24" s="1321">
        <f>(1+BG25)*BB24</f>
        <v>252.87827623199999</v>
      </c>
      <c r="BH24" s="1321">
        <f>(1+BH25)*BC24</f>
        <v>265.37488263</v>
      </c>
      <c r="BI24" s="1321">
        <f>(1+BI25)*BD24</f>
        <v>273.19275070587508</v>
      </c>
      <c r="BJ24" s="1500">
        <f>(1+BJ25)*BE24</f>
        <v>277.48391748</v>
      </c>
      <c r="BK24" s="1500">
        <f>SUM(BG24:BJ24)</f>
        <v>1068.9298270478751</v>
      </c>
      <c r="BL24" s="1277"/>
      <c r="BM24" s="1277"/>
      <c r="BN24" s="1277"/>
      <c r="BO24" s="1277"/>
      <c r="BP24" s="1277"/>
      <c r="BQ24" s="1278"/>
      <c r="BR24" s="1278" t="str">
        <f t="shared" si="11"/>
        <v>Insurance</v>
      </c>
      <c r="BS24" s="1321">
        <f>H24</f>
        <v>372.84300000000002</v>
      </c>
      <c r="BT24" s="1321">
        <f>M24</f>
        <v>451.21600000000001</v>
      </c>
      <c r="BU24" s="1321">
        <f>R24</f>
        <v>493.45600000000002</v>
      </c>
      <c r="BV24" s="1321">
        <f>W24</f>
        <v>539.15</v>
      </c>
      <c r="BW24" s="1321">
        <f>AB24</f>
        <v>598.75699999999995</v>
      </c>
      <c r="BX24" s="1321">
        <f>AG24</f>
        <v>647.18100000000004</v>
      </c>
      <c r="BY24" s="1321">
        <f>AL24</f>
        <v>699.76700000000005</v>
      </c>
      <c r="BZ24" s="1321">
        <f>AQ24</f>
        <v>784.7</v>
      </c>
      <c r="CA24" s="1321">
        <f>AV24</f>
        <v>870.48683333333338</v>
      </c>
      <c r="CB24" s="1321">
        <f>BA24</f>
        <v>933.64470874999995</v>
      </c>
      <c r="CC24" s="1321">
        <f>BF24</f>
        <v>998.99983836249999</v>
      </c>
      <c r="CD24" s="1321">
        <f>BK24</f>
        <v>1068.9298270478751</v>
      </c>
    </row>
    <row r="25" spans="1:82" x14ac:dyDescent="0.2">
      <c r="A25" s="729" t="s">
        <v>209</v>
      </c>
      <c r="B25" s="1280"/>
      <c r="C25" s="1322">
        <f>C24/B24-1</f>
        <v>6.5767778224186335E-2</v>
      </c>
      <c r="D25" s="1323">
        <v>0.112</v>
      </c>
      <c r="E25" s="1323">
        <v>0.123</v>
      </c>
      <c r="F25" s="1323">
        <v>0.10199999999999999</v>
      </c>
      <c r="G25" s="1323">
        <v>0.16</v>
      </c>
      <c r="H25" s="1322">
        <f t="shared" ref="H25:AP25" si="12">H24/C24-1</f>
        <v>0.1244198355182804</v>
      </c>
      <c r="I25" s="1230">
        <f t="shared" si="12"/>
        <v>0.19908445972875422</v>
      </c>
      <c r="J25" s="1230">
        <f t="shared" si="12"/>
        <v>0.20765873271839852</v>
      </c>
      <c r="K25" s="1230">
        <f t="shared" si="12"/>
        <v>0.23929956942490516</v>
      </c>
      <c r="L25" s="1230">
        <f t="shared" si="12"/>
        <v>0.19475453249134245</v>
      </c>
      <c r="M25" s="1322">
        <f t="shared" si="12"/>
        <v>0.2102037586866321</v>
      </c>
      <c r="N25" s="1230">
        <f t="shared" si="12"/>
        <v>0.10480531813865146</v>
      </c>
      <c r="O25" s="1230">
        <f t="shared" si="12"/>
        <v>8.7916392187583403E-2</v>
      </c>
      <c r="P25" s="1230">
        <f t="shared" si="12"/>
        <v>8.6170569568545075E-2</v>
      </c>
      <c r="Q25" s="1230">
        <f t="shared" si="12"/>
        <v>9.6401565204047746E-2</v>
      </c>
      <c r="R25" s="1322">
        <f>R24/M24-1</f>
        <v>9.3613701641785729E-2</v>
      </c>
      <c r="S25" s="1230">
        <f t="shared" si="12"/>
        <v>8.7788818594416229E-2</v>
      </c>
      <c r="T25" s="1230">
        <f t="shared" si="12"/>
        <v>9.4714016856231042E-2</v>
      </c>
      <c r="U25" s="1230">
        <f t="shared" si="12"/>
        <v>0.11456758062089767</v>
      </c>
      <c r="V25" s="1230">
        <f t="shared" si="12"/>
        <v>7.3369670862847736E-2</v>
      </c>
      <c r="W25" s="91">
        <f>W24/R24-1</f>
        <v>9.259994812100758E-2</v>
      </c>
      <c r="X25" s="1230">
        <f t="shared" si="12"/>
        <v>0.11759081462516496</v>
      </c>
      <c r="Y25" s="1230">
        <f t="shared" si="12"/>
        <v>0.14236274619725675</v>
      </c>
      <c r="Z25" s="1230">
        <f t="shared" si="12"/>
        <v>6.1980095332135443E-2</v>
      </c>
      <c r="AA25" s="1324">
        <f t="shared" si="12"/>
        <v>0.12282226810098162</v>
      </c>
      <c r="AB25" s="91">
        <f>AB24/W24-1</f>
        <v>0.11055735880552708</v>
      </c>
      <c r="AC25" s="1230">
        <f t="shared" si="12"/>
        <v>8.6990030403733209E-2</v>
      </c>
      <c r="AD25" s="1230">
        <f t="shared" si="12"/>
        <v>8.1429814631848396E-2</v>
      </c>
      <c r="AE25" s="1230">
        <f t="shared" si="12"/>
        <v>8.6129394766415235E-2</v>
      </c>
      <c r="AF25" s="1324">
        <f t="shared" si="12"/>
        <v>6.9677419354838843E-2</v>
      </c>
      <c r="AG25" s="746">
        <f t="shared" si="12"/>
        <v>8.0874211073941771E-2</v>
      </c>
      <c r="AH25" s="1230">
        <f t="shared" si="12"/>
        <v>0.11586321739639494</v>
      </c>
      <c r="AI25" s="1230">
        <f t="shared" si="12"/>
        <v>6.1714949538952846E-2</v>
      </c>
      <c r="AJ25" s="1230">
        <f t="shared" si="12"/>
        <v>7.436011134924736E-2</v>
      </c>
      <c r="AK25" s="1230">
        <f t="shared" si="12"/>
        <v>7.5392038600723854E-2</v>
      </c>
      <c r="AL25" s="91">
        <f>AL24/AG24-1</f>
        <v>8.1253930507848571E-2</v>
      </c>
      <c r="AM25" s="1230">
        <f t="shared" si="12"/>
        <v>4.1126235098662312E-2</v>
      </c>
      <c r="AN25" s="1230">
        <f t="shared" si="12"/>
        <v>8.8467938635482968E-2</v>
      </c>
      <c r="AO25" s="1230">
        <f t="shared" si="12"/>
        <v>0.16884308038017504</v>
      </c>
      <c r="AP25" s="1230">
        <f t="shared" si="12"/>
        <v>0.18452047111609637</v>
      </c>
      <c r="AQ25" s="91">
        <f>AQ24/AL24-1</f>
        <v>0.12137325709843427</v>
      </c>
      <c r="AR25" s="1230">
        <f>CHOOSE(VA!$A$3,AR26,AR27,AR28)</f>
        <v>0.15578947368421053</v>
      </c>
      <c r="AS25" s="1230">
        <f>CHOOSE(VA!$A$3,AS26,AS27,AS28)</f>
        <v>0.13151832460732985</v>
      </c>
      <c r="AT25" s="1230">
        <f>CHOOSE(VA!$A$3,AT26,AT27,AT28)</f>
        <v>9.1156612718652941E-2</v>
      </c>
      <c r="AU25" s="1324">
        <f>CHOOSE(VA!$A$3,AU26,AU27,AU28)</f>
        <v>6.7500000000000004E-2</v>
      </c>
      <c r="AV25" s="746">
        <f>AV24/AQ24-1</f>
        <v>0.10932437024765296</v>
      </c>
      <c r="AW25" s="1230">
        <f>CHOOSE(VA!$A$3,AW26,AW27,AW28)</f>
        <v>7.0000000000000007E-2</v>
      </c>
      <c r="AX25" s="1230">
        <f>CHOOSE(VA!$A$3,AX26,AX27,AX28)</f>
        <v>7.2499999999999995E-2</v>
      </c>
      <c r="AY25" s="1230">
        <f>CHOOSE(VA!$A$3,AY26,AY27,AY28)</f>
        <v>7.2499999999999995E-2</v>
      </c>
      <c r="AZ25" s="1324">
        <f>CHOOSE(VA!$A$3,AZ26,AZ27,AZ28)</f>
        <v>7.4999999999999997E-2</v>
      </c>
      <c r="BA25" s="746">
        <f>BA24/AV24-1</f>
        <v>7.2554659069129945E-2</v>
      </c>
      <c r="BB25" s="1230">
        <f>CHOOSE(VA!$A$3,BB26,BB27,BB28)</f>
        <v>7.0000000000000007E-2</v>
      </c>
      <c r="BC25" s="1230">
        <f>CHOOSE(VA!$A$3,BC26,BC27,BC28)</f>
        <v>7.0000000000000007E-2</v>
      </c>
      <c r="BD25" s="1230">
        <f>CHOOSE(VA!$A$3,BD26,BD27,BD28)</f>
        <v>7.0000000000000007E-2</v>
      </c>
      <c r="BE25" s="1324">
        <f>CHOOSE(VA!$A$3,BE26,BE27,BE28)</f>
        <v>7.0000000000000007E-2</v>
      </c>
      <c r="BF25" s="746">
        <f>BF24/BA24-1</f>
        <v>7.0000000000000062E-2</v>
      </c>
      <c r="BG25" s="1230">
        <f>CHOOSE(VA!$A$3,BG26,BG27,BG28)</f>
        <v>7.0000000000000007E-2</v>
      </c>
      <c r="BH25" s="1230">
        <f>CHOOSE(VA!$A$3,BH26,BH27,BH28)</f>
        <v>7.0000000000000007E-2</v>
      </c>
      <c r="BI25" s="1230">
        <f>CHOOSE(VA!$A$3,BI26,BI27,BI28)</f>
        <v>7.0000000000000007E-2</v>
      </c>
      <c r="BJ25" s="1324">
        <f>CHOOSE(VA!$A$3,BJ26,BJ27,BJ28)</f>
        <v>7.0000000000000007E-2</v>
      </c>
      <c r="BK25" s="746">
        <f>BK24/BF24-1</f>
        <v>7.0000000000000062E-2</v>
      </c>
      <c r="BL25" s="1277"/>
      <c r="BM25" s="1277"/>
      <c r="BN25" s="1277"/>
      <c r="BO25" s="1277"/>
      <c r="BP25" s="1277"/>
      <c r="BQ25" s="1278"/>
      <c r="BR25" s="1294" t="str">
        <f t="shared" si="11"/>
        <v>YoY Change</v>
      </c>
      <c r="BS25" s="90">
        <f>H25</f>
        <v>0.1244198355182804</v>
      </c>
      <c r="BT25" s="90">
        <f>M25</f>
        <v>0.2102037586866321</v>
      </c>
      <c r="BU25" s="90">
        <f>R25</f>
        <v>9.3613701641785729E-2</v>
      </c>
      <c r="BV25" s="90">
        <f>W25</f>
        <v>9.259994812100758E-2</v>
      </c>
      <c r="BW25" s="90">
        <f>AB25</f>
        <v>0.11055735880552708</v>
      </c>
      <c r="BX25" s="90">
        <f>AG25</f>
        <v>8.0874211073941771E-2</v>
      </c>
      <c r="BY25" s="90">
        <f>AL25</f>
        <v>8.1253930507848571E-2</v>
      </c>
      <c r="BZ25" s="90">
        <f>AQ25</f>
        <v>0.12137325709843427</v>
      </c>
      <c r="CA25" s="90">
        <f>AV25</f>
        <v>0.10932437024765296</v>
      </c>
      <c r="CB25" s="90">
        <f>BA25</f>
        <v>7.2554659069129945E-2</v>
      </c>
      <c r="CC25" s="90">
        <f>BF25</f>
        <v>7.0000000000000062E-2</v>
      </c>
      <c r="CD25" s="90">
        <f>BK25</f>
        <v>7.0000000000000062E-2</v>
      </c>
    </row>
    <row r="26" spans="1:82" ht="12.75" hidden="1" customHeight="1" outlineLevel="1" x14ac:dyDescent="0.2">
      <c r="A26" s="748" t="s">
        <v>214</v>
      </c>
      <c r="B26" s="751"/>
      <c r="C26" s="751"/>
      <c r="D26" s="750"/>
      <c r="E26" s="750"/>
      <c r="F26" s="750"/>
      <c r="G26" s="750"/>
      <c r="H26" s="751"/>
      <c r="I26" s="750"/>
      <c r="J26" s="750"/>
      <c r="K26" s="750"/>
      <c r="L26" s="750"/>
      <c r="M26" s="752"/>
      <c r="N26" s="750"/>
      <c r="O26" s="750"/>
      <c r="P26" s="750"/>
      <c r="Q26" s="753"/>
      <c r="R26" s="752"/>
      <c r="S26" s="750"/>
      <c r="T26" s="750"/>
      <c r="U26" s="750"/>
      <c r="V26" s="750"/>
      <c r="W26" s="752"/>
      <c r="X26" s="750"/>
      <c r="Y26" s="750"/>
      <c r="Z26" s="750"/>
      <c r="AA26" s="749"/>
      <c r="AB26" s="752"/>
      <c r="AC26" s="750"/>
      <c r="AD26" s="750"/>
      <c r="AE26" s="750"/>
      <c r="AF26" s="749"/>
      <c r="AG26" s="756"/>
      <c r="AH26" s="750"/>
      <c r="AI26" s="750"/>
      <c r="AJ26" s="750"/>
      <c r="AK26" s="749"/>
      <c r="AL26" s="756"/>
      <c r="AM26" s="750"/>
      <c r="AN26" s="750"/>
      <c r="AO26" s="750"/>
      <c r="AP26" s="749"/>
      <c r="AQ26" s="756"/>
      <c r="AR26" s="750">
        <f t="shared" ref="AR26:BJ26" si="13">AR27-4%</f>
        <v>0.11578947368421053</v>
      </c>
      <c r="AS26" s="750">
        <f t="shared" si="13"/>
        <v>9.1518324607329837E-2</v>
      </c>
      <c r="AT26" s="750">
        <f t="shared" si="13"/>
        <v>5.115661271865294E-2</v>
      </c>
      <c r="AU26" s="749">
        <f t="shared" si="13"/>
        <v>2.7500000000000004E-2</v>
      </c>
      <c r="AV26" s="756"/>
      <c r="AW26" s="750">
        <f t="shared" si="13"/>
        <v>3.0000000000000006E-2</v>
      </c>
      <c r="AX26" s="750">
        <f t="shared" si="13"/>
        <v>3.2499999999999994E-2</v>
      </c>
      <c r="AY26" s="750">
        <f t="shared" si="13"/>
        <v>3.2499999999999994E-2</v>
      </c>
      <c r="AZ26" s="749">
        <f t="shared" si="13"/>
        <v>3.4999999999999996E-2</v>
      </c>
      <c r="BA26" s="756"/>
      <c r="BB26" s="750">
        <f t="shared" si="13"/>
        <v>3.0000000000000006E-2</v>
      </c>
      <c r="BC26" s="750">
        <f t="shared" si="13"/>
        <v>3.0000000000000006E-2</v>
      </c>
      <c r="BD26" s="750">
        <f t="shared" si="13"/>
        <v>3.0000000000000006E-2</v>
      </c>
      <c r="BE26" s="749">
        <f t="shared" si="13"/>
        <v>3.0000000000000006E-2</v>
      </c>
      <c r="BF26" s="756"/>
      <c r="BG26" s="750">
        <f t="shared" si="13"/>
        <v>3.0000000000000006E-2</v>
      </c>
      <c r="BH26" s="750">
        <f t="shared" si="13"/>
        <v>3.0000000000000006E-2</v>
      </c>
      <c r="BI26" s="750">
        <f t="shared" si="13"/>
        <v>3.0000000000000006E-2</v>
      </c>
      <c r="BJ26" s="749">
        <f t="shared" si="13"/>
        <v>3.0000000000000006E-2</v>
      </c>
      <c r="BK26" s="756"/>
      <c r="BL26" s="716"/>
      <c r="BM26" s="716"/>
      <c r="BN26" s="716"/>
      <c r="BO26" s="716"/>
      <c r="BP26" s="716"/>
      <c r="BQ26" s="716"/>
      <c r="BR26" s="939" t="str">
        <f t="shared" si="11"/>
        <v>BEAR</v>
      </c>
      <c r="BS26" s="750"/>
      <c r="BT26" s="750"/>
      <c r="BU26" s="750"/>
      <c r="BV26" s="750"/>
      <c r="BW26" s="750"/>
      <c r="BX26" s="750"/>
      <c r="BY26" s="750"/>
      <c r="BZ26" s="750"/>
      <c r="CA26" s="750"/>
      <c r="CB26" s="750"/>
      <c r="CC26" s="750"/>
      <c r="CD26" s="750"/>
    </row>
    <row r="27" spans="1:82" ht="12.75" hidden="1" customHeight="1" outlineLevel="1" x14ac:dyDescent="0.2">
      <c r="A27" s="748" t="s">
        <v>215</v>
      </c>
      <c r="B27" s="751"/>
      <c r="C27" s="751"/>
      <c r="D27" s="750"/>
      <c r="E27" s="750"/>
      <c r="F27" s="750"/>
      <c r="G27" s="750"/>
      <c r="H27" s="751"/>
      <c r="I27" s="750"/>
      <c r="J27" s="750"/>
      <c r="K27" s="750"/>
      <c r="L27" s="750"/>
      <c r="M27" s="752"/>
      <c r="N27" s="750"/>
      <c r="O27" s="750"/>
      <c r="P27" s="750"/>
      <c r="Q27" s="753"/>
      <c r="R27" s="752"/>
      <c r="S27" s="750"/>
      <c r="T27" s="750"/>
      <c r="U27" s="750"/>
      <c r="V27" s="750"/>
      <c r="W27" s="752"/>
      <c r="X27" s="750"/>
      <c r="Y27" s="750"/>
      <c r="Z27" s="750"/>
      <c r="AA27" s="749"/>
      <c r="AB27" s="752"/>
      <c r="AC27" s="750"/>
      <c r="AD27" s="750"/>
      <c r="AE27" s="750"/>
      <c r="AF27" s="749"/>
      <c r="AG27" s="756"/>
      <c r="AH27" s="1901">
        <f>(AH29-0.09)*AC24</f>
        <v>3.9760299999999833</v>
      </c>
      <c r="AI27" s="750"/>
      <c r="AJ27" s="750"/>
      <c r="AK27" s="749"/>
      <c r="AL27" s="1326"/>
      <c r="AM27" s="1889">
        <v>6.5000000000000002E-2</v>
      </c>
      <c r="AN27" s="753"/>
      <c r="AO27" s="753">
        <f>((AJ24*(1+AO29)-8))/AJ24-1</f>
        <v>9.1140536326427712E-2</v>
      </c>
      <c r="AP27" s="753">
        <f>((AK24*(1+AP29)-8.2))/AK24-1</f>
        <v>8.2010095344924538E-2</v>
      </c>
      <c r="AQ27" s="1307">
        <f>AVERAGE(AM27:AP27)</f>
        <v>7.9383543890450756E-2</v>
      </c>
      <c r="AR27" s="753">
        <f>AR29+(15/4+8)/AM24</f>
        <v>0.15578947368421053</v>
      </c>
      <c r="AS27" s="753">
        <f>AS29+(15/4+8)/AN24</f>
        <v>0.13151832460732985</v>
      </c>
      <c r="AT27" s="753">
        <f>AT29+(8*(2/3)/AO24)</f>
        <v>9.1156612718652941E-2</v>
      </c>
      <c r="AU27" s="756">
        <f>AU29</f>
        <v>6.7500000000000004E-2</v>
      </c>
      <c r="AV27" s="1326">
        <f>AVERAGE(AR27:AU27)</f>
        <v>0.11149110275254834</v>
      </c>
      <c r="AW27" s="753">
        <f>AW29</f>
        <v>7.0000000000000007E-2</v>
      </c>
      <c r="AX27" s="753">
        <f>AX29</f>
        <v>7.2499999999999995E-2</v>
      </c>
      <c r="AY27" s="753">
        <f>AY29</f>
        <v>7.2499999999999995E-2</v>
      </c>
      <c r="AZ27" s="756">
        <f>AZ29</f>
        <v>7.4999999999999997E-2</v>
      </c>
      <c r="BA27" s="1326">
        <f>AVERAGE(AW27:AZ27)</f>
        <v>7.2500000000000009E-2</v>
      </c>
      <c r="BB27" s="753">
        <f>BB29</f>
        <v>7.0000000000000007E-2</v>
      </c>
      <c r="BC27" s="753">
        <f>BC29</f>
        <v>7.0000000000000007E-2</v>
      </c>
      <c r="BD27" s="753">
        <f>BD29</f>
        <v>7.0000000000000007E-2</v>
      </c>
      <c r="BE27" s="756">
        <f>BE29</f>
        <v>7.0000000000000007E-2</v>
      </c>
      <c r="BF27" s="1326">
        <f>AVERAGE(BB27:BE27)</f>
        <v>7.0000000000000007E-2</v>
      </c>
      <c r="BG27" s="753">
        <f>BG29</f>
        <v>7.0000000000000007E-2</v>
      </c>
      <c r="BH27" s="753">
        <f>BH29</f>
        <v>7.0000000000000007E-2</v>
      </c>
      <c r="BI27" s="753">
        <f>BI29</f>
        <v>7.0000000000000007E-2</v>
      </c>
      <c r="BJ27" s="756">
        <f>BJ29</f>
        <v>7.0000000000000007E-2</v>
      </c>
      <c r="BK27" s="1326">
        <f>AVERAGE(BG27:BJ27)</f>
        <v>7.0000000000000007E-2</v>
      </c>
      <c r="BL27" s="716"/>
      <c r="BM27" s="716"/>
      <c r="BN27" s="716"/>
      <c r="BO27" s="716"/>
      <c r="BP27" s="716"/>
      <c r="BQ27" s="716"/>
      <c r="BR27" s="939" t="str">
        <f t="shared" si="11"/>
        <v>BASE</v>
      </c>
      <c r="BS27" s="750"/>
      <c r="BT27" s="750"/>
      <c r="BU27" s="750"/>
      <c r="BV27" s="750"/>
      <c r="BW27" s="750"/>
      <c r="BX27" s="750"/>
      <c r="BY27" s="750"/>
      <c r="BZ27" s="750"/>
      <c r="CA27" s="750"/>
      <c r="CB27" s="750"/>
      <c r="CC27" s="750"/>
      <c r="CD27" s="750"/>
    </row>
    <row r="28" spans="1:82" ht="12.75" hidden="1" customHeight="1" outlineLevel="1" x14ac:dyDescent="0.2">
      <c r="A28" s="748" t="s">
        <v>216</v>
      </c>
      <c r="B28" s="751"/>
      <c r="C28" s="751"/>
      <c r="D28" s="750"/>
      <c r="E28" s="750"/>
      <c r="F28" s="750"/>
      <c r="G28" s="750"/>
      <c r="H28" s="751"/>
      <c r="I28" s="750"/>
      <c r="J28" s="750"/>
      <c r="K28" s="750"/>
      <c r="L28" s="750"/>
      <c r="M28" s="752"/>
      <c r="N28" s="750"/>
      <c r="O28" s="750"/>
      <c r="P28" s="750"/>
      <c r="Q28" s="753"/>
      <c r="R28" s="752"/>
      <c r="S28" s="750"/>
      <c r="T28" s="750"/>
      <c r="U28" s="750"/>
      <c r="V28" s="750"/>
      <c r="W28" s="752"/>
      <c r="X28" s="750"/>
      <c r="Y28" s="750"/>
      <c r="Z28" s="750"/>
      <c r="AA28" s="749"/>
      <c r="AB28" s="752"/>
      <c r="AC28" s="750"/>
      <c r="AD28" s="750"/>
      <c r="AE28" s="750"/>
      <c r="AF28" s="749"/>
      <c r="AG28" s="756"/>
      <c r="AH28" s="750"/>
      <c r="AI28" s="750"/>
      <c r="AJ28" s="750"/>
      <c r="AK28" s="749"/>
      <c r="AL28" s="756"/>
      <c r="AM28" s="1325"/>
      <c r="AN28" s="750"/>
      <c r="AO28" s="750"/>
      <c r="AP28" s="1990">
        <f>AP24-AK24*(1+AP29)</f>
        <v>10.077599999999961</v>
      </c>
      <c r="AQ28" s="756"/>
      <c r="AR28" s="750">
        <f>AR27+0.015</f>
        <v>0.17078947368421055</v>
      </c>
      <c r="AS28" s="750">
        <f>AS27+0.015</f>
        <v>0.14651832460732983</v>
      </c>
      <c r="AT28" s="750">
        <f>AT27+0.015</f>
        <v>0.10615661271865294</v>
      </c>
      <c r="AU28" s="749">
        <f>AU27+0.015</f>
        <v>8.2500000000000004E-2</v>
      </c>
      <c r="AV28" s="756"/>
      <c r="AW28" s="750">
        <f>AW27+0.015</f>
        <v>8.5000000000000006E-2</v>
      </c>
      <c r="AX28" s="750">
        <f>AX27+0.015</f>
        <v>8.7499999999999994E-2</v>
      </c>
      <c r="AY28" s="750">
        <f>AY27+0.015</f>
        <v>8.7499999999999994E-2</v>
      </c>
      <c r="AZ28" s="749">
        <f>AZ27+0.015</f>
        <v>0.09</v>
      </c>
      <c r="BA28" s="756"/>
      <c r="BB28" s="750">
        <f>BB27+0.015</f>
        <v>8.5000000000000006E-2</v>
      </c>
      <c r="BC28" s="750">
        <f>BC27+0.015</f>
        <v>8.5000000000000006E-2</v>
      </c>
      <c r="BD28" s="750">
        <f>BD27+0.015</f>
        <v>8.5000000000000006E-2</v>
      </c>
      <c r="BE28" s="749">
        <f>BE27+0.015</f>
        <v>8.5000000000000006E-2</v>
      </c>
      <c r="BF28" s="756"/>
      <c r="BG28" s="750">
        <f>BG27+0.015</f>
        <v>8.5000000000000006E-2</v>
      </c>
      <c r="BH28" s="750">
        <f>BH27+0.015</f>
        <v>8.5000000000000006E-2</v>
      </c>
      <c r="BI28" s="750">
        <f>BI27+0.015</f>
        <v>8.5000000000000006E-2</v>
      </c>
      <c r="BJ28" s="749">
        <f>BJ27+0.015</f>
        <v>8.5000000000000006E-2</v>
      </c>
      <c r="BK28" s="756"/>
      <c r="BL28" s="90"/>
      <c r="BM28" s="90"/>
      <c r="BN28" s="90"/>
      <c r="BO28" s="90"/>
      <c r="BP28" s="90"/>
      <c r="BQ28" s="90"/>
      <c r="BR28" s="939" t="str">
        <f t="shared" si="11"/>
        <v>BULL</v>
      </c>
      <c r="BS28" s="750"/>
      <c r="BT28" s="750"/>
      <c r="BU28" s="750"/>
      <c r="BV28" s="750"/>
      <c r="BW28" s="750"/>
      <c r="BX28" s="750"/>
      <c r="BY28" s="750"/>
      <c r="BZ28" s="750"/>
      <c r="CA28" s="750"/>
      <c r="CB28" s="750"/>
      <c r="CC28" s="750"/>
      <c r="CD28" s="750"/>
    </row>
    <row r="29" spans="1:82" collapsed="1" x14ac:dyDescent="0.2">
      <c r="A29" s="1308" t="s">
        <v>343</v>
      </c>
      <c r="B29" s="713"/>
      <c r="C29" s="731">
        <v>6.5000000000000002E-2</v>
      </c>
      <c r="D29" s="716">
        <v>0.109</v>
      </c>
      <c r="E29" s="716">
        <v>0.11899999999999999</v>
      </c>
      <c r="F29" s="716">
        <v>9.9000000000000005E-2</v>
      </c>
      <c r="G29" s="716">
        <v>0.14299999999999999</v>
      </c>
      <c r="H29" s="731">
        <v>0.11799999999999999</v>
      </c>
      <c r="I29" s="716">
        <v>0.129</v>
      </c>
      <c r="J29" s="716">
        <v>0.14199999999999999</v>
      </c>
      <c r="K29" s="716">
        <v>0.16800000000000001</v>
      </c>
      <c r="L29" s="716">
        <v>0.14599999999999999</v>
      </c>
      <c r="M29" s="731">
        <v>0.14599999999999999</v>
      </c>
      <c r="N29" s="716">
        <f>N25</f>
        <v>0.10480531813865146</v>
      </c>
      <c r="O29" s="716">
        <f>O25</f>
        <v>8.7916392187583403E-2</v>
      </c>
      <c r="P29" s="716">
        <v>8.3000000000000004E-2</v>
      </c>
      <c r="Q29" s="716">
        <v>9.2999999999999999E-2</v>
      </c>
      <c r="R29" s="1309">
        <f>AVERAGE(N29:Q29)</f>
        <v>9.2180427581558727E-2</v>
      </c>
      <c r="S29" s="716">
        <v>8.3000000000000004E-2</v>
      </c>
      <c r="T29" s="716">
        <v>8.8999999999999996E-2</v>
      </c>
      <c r="U29" s="716">
        <v>0.115</v>
      </c>
      <c r="V29" s="716">
        <f>V25</f>
        <v>7.3369670862847736E-2</v>
      </c>
      <c r="W29" s="1309">
        <f>(W24-1)/R24-1</f>
        <v>9.0573424986219564E-2</v>
      </c>
      <c r="X29" s="716">
        <f>X25</f>
        <v>0.11759081462516496</v>
      </c>
      <c r="Y29" s="716">
        <f>Y25</f>
        <v>0.14236274619725675</v>
      </c>
      <c r="Z29" s="716">
        <f>Z25</f>
        <v>6.1980095332135443E-2</v>
      </c>
      <c r="AA29" s="714">
        <f>AA25</f>
        <v>0.12282226810098162</v>
      </c>
      <c r="AB29" s="731">
        <v>0.111</v>
      </c>
      <c r="AC29" s="716">
        <f>AC25</f>
        <v>8.6990030403733209E-2</v>
      </c>
      <c r="AD29" s="716">
        <f>AD25</f>
        <v>8.1429814631848396E-2</v>
      </c>
      <c r="AE29" s="716">
        <f>AE25</f>
        <v>8.6129394766415235E-2</v>
      </c>
      <c r="AF29" s="714">
        <v>7.0000000000000007E-2</v>
      </c>
      <c r="AG29" s="731">
        <v>8.1000000000000003E-2</v>
      </c>
      <c r="AH29" s="716">
        <f>AH25</f>
        <v>0.11586321739639494</v>
      </c>
      <c r="AI29" s="716">
        <v>6.2E-2</v>
      </c>
      <c r="AJ29" s="716">
        <v>7.3999999999999996E-2</v>
      </c>
      <c r="AK29" s="714">
        <v>7.2999999999999995E-2</v>
      </c>
      <c r="AL29" s="714">
        <v>8.1000000000000003E-2</v>
      </c>
      <c r="AM29" s="1878">
        <v>0.04</v>
      </c>
      <c r="AN29" s="1913">
        <v>8.4000000000000005E-2</v>
      </c>
      <c r="AO29" s="1938">
        <v>0.13700000000000001</v>
      </c>
      <c r="AP29" s="1938">
        <v>0.128</v>
      </c>
      <c r="AQ29" s="91">
        <f>SUMPRODUCT(AM29:AP29,AH24:AK24)/AL24</f>
        <v>9.7637193522986943E-2</v>
      </c>
      <c r="AR29" s="1310">
        <v>0.09</v>
      </c>
      <c r="AS29" s="1310">
        <v>7.0000000000000007E-2</v>
      </c>
      <c r="AT29" s="1310">
        <v>6.5000000000000002E-2</v>
      </c>
      <c r="AU29" s="1332">
        <v>6.7500000000000004E-2</v>
      </c>
      <c r="AV29" s="746">
        <f>SUMPRODUCT(AR29:AU29,AM24:AP24)/AQ24</f>
        <v>7.2579966866318332E-2</v>
      </c>
      <c r="AW29" s="1310">
        <v>7.0000000000000007E-2</v>
      </c>
      <c r="AX29" s="1310">
        <v>7.2499999999999995E-2</v>
      </c>
      <c r="AY29" s="1310">
        <v>7.2499999999999995E-2</v>
      </c>
      <c r="AZ29" s="1332">
        <v>7.4999999999999997E-2</v>
      </c>
      <c r="BA29" s="746">
        <f>SUMPRODUCT(AW29:AZ29,AR24:AU24)/AV24</f>
        <v>7.255465906913007E-2</v>
      </c>
      <c r="BB29" s="1310">
        <v>7.0000000000000007E-2</v>
      </c>
      <c r="BC29" s="1310">
        <v>7.0000000000000007E-2</v>
      </c>
      <c r="BD29" s="1310">
        <v>7.0000000000000007E-2</v>
      </c>
      <c r="BE29" s="1332">
        <v>7.0000000000000007E-2</v>
      </c>
      <c r="BF29" s="746">
        <f>SUMPRODUCT(BB29:BE29,AW24:AZ24)/BA24</f>
        <v>7.0000000000000007E-2</v>
      </c>
      <c r="BG29" s="1310">
        <v>7.0000000000000007E-2</v>
      </c>
      <c r="BH29" s="1310">
        <v>7.0000000000000007E-2</v>
      </c>
      <c r="BI29" s="1310">
        <v>7.0000000000000007E-2</v>
      </c>
      <c r="BJ29" s="1332">
        <v>7.0000000000000007E-2</v>
      </c>
      <c r="BK29" s="746">
        <f>SUMPRODUCT(BG29:BJ29,BB24:BE24)/BF24</f>
        <v>7.0000000000000007E-2</v>
      </c>
      <c r="BL29" s="90"/>
      <c r="BM29" s="90"/>
      <c r="BN29" s="716"/>
      <c r="BO29" s="90"/>
      <c r="BP29" s="90"/>
      <c r="BQ29" s="90"/>
      <c r="BR29" s="1042" t="str">
        <f t="shared" si="11"/>
        <v>Organic growth</v>
      </c>
      <c r="BS29" s="90">
        <f>H29</f>
        <v>0.11799999999999999</v>
      </c>
      <c r="BT29" s="90">
        <f>M29</f>
        <v>0.14599999999999999</v>
      </c>
      <c r="BU29" s="90">
        <f>R29</f>
        <v>9.2180427581558727E-2</v>
      </c>
      <c r="BV29" s="90">
        <f>W29</f>
        <v>9.0573424986219564E-2</v>
      </c>
      <c r="BW29" s="90">
        <f>AB29</f>
        <v>0.111</v>
      </c>
      <c r="BX29" s="90">
        <f>AG29</f>
        <v>8.1000000000000003E-2</v>
      </c>
      <c r="BY29" s="90">
        <f>AL29</f>
        <v>8.1000000000000003E-2</v>
      </c>
      <c r="BZ29" s="90">
        <f>AQ29</f>
        <v>9.7637193522986943E-2</v>
      </c>
      <c r="CA29" s="90">
        <f>AV29</f>
        <v>7.2579966866318332E-2</v>
      </c>
      <c r="CB29" s="90">
        <f>BA29</f>
        <v>7.255465906913007E-2</v>
      </c>
      <c r="CC29" s="90">
        <f>BF29</f>
        <v>7.0000000000000007E-2</v>
      </c>
      <c r="CD29" s="90">
        <f>BK29</f>
        <v>7.0000000000000007E-2</v>
      </c>
    </row>
    <row r="30" spans="1:82" ht="4.5" customHeight="1" x14ac:dyDescent="0.2">
      <c r="A30" s="1280"/>
      <c r="B30" s="1280"/>
      <c r="C30" s="1280"/>
      <c r="D30" s="1278"/>
      <c r="E30" s="1278"/>
      <c r="F30" s="1278"/>
      <c r="G30" s="1278"/>
      <c r="H30" s="1280"/>
      <c r="I30" s="1278"/>
      <c r="J30" s="1278"/>
      <c r="K30" s="1278"/>
      <c r="L30" s="1278"/>
      <c r="M30" s="1280"/>
      <c r="N30" s="1278"/>
      <c r="O30" s="1230"/>
      <c r="P30" s="1230"/>
      <c r="Q30" s="1278"/>
      <c r="R30" s="1280"/>
      <c r="S30" s="1327"/>
      <c r="T30" s="1327"/>
      <c r="U30" s="1327"/>
      <c r="V30" s="1199"/>
      <c r="W30" s="1280"/>
      <c r="X30" s="1327"/>
      <c r="Y30" s="1327"/>
      <c r="Z30" s="1328"/>
      <c r="AA30" s="1329"/>
      <c r="AB30" s="1280"/>
      <c r="AC30" s="1327"/>
      <c r="AD30" s="1327"/>
      <c r="AE30" s="1328"/>
      <c r="AF30" s="1329"/>
      <c r="AG30" s="1280"/>
      <c r="AH30" s="1328"/>
      <c r="AI30" s="1328"/>
      <c r="AJ30" s="1328"/>
      <c r="AK30" s="1328"/>
      <c r="AL30" s="1280"/>
      <c r="AM30" s="1328"/>
      <c r="AN30" s="1328"/>
      <c r="AO30" s="1328"/>
      <c r="AP30" s="1328"/>
      <c r="AQ30" s="1280"/>
      <c r="AR30" s="1328"/>
      <c r="AS30" s="1328"/>
      <c r="AT30" s="1328"/>
      <c r="AU30" s="1329"/>
      <c r="AV30" s="1283"/>
      <c r="AW30" s="1328"/>
      <c r="AX30" s="1328"/>
      <c r="AY30" s="1328"/>
      <c r="AZ30" s="1329"/>
      <c r="BA30" s="1283"/>
      <c r="BB30" s="1328"/>
      <c r="BC30" s="1328"/>
      <c r="BD30" s="1328"/>
      <c r="BE30" s="1329"/>
      <c r="BF30" s="1283"/>
      <c r="BG30" s="1328"/>
      <c r="BH30" s="1328"/>
      <c r="BI30" s="1328"/>
      <c r="BJ30" s="1329"/>
      <c r="BK30" s="1283"/>
      <c r="BL30" s="1277"/>
      <c r="BM30" s="1277"/>
      <c r="BN30" s="1277"/>
      <c r="BO30" s="1277"/>
      <c r="BP30" s="1277"/>
      <c r="BQ30" s="1278"/>
      <c r="BR30" s="1278"/>
      <c r="BS30" s="1278"/>
      <c r="BT30" s="1278"/>
      <c r="BU30" s="1278"/>
      <c r="BV30" s="1278"/>
      <c r="BW30" s="1278"/>
      <c r="BX30" s="1278"/>
      <c r="BY30" s="1278"/>
      <c r="BZ30" s="1278"/>
      <c r="CA30" s="1278"/>
      <c r="CB30" s="1278"/>
      <c r="CC30" s="1278"/>
      <c r="CD30" s="1278"/>
    </row>
    <row r="31" spans="1:82" x14ac:dyDescent="0.2">
      <c r="A31" s="1280" t="s">
        <v>344</v>
      </c>
      <c r="B31" s="1316">
        <v>55.195999999999998</v>
      </c>
      <c r="C31" s="1316">
        <v>105.627</v>
      </c>
      <c r="D31" s="1317">
        <v>33.767000000000003</v>
      </c>
      <c r="E31" s="1317">
        <v>32.954999999999998</v>
      </c>
      <c r="F31" s="1317">
        <v>36.055999999999997</v>
      </c>
      <c r="G31" s="1317">
        <v>34.587000000000003</v>
      </c>
      <c r="H31" s="1318">
        <f>SUM(D31:G31)</f>
        <v>137.36500000000001</v>
      </c>
      <c r="I31" s="1317">
        <v>32.695999999999998</v>
      </c>
      <c r="J31" s="1317">
        <v>35.643000000000001</v>
      </c>
      <c r="K31" s="1317">
        <v>34.271999999999998</v>
      </c>
      <c r="L31" s="1292">
        <v>32.091000000000001</v>
      </c>
      <c r="M31" s="1319">
        <f>SUM(I31:L31)</f>
        <v>134.702</v>
      </c>
      <c r="N31" s="1292">
        <v>34.274999999999999</v>
      </c>
      <c r="O31" s="1292">
        <v>35.298999999999999</v>
      </c>
      <c r="P31" s="1292">
        <v>37.96</v>
      </c>
      <c r="Q31" s="1292">
        <v>45.505000000000003</v>
      </c>
      <c r="R31" s="1319">
        <f>SUM(N31:Q31)</f>
        <v>153.03899999999999</v>
      </c>
      <c r="S31" s="1292">
        <v>17.282</v>
      </c>
      <c r="T31" s="1292">
        <v>19.574999999999999</v>
      </c>
      <c r="U31" s="1292">
        <v>21.379000000000001</v>
      </c>
      <c r="V31" s="1292">
        <f>+V42+V40</f>
        <v>22.888000000000002</v>
      </c>
      <c r="W31" s="1319">
        <f>SUM(S31:V31)</f>
        <v>81.124000000000009</v>
      </c>
      <c r="X31" s="1292">
        <v>21.015999999999998</v>
      </c>
      <c r="Y31" s="1292">
        <v>21.837</v>
      </c>
      <c r="Z31" s="1292">
        <v>25.257999999999999</v>
      </c>
      <c r="AA31" s="1293">
        <v>28.652000000000001</v>
      </c>
      <c r="AB31" s="1320">
        <f>SUM(X31:AA31)</f>
        <v>96.762999999999991</v>
      </c>
      <c r="AC31" s="1875">
        <v>35.17</v>
      </c>
      <c r="AD31" s="1292">
        <v>26.38</v>
      </c>
      <c r="AE31" s="1292">
        <v>27.103999999999999</v>
      </c>
      <c r="AF31" s="1293">
        <v>27.9</v>
      </c>
      <c r="AG31" s="1320">
        <f>SUM(AC31:AF31)</f>
        <v>116.554</v>
      </c>
      <c r="AH31" s="1292">
        <v>28.474</v>
      </c>
      <c r="AI31" s="1292">
        <v>30.585000000000001</v>
      </c>
      <c r="AJ31" s="1292">
        <v>33.750999999999998</v>
      </c>
      <c r="AK31" s="1292">
        <v>35.5</v>
      </c>
      <c r="AL31" s="1320">
        <f>SUM(AH31:AK31)</f>
        <v>128.31</v>
      </c>
      <c r="AM31" s="1875">
        <v>28.3</v>
      </c>
      <c r="AN31" s="1914">
        <v>29.3</v>
      </c>
      <c r="AO31" s="1939">
        <v>40.6</v>
      </c>
      <c r="AP31" s="1939">
        <v>47.3</v>
      </c>
      <c r="AQ31" s="1320">
        <f>SUM(AM31:AP31)</f>
        <v>145.5</v>
      </c>
      <c r="AR31" s="1321">
        <f>(1+AR32)*(AM31)</f>
        <v>43.25</v>
      </c>
      <c r="AS31" s="1321">
        <f>(1+AS32)*(AN31)</f>
        <v>40.550000000000004</v>
      </c>
      <c r="AT31" s="1321">
        <f>(1+AT32)*(AO31)</f>
        <v>47.951500000000003</v>
      </c>
      <c r="AU31" s="1500">
        <f>(1+AU32)*(AP31)</f>
        <v>50.55</v>
      </c>
      <c r="AV31" s="1500">
        <f>SUM(AR31:AU31)</f>
        <v>182.30150000000003</v>
      </c>
      <c r="AW31" s="1321">
        <f>(1+AW32)*(AR31)</f>
        <v>46.277500000000003</v>
      </c>
      <c r="AX31" s="1321">
        <f>(1+AX32)*(AS31)</f>
        <v>43.388500000000008</v>
      </c>
      <c r="AY31" s="1321">
        <f>(1+AY32)*(AT31)</f>
        <v>51.308105000000005</v>
      </c>
      <c r="AZ31" s="1500">
        <f>(1+AZ32)*(AU31)</f>
        <v>54.088500000000003</v>
      </c>
      <c r="BA31" s="1500">
        <f>SUM(AW31:AZ31)</f>
        <v>195.06260500000002</v>
      </c>
      <c r="BB31" s="1321">
        <f>(1+BB32)*(AW31)</f>
        <v>49.054150000000007</v>
      </c>
      <c r="BC31" s="1321">
        <f>(1+BC32)*(AX31)</f>
        <v>45.991810000000008</v>
      </c>
      <c r="BD31" s="1321">
        <f>(1+BD32)*(AY31)</f>
        <v>54.386591300000006</v>
      </c>
      <c r="BE31" s="1500">
        <f>(1+BE32)*(AZ31)</f>
        <v>57.333810000000007</v>
      </c>
      <c r="BF31" s="1500">
        <f>SUM(BB31:BE31)</f>
        <v>206.7663613</v>
      </c>
      <c r="BG31" s="1321">
        <f>(1+BG32)*(BB31)</f>
        <v>51.997399000000009</v>
      </c>
      <c r="BH31" s="1321">
        <f>(1+BH32)*(BC31)</f>
        <v>48.751318600000012</v>
      </c>
      <c r="BI31" s="1321">
        <f>(1+BI32)*(BD31)</f>
        <v>57.649786778000006</v>
      </c>
      <c r="BJ31" s="1500">
        <f>(1+BJ32)*(BE31)</f>
        <v>60.773838600000012</v>
      </c>
      <c r="BK31" s="1500">
        <f>SUM(BG31:BJ31)</f>
        <v>219.17234297800005</v>
      </c>
      <c r="BL31" s="1277"/>
      <c r="BM31" s="1277"/>
      <c r="BN31" s="1277"/>
      <c r="BO31" s="1277"/>
      <c r="BP31" s="1277"/>
      <c r="BQ31" s="1278"/>
      <c r="BR31" s="1278" t="str">
        <f t="shared" ref="BR31:BR36" si="14">A31</f>
        <v>Financial Services</v>
      </c>
      <c r="BS31" s="1321">
        <f>H31</f>
        <v>137.36500000000001</v>
      </c>
      <c r="BT31" s="1321">
        <f>M31</f>
        <v>134.702</v>
      </c>
      <c r="BU31" s="1321">
        <f>R31</f>
        <v>153.03899999999999</v>
      </c>
      <c r="BV31" s="1321">
        <f>W31</f>
        <v>81.124000000000009</v>
      </c>
      <c r="BW31" s="1321">
        <f>AB31</f>
        <v>96.762999999999991</v>
      </c>
      <c r="BX31" s="1321">
        <f>AG31</f>
        <v>116.554</v>
      </c>
      <c r="BY31" s="1321">
        <f>AL31</f>
        <v>128.31</v>
      </c>
      <c r="BZ31" s="1321">
        <f>AQ31</f>
        <v>145.5</v>
      </c>
      <c r="CA31" s="1321">
        <f>AV31</f>
        <v>182.30150000000003</v>
      </c>
      <c r="CB31" s="1321">
        <f>BA31</f>
        <v>195.06260500000002</v>
      </c>
      <c r="CC31" s="1321">
        <f>BF31</f>
        <v>206.7663613</v>
      </c>
      <c r="CD31" s="1321">
        <f>BK31</f>
        <v>219.17234297800005</v>
      </c>
    </row>
    <row r="32" spans="1:82" x14ac:dyDescent="0.2">
      <c r="A32" s="729" t="s">
        <v>209</v>
      </c>
      <c r="B32" s="1280"/>
      <c r="C32" s="1322">
        <f>C31/B31-1</f>
        <v>0.9136712805275744</v>
      </c>
      <c r="D32" s="1323">
        <v>0.443</v>
      </c>
      <c r="E32" s="1323">
        <v>0.35899999999999999</v>
      </c>
      <c r="F32" s="1323">
        <v>0.34499999999999997</v>
      </c>
      <c r="G32" s="1323">
        <v>0.11</v>
      </c>
      <c r="H32" s="1322">
        <f t="shared" ref="H32:U32" si="15">H31/C31-1</f>
        <v>0.30047241709032746</v>
      </c>
      <c r="I32" s="1230">
        <f t="shared" si="15"/>
        <v>-3.1717357183048689E-2</v>
      </c>
      <c r="J32" s="1230">
        <f t="shared" si="15"/>
        <v>8.1565771506600049E-2</v>
      </c>
      <c r="K32" s="1230">
        <f t="shared" si="15"/>
        <v>-4.9478588861770589E-2</v>
      </c>
      <c r="L32" s="1230">
        <f t="shared" si="15"/>
        <v>-7.2165842657646029E-2</v>
      </c>
      <c r="M32" s="1322">
        <f t="shared" si="15"/>
        <v>-1.9386306555527311E-2</v>
      </c>
      <c r="N32" s="1230">
        <f t="shared" si="15"/>
        <v>4.8293369219476467E-2</v>
      </c>
      <c r="O32" s="1230">
        <f t="shared" si="15"/>
        <v>-9.6512639227899211E-3</v>
      </c>
      <c r="P32" s="1230">
        <f t="shared" si="15"/>
        <v>0.10760971055088708</v>
      </c>
      <c r="Q32" s="1230">
        <f t="shared" si="15"/>
        <v>0.41799881586737708</v>
      </c>
      <c r="R32" s="1322">
        <f>R31/M31-1</f>
        <v>0.13613012427432403</v>
      </c>
      <c r="S32" s="1230">
        <f t="shared" si="15"/>
        <v>-0.49578409919766586</v>
      </c>
      <c r="T32" s="1230">
        <f t="shared" si="15"/>
        <v>-0.44545171251310234</v>
      </c>
      <c r="U32" s="1230">
        <f t="shared" si="15"/>
        <v>-0.43680189673340353</v>
      </c>
      <c r="V32" s="1230">
        <f>V31/SUM(Q40,Q42)-1</f>
        <v>0.25372480280455889</v>
      </c>
      <c r="W32" s="1322">
        <f>W31/R31-1</f>
        <v>-0.46991289801945901</v>
      </c>
      <c r="X32" s="1230">
        <f>X31/SUM(S40,S42)-1</f>
        <v>0.21606295567642619</v>
      </c>
      <c r="Y32" s="1230">
        <f>Y31/SUM(T40,T42)-1</f>
        <v>0.11555555555555563</v>
      </c>
      <c r="Z32" s="1230">
        <f>Z31/SUM(U40,U42)-1</f>
        <v>0.18143973057673413</v>
      </c>
      <c r="AA32" s="1324">
        <f>AA31/SUM(V40,V42)-1</f>
        <v>0.25183502271932889</v>
      </c>
      <c r="AB32" s="91">
        <f>AB31/(W40+W42)-1</f>
        <v>0.19277895567279701</v>
      </c>
      <c r="AC32" s="1230">
        <f>AC31/X31-1</f>
        <v>0.67348686714883921</v>
      </c>
      <c r="AD32" s="1230">
        <f>AD31/Y31-1</f>
        <v>0.20804139762787921</v>
      </c>
      <c r="AE32" s="1230">
        <f>AE31/Z31-1</f>
        <v>7.3085755008314157E-2</v>
      </c>
      <c r="AF32" s="1324">
        <f>AF31/AA31-1</f>
        <v>-2.624598631858166E-2</v>
      </c>
      <c r="AG32" s="91">
        <f>+AG31/AB31-1</f>
        <v>0.20453065737937037</v>
      </c>
      <c r="AH32" s="1230">
        <f>AH31/AC31-1</f>
        <v>-0.19038953653682122</v>
      </c>
      <c r="AI32" s="1230">
        <f>AI31/AD31-1</f>
        <v>0.15940106141015931</v>
      </c>
      <c r="AJ32" s="1230">
        <f>AJ31/AE31-1</f>
        <v>0.24524055489964569</v>
      </c>
      <c r="AK32" s="1230">
        <f>AK31/AF31-1</f>
        <v>0.2724014336917564</v>
      </c>
      <c r="AL32" s="91">
        <f>+AL31/AG31-1</f>
        <v>0.10086311924086688</v>
      </c>
      <c r="AM32" s="1230">
        <f>AM31/AH31-1</f>
        <v>-6.1108379574348337E-3</v>
      </c>
      <c r="AN32" s="1230">
        <f>AN31/AI31-1</f>
        <v>-4.2014059179336316E-2</v>
      </c>
      <c r="AO32" s="1230">
        <f>AO31/AJ31-1</f>
        <v>0.20292732067198016</v>
      </c>
      <c r="AP32" s="1230">
        <f>AP31/AK31-1</f>
        <v>0.3323943661971831</v>
      </c>
      <c r="AQ32" s="91">
        <f>+AQ31/AL31-1</f>
        <v>0.13397241056815523</v>
      </c>
      <c r="AR32" s="1230">
        <f>CHOOSE(VA!$A$3,AR33,AR34,AR35)</f>
        <v>0.5282685512367491</v>
      </c>
      <c r="AS32" s="1230">
        <f>CHOOSE(VA!$A$3,AS33,AS34,AS35)</f>
        <v>0.38395904436860068</v>
      </c>
      <c r="AT32" s="1230">
        <f>CHOOSE(VA!$A$3,AT33,AT34,AT35)</f>
        <v>0.18107142857142855</v>
      </c>
      <c r="AU32" s="1324">
        <f>CHOOSE(VA!$A$3,AU33,AU34,AU35)</f>
        <v>6.8710359408033828E-2</v>
      </c>
      <c r="AV32" s="746">
        <f>+AV31/AQ31-1</f>
        <v>0.25293127147766348</v>
      </c>
      <c r="AW32" s="1230">
        <f>CHOOSE(VA!$A$3,AW33,AW34,AW35)</f>
        <v>7.0000000000000007E-2</v>
      </c>
      <c r="AX32" s="1230">
        <f>CHOOSE(VA!$A$3,AX33,AX34,AX35)</f>
        <v>7.0000000000000007E-2</v>
      </c>
      <c r="AY32" s="1230">
        <f>CHOOSE(VA!$A$3,AY33,AY34,AY35)</f>
        <v>7.0000000000000007E-2</v>
      </c>
      <c r="AZ32" s="1324">
        <f>CHOOSE(VA!$A$3,AZ33,AZ34,AZ35)</f>
        <v>7.0000000000000007E-2</v>
      </c>
      <c r="BA32" s="746">
        <f>+BA31/AV31-1</f>
        <v>6.999999999999984E-2</v>
      </c>
      <c r="BB32" s="1230">
        <f>CHOOSE(VA!$A$3,BB33,BB34,BB35)</f>
        <v>0.06</v>
      </c>
      <c r="BC32" s="1230">
        <f>CHOOSE(VA!$A$3,BC33,BC34,BC35)</f>
        <v>0.06</v>
      </c>
      <c r="BD32" s="1230">
        <f>CHOOSE(VA!$A$3,BD33,BD34,BD35)</f>
        <v>0.06</v>
      </c>
      <c r="BE32" s="1324">
        <f>CHOOSE(VA!$A$3,BE33,BE34,BE35)</f>
        <v>0.06</v>
      </c>
      <c r="BF32" s="746">
        <f>+BF31/BA31-1</f>
        <v>5.9999999999999831E-2</v>
      </c>
      <c r="BG32" s="1230">
        <f>CHOOSE(VA!$A$3,BG33,BG34,BG35)</f>
        <v>0.06</v>
      </c>
      <c r="BH32" s="1230">
        <f>CHOOSE(VA!$A$3,BH33,BH34,BH35)</f>
        <v>0.06</v>
      </c>
      <c r="BI32" s="1230">
        <f>CHOOSE(VA!$A$3,BI33,BI34,BI35)</f>
        <v>0.06</v>
      </c>
      <c r="BJ32" s="1324">
        <f>CHOOSE(VA!$A$3,BJ33,BJ34,BJ35)</f>
        <v>0.06</v>
      </c>
      <c r="BK32" s="746">
        <f>+BK31/BF31-1</f>
        <v>6.0000000000000275E-2</v>
      </c>
      <c r="BL32" s="1277"/>
      <c r="BM32" s="1277"/>
      <c r="BN32" s="1277"/>
      <c r="BO32" s="1277"/>
      <c r="BP32" s="1277"/>
      <c r="BQ32" s="1278"/>
      <c r="BR32" s="1294" t="str">
        <f t="shared" si="14"/>
        <v>YoY Change</v>
      </c>
      <c r="BS32" s="90">
        <f>H32</f>
        <v>0.30047241709032746</v>
      </c>
      <c r="BT32" s="90">
        <f>M32</f>
        <v>-1.9386306555527311E-2</v>
      </c>
      <c r="BU32" s="90">
        <f>R32</f>
        <v>0.13613012427432403</v>
      </c>
      <c r="BV32" s="90">
        <f>W32</f>
        <v>-0.46991289801945901</v>
      </c>
      <c r="BW32" s="90">
        <f>AB32</f>
        <v>0.19277895567279701</v>
      </c>
      <c r="BX32" s="90">
        <f>AG32</f>
        <v>0.20453065737937037</v>
      </c>
      <c r="BY32" s="90">
        <f>AL32</f>
        <v>0.10086311924086688</v>
      </c>
      <c r="BZ32" s="90">
        <f>AQ32</f>
        <v>0.13397241056815523</v>
      </c>
      <c r="CA32" s="90">
        <f>AV32</f>
        <v>0.25293127147766348</v>
      </c>
      <c r="CB32" s="90">
        <f>BA32</f>
        <v>6.999999999999984E-2</v>
      </c>
      <c r="CC32" s="90">
        <f>BF32</f>
        <v>5.9999999999999831E-2</v>
      </c>
      <c r="CD32" s="90">
        <f>BK32</f>
        <v>6.0000000000000275E-2</v>
      </c>
    </row>
    <row r="33" spans="1:82" ht="12.75" hidden="1" customHeight="1" outlineLevel="1" x14ac:dyDescent="0.2">
      <c r="A33" s="748" t="s">
        <v>214</v>
      </c>
      <c r="B33" s="751"/>
      <c r="C33" s="751"/>
      <c r="D33" s="750"/>
      <c r="E33" s="750"/>
      <c r="F33" s="750"/>
      <c r="G33" s="750"/>
      <c r="H33" s="751"/>
      <c r="I33" s="750"/>
      <c r="J33" s="750"/>
      <c r="K33" s="750"/>
      <c r="L33" s="750"/>
      <c r="M33" s="752"/>
      <c r="N33" s="753"/>
      <c r="O33" s="753"/>
      <c r="P33" s="753"/>
      <c r="Q33" s="753"/>
      <c r="R33" s="752"/>
      <c r="S33" s="753"/>
      <c r="T33" s="753"/>
      <c r="U33" s="753"/>
      <c r="V33" s="753"/>
      <c r="W33" s="752"/>
      <c r="X33" s="753"/>
      <c r="Y33" s="753"/>
      <c r="Z33" s="753"/>
      <c r="AA33" s="756"/>
      <c r="AB33" s="752"/>
      <c r="AC33" s="750"/>
      <c r="AD33" s="750"/>
      <c r="AE33" s="750"/>
      <c r="AF33" s="749"/>
      <c r="AG33" s="752"/>
      <c r="AH33" s="750"/>
      <c r="AI33" s="750"/>
      <c r="AJ33" s="750"/>
      <c r="AK33" s="750"/>
      <c r="AL33" s="752"/>
      <c r="AM33" s="750"/>
      <c r="AN33" s="1954">
        <f>AN31-(AI31*(1+AN36))</f>
        <v>1.5594049999999982</v>
      </c>
      <c r="AO33" s="1954">
        <f>AO31-(AJ31*(1+AO36))</f>
        <v>7.5240200000000073</v>
      </c>
      <c r="AP33" s="1954">
        <f>AP31-(AK31*(1+AP36))</f>
        <v>11.728999999999999</v>
      </c>
      <c r="AQ33" s="752"/>
      <c r="AR33" s="750">
        <f t="shared" ref="AR33:BJ33" si="16">AR34-0.04</f>
        <v>0.48826855123674912</v>
      </c>
      <c r="AS33" s="750">
        <f t="shared" si="16"/>
        <v>0.3439590443686007</v>
      </c>
      <c r="AT33" s="750">
        <f t="shared" si="16"/>
        <v>0.14107142857142854</v>
      </c>
      <c r="AU33" s="749">
        <f t="shared" si="16"/>
        <v>2.8710359408033827E-2</v>
      </c>
      <c r="AV33" s="756"/>
      <c r="AW33" s="750">
        <f t="shared" si="16"/>
        <v>3.0000000000000006E-2</v>
      </c>
      <c r="AX33" s="750">
        <f t="shared" si="16"/>
        <v>3.0000000000000006E-2</v>
      </c>
      <c r="AY33" s="750">
        <f t="shared" si="16"/>
        <v>3.0000000000000006E-2</v>
      </c>
      <c r="AZ33" s="749">
        <f t="shared" si="16"/>
        <v>3.0000000000000006E-2</v>
      </c>
      <c r="BA33" s="756"/>
      <c r="BB33" s="750">
        <f t="shared" si="16"/>
        <v>1.9999999999999997E-2</v>
      </c>
      <c r="BC33" s="750">
        <f t="shared" si="16"/>
        <v>1.9999999999999997E-2</v>
      </c>
      <c r="BD33" s="750">
        <f t="shared" si="16"/>
        <v>1.9999999999999997E-2</v>
      </c>
      <c r="BE33" s="749">
        <f t="shared" si="16"/>
        <v>1.9999999999999997E-2</v>
      </c>
      <c r="BF33" s="756"/>
      <c r="BG33" s="750">
        <f t="shared" si="16"/>
        <v>1.9999999999999997E-2</v>
      </c>
      <c r="BH33" s="750">
        <f t="shared" si="16"/>
        <v>1.9999999999999997E-2</v>
      </c>
      <c r="BI33" s="750">
        <f t="shared" si="16"/>
        <v>1.9999999999999997E-2</v>
      </c>
      <c r="BJ33" s="749">
        <f t="shared" si="16"/>
        <v>1.9999999999999997E-2</v>
      </c>
      <c r="BK33" s="756"/>
      <c r="BL33" s="716"/>
      <c r="BM33" s="716"/>
      <c r="BN33" s="716"/>
      <c r="BO33" s="716"/>
      <c r="BP33" s="716"/>
      <c r="BQ33" s="716"/>
      <c r="BR33" s="939" t="str">
        <f t="shared" si="14"/>
        <v>BEAR</v>
      </c>
      <c r="BS33" s="750"/>
      <c r="BT33" s="750"/>
      <c r="BU33" s="750"/>
      <c r="BV33" s="750"/>
      <c r="BW33" s="750"/>
      <c r="BX33" s="750"/>
      <c r="BY33" s="750"/>
      <c r="BZ33" s="750"/>
      <c r="CA33" s="750"/>
      <c r="CB33" s="750"/>
      <c r="CC33" s="750"/>
      <c r="CD33" s="750"/>
    </row>
    <row r="34" spans="1:82" ht="12.75" hidden="1" customHeight="1" outlineLevel="1" x14ac:dyDescent="0.2">
      <c r="A34" s="748" t="s">
        <v>215</v>
      </c>
      <c r="B34" s="751"/>
      <c r="C34" s="751"/>
      <c r="D34" s="750"/>
      <c r="E34" s="750"/>
      <c r="F34" s="750"/>
      <c r="G34" s="750"/>
      <c r="H34" s="751"/>
      <c r="I34" s="750"/>
      <c r="J34" s="750"/>
      <c r="K34" s="750"/>
      <c r="L34" s="750"/>
      <c r="M34" s="752"/>
      <c r="N34" s="753"/>
      <c r="O34" s="753"/>
      <c r="P34" s="753"/>
      <c r="Q34" s="753"/>
      <c r="R34" s="752"/>
      <c r="S34" s="753"/>
      <c r="T34" s="753"/>
      <c r="U34" s="753"/>
      <c r="V34" s="753"/>
      <c r="W34" s="752"/>
      <c r="X34" s="753"/>
      <c r="Y34" s="753"/>
      <c r="Z34" s="753"/>
      <c r="AA34" s="756"/>
      <c r="AB34" s="752"/>
      <c r="AC34" s="753">
        <v>0.151</v>
      </c>
      <c r="AD34" s="750"/>
      <c r="AE34" s="750"/>
      <c r="AF34" s="749"/>
      <c r="AG34" s="752"/>
      <c r="AH34" s="753">
        <v>0.17699999999999999</v>
      </c>
      <c r="AI34" s="753"/>
      <c r="AJ34" s="753"/>
      <c r="AK34" s="753"/>
      <c r="AL34" s="752"/>
      <c r="AM34" s="753"/>
      <c r="AN34" s="753">
        <f>(AI31*(1+AN36))/(AI31-(11/4))-1</f>
        <v>-3.3915933177653956E-3</v>
      </c>
      <c r="AO34" s="753">
        <f>(AJ31*(1+AO36))/(AJ31-(11/4))-1</f>
        <v>6.6932679590980815E-2</v>
      </c>
      <c r="AP34" s="1955">
        <f>(AK31*(1+AP36))/(AK31-(11/4))-1</f>
        <v>8.6137404580152621E-2</v>
      </c>
      <c r="AQ34" s="1307">
        <f>AVERAGE(AM34:AP34)</f>
        <v>4.9892830284456013E-2</v>
      </c>
      <c r="AR34" s="1955">
        <f>AR36+11.7/AM31</f>
        <v>0.5282685512367491</v>
      </c>
      <c r="AS34" s="1955">
        <f>AS36+8/AN31</f>
        <v>0.38395904436860068</v>
      </c>
      <c r="AT34" s="1955">
        <f>AT36+8*(1.5/3)/AO31</f>
        <v>0.18107142857142855</v>
      </c>
      <c r="AU34" s="753">
        <f>AU36</f>
        <v>6.8710359408033828E-2</v>
      </c>
      <c r="AV34" s="1307">
        <f>AVERAGE(AR34:AU34)</f>
        <v>0.29050234589620305</v>
      </c>
      <c r="AW34" s="753">
        <f>AW36</f>
        <v>7.0000000000000007E-2</v>
      </c>
      <c r="AX34" s="753">
        <f>AX36</f>
        <v>7.0000000000000007E-2</v>
      </c>
      <c r="AY34" s="753">
        <f>AY36</f>
        <v>7.0000000000000007E-2</v>
      </c>
      <c r="AZ34" s="753">
        <f>AZ36</f>
        <v>7.0000000000000007E-2</v>
      </c>
      <c r="BA34" s="1307">
        <f>AVERAGE(AW34:AZ34)</f>
        <v>7.0000000000000007E-2</v>
      </c>
      <c r="BB34" s="753">
        <f>BB36</f>
        <v>0.06</v>
      </c>
      <c r="BC34" s="753">
        <f>BC36</f>
        <v>0.06</v>
      </c>
      <c r="BD34" s="753">
        <f>BD36</f>
        <v>0.06</v>
      </c>
      <c r="BE34" s="753">
        <f>BE36</f>
        <v>0.06</v>
      </c>
      <c r="BF34" s="1307">
        <f>AVERAGE(BB34:BE34)</f>
        <v>0.06</v>
      </c>
      <c r="BG34" s="753">
        <f>BG36</f>
        <v>0.06</v>
      </c>
      <c r="BH34" s="753">
        <f>BH36</f>
        <v>0.06</v>
      </c>
      <c r="BI34" s="753">
        <f>BI36</f>
        <v>0.06</v>
      </c>
      <c r="BJ34" s="753">
        <f>BJ36</f>
        <v>0.06</v>
      </c>
      <c r="BK34" s="1307">
        <f>AVERAGE(BG34:BJ34)</f>
        <v>0.06</v>
      </c>
      <c r="BL34" s="716"/>
      <c r="BM34" s="716"/>
      <c r="BN34" s="716"/>
      <c r="BO34" s="716"/>
      <c r="BP34" s="716"/>
      <c r="BQ34" s="716"/>
      <c r="BR34" s="939" t="str">
        <f t="shared" si="14"/>
        <v>BASE</v>
      </c>
      <c r="BS34" s="750"/>
      <c r="BT34" s="750"/>
      <c r="BU34" s="750"/>
      <c r="BV34" s="750"/>
      <c r="BW34" s="750"/>
      <c r="BX34" s="750"/>
      <c r="BY34" s="750"/>
      <c r="BZ34" s="750"/>
      <c r="CA34" s="750"/>
      <c r="CB34" s="750"/>
      <c r="CC34" s="750"/>
      <c r="CD34" s="750"/>
    </row>
    <row r="35" spans="1:82" ht="12.75" hidden="1" customHeight="1" outlineLevel="1" x14ac:dyDescent="0.2">
      <c r="A35" s="748" t="s">
        <v>216</v>
      </c>
      <c r="B35" s="751"/>
      <c r="C35" s="751"/>
      <c r="D35" s="750"/>
      <c r="E35" s="750"/>
      <c r="F35" s="750"/>
      <c r="G35" s="750"/>
      <c r="H35" s="751"/>
      <c r="I35" s="750"/>
      <c r="J35" s="750"/>
      <c r="K35" s="750"/>
      <c r="L35" s="750"/>
      <c r="M35" s="752"/>
      <c r="N35" s="753"/>
      <c r="O35" s="753"/>
      <c r="P35" s="753"/>
      <c r="Q35" s="753"/>
      <c r="R35" s="752"/>
      <c r="S35" s="753"/>
      <c r="T35" s="753"/>
      <c r="U35" s="753"/>
      <c r="V35" s="753"/>
      <c r="W35" s="752"/>
      <c r="X35" s="753"/>
      <c r="Y35" s="753"/>
      <c r="Z35" s="753"/>
      <c r="AA35" s="756"/>
      <c r="AB35" s="752"/>
      <c r="AC35" s="750"/>
      <c r="AD35" s="750"/>
      <c r="AE35" s="750"/>
      <c r="AF35" s="749"/>
      <c r="AG35" s="752"/>
      <c r="AH35" s="750"/>
      <c r="AI35" s="750"/>
      <c r="AJ35" s="750"/>
      <c r="AK35" s="750"/>
      <c r="AL35" s="752"/>
      <c r="AM35" s="750"/>
      <c r="AN35" s="750"/>
      <c r="AO35" s="750"/>
      <c r="AP35" s="750"/>
      <c r="AQ35" s="752"/>
      <c r="AR35" s="750">
        <f>AR34+0.04</f>
        <v>0.56826855123674913</v>
      </c>
      <c r="AS35" s="750">
        <f>AS34+0.04</f>
        <v>0.42395904436860066</v>
      </c>
      <c r="AT35" s="750">
        <f>AT34+0.04</f>
        <v>0.22107142857142856</v>
      </c>
      <c r="AU35" s="750">
        <f>AU34+0.04</f>
        <v>0.10871035940803384</v>
      </c>
      <c r="AV35" s="752"/>
      <c r="AW35" s="750">
        <f>AW34+0.04</f>
        <v>0.11000000000000001</v>
      </c>
      <c r="AX35" s="750">
        <f>AX34+0.04</f>
        <v>0.11000000000000001</v>
      </c>
      <c r="AY35" s="750">
        <f>AY34+0.04</f>
        <v>0.11000000000000001</v>
      </c>
      <c r="AZ35" s="750">
        <f>AZ34+0.04</f>
        <v>0.11000000000000001</v>
      </c>
      <c r="BA35" s="752"/>
      <c r="BB35" s="750">
        <f>BB34+0.04</f>
        <v>0.1</v>
      </c>
      <c r="BC35" s="750">
        <f>BC34+0.04</f>
        <v>0.1</v>
      </c>
      <c r="BD35" s="750">
        <f>BD34+0.04</f>
        <v>0.1</v>
      </c>
      <c r="BE35" s="750">
        <f>BE34+0.04</f>
        <v>0.1</v>
      </c>
      <c r="BF35" s="752"/>
      <c r="BG35" s="750">
        <f>BG34+0.04</f>
        <v>0.1</v>
      </c>
      <c r="BH35" s="750">
        <f>BH34+0.04</f>
        <v>0.1</v>
      </c>
      <c r="BI35" s="750">
        <f>BI34+0.04</f>
        <v>0.1</v>
      </c>
      <c r="BJ35" s="750">
        <f>BJ34+0.04</f>
        <v>0.1</v>
      </c>
      <c r="BK35" s="752"/>
      <c r="BL35" s="716"/>
      <c r="BM35" s="716"/>
      <c r="BN35" s="716"/>
      <c r="BO35" s="716"/>
      <c r="BP35" s="716"/>
      <c r="BQ35" s="716"/>
      <c r="BR35" s="939" t="str">
        <f t="shared" si="14"/>
        <v>BULL</v>
      </c>
      <c r="BS35" s="750"/>
      <c r="BT35" s="750"/>
      <c r="BU35" s="750"/>
      <c r="BV35" s="750"/>
      <c r="BW35" s="750"/>
      <c r="BX35" s="750"/>
      <c r="BY35" s="750"/>
      <c r="BZ35" s="750"/>
      <c r="CA35" s="750"/>
      <c r="CB35" s="750"/>
      <c r="CC35" s="750"/>
      <c r="CD35" s="750"/>
    </row>
    <row r="36" spans="1:82" collapsed="1" x14ac:dyDescent="0.2">
      <c r="A36" s="1330" t="s">
        <v>343</v>
      </c>
      <c r="B36" s="91"/>
      <c r="C36" s="731">
        <v>0.91400000000000003</v>
      </c>
      <c r="D36" s="716">
        <v>0.439</v>
      </c>
      <c r="E36" s="716">
        <v>0.32600000000000001</v>
      </c>
      <c r="F36" s="716">
        <v>0.31</v>
      </c>
      <c r="G36" s="716">
        <v>7.4999999999999997E-2</v>
      </c>
      <c r="H36" s="731">
        <v>0.27300000000000002</v>
      </c>
      <c r="I36" s="716">
        <v>-6.4000000000000001E-2</v>
      </c>
      <c r="J36" s="716">
        <v>8.2000000000000003E-2</v>
      </c>
      <c r="K36" s="716">
        <v>-4.9000000000000002E-2</v>
      </c>
      <c r="L36" s="716">
        <f>L32</f>
        <v>-7.2165842657646029E-2</v>
      </c>
      <c r="M36" s="1309"/>
      <c r="N36" s="716">
        <v>-4.1000000000000002E-2</v>
      </c>
      <c r="O36" s="716">
        <v>-9.9000000000000005E-2</v>
      </c>
      <c r="P36" s="716">
        <v>-0.11899999999999999</v>
      </c>
      <c r="Q36" s="716">
        <v>-0.19600000000000001</v>
      </c>
      <c r="R36" s="91">
        <v>-0.113</v>
      </c>
      <c r="S36" s="716">
        <v>-0.191</v>
      </c>
      <c r="T36" s="716">
        <v>-8.8999999999999996E-2</v>
      </c>
      <c r="U36" s="716">
        <v>-0.16600000000000001</v>
      </c>
      <c r="V36" s="716">
        <f>+V43</f>
        <v>0.27640058177787563</v>
      </c>
      <c r="W36" s="1309">
        <f>AVERAGE(S36:V36)</f>
        <v>-4.2399854555531108E-2</v>
      </c>
      <c r="X36" s="716">
        <f>X32</f>
        <v>0.21606295567642619</v>
      </c>
      <c r="Y36" s="716">
        <f>Y32</f>
        <v>0.11555555555555563</v>
      </c>
      <c r="Z36" s="716">
        <f>Z32</f>
        <v>0.18143973057673413</v>
      </c>
      <c r="AA36" s="714">
        <f>AA32</f>
        <v>0.25183502271932889</v>
      </c>
      <c r="AB36" s="731">
        <v>0.193</v>
      </c>
      <c r="AC36" s="716">
        <f>AC32</f>
        <v>0.67348686714883921</v>
      </c>
      <c r="AD36" s="716">
        <f>AD32</f>
        <v>0.20804139762787921</v>
      </c>
      <c r="AE36" s="716">
        <f>AE32</f>
        <v>7.3085755008314157E-2</v>
      </c>
      <c r="AF36" s="716">
        <v>-2.5999999999999999E-2</v>
      </c>
      <c r="AG36" s="731">
        <v>0.20499999999999999</v>
      </c>
      <c r="AH36" s="716">
        <f>AH32</f>
        <v>-0.19038953653682122</v>
      </c>
      <c r="AI36" s="716">
        <v>0.159</v>
      </c>
      <c r="AJ36" s="716">
        <f>AJ32</f>
        <v>0.24524055489964569</v>
      </c>
      <c r="AK36" s="716">
        <f>AK32</f>
        <v>0.2724014336917564</v>
      </c>
      <c r="AL36" s="91">
        <f>AL32</f>
        <v>0.10086311924086688</v>
      </c>
      <c r="AM36" s="1878">
        <v>-1E-3</v>
      </c>
      <c r="AN36" s="1913">
        <v>-9.2999999999999999E-2</v>
      </c>
      <c r="AO36" s="1938">
        <v>-0.02</v>
      </c>
      <c r="AP36" s="1938">
        <v>2E-3</v>
      </c>
      <c r="AQ36" s="91">
        <f>SUMPRODUCT(AM36:AP36,AH31:AK31)/AL31</f>
        <v>-2.70976463253059E-2</v>
      </c>
      <c r="AR36" s="1310">
        <f>13/4/AM31</f>
        <v>0.11484098939929328</v>
      </c>
      <c r="AS36" s="1310">
        <f>13/4/AN31</f>
        <v>0.11092150170648464</v>
      </c>
      <c r="AT36" s="1310">
        <f>13/4/AO31+0.0025</f>
        <v>8.2549261083743844E-2</v>
      </c>
      <c r="AU36" s="1310">
        <f t="shared" ref="AU36" si="17">13/4/AP31</f>
        <v>6.8710359408033828E-2</v>
      </c>
      <c r="AV36" s="91">
        <f>SUMPRODUCT(AR36:AU36,AM31:AP31)/AQ31</f>
        <v>9.0044673539518894E-2</v>
      </c>
      <c r="AW36" s="1310">
        <v>7.0000000000000007E-2</v>
      </c>
      <c r="AX36" s="1310">
        <v>7.0000000000000007E-2</v>
      </c>
      <c r="AY36" s="1310">
        <v>7.0000000000000007E-2</v>
      </c>
      <c r="AZ36" s="1310">
        <v>7.0000000000000007E-2</v>
      </c>
      <c r="BA36" s="91">
        <f>SUMPRODUCT(AW36:AZ36,AR31:AU31)/AV31</f>
        <v>6.9999999999999993E-2</v>
      </c>
      <c r="BB36" s="1310">
        <v>0.06</v>
      </c>
      <c r="BC36" s="1310">
        <v>0.06</v>
      </c>
      <c r="BD36" s="1310">
        <v>0.06</v>
      </c>
      <c r="BE36" s="1310">
        <v>0.06</v>
      </c>
      <c r="BF36" s="91">
        <f>SUMPRODUCT(BB36:BE36,AW31:AZ31)/BA31</f>
        <v>0.06</v>
      </c>
      <c r="BG36" s="1310">
        <v>0.06</v>
      </c>
      <c r="BH36" s="1310">
        <v>0.06</v>
      </c>
      <c r="BI36" s="1310">
        <v>0.06</v>
      </c>
      <c r="BJ36" s="1310">
        <v>0.06</v>
      </c>
      <c r="BK36" s="91">
        <f>SUMPRODUCT(BG36:BJ36,BB31:BE31)/BF31</f>
        <v>0.06</v>
      </c>
      <c r="BL36" s="716"/>
      <c r="BM36" s="716"/>
      <c r="BN36" s="716"/>
      <c r="BO36" s="716"/>
      <c r="BP36" s="716"/>
      <c r="BQ36" s="716"/>
      <c r="BR36" s="1331" t="str">
        <f t="shared" si="14"/>
        <v>Organic growth</v>
      </c>
      <c r="BS36" s="90">
        <f>H36</f>
        <v>0.27300000000000002</v>
      </c>
      <c r="BT36" s="90">
        <f>M36</f>
        <v>0</v>
      </c>
      <c r="BU36" s="90">
        <f>R36</f>
        <v>-0.113</v>
      </c>
      <c r="BV36" s="90">
        <f>W36</f>
        <v>-4.2399854555531108E-2</v>
      </c>
      <c r="BW36" s="90">
        <f>AB36</f>
        <v>0.193</v>
      </c>
      <c r="BX36" s="90">
        <f>AG36</f>
        <v>0.20499999999999999</v>
      </c>
      <c r="BY36" s="90">
        <f>AL36</f>
        <v>0.10086311924086688</v>
      </c>
      <c r="BZ36" s="90">
        <f>AQ36</f>
        <v>-2.70976463253059E-2</v>
      </c>
      <c r="CA36" s="90">
        <f>AV36</f>
        <v>9.0044673539518894E-2</v>
      </c>
      <c r="CB36" s="90">
        <f>BA36</f>
        <v>6.9999999999999993E-2</v>
      </c>
      <c r="CC36" s="90">
        <f>BF36</f>
        <v>0.06</v>
      </c>
      <c r="CD36" s="90">
        <f>BK36</f>
        <v>0.06</v>
      </c>
    </row>
    <row r="37" spans="1:82" ht="4.5" customHeight="1" x14ac:dyDescent="0.2">
      <c r="A37" s="1330"/>
      <c r="B37" s="91"/>
      <c r="C37" s="731"/>
      <c r="D37" s="716"/>
      <c r="E37" s="716"/>
      <c r="F37" s="716"/>
      <c r="G37" s="716"/>
      <c r="H37" s="731"/>
      <c r="I37" s="716"/>
      <c r="J37" s="716"/>
      <c r="K37" s="716"/>
      <c r="L37" s="716"/>
      <c r="M37" s="1309"/>
      <c r="N37" s="716"/>
      <c r="O37" s="716"/>
      <c r="P37" s="716"/>
      <c r="Q37" s="716"/>
      <c r="R37" s="91"/>
      <c r="S37" s="716"/>
      <c r="T37" s="716"/>
      <c r="U37" s="716"/>
      <c r="V37" s="1310"/>
      <c r="W37" s="1309"/>
      <c r="X37" s="716"/>
      <c r="Y37" s="716"/>
      <c r="Z37" s="1310"/>
      <c r="AA37" s="1332"/>
      <c r="AB37" s="1311"/>
      <c r="AC37" s="90"/>
      <c r="AD37" s="90"/>
      <c r="AE37" s="90"/>
      <c r="AF37" s="1310"/>
      <c r="AG37" s="1311"/>
      <c r="AH37" s="90"/>
      <c r="AI37" s="90"/>
      <c r="AJ37" s="90"/>
      <c r="AL37" s="1311"/>
      <c r="AM37" s="90"/>
      <c r="AN37" s="90"/>
      <c r="AO37" s="90"/>
      <c r="AP37" s="90"/>
      <c r="AQ37" s="1311"/>
      <c r="AR37" s="90"/>
      <c r="AS37" s="90"/>
      <c r="AT37" s="90"/>
      <c r="AU37" s="90"/>
      <c r="AV37" s="1311"/>
      <c r="AW37" s="90"/>
      <c r="AX37" s="90"/>
      <c r="AY37" s="90"/>
      <c r="AZ37" s="90"/>
      <c r="BA37" s="1311"/>
      <c r="BB37" s="90"/>
      <c r="BC37" s="90"/>
      <c r="BD37" s="90"/>
      <c r="BE37" s="90"/>
      <c r="BF37" s="1311"/>
      <c r="BG37" s="90"/>
      <c r="BH37" s="90"/>
      <c r="BI37" s="90"/>
      <c r="BJ37" s="90"/>
      <c r="BK37" s="1311"/>
      <c r="BL37" s="716"/>
      <c r="BM37" s="716"/>
      <c r="BN37" s="716"/>
      <c r="BO37" s="716"/>
      <c r="BP37" s="716"/>
      <c r="BQ37" s="716"/>
      <c r="BR37" s="1331"/>
      <c r="BS37" s="90"/>
      <c r="BT37" s="90"/>
      <c r="BU37" s="90"/>
      <c r="BV37" s="90"/>
      <c r="BW37" s="90"/>
      <c r="BX37" s="90"/>
      <c r="BY37" s="90"/>
      <c r="BZ37" s="90"/>
      <c r="CA37" s="90"/>
      <c r="CB37" s="90"/>
      <c r="CC37" s="90"/>
      <c r="CD37" s="90"/>
    </row>
    <row r="38" spans="1:82" ht="12.75" hidden="1" customHeight="1" outlineLevel="1" x14ac:dyDescent="0.2">
      <c r="A38" s="1333" t="s">
        <v>381</v>
      </c>
      <c r="B38" s="91"/>
      <c r="C38" s="731"/>
      <c r="D38" s="716"/>
      <c r="E38" s="716"/>
      <c r="F38" s="716"/>
      <c r="G38" s="716"/>
      <c r="H38" s="731"/>
      <c r="I38" s="1292">
        <f>+I31</f>
        <v>32.695999999999998</v>
      </c>
      <c r="J38" s="1292">
        <f>+J31</f>
        <v>35.643000000000001</v>
      </c>
      <c r="K38" s="1291">
        <f>+K31</f>
        <v>34.271999999999998</v>
      </c>
      <c r="L38" s="1291">
        <f>+L31</f>
        <v>32.091000000000001</v>
      </c>
      <c r="M38" s="1319">
        <f>SUM(I38:L38)</f>
        <v>134.702</v>
      </c>
      <c r="N38" s="1292">
        <f>+N31</f>
        <v>34.274999999999999</v>
      </c>
      <c r="O38" s="1292">
        <f>+O31</f>
        <v>35.298999999999999</v>
      </c>
      <c r="P38" s="1291">
        <f>+K31*(1+P36)+(P21-P17)*K16</f>
        <v>33.162504999999989</v>
      </c>
      <c r="Q38" s="1291">
        <f>+L31*(1+Q36)+(Q21-Q17)*L16</f>
        <v>28.746714000000022</v>
      </c>
      <c r="R38" s="1319">
        <f>SUM(N38:Q38)</f>
        <v>131.48321900000002</v>
      </c>
      <c r="S38" s="1291">
        <f>+N31*(1+S36)</f>
        <v>27.728474999999996</v>
      </c>
      <c r="T38" s="1291">
        <f>+O31*(1+T36)</f>
        <v>32.157389000000002</v>
      </c>
      <c r="U38" s="1291">
        <f>+P31*(1+U36)</f>
        <v>31.658639999999998</v>
      </c>
      <c r="V38" s="961">
        <v>24.9</v>
      </c>
      <c r="W38" s="1319">
        <f>SUM(S38:V38)</f>
        <v>116.44450399999999</v>
      </c>
      <c r="X38" s="1291">
        <v>1.1296597499999821</v>
      </c>
      <c r="Y38" s="1291">
        <v>1.2083528899999605</v>
      </c>
      <c r="Z38" s="1291">
        <v>0.91860004999996703</v>
      </c>
      <c r="AA38" s="1291">
        <v>0</v>
      </c>
      <c r="AB38" s="1319">
        <f>SUM(X38:AA38)</f>
        <v>3.2566126899999097</v>
      </c>
      <c r="AC38" s="147"/>
      <c r="AD38" s="147"/>
      <c r="AE38" s="147"/>
      <c r="AF38" s="961"/>
      <c r="AG38" s="1319"/>
      <c r="AH38" s="147"/>
      <c r="AI38" s="147"/>
      <c r="AJ38" s="147"/>
      <c r="AK38" s="147"/>
      <c r="AL38" s="1334"/>
      <c r="AM38" s="147"/>
      <c r="AP38" s="147"/>
      <c r="AQ38" s="1334"/>
      <c r="AR38" s="147"/>
      <c r="AS38" s="147"/>
      <c r="AT38" s="147"/>
      <c r="AU38" s="147"/>
      <c r="AV38" s="1334"/>
      <c r="AW38" s="147"/>
      <c r="AX38" s="147"/>
      <c r="AY38" s="147"/>
      <c r="AZ38" s="147"/>
      <c r="BA38" s="1334"/>
      <c r="BB38" s="147"/>
      <c r="BC38" s="147"/>
      <c r="BD38" s="147"/>
      <c r="BE38" s="147"/>
      <c r="BF38" s="1334"/>
      <c r="BG38" s="147"/>
      <c r="BH38" s="147"/>
      <c r="BI38" s="147"/>
      <c r="BJ38" s="147"/>
      <c r="BK38" s="1334"/>
      <c r="BL38" s="716"/>
      <c r="BM38" s="716"/>
      <c r="BN38" s="716"/>
      <c r="BO38" s="716"/>
      <c r="BP38" s="716"/>
      <c r="BQ38" s="716"/>
      <c r="BR38" s="1335" t="str">
        <f t="shared" ref="BR38:BR44" si="18">A38</f>
        <v>FS Mortgage</v>
      </c>
      <c r="BS38" s="1327">
        <f>H38</f>
        <v>0</v>
      </c>
      <c r="BT38" s="1327">
        <f>M38</f>
        <v>134.702</v>
      </c>
      <c r="BU38" s="1327">
        <f>R38</f>
        <v>131.48321900000002</v>
      </c>
      <c r="BV38" s="1327">
        <f>W38</f>
        <v>116.44450399999999</v>
      </c>
      <c r="BW38" s="1327">
        <f>AB38</f>
        <v>3.2566126899999097</v>
      </c>
      <c r="BX38" s="1327"/>
      <c r="BY38" s="1327"/>
      <c r="BZ38" s="1327"/>
      <c r="CA38" s="1327"/>
      <c r="CB38" s="1327"/>
      <c r="CC38" s="1327"/>
      <c r="CD38" s="1327"/>
    </row>
    <row r="39" spans="1:82" ht="12.75" hidden="1" customHeight="1" outlineLevel="1" x14ac:dyDescent="0.2">
      <c r="A39" s="729" t="s">
        <v>209</v>
      </c>
      <c r="B39" s="1336" t="s">
        <v>382</v>
      </c>
      <c r="C39" s="1336" t="s">
        <v>382</v>
      </c>
      <c r="D39" s="1337" t="s">
        <v>382</v>
      </c>
      <c r="E39" s="1337" t="s">
        <v>382</v>
      </c>
      <c r="F39" s="1337" t="s">
        <v>382</v>
      </c>
      <c r="G39" s="1337" t="s">
        <v>382</v>
      </c>
      <c r="H39" s="1336" t="s">
        <v>382</v>
      </c>
      <c r="I39" s="1337" t="s">
        <v>382</v>
      </c>
      <c r="J39" s="1337" t="s">
        <v>382</v>
      </c>
      <c r="K39" s="1337" t="s">
        <v>382</v>
      </c>
      <c r="L39" s="1337" t="s">
        <v>382</v>
      </c>
      <c r="M39" s="1336" t="s">
        <v>382</v>
      </c>
      <c r="N39" s="1338" t="s">
        <v>382</v>
      </c>
      <c r="O39" s="1338" t="s">
        <v>382</v>
      </c>
      <c r="P39" s="1339" t="s">
        <v>382</v>
      </c>
      <c r="Q39" s="1339" t="s">
        <v>382</v>
      </c>
      <c r="R39" s="1340" t="s">
        <v>382</v>
      </c>
      <c r="S39" s="1341">
        <f>+S38/N38-1</f>
        <v>-0.19100000000000006</v>
      </c>
      <c r="T39" s="1341">
        <f>+T38/O38-1</f>
        <v>-8.8999999999999968E-2</v>
      </c>
      <c r="U39" s="1341">
        <f>+U38/P38-1</f>
        <v>-4.5348353509482853E-2</v>
      </c>
      <c r="V39" s="1341">
        <f>+V38/Q38-1</f>
        <v>-0.1338140421893097</v>
      </c>
      <c r="W39" s="1342">
        <f>+W38/R38-1</f>
        <v>-0.11437744766501357</v>
      </c>
      <c r="X39" s="1341">
        <f>+X38/S40-1</f>
        <v>1.0000000000000009E-2</v>
      </c>
      <c r="Y39" s="1341">
        <v>0.01</v>
      </c>
      <c r="Z39" s="1341">
        <v>0.01</v>
      </c>
      <c r="AA39" s="1341">
        <v>0</v>
      </c>
      <c r="AB39" s="1342">
        <f>+AB38/W40-1</f>
        <v>-0.310344038848963</v>
      </c>
      <c r="AC39" s="90"/>
      <c r="AD39" s="90"/>
      <c r="AE39" s="90"/>
      <c r="AF39" s="1343"/>
      <c r="AG39" s="1344"/>
      <c r="AH39" s="90"/>
      <c r="AI39" s="90"/>
      <c r="AJ39" s="90"/>
      <c r="AK39" s="90"/>
      <c r="AL39" s="1344"/>
      <c r="AM39" s="90"/>
      <c r="AP39" s="90"/>
      <c r="AQ39" s="1344"/>
      <c r="AR39" s="90"/>
      <c r="AS39" s="90"/>
      <c r="AT39" s="90"/>
      <c r="AU39" s="90"/>
      <c r="AV39" s="1344"/>
      <c r="AW39" s="90"/>
      <c r="AX39" s="90"/>
      <c r="AY39" s="90"/>
      <c r="AZ39" s="90"/>
      <c r="BA39" s="1344"/>
      <c r="BB39" s="90"/>
      <c r="BC39" s="90"/>
      <c r="BD39" s="90"/>
      <c r="BE39" s="90"/>
      <c r="BF39" s="1344"/>
      <c r="BG39" s="90"/>
      <c r="BH39" s="90"/>
      <c r="BI39" s="90"/>
      <c r="BJ39" s="90"/>
      <c r="BK39" s="1344"/>
      <c r="BL39" s="716"/>
      <c r="BM39" s="716"/>
      <c r="BN39" s="716"/>
      <c r="BO39" s="716"/>
      <c r="BP39" s="716"/>
      <c r="BQ39" s="716"/>
      <c r="BR39" s="1294" t="str">
        <f t="shared" si="18"/>
        <v>YoY Change</v>
      </c>
      <c r="BS39" s="1345" t="str">
        <f>H39</f>
        <v>--</v>
      </c>
      <c r="BT39" s="1345" t="str">
        <f>M39</f>
        <v>--</v>
      </c>
      <c r="BU39" s="1345" t="str">
        <f>R39</f>
        <v>--</v>
      </c>
      <c r="BV39" s="1346">
        <f>W39</f>
        <v>-0.11437744766501357</v>
      </c>
      <c r="BW39" s="1346">
        <f>AB39</f>
        <v>-0.310344038848963</v>
      </c>
      <c r="BX39" s="1346"/>
      <c r="BY39" s="1346"/>
      <c r="BZ39" s="1346"/>
      <c r="CA39" s="1346"/>
      <c r="CB39" s="1346"/>
      <c r="CC39" s="1346"/>
      <c r="CD39" s="1346"/>
    </row>
    <row r="40" spans="1:82" ht="12.75" hidden="1" customHeight="1" outlineLevel="1" x14ac:dyDescent="0.2">
      <c r="A40" s="729" t="s">
        <v>383</v>
      </c>
      <c r="B40" s="91"/>
      <c r="C40" s="731"/>
      <c r="D40" s="716"/>
      <c r="E40" s="716"/>
      <c r="F40" s="716"/>
      <c r="G40" s="716"/>
      <c r="H40" s="731"/>
      <c r="I40" s="1347">
        <f>+N40</f>
        <v>1.2430000000000163</v>
      </c>
      <c r="J40" s="1347">
        <f>+O40</f>
        <v>1.1620000000000275</v>
      </c>
      <c r="K40" s="1347">
        <f>+P40</f>
        <v>1.0665050000000136</v>
      </c>
      <c r="L40" s="1347">
        <f>+L38-L41</f>
        <v>1.8514949999999217</v>
      </c>
      <c r="M40" s="1319">
        <f>SUM(I40:L40)</f>
        <v>5.3229999999999791</v>
      </c>
      <c r="N40" s="1347">
        <f>168.5-N76+N38</f>
        <v>1.2430000000000163</v>
      </c>
      <c r="O40" s="1347">
        <f>194.9-O76+O38</f>
        <v>1.1620000000000275</v>
      </c>
      <c r="P40" s="1348">
        <f>222.9-P76+P38</f>
        <v>1.0665050000000136</v>
      </c>
      <c r="Q40" s="1291">
        <f>242-Q76+Q38</f>
        <v>1.4977139999999984</v>
      </c>
      <c r="R40" s="1319">
        <f>SUM(N40:Q40)</f>
        <v>4.9692190000000558</v>
      </c>
      <c r="S40" s="1348">
        <v>1.1184749999999823</v>
      </c>
      <c r="T40" s="516">
        <v>1.1963889999999608</v>
      </c>
      <c r="U40" s="516">
        <v>0.90950499999996737</v>
      </c>
      <c r="V40" s="516">
        <f>+Q40</f>
        <v>1.4977139999999984</v>
      </c>
      <c r="W40" s="1319">
        <f>SUM(S40:V40)</f>
        <v>4.722082999999909</v>
      </c>
      <c r="X40" s="1348"/>
      <c r="Y40" s="1348"/>
      <c r="Z40" s="734"/>
      <c r="AA40" s="734"/>
      <c r="AB40" s="1349"/>
      <c r="AC40" s="1350"/>
      <c r="AD40" s="1350"/>
      <c r="AE40" s="143"/>
      <c r="AF40" s="734"/>
      <c r="AG40" s="1349"/>
      <c r="AH40" s="143"/>
      <c r="AI40" s="143"/>
      <c r="AJ40" s="143"/>
      <c r="AK40" s="143"/>
      <c r="AL40" s="1349"/>
      <c r="AM40" s="143"/>
      <c r="AP40" s="143"/>
      <c r="AQ40" s="1349"/>
      <c r="AR40" s="143"/>
      <c r="AS40" s="143"/>
      <c r="AT40" s="143"/>
      <c r="AU40" s="143"/>
      <c r="AV40" s="1349"/>
      <c r="AW40" s="143"/>
      <c r="AX40" s="143"/>
      <c r="AY40" s="143"/>
      <c r="AZ40" s="143"/>
      <c r="BA40" s="1349"/>
      <c r="BB40" s="143"/>
      <c r="BC40" s="143"/>
      <c r="BD40" s="143"/>
      <c r="BE40" s="143"/>
      <c r="BF40" s="1349"/>
      <c r="BG40" s="143"/>
      <c r="BH40" s="143"/>
      <c r="BI40" s="143"/>
      <c r="BJ40" s="143"/>
      <c r="BK40" s="1349"/>
      <c r="BL40" s="716"/>
      <c r="BM40" s="716"/>
      <c r="BN40" s="716"/>
      <c r="BO40" s="716"/>
      <c r="BP40" s="716"/>
      <c r="BQ40" s="716"/>
      <c r="BR40" s="1294" t="str">
        <f t="shared" si="18"/>
        <v>Fin Servies - Mortgage, Cont</v>
      </c>
      <c r="BS40" s="1351">
        <f>H40</f>
        <v>0</v>
      </c>
      <c r="BT40" s="1351">
        <f>M40</f>
        <v>5.3229999999999791</v>
      </c>
      <c r="BU40" s="1351">
        <f>R40</f>
        <v>4.9692190000000558</v>
      </c>
      <c r="BV40" s="1352">
        <f>W40</f>
        <v>4.722082999999909</v>
      </c>
      <c r="BW40" s="1352">
        <f>AB40</f>
        <v>0</v>
      </c>
      <c r="BX40" s="1352"/>
      <c r="BY40" s="1352"/>
      <c r="BZ40" s="1352"/>
      <c r="CA40" s="1352"/>
      <c r="CB40" s="1352"/>
      <c r="CC40" s="1352"/>
      <c r="CD40" s="1352"/>
    </row>
    <row r="41" spans="1:82" ht="12.75" hidden="1" customHeight="1" outlineLevel="2" x14ac:dyDescent="0.2">
      <c r="A41" s="729" t="s">
        <v>384</v>
      </c>
      <c r="B41" s="91"/>
      <c r="C41" s="731"/>
      <c r="D41" s="716"/>
      <c r="E41" s="716"/>
      <c r="F41" s="716"/>
      <c r="G41" s="716"/>
      <c r="H41" s="731"/>
      <c r="I41" s="1292">
        <f>+I38-I40</f>
        <v>31.452999999999982</v>
      </c>
      <c r="J41" s="1292">
        <f>+J38-J40</f>
        <v>34.480999999999973</v>
      </c>
      <c r="K41" s="1292">
        <f>+K38-K40</f>
        <v>33.205494999999985</v>
      </c>
      <c r="L41" s="1291">
        <f>+M41-SUM(I41:K41)</f>
        <v>30.239505000000079</v>
      </c>
      <c r="M41" s="1319">
        <f>M76-639.1</f>
        <v>129.37900000000002</v>
      </c>
      <c r="N41" s="1292">
        <f>+N38-N40</f>
        <v>33.031999999999982</v>
      </c>
      <c r="O41" s="1347">
        <f t="shared" ref="O41:V41" si="19">+O38-O40</f>
        <v>34.136999999999972</v>
      </c>
      <c r="P41" s="1348">
        <f t="shared" si="19"/>
        <v>32.095999999999975</v>
      </c>
      <c r="Q41" s="1291">
        <f t="shared" si="19"/>
        <v>27.249000000000024</v>
      </c>
      <c r="R41" s="1319">
        <f>SUM(N41:Q41)</f>
        <v>126.51399999999995</v>
      </c>
      <c r="S41" s="1348">
        <f t="shared" si="19"/>
        <v>26.610000000000014</v>
      </c>
      <c r="T41" s="516">
        <f t="shared" si="19"/>
        <v>30.961000000000041</v>
      </c>
      <c r="U41" s="516">
        <f t="shared" si="19"/>
        <v>30.749135000000031</v>
      </c>
      <c r="V41" s="516">
        <f t="shared" si="19"/>
        <v>23.402286</v>
      </c>
      <c r="W41" s="1319">
        <f>SUM(S41:V41)</f>
        <v>111.72242100000008</v>
      </c>
      <c r="X41" s="1348"/>
      <c r="Y41" s="1348"/>
      <c r="Z41" s="734"/>
      <c r="AA41" s="734"/>
      <c r="AB41" s="1349"/>
      <c r="AC41" s="1350"/>
      <c r="AD41" s="1350"/>
      <c r="AE41" s="143"/>
      <c r="AF41" s="734"/>
      <c r="AG41" s="1349"/>
      <c r="AH41" s="143"/>
      <c r="AI41" s="143"/>
      <c r="AJ41" s="143"/>
      <c r="AK41" s="143"/>
      <c r="AL41" s="1349"/>
      <c r="AM41" s="143"/>
      <c r="AP41" s="143"/>
      <c r="AQ41" s="1349"/>
      <c r="AR41" s="143"/>
      <c r="AS41" s="143"/>
      <c r="AT41" s="143"/>
      <c r="AU41" s="143"/>
      <c r="AV41" s="1349"/>
      <c r="AW41" s="143"/>
      <c r="AX41" s="143"/>
      <c r="AY41" s="143"/>
      <c r="AZ41" s="143"/>
      <c r="BA41" s="1349"/>
      <c r="BB41" s="143"/>
      <c r="BC41" s="143"/>
      <c r="BD41" s="143"/>
      <c r="BE41" s="143"/>
      <c r="BF41" s="1349"/>
      <c r="BG41" s="143"/>
      <c r="BH41" s="143"/>
      <c r="BI41" s="143"/>
      <c r="BJ41" s="143"/>
      <c r="BK41" s="1349"/>
      <c r="BL41" s="716"/>
      <c r="BM41" s="716"/>
      <c r="BN41" s="716"/>
      <c r="BO41" s="716"/>
      <c r="BP41" s="716"/>
      <c r="BQ41" s="716"/>
      <c r="BR41" s="1294" t="str">
        <f t="shared" si="18"/>
        <v>Fin Servies - Mortgage, Disc</v>
      </c>
      <c r="BS41" s="1351"/>
      <c r="BT41" s="1351"/>
      <c r="BU41" s="1351"/>
      <c r="BV41" s="1352"/>
      <c r="BW41" s="1352"/>
      <c r="BX41" s="1352"/>
      <c r="BY41" s="1352"/>
      <c r="BZ41" s="1352"/>
      <c r="CA41" s="1352"/>
      <c r="CB41" s="1352"/>
      <c r="CC41" s="1352"/>
      <c r="CD41" s="1352"/>
    </row>
    <row r="42" spans="1:82" ht="12.75" hidden="1" customHeight="1" outlineLevel="1" collapsed="1" x14ac:dyDescent="0.2">
      <c r="A42" s="1333" t="s">
        <v>385</v>
      </c>
      <c r="B42" s="1336" t="s">
        <v>382</v>
      </c>
      <c r="C42" s="1336" t="s">
        <v>382</v>
      </c>
      <c r="D42" s="1337" t="s">
        <v>382</v>
      </c>
      <c r="E42" s="1337" t="s">
        <v>382</v>
      </c>
      <c r="F42" s="1337" t="s">
        <v>382</v>
      </c>
      <c r="G42" s="1337" t="s">
        <v>382</v>
      </c>
      <c r="H42" s="1336" t="s">
        <v>382</v>
      </c>
      <c r="I42" s="1337" t="s">
        <v>382</v>
      </c>
      <c r="J42" s="1337" t="s">
        <v>382</v>
      </c>
      <c r="K42" s="1337" t="s">
        <v>382</v>
      </c>
      <c r="L42" s="1337" t="s">
        <v>382</v>
      </c>
      <c r="M42" s="1336" t="s">
        <v>382</v>
      </c>
      <c r="N42" s="1338" t="s">
        <v>382</v>
      </c>
      <c r="O42" s="1338" t="s">
        <v>382</v>
      </c>
      <c r="P42" s="1291">
        <f>+P31-P38</f>
        <v>4.7974950000000121</v>
      </c>
      <c r="Q42" s="1291">
        <f>+Q31-Q38</f>
        <v>16.75828599999998</v>
      </c>
      <c r="R42" s="1319">
        <f>SUM(P42:Q42)</f>
        <v>21.555780999999993</v>
      </c>
      <c r="S42" s="1291">
        <f>+S31-S40</f>
        <v>16.163525000000018</v>
      </c>
      <c r="T42" s="1291">
        <f>+T31-T40</f>
        <v>18.378611000000038</v>
      </c>
      <c r="U42" s="1291">
        <f>+U31-U40</f>
        <v>20.469495000000034</v>
      </c>
      <c r="V42" s="961">
        <f>22.888-V40</f>
        <v>21.390286000000003</v>
      </c>
      <c r="W42" s="1319">
        <f>SUM(S42:V42)</f>
        <v>76.401917000000097</v>
      </c>
      <c r="X42" s="516">
        <f>+X31-X38</f>
        <v>19.886340250000018</v>
      </c>
      <c r="Y42" s="516">
        <f>+Y31-Y38</f>
        <v>20.628647110000038</v>
      </c>
      <c r="Z42" s="516">
        <f>+Z31-Z38</f>
        <v>24.339399950000033</v>
      </c>
      <c r="AA42" s="516">
        <f>+AA31-AA38</f>
        <v>28.652000000000001</v>
      </c>
      <c r="AB42" s="1319">
        <f>SUM(X42:AA42)</f>
        <v>93.506387310000093</v>
      </c>
      <c r="AC42" s="126"/>
      <c r="AD42" s="126"/>
      <c r="AE42" s="126"/>
      <c r="AF42" s="961"/>
      <c r="AG42" s="958"/>
      <c r="AH42" s="126"/>
      <c r="AI42" s="126"/>
      <c r="AJ42" s="126"/>
      <c r="AK42" s="126"/>
      <c r="AL42" s="958"/>
      <c r="AM42" s="126"/>
      <c r="AP42" s="126"/>
      <c r="AQ42" s="958"/>
      <c r="AR42" s="126"/>
      <c r="AS42" s="126"/>
      <c r="AT42" s="126"/>
      <c r="AU42" s="126"/>
      <c r="AV42" s="958"/>
      <c r="AW42" s="126"/>
      <c r="AX42" s="126"/>
      <c r="AY42" s="126"/>
      <c r="AZ42" s="126"/>
      <c r="BA42" s="958"/>
      <c r="BB42" s="126"/>
      <c r="BC42" s="126"/>
      <c r="BD42" s="126"/>
      <c r="BE42" s="126"/>
      <c r="BF42" s="958"/>
      <c r="BG42" s="126"/>
      <c r="BH42" s="126"/>
      <c r="BI42" s="126"/>
      <c r="BJ42" s="126"/>
      <c r="BK42" s="958"/>
      <c r="BL42" s="716"/>
      <c r="BM42" s="716"/>
      <c r="BN42" s="716"/>
      <c r="BO42" s="716"/>
      <c r="BP42" s="716"/>
      <c r="BQ42" s="716"/>
      <c r="BR42" s="1335" t="str">
        <f t="shared" si="18"/>
        <v>FS Argus</v>
      </c>
      <c r="BS42" s="1353" t="str">
        <f>H42</f>
        <v>--</v>
      </c>
      <c r="BT42" s="1353" t="str">
        <f>M42</f>
        <v>--</v>
      </c>
      <c r="BU42" s="1353">
        <f>R42</f>
        <v>21.555780999999993</v>
      </c>
      <c r="BV42" s="147">
        <f>W42</f>
        <v>76.401917000000097</v>
      </c>
      <c r="BW42" s="147">
        <f>AB42</f>
        <v>93.506387310000093</v>
      </c>
      <c r="BX42" s="147"/>
      <c r="BY42" s="147"/>
      <c r="BZ42" s="147"/>
      <c r="CA42" s="147"/>
      <c r="CB42" s="147"/>
      <c r="CC42" s="147"/>
      <c r="CD42" s="147"/>
    </row>
    <row r="43" spans="1:82" ht="12.75" hidden="1" customHeight="1" outlineLevel="1" x14ac:dyDescent="0.2">
      <c r="A43" s="729" t="s">
        <v>209</v>
      </c>
      <c r="B43" s="1354" t="s">
        <v>382</v>
      </c>
      <c r="C43" s="1354" t="s">
        <v>382</v>
      </c>
      <c r="D43" s="1213" t="s">
        <v>382</v>
      </c>
      <c r="E43" s="1213" t="s">
        <v>382</v>
      </c>
      <c r="F43" s="1213" t="s">
        <v>382</v>
      </c>
      <c r="G43" s="1213" t="s">
        <v>382</v>
      </c>
      <c r="H43" s="1354" t="s">
        <v>382</v>
      </c>
      <c r="I43" s="1213" t="s">
        <v>382</v>
      </c>
      <c r="J43" s="1213" t="s">
        <v>382</v>
      </c>
      <c r="K43" s="1213" t="s">
        <v>382</v>
      </c>
      <c r="L43" s="1213" t="s">
        <v>382</v>
      </c>
      <c r="M43" s="1354" t="s">
        <v>382</v>
      </c>
      <c r="N43" s="1338" t="s">
        <v>382</v>
      </c>
      <c r="O43" s="1338" t="s">
        <v>382</v>
      </c>
      <c r="P43" s="1339" t="s">
        <v>382</v>
      </c>
      <c r="Q43" s="1339" t="s">
        <v>382</v>
      </c>
      <c r="R43" s="1340" t="s">
        <v>382</v>
      </c>
      <c r="S43" s="1355" t="s">
        <v>382</v>
      </c>
      <c r="T43" s="1356" t="s">
        <v>382</v>
      </c>
      <c r="U43" s="1355" t="s">
        <v>386</v>
      </c>
      <c r="V43" s="1346">
        <f>+V42/Q42-1</f>
        <v>0.27640058177787563</v>
      </c>
      <c r="W43" s="1357" t="s">
        <v>386</v>
      </c>
      <c r="X43" s="1355">
        <f>+X42/S42-1</f>
        <v>0.23032199040741408</v>
      </c>
      <c r="Y43" s="1355">
        <f>+Y42/T42-1</f>
        <v>0.12242688579675565</v>
      </c>
      <c r="Z43" s="1355">
        <f>+Z42/U42-1</f>
        <v>0.18905717752196582</v>
      </c>
      <c r="AA43" s="1355">
        <f>+AA42/V42-1</f>
        <v>0.33948653140963136</v>
      </c>
      <c r="AB43" s="1357">
        <f>+AB42/W42-1</f>
        <v>0.22387488405559219</v>
      </c>
      <c r="AC43" s="1358"/>
      <c r="AD43" s="1358"/>
      <c r="AE43" s="1358"/>
      <c r="AF43" s="1343"/>
      <c r="AG43" s="1344"/>
      <c r="AH43" s="1358"/>
      <c r="AI43" s="1358"/>
      <c r="AJ43" s="1358"/>
      <c r="AK43" s="1358"/>
      <c r="AL43" s="1344"/>
      <c r="AM43" s="1358"/>
      <c r="AN43" s="1358"/>
      <c r="AO43" s="1358"/>
      <c r="AP43" s="1358"/>
      <c r="AQ43" s="1344"/>
      <c r="AR43" s="1358"/>
      <c r="AS43" s="1358"/>
      <c r="AT43" s="1358"/>
      <c r="AU43" s="1358"/>
      <c r="AV43" s="1344"/>
      <c r="AW43" s="1358"/>
      <c r="AX43" s="1358"/>
      <c r="AY43" s="1358"/>
      <c r="AZ43" s="1358"/>
      <c r="BA43" s="1344"/>
      <c r="BB43" s="1358"/>
      <c r="BC43" s="1358"/>
      <c r="BD43" s="1358"/>
      <c r="BE43" s="1358"/>
      <c r="BF43" s="1344"/>
      <c r="BG43" s="1358"/>
      <c r="BH43" s="1358"/>
      <c r="BI43" s="1358"/>
      <c r="BJ43" s="1358"/>
      <c r="BK43" s="1344"/>
      <c r="BL43" s="1277"/>
      <c r="BM43" s="1277"/>
      <c r="BN43" s="1277"/>
      <c r="BO43" s="1277"/>
      <c r="BP43" s="1277"/>
      <c r="BQ43" s="1278"/>
      <c r="BR43" s="1294" t="str">
        <f t="shared" si="18"/>
        <v>YoY Change</v>
      </c>
      <c r="BS43" s="1345" t="str">
        <f>H43</f>
        <v>--</v>
      </c>
      <c r="BT43" s="1345" t="str">
        <f>M43</f>
        <v>--</v>
      </c>
      <c r="BU43" s="1345" t="str">
        <f>R43</f>
        <v>--</v>
      </c>
      <c r="BV43" s="1345" t="str">
        <f>W43</f>
        <v>NM</v>
      </c>
      <c r="BW43" s="1346">
        <f>AB43</f>
        <v>0.22387488405559219</v>
      </c>
      <c r="BX43" s="1346"/>
      <c r="BY43" s="1346"/>
      <c r="BZ43" s="1346"/>
      <c r="CA43" s="1346"/>
      <c r="CB43" s="1346"/>
      <c r="CC43" s="1346"/>
      <c r="CD43" s="1346"/>
    </row>
    <row r="44" spans="1:82" ht="12.75" hidden="1" customHeight="1" outlineLevel="1" x14ac:dyDescent="0.2">
      <c r="A44" s="1333" t="s">
        <v>387</v>
      </c>
      <c r="B44" s="1354" t="s">
        <v>382</v>
      </c>
      <c r="C44" s="1354" t="s">
        <v>382</v>
      </c>
      <c r="D44" s="1213" t="s">
        <v>382</v>
      </c>
      <c r="E44" s="1213" t="s">
        <v>382</v>
      </c>
      <c r="F44" s="1213" t="s">
        <v>382</v>
      </c>
      <c r="G44" s="1213" t="s">
        <v>382</v>
      </c>
      <c r="H44" s="1354" t="s">
        <v>382</v>
      </c>
      <c r="I44" s="1213" t="s">
        <v>382</v>
      </c>
      <c r="J44" s="1213" t="s">
        <v>382</v>
      </c>
      <c r="K44" s="1213" t="s">
        <v>382</v>
      </c>
      <c r="L44" s="1213" t="s">
        <v>382</v>
      </c>
      <c r="M44" s="1354" t="s">
        <v>382</v>
      </c>
      <c r="N44" s="1338" t="s">
        <v>382</v>
      </c>
      <c r="O44" s="1338" t="s">
        <v>382</v>
      </c>
      <c r="P44" s="1346">
        <f t="shared" ref="P44:AB44" si="20">+P42/P31</f>
        <v>0.12638290305584857</v>
      </c>
      <c r="Q44" s="1346">
        <f t="shared" si="20"/>
        <v>0.36827350840566925</v>
      </c>
      <c r="R44" s="1359">
        <f t="shared" si="20"/>
        <v>0.14085155417900008</v>
      </c>
      <c r="S44" s="1346">
        <f t="shared" si="20"/>
        <v>0.93528092813331898</v>
      </c>
      <c r="T44" s="1346">
        <f t="shared" si="20"/>
        <v>0.93888178799489341</v>
      </c>
      <c r="U44" s="1346">
        <f t="shared" si="20"/>
        <v>0.95745801955189824</v>
      </c>
      <c r="V44" s="1346">
        <f t="shared" si="20"/>
        <v>0.93456335197483409</v>
      </c>
      <c r="W44" s="1322">
        <f t="shared" si="20"/>
        <v>0.94179178788028317</v>
      </c>
      <c r="X44" s="1346">
        <f t="shared" si="20"/>
        <v>0.94624763275599633</v>
      </c>
      <c r="Y44" s="1346">
        <f t="shared" si="20"/>
        <v>0.94466488574438057</v>
      </c>
      <c r="Z44" s="1346">
        <f>+Z42/Z31</f>
        <v>0.96363132274922925</v>
      </c>
      <c r="AA44" s="1346">
        <f t="shared" si="20"/>
        <v>1</v>
      </c>
      <c r="AB44" s="1322">
        <f t="shared" si="20"/>
        <v>0.96634444271054121</v>
      </c>
      <c r="AC44" s="1346"/>
      <c r="AD44" s="1346"/>
      <c r="AE44" s="1346"/>
      <c r="AF44" s="1346"/>
      <c r="AG44" s="1281"/>
      <c r="AH44" s="1346"/>
      <c r="AI44" s="1346"/>
      <c r="AJ44" s="1346"/>
      <c r="AK44" s="1346"/>
      <c r="AL44" s="1281"/>
      <c r="AM44" s="1346"/>
      <c r="AN44" s="1346"/>
      <c r="AO44" s="1346"/>
      <c r="AP44" s="1346"/>
      <c r="AQ44" s="1281"/>
      <c r="AR44" s="1346"/>
      <c r="AS44" s="1346"/>
      <c r="AT44" s="1346"/>
      <c r="AU44" s="1346"/>
      <c r="AV44" s="1281"/>
      <c r="AW44" s="1346"/>
      <c r="AX44" s="1346"/>
      <c r="AY44" s="1346"/>
      <c r="AZ44" s="1346"/>
      <c r="BA44" s="1281"/>
      <c r="BB44" s="1346"/>
      <c r="BC44" s="1346"/>
      <c r="BD44" s="1346"/>
      <c r="BE44" s="1346"/>
      <c r="BF44" s="1281"/>
      <c r="BG44" s="1346"/>
      <c r="BH44" s="1346"/>
      <c r="BI44" s="1346"/>
      <c r="BJ44" s="1346"/>
      <c r="BK44" s="1281"/>
      <c r="BL44" s="1277"/>
      <c r="BM44" s="1277"/>
      <c r="BN44" s="1277"/>
      <c r="BO44" s="1277"/>
      <c r="BP44" s="1277"/>
      <c r="BQ44" s="1278"/>
      <c r="BR44" s="1335" t="str">
        <f t="shared" si="18"/>
        <v xml:space="preserve">Argus Mix </v>
      </c>
      <c r="BS44" s="1345" t="str">
        <f>H44</f>
        <v>--</v>
      </c>
      <c r="BT44" s="1345" t="str">
        <f>M44</f>
        <v>--</v>
      </c>
      <c r="BU44" s="1345">
        <f>R44</f>
        <v>0.14085155417900008</v>
      </c>
      <c r="BV44" s="1346">
        <f>W44</f>
        <v>0.94179178788028317</v>
      </c>
      <c r="BW44" s="1346">
        <f>AB44</f>
        <v>0.96634444271054121</v>
      </c>
      <c r="BX44" s="1346"/>
      <c r="BY44" s="1346"/>
      <c r="BZ44" s="1346"/>
      <c r="CA44" s="1346"/>
      <c r="CB44" s="1346"/>
      <c r="CC44" s="1346"/>
      <c r="CD44" s="1346"/>
    </row>
    <row r="45" spans="1:82" ht="6" hidden="1" customHeight="1" outlineLevel="1" x14ac:dyDescent="0.2">
      <c r="A45" s="729"/>
      <c r="B45" s="1280"/>
      <c r="C45" s="1280"/>
      <c r="D45" s="1278"/>
      <c r="E45" s="1278"/>
      <c r="F45" s="1278"/>
      <c r="G45" s="1278"/>
      <c r="H45" s="1280"/>
      <c r="I45" s="1278"/>
      <c r="J45" s="1278"/>
      <c r="K45" s="1278"/>
      <c r="L45" s="1278"/>
      <c r="M45" s="1280"/>
      <c r="N45" s="1327"/>
      <c r="O45" s="1327"/>
      <c r="P45" s="1327"/>
      <c r="Q45" s="1230"/>
      <c r="R45" s="1359"/>
      <c r="S45" s="1327"/>
      <c r="T45" s="1327"/>
      <c r="U45" s="1327"/>
      <c r="V45" s="1230"/>
      <c r="W45" s="1322"/>
      <c r="X45" s="1327"/>
      <c r="Y45" s="1327"/>
      <c r="Z45" s="1328"/>
      <c r="AA45" s="1328"/>
      <c r="AB45" s="1318"/>
      <c r="AC45" s="1327"/>
      <c r="AD45" s="1327"/>
      <c r="AE45" s="1328"/>
      <c r="AF45" s="1361"/>
      <c r="AG45" s="1318"/>
      <c r="AH45" s="1328"/>
      <c r="AI45" s="1328"/>
      <c r="AJ45" s="1328"/>
      <c r="AK45" s="1328"/>
      <c r="AL45" s="1318"/>
      <c r="AM45" s="1328"/>
      <c r="AN45" s="1328"/>
      <c r="AO45" s="1328"/>
      <c r="AP45" s="1328"/>
      <c r="AQ45" s="1318"/>
      <c r="AR45" s="1328"/>
      <c r="AS45" s="1328"/>
      <c r="AT45" s="1328"/>
      <c r="AU45" s="1328"/>
      <c r="AV45" s="1318"/>
      <c r="AW45" s="1328"/>
      <c r="AX45" s="1328"/>
      <c r="AY45" s="1328"/>
      <c r="AZ45" s="1328"/>
      <c r="BA45" s="1318"/>
      <c r="BB45" s="1328"/>
      <c r="BC45" s="1328"/>
      <c r="BD45" s="1328"/>
      <c r="BE45" s="1328"/>
      <c r="BF45" s="1318"/>
      <c r="BG45" s="1328"/>
      <c r="BH45" s="1328"/>
      <c r="BI45" s="1328"/>
      <c r="BJ45" s="1328"/>
      <c r="BK45" s="1318"/>
      <c r="BL45" s="1277"/>
      <c r="BM45" s="1277"/>
      <c r="BN45" s="1277"/>
      <c r="BO45" s="1277"/>
      <c r="BP45" s="1277"/>
      <c r="BQ45" s="1278"/>
      <c r="BR45" s="1294"/>
      <c r="BS45" s="1199"/>
      <c r="BT45" s="1199"/>
      <c r="BU45" s="1199"/>
      <c r="BV45" s="1199"/>
      <c r="BW45" s="1199"/>
      <c r="BX45" s="1199"/>
      <c r="BY45" s="1199"/>
      <c r="BZ45" s="1199"/>
      <c r="CA45" s="1199"/>
      <c r="CB45" s="1199"/>
      <c r="CC45" s="1199"/>
      <c r="CD45" s="1199"/>
    </row>
    <row r="46" spans="1:82" ht="12.75" hidden="1" customHeight="1" outlineLevel="1" collapsed="1" x14ac:dyDescent="0.2">
      <c r="A46" s="1280" t="s">
        <v>345</v>
      </c>
      <c r="B46" s="1316">
        <v>21.503</v>
      </c>
      <c r="C46" s="1316">
        <v>50.064</v>
      </c>
      <c r="D46" s="1317">
        <v>14.294</v>
      </c>
      <c r="E46" s="1317">
        <v>15.037000000000001</v>
      </c>
      <c r="F46" s="1317">
        <v>14.388999999999999</v>
      </c>
      <c r="G46" s="1317">
        <v>14.252000000000001</v>
      </c>
      <c r="H46" s="1318">
        <f>SUM(D46:G46)</f>
        <v>57.972000000000001</v>
      </c>
      <c r="I46" s="1317">
        <v>15.617000000000001</v>
      </c>
      <c r="J46" s="1317">
        <v>19.321999999999999</v>
      </c>
      <c r="K46" s="1317">
        <v>30.277000000000001</v>
      </c>
      <c r="L46" s="1292">
        <v>38.506</v>
      </c>
      <c r="M46" s="1319">
        <f>SUM(I46:L46)</f>
        <v>103.72200000000001</v>
      </c>
      <c r="N46" s="1292">
        <v>30.448</v>
      </c>
      <c r="O46" s="1292">
        <v>50.381</v>
      </c>
      <c r="P46" s="1292">
        <v>69.323999999999998</v>
      </c>
      <c r="Q46" s="1321">
        <v>72.802000000000007</v>
      </c>
      <c r="R46" s="1319">
        <f>SUM(N46:Q46)</f>
        <v>222.95500000000004</v>
      </c>
      <c r="S46" s="1292">
        <v>59.048999999999999</v>
      </c>
      <c r="T46" s="1292">
        <v>61.087000000000003</v>
      </c>
      <c r="U46" s="1292">
        <v>73.611999999999995</v>
      </c>
      <c r="V46" s="1292">
        <v>77.790000000000006</v>
      </c>
      <c r="W46" s="1319">
        <f>SUM(S46:V46)</f>
        <v>271.53800000000001</v>
      </c>
      <c r="X46" s="1292">
        <v>63.896000000000001</v>
      </c>
      <c r="Y46" s="1292">
        <v>65.091999999999999</v>
      </c>
      <c r="Z46" s="1292">
        <v>91.9</v>
      </c>
      <c r="AA46" s="1292">
        <v>94.74</v>
      </c>
      <c r="AB46" s="1319">
        <f>SUM(X46:AA46)</f>
        <v>315.62799999999999</v>
      </c>
      <c r="AC46" s="1362">
        <f t="shared" ref="AC46:AH46" si="21">AC53</f>
        <v>75.103999999999999</v>
      </c>
      <c r="AD46" s="1363">
        <f t="shared" si="21"/>
        <v>69.051000000000002</v>
      </c>
      <c r="AE46" s="1363">
        <f t="shared" si="21"/>
        <v>79.992999999999995</v>
      </c>
      <c r="AF46" s="1364">
        <f t="shared" si="21"/>
        <v>83.2</v>
      </c>
      <c r="AG46" s="1365">
        <f t="shared" si="21"/>
        <v>307.34800000000001</v>
      </c>
      <c r="AH46" s="1363">
        <f t="shared" si="21"/>
        <v>69.150999999999996</v>
      </c>
      <c r="AI46" s="1363"/>
      <c r="AJ46" s="1363"/>
      <c r="AK46" s="1363"/>
      <c r="AL46" s="1365"/>
      <c r="AM46" s="1363"/>
      <c r="AN46" s="1363"/>
      <c r="AO46" s="1363"/>
      <c r="AP46" s="1363"/>
      <c r="AQ46" s="1365"/>
      <c r="AR46" s="1363"/>
      <c r="AS46" s="1363"/>
      <c r="AT46" s="1363"/>
      <c r="AU46" s="1363"/>
      <c r="AV46" s="1365"/>
      <c r="AW46" s="1363"/>
      <c r="AX46" s="1363"/>
      <c r="AY46" s="1363"/>
      <c r="AZ46" s="1363"/>
      <c r="BA46" s="1365"/>
      <c r="BB46" s="1363"/>
      <c r="BC46" s="1363"/>
      <c r="BD46" s="1363"/>
      <c r="BE46" s="1363"/>
      <c r="BF46" s="1365"/>
      <c r="BG46" s="1363"/>
      <c r="BH46" s="1363"/>
      <c r="BI46" s="1363"/>
      <c r="BJ46" s="1363"/>
      <c r="BK46" s="1365"/>
      <c r="BL46" s="1277"/>
      <c r="BM46" s="1277"/>
      <c r="BN46" s="1277"/>
      <c r="BO46" s="1277"/>
      <c r="BP46" s="1277"/>
      <c r="BQ46" s="1278"/>
      <c r="BR46" s="1278" t="str">
        <f t="shared" ref="BR46:BR58" si="22">A46</f>
        <v>Healthcare</v>
      </c>
      <c r="BS46" s="1321">
        <f>H46</f>
        <v>57.972000000000001</v>
      </c>
      <c r="BT46" s="1321">
        <f>M46</f>
        <v>103.72200000000001</v>
      </c>
      <c r="BU46" s="1321">
        <f>R46</f>
        <v>222.95500000000004</v>
      </c>
      <c r="BV46" s="1321">
        <f>W46</f>
        <v>271.53800000000001</v>
      </c>
      <c r="BW46" s="1321">
        <f>AB46</f>
        <v>315.62799999999999</v>
      </c>
      <c r="BX46" s="1321">
        <f>AG46</f>
        <v>307.34800000000001</v>
      </c>
      <c r="BY46" s="1321">
        <f>AL46</f>
        <v>0</v>
      </c>
      <c r="BZ46" s="1321">
        <f>AQ46</f>
        <v>0</v>
      </c>
      <c r="CA46" s="1321">
        <f>AV46</f>
        <v>0</v>
      </c>
      <c r="CB46" s="1321">
        <f>BA46</f>
        <v>0</v>
      </c>
      <c r="CC46" s="1321">
        <f>BF46</f>
        <v>0</v>
      </c>
      <c r="CD46" s="1321">
        <f>BK46</f>
        <v>0</v>
      </c>
    </row>
    <row r="47" spans="1:82" ht="12.75" hidden="1" customHeight="1" outlineLevel="1" x14ac:dyDescent="0.2">
      <c r="A47" s="729" t="s">
        <v>209</v>
      </c>
      <c r="B47" s="1280"/>
      <c r="C47" s="1322">
        <f>C46/B46-1</f>
        <v>1.3282332697763102</v>
      </c>
      <c r="D47" s="1323">
        <v>0.42799999999999999</v>
      </c>
      <c r="E47" s="1323">
        <v>4.7E-2</v>
      </c>
      <c r="F47" s="1323">
        <v>0.158</v>
      </c>
      <c r="G47" s="1323">
        <v>7.3999999999999996E-2</v>
      </c>
      <c r="H47" s="1322">
        <f t="shared" ref="H47:AH47" si="23">H46/C46-1</f>
        <v>0.1579578139980824</v>
      </c>
      <c r="I47" s="1230">
        <f t="shared" si="23"/>
        <v>9.255631733594516E-2</v>
      </c>
      <c r="J47" s="1230">
        <f t="shared" si="23"/>
        <v>0.28496375606836466</v>
      </c>
      <c r="K47" s="1230">
        <f t="shared" si="23"/>
        <v>1.1041768017235389</v>
      </c>
      <c r="L47" s="1230">
        <f t="shared" si="23"/>
        <v>1.7017962391243335</v>
      </c>
      <c r="M47" s="1322">
        <f t="shared" si="23"/>
        <v>0.78917408404057143</v>
      </c>
      <c r="N47" s="1230">
        <f t="shared" si="23"/>
        <v>0.94967023115835292</v>
      </c>
      <c r="O47" s="1230">
        <f t="shared" si="23"/>
        <v>1.6074422937584103</v>
      </c>
      <c r="P47" s="1230">
        <f t="shared" si="23"/>
        <v>1.2896588169237373</v>
      </c>
      <c r="Q47" s="1230">
        <f t="shared" si="23"/>
        <v>0.89066638965356071</v>
      </c>
      <c r="R47" s="1322">
        <f>R46/M46-1</f>
        <v>1.1495439733132797</v>
      </c>
      <c r="S47" s="1230">
        <f t="shared" si="23"/>
        <v>0.93933920126116655</v>
      </c>
      <c r="T47" s="1230">
        <f t="shared" si="23"/>
        <v>0.21250074432821897</v>
      </c>
      <c r="U47" s="1230">
        <f t="shared" si="23"/>
        <v>6.1854480410824531E-2</v>
      </c>
      <c r="V47" s="1230">
        <f t="shared" si="23"/>
        <v>6.8514601247218421E-2</v>
      </c>
      <c r="W47" s="1322">
        <f>W46/R46-1</f>
        <v>0.21790495839967683</v>
      </c>
      <c r="X47" s="1230">
        <f t="shared" si="23"/>
        <v>8.2084370607461654E-2</v>
      </c>
      <c r="Y47" s="1230">
        <f t="shared" si="23"/>
        <v>6.5562230916561548E-2</v>
      </c>
      <c r="Z47" s="1230">
        <f t="shared" si="23"/>
        <v>0.24843775471390561</v>
      </c>
      <c r="AA47" s="1230">
        <f t="shared" si="23"/>
        <v>0.21789433089085986</v>
      </c>
      <c r="AB47" s="1322">
        <f t="shared" si="23"/>
        <v>0.16237138080121372</v>
      </c>
      <c r="AC47" s="1366">
        <f t="shared" si="23"/>
        <v>0.17541004131714022</v>
      </c>
      <c r="AD47" s="1367">
        <f t="shared" si="23"/>
        <v>6.0821606341793233E-2</v>
      </c>
      <c r="AE47" s="1367">
        <f t="shared" si="23"/>
        <v>-0.12956474428726883</v>
      </c>
      <c r="AF47" s="1367">
        <f t="shared" si="23"/>
        <v>-0.12180705087608179</v>
      </c>
      <c r="AG47" s="1368">
        <f t="shared" si="23"/>
        <v>-2.6233414019035006E-2</v>
      </c>
      <c r="AH47" s="1367">
        <f t="shared" si="23"/>
        <v>-7.9263421389007327E-2</v>
      </c>
      <c r="AI47" s="1367"/>
      <c r="AJ47" s="1367"/>
      <c r="AK47" s="1367"/>
      <c r="AL47" s="1368"/>
      <c r="AM47" s="1367"/>
      <c r="AN47" s="1367"/>
      <c r="AO47" s="1367"/>
      <c r="AP47" s="1367"/>
      <c r="AQ47" s="1368"/>
      <c r="AR47" s="1367"/>
      <c r="AS47" s="1367"/>
      <c r="AT47" s="1367"/>
      <c r="AU47" s="1367"/>
      <c r="AV47" s="1368"/>
      <c r="AW47" s="1367"/>
      <c r="AX47" s="1367"/>
      <c r="AY47" s="1367"/>
      <c r="AZ47" s="1367"/>
      <c r="BA47" s="1368"/>
      <c r="BB47" s="1367"/>
      <c r="BC47" s="1367"/>
      <c r="BD47" s="1367"/>
      <c r="BE47" s="1367"/>
      <c r="BF47" s="1368"/>
      <c r="BG47" s="1367"/>
      <c r="BH47" s="1367"/>
      <c r="BI47" s="1367"/>
      <c r="BJ47" s="1367"/>
      <c r="BK47" s="1368"/>
      <c r="BL47" s="1277"/>
      <c r="BM47" s="1277"/>
      <c r="BN47" s="1277"/>
      <c r="BO47" s="1277"/>
      <c r="BP47" s="1277"/>
      <c r="BQ47" s="1278"/>
      <c r="BR47" s="1294" t="str">
        <f t="shared" si="22"/>
        <v>YoY Change</v>
      </c>
      <c r="BS47" s="1230">
        <f>H47</f>
        <v>0.1579578139980824</v>
      </c>
      <c r="BT47" s="1230">
        <f>M47</f>
        <v>0.78917408404057143</v>
      </c>
      <c r="BU47" s="1230">
        <f>R47</f>
        <v>1.1495439733132797</v>
      </c>
      <c r="BV47" s="1230">
        <f>W47</f>
        <v>0.21790495839967683</v>
      </c>
      <c r="BW47" s="1230">
        <f>AB47</f>
        <v>0.16237138080121372</v>
      </c>
      <c r="BX47" s="1230">
        <f>AG47</f>
        <v>-2.6233414019035006E-2</v>
      </c>
      <c r="BY47" s="1230">
        <f>AL47</f>
        <v>0</v>
      </c>
      <c r="BZ47" s="1230">
        <f>AQ47</f>
        <v>0</v>
      </c>
      <c r="CA47" s="1230">
        <f>AV47</f>
        <v>0</v>
      </c>
      <c r="CB47" s="1230">
        <f>BA47</f>
        <v>0</v>
      </c>
      <c r="CC47" s="1230">
        <f>BF47</f>
        <v>0</v>
      </c>
      <c r="CD47" s="1230">
        <f>BK47</f>
        <v>0</v>
      </c>
    </row>
    <row r="48" spans="1:82" ht="12.75" hidden="1" customHeight="1" outlineLevel="2" x14ac:dyDescent="0.2">
      <c r="A48" s="748" t="s">
        <v>214</v>
      </c>
      <c r="B48" s="751"/>
      <c r="C48" s="751"/>
      <c r="D48" s="750"/>
      <c r="E48" s="750"/>
      <c r="F48" s="750"/>
      <c r="G48" s="750"/>
      <c r="H48" s="751"/>
      <c r="I48" s="750"/>
      <c r="J48" s="750"/>
      <c r="K48" s="750"/>
      <c r="L48" s="750"/>
      <c r="M48" s="751"/>
      <c r="N48" s="753"/>
      <c r="O48" s="753"/>
      <c r="P48" s="753"/>
      <c r="Q48" s="753"/>
      <c r="R48" s="752"/>
      <c r="S48" s="753"/>
      <c r="T48" s="753"/>
      <c r="U48" s="753"/>
      <c r="V48" s="753"/>
      <c r="W48" s="752"/>
      <c r="X48" s="753"/>
      <c r="Y48" s="753"/>
      <c r="Z48" s="753"/>
      <c r="AA48" s="753"/>
      <c r="AB48" s="752"/>
      <c r="AC48" s="753"/>
      <c r="AD48" s="753"/>
      <c r="AE48" s="753"/>
      <c r="AF48" s="756"/>
      <c r="AG48" s="756"/>
      <c r="AH48" s="753"/>
      <c r="AI48" s="753"/>
      <c r="AJ48" s="753"/>
      <c r="AK48" s="753"/>
      <c r="AL48" s="756"/>
      <c r="AM48" s="753"/>
      <c r="AN48" s="753"/>
      <c r="AO48" s="753"/>
      <c r="AP48" s="753"/>
      <c r="AQ48" s="756"/>
      <c r="AR48" s="753"/>
      <c r="AS48" s="753"/>
      <c r="AT48" s="753"/>
      <c r="AU48" s="753"/>
      <c r="AV48" s="756"/>
      <c r="AW48" s="753"/>
      <c r="AX48" s="753"/>
      <c r="AY48" s="753"/>
      <c r="AZ48" s="753"/>
      <c r="BA48" s="756"/>
      <c r="BB48" s="753"/>
      <c r="BC48" s="753"/>
      <c r="BD48" s="753"/>
      <c r="BE48" s="753"/>
      <c r="BF48" s="756"/>
      <c r="BG48" s="753"/>
      <c r="BH48" s="753"/>
      <c r="BI48" s="753"/>
      <c r="BJ48" s="753"/>
      <c r="BK48" s="756"/>
      <c r="BL48" s="716"/>
      <c r="BM48" s="716"/>
      <c r="BN48" s="716"/>
      <c r="BO48" s="716"/>
      <c r="BP48" s="716"/>
      <c r="BQ48" s="716"/>
      <c r="BR48" s="939" t="str">
        <f t="shared" si="22"/>
        <v>BEAR</v>
      </c>
      <c r="BS48" s="750"/>
      <c r="BT48" s="750"/>
      <c r="BU48" s="750"/>
      <c r="BV48" s="750"/>
      <c r="BW48" s="750"/>
      <c r="BX48" s="750"/>
      <c r="BY48" s="750"/>
      <c r="BZ48" s="750"/>
      <c r="CA48" s="750"/>
      <c r="CB48" s="750"/>
      <c r="CC48" s="750"/>
      <c r="CD48" s="750"/>
    </row>
    <row r="49" spans="1:82" ht="12.75" hidden="1" customHeight="1" outlineLevel="2" x14ac:dyDescent="0.2">
      <c r="A49" s="748" t="s">
        <v>215</v>
      </c>
      <c r="B49" s="751"/>
      <c r="C49" s="751"/>
      <c r="D49" s="750"/>
      <c r="E49" s="750"/>
      <c r="F49" s="750"/>
      <c r="G49" s="750"/>
      <c r="H49" s="751"/>
      <c r="I49" s="750"/>
      <c r="J49" s="750"/>
      <c r="K49" s="819"/>
      <c r="L49" s="750"/>
      <c r="M49" s="751"/>
      <c r="N49" s="753"/>
      <c r="O49" s="753"/>
      <c r="P49" s="769"/>
      <c r="Q49" s="753"/>
      <c r="R49" s="752"/>
      <c r="S49" s="753"/>
      <c r="T49" s="753"/>
      <c r="U49" s="753"/>
      <c r="V49" s="753"/>
      <c r="W49" s="752"/>
      <c r="X49" s="753"/>
      <c r="Y49" s="753"/>
      <c r="Z49" s="753"/>
      <c r="AA49" s="753"/>
      <c r="AB49" s="752"/>
      <c r="AC49" s="753"/>
      <c r="AD49" s="753"/>
      <c r="AE49" s="753"/>
      <c r="AF49" s="756"/>
      <c r="AG49" s="756"/>
      <c r="AH49" s="753"/>
      <c r="AI49" s="753"/>
      <c r="AJ49" s="753"/>
      <c r="AK49" s="753"/>
      <c r="AL49" s="756"/>
      <c r="AM49" s="753"/>
      <c r="AN49" s="753"/>
      <c r="AO49" s="753"/>
      <c r="AP49" s="753"/>
      <c r="AQ49" s="756"/>
      <c r="AR49" s="753"/>
      <c r="AS49" s="753"/>
      <c r="AT49" s="753"/>
      <c r="AU49" s="753"/>
      <c r="AV49" s="756"/>
      <c r="AW49" s="753"/>
      <c r="AX49" s="753"/>
      <c r="AY49" s="753"/>
      <c r="AZ49" s="753"/>
      <c r="BA49" s="756"/>
      <c r="BB49" s="753"/>
      <c r="BC49" s="753"/>
      <c r="BD49" s="753"/>
      <c r="BE49" s="753"/>
      <c r="BF49" s="756"/>
      <c r="BG49" s="753"/>
      <c r="BH49" s="753"/>
      <c r="BI49" s="753"/>
      <c r="BJ49" s="753"/>
      <c r="BK49" s="756"/>
      <c r="BL49" s="716"/>
      <c r="BM49" s="716"/>
      <c r="BN49" s="716"/>
      <c r="BO49" s="716"/>
      <c r="BP49" s="716"/>
      <c r="BQ49" s="716"/>
      <c r="BR49" s="939" t="str">
        <f t="shared" si="22"/>
        <v>BASE</v>
      </c>
      <c r="BS49" s="750"/>
      <c r="BT49" s="750"/>
      <c r="BU49" s="750"/>
      <c r="BV49" s="750"/>
      <c r="BW49" s="750"/>
      <c r="BX49" s="750"/>
      <c r="BY49" s="750"/>
      <c r="BZ49" s="750"/>
      <c r="CA49" s="750"/>
      <c r="CB49" s="750"/>
      <c r="CC49" s="750"/>
      <c r="CD49" s="750"/>
    </row>
    <row r="50" spans="1:82" ht="12.75" hidden="1" customHeight="1" outlineLevel="2" x14ac:dyDescent="0.2">
      <c r="A50" s="748" t="s">
        <v>216</v>
      </c>
      <c r="B50" s="751"/>
      <c r="C50" s="751"/>
      <c r="D50" s="750"/>
      <c r="E50" s="750"/>
      <c r="F50" s="750"/>
      <c r="G50" s="750"/>
      <c r="H50" s="751"/>
      <c r="I50" s="750"/>
      <c r="J50" s="750"/>
      <c r="K50" s="1369"/>
      <c r="L50" s="1369"/>
      <c r="M50" s="751"/>
      <c r="N50" s="753"/>
      <c r="O50" s="753"/>
      <c r="P50" s="753"/>
      <c r="Q50" s="753"/>
      <c r="R50" s="752"/>
      <c r="S50" s="753"/>
      <c r="T50" s="753"/>
      <c r="U50" s="753"/>
      <c r="V50" s="753"/>
      <c r="W50" s="752"/>
      <c r="X50" s="753"/>
      <c r="Y50" s="753"/>
      <c r="Z50" s="753"/>
      <c r="AA50" s="753"/>
      <c r="AB50" s="752"/>
      <c r="AC50" s="753"/>
      <c r="AD50" s="753"/>
      <c r="AE50" s="753"/>
      <c r="AF50" s="756"/>
      <c r="AG50" s="756"/>
      <c r="AH50" s="753"/>
      <c r="AI50" s="753"/>
      <c r="AJ50" s="753"/>
      <c r="AK50" s="753"/>
      <c r="AL50" s="756"/>
      <c r="AM50" s="753"/>
      <c r="AN50" s="753"/>
      <c r="AO50" s="753"/>
      <c r="AP50" s="753"/>
      <c r="AQ50" s="756"/>
      <c r="AR50" s="753"/>
      <c r="AS50" s="753"/>
      <c r="AT50" s="753"/>
      <c r="AU50" s="753"/>
      <c r="AV50" s="756"/>
      <c r="AW50" s="753"/>
      <c r="AX50" s="753"/>
      <c r="AY50" s="753"/>
      <c r="AZ50" s="753"/>
      <c r="BA50" s="756"/>
      <c r="BB50" s="753"/>
      <c r="BC50" s="753"/>
      <c r="BD50" s="753"/>
      <c r="BE50" s="753"/>
      <c r="BF50" s="756"/>
      <c r="BG50" s="753"/>
      <c r="BH50" s="753"/>
      <c r="BI50" s="753"/>
      <c r="BJ50" s="753"/>
      <c r="BK50" s="756"/>
      <c r="BL50" s="716"/>
      <c r="BM50" s="716"/>
      <c r="BN50" s="716"/>
      <c r="BO50" s="716"/>
      <c r="BP50" s="716"/>
      <c r="BQ50" s="716"/>
      <c r="BR50" s="939" t="str">
        <f t="shared" si="22"/>
        <v>BULL</v>
      </c>
      <c r="BS50" s="750"/>
      <c r="BT50" s="750"/>
      <c r="BU50" s="750"/>
      <c r="BV50" s="750"/>
      <c r="BW50" s="750"/>
      <c r="BX50" s="750"/>
      <c r="BY50" s="750"/>
      <c r="BZ50" s="750"/>
      <c r="CA50" s="750"/>
      <c r="CB50" s="750"/>
      <c r="CC50" s="750"/>
      <c r="CD50" s="750"/>
    </row>
    <row r="51" spans="1:82" ht="12.75" hidden="1" customHeight="1" outlineLevel="1" collapsed="1" x14ac:dyDescent="0.2">
      <c r="A51" s="1330" t="s">
        <v>343</v>
      </c>
      <c r="B51" s="91"/>
      <c r="C51" s="731">
        <v>0.46500000000000002</v>
      </c>
      <c r="D51" s="716">
        <v>0.32400000000000001</v>
      </c>
      <c r="E51" s="716">
        <v>-4.8000000000000001E-2</v>
      </c>
      <c r="F51" s="716">
        <v>0.08</v>
      </c>
      <c r="G51" s="716">
        <v>7.3999999999999996E-2</v>
      </c>
      <c r="H51" s="731">
        <v>9.0999999999999998E-2</v>
      </c>
      <c r="I51" s="716">
        <v>9.2999999999999999E-2</v>
      </c>
      <c r="J51" s="716">
        <v>7.4999999999999997E-2</v>
      </c>
      <c r="K51" s="716">
        <v>0.25800000000000001</v>
      </c>
      <c r="L51" s="716">
        <v>0.373</v>
      </c>
      <c r="M51" s="731">
        <v>0.19800000000000001</v>
      </c>
      <c r="N51" s="716">
        <v>0.32900000000000001</v>
      </c>
      <c r="O51" s="716">
        <v>0.36699999999999999</v>
      </c>
      <c r="P51" s="716">
        <v>0.47399999999999998</v>
      </c>
      <c r="Q51" s="716">
        <v>0.28499999999999998</v>
      </c>
      <c r="R51" s="1309">
        <f>AVERAGE(N51:Q51)</f>
        <v>0.36374999999999996</v>
      </c>
      <c r="S51" s="716">
        <v>0.39</v>
      </c>
      <c r="T51" s="716">
        <v>0.21299999999999999</v>
      </c>
      <c r="U51" s="716">
        <v>6.2E-2</v>
      </c>
      <c r="V51" s="1370">
        <f>+V47</f>
        <v>6.8514601247218421E-2</v>
      </c>
      <c r="W51" s="1371">
        <f>(SUM((N46*(1+S51))+(O46*(1+T51)+(P46*(1+U51)+(Q46*(1+V51))))))/R46-1</f>
        <v>0.1430421430333475</v>
      </c>
      <c r="X51" s="716">
        <f>+X47</f>
        <v>8.2084370607461654E-2</v>
      </c>
      <c r="Y51" s="716">
        <f>+Y47</f>
        <v>6.5562230916561548E-2</v>
      </c>
      <c r="Z51" s="716">
        <f>+Z47</f>
        <v>0.24843775471390561</v>
      </c>
      <c r="AA51" s="716">
        <f>+AA47</f>
        <v>0.21789433089085986</v>
      </c>
      <c r="AB51" s="731">
        <v>0.16200000000000001</v>
      </c>
      <c r="AC51" s="1310"/>
      <c r="AD51" s="1310"/>
      <c r="AE51" s="1310"/>
      <c r="AF51" s="1372"/>
      <c r="AG51" s="1311"/>
      <c r="AH51" s="1310"/>
      <c r="AI51" s="1310"/>
      <c r="AJ51" s="1310"/>
      <c r="AK51" s="1310"/>
      <c r="AL51" s="1311"/>
      <c r="AM51" s="1310"/>
      <c r="AN51" s="1310"/>
      <c r="AO51" s="1310"/>
      <c r="AP51" s="1310"/>
      <c r="AQ51" s="1311"/>
      <c r="AR51" s="1310"/>
      <c r="AS51" s="1310"/>
      <c r="AT51" s="1310"/>
      <c r="AU51" s="1310"/>
      <c r="AV51" s="1311"/>
      <c r="AW51" s="1310"/>
      <c r="AX51" s="1310"/>
      <c r="AY51" s="1310"/>
      <c r="AZ51" s="1310"/>
      <c r="BA51" s="1311"/>
      <c r="BB51" s="1310"/>
      <c r="BC51" s="1310"/>
      <c r="BD51" s="1310"/>
      <c r="BE51" s="1310"/>
      <c r="BF51" s="1311"/>
      <c r="BG51" s="1310"/>
      <c r="BH51" s="1310"/>
      <c r="BI51" s="1310"/>
      <c r="BJ51" s="1310"/>
      <c r="BK51" s="1311"/>
      <c r="BL51" s="716"/>
      <c r="BM51" s="716"/>
      <c r="BN51" s="716"/>
      <c r="BO51" s="716"/>
      <c r="BP51" s="716"/>
      <c r="BQ51" s="716"/>
      <c r="BR51" s="1331" t="str">
        <f t="shared" si="22"/>
        <v>Organic growth</v>
      </c>
      <c r="BS51" s="90">
        <f>H51</f>
        <v>9.0999999999999998E-2</v>
      </c>
      <c r="BT51" s="90">
        <f>M51</f>
        <v>0.19800000000000001</v>
      </c>
      <c r="BU51" s="90">
        <f>R51</f>
        <v>0.36374999999999996</v>
      </c>
      <c r="BV51" s="90">
        <f>W51</f>
        <v>0.1430421430333475</v>
      </c>
      <c r="BW51" s="90">
        <f>AB51</f>
        <v>0.16200000000000001</v>
      </c>
      <c r="BX51" s="90">
        <f>AG51</f>
        <v>0</v>
      </c>
      <c r="BY51" s="90">
        <f>AL51</f>
        <v>0</v>
      </c>
      <c r="BZ51" s="90">
        <f>AQ51</f>
        <v>0</v>
      </c>
      <c r="CA51" s="90">
        <f>AV51</f>
        <v>0</v>
      </c>
      <c r="CB51" s="90">
        <f>BA51</f>
        <v>0</v>
      </c>
      <c r="CC51" s="90">
        <f>BF51</f>
        <v>0</v>
      </c>
      <c r="CD51" s="90">
        <f>BK51</f>
        <v>0</v>
      </c>
    </row>
    <row r="52" spans="1:82" collapsed="1" x14ac:dyDescent="0.2">
      <c r="A52" s="1907" t="s">
        <v>609</v>
      </c>
      <c r="B52" s="91"/>
      <c r="C52" s="731"/>
      <c r="D52" s="716"/>
      <c r="E52" s="716"/>
      <c r="F52" s="716"/>
      <c r="G52" s="716"/>
      <c r="H52" s="731"/>
      <c r="I52" s="716"/>
      <c r="J52" s="716"/>
      <c r="K52" s="716"/>
      <c r="L52" s="716"/>
      <c r="M52" s="731"/>
      <c r="N52" s="716"/>
      <c r="O52" s="716"/>
      <c r="P52" s="716"/>
      <c r="Q52" s="716"/>
      <c r="R52" s="1309"/>
      <c r="S52" s="716"/>
      <c r="T52" s="716"/>
      <c r="U52" s="716"/>
      <c r="V52" s="1370"/>
      <c r="W52" s="1371"/>
      <c r="X52" s="716"/>
      <c r="Y52" s="1328"/>
      <c r="Z52" s="1327"/>
      <c r="AA52" s="1328"/>
      <c r="AB52" s="731"/>
      <c r="AC52" s="1903">
        <f t="shared" ref="AC52:AQ52" si="24">(X31*(1+AC36)+X24*(1+AC29)+X16*(1+AC21))/SUM(X31,X24,X16)-1</f>
        <v>0.10803703669490305</v>
      </c>
      <c r="AD52" s="1904">
        <f t="shared" si="24"/>
        <v>7.9513992038500625E-2</v>
      </c>
      <c r="AE52" s="1905">
        <f t="shared" si="24"/>
        <v>7.4343858563746146E-2</v>
      </c>
      <c r="AF52" s="1904">
        <f t="shared" si="24"/>
        <v>5.4538864265530895E-2</v>
      </c>
      <c r="AG52" s="1906">
        <f t="shared" si="24"/>
        <v>7.8654683056845753E-2</v>
      </c>
      <c r="AH52" s="1903">
        <f t="shared" si="24"/>
        <v>5.5384957412218938E-2</v>
      </c>
      <c r="AI52" s="1904">
        <f t="shared" si="24"/>
        <v>6.4788467359777169E-2</v>
      </c>
      <c r="AJ52" s="1905">
        <f t="shared" si="24"/>
        <v>7.543923500081684E-2</v>
      </c>
      <c r="AK52" s="1904">
        <f t="shared" si="24"/>
        <v>7.4613877551020558E-2</v>
      </c>
      <c r="AL52" s="1906">
        <f t="shared" si="24"/>
        <v>6.7519642077394471E-2</v>
      </c>
      <c r="AM52" s="1903">
        <f t="shared" si="24"/>
        <v>3.7872629846619876E-2</v>
      </c>
      <c r="AN52" s="1904">
        <f t="shared" si="24"/>
        <v>5.1306445614162088E-2</v>
      </c>
      <c r="AO52" s="1905">
        <f t="shared" si="24"/>
        <v>8.2479177110889923E-2</v>
      </c>
      <c r="AP52" s="1904">
        <f t="shared" si="24"/>
        <v>8.2167507568113196E-2</v>
      </c>
      <c r="AQ52" s="1906">
        <f t="shared" si="24"/>
        <v>6.3711578897188925E-2</v>
      </c>
      <c r="AR52" s="1904">
        <f t="shared" ref="AR52:BK52" si="25">(AM31*(1+AR36)+AM24*(1+AR29)+AM16*(1+AR21))/SUM(AM31,AM24,AM16)-1</f>
        <v>7.1462276053494866E-2</v>
      </c>
      <c r="AS52" s="1904">
        <f t="shared" si="25"/>
        <v>6.2408573504480591E-2</v>
      </c>
      <c r="AT52" s="1904">
        <f t="shared" si="25"/>
        <v>5.8903358464701849E-2</v>
      </c>
      <c r="AU52" s="1904">
        <f t="shared" si="25"/>
        <v>5.6870178532069549E-2</v>
      </c>
      <c r="AV52" s="1906">
        <f t="shared" si="25"/>
        <v>6.2138656944607851E-2</v>
      </c>
      <c r="AW52" s="1904">
        <f t="shared" si="25"/>
        <v>6.1144406962743592E-2</v>
      </c>
      <c r="AX52" s="1904">
        <f t="shared" si="25"/>
        <v>6.2376682005634621E-2</v>
      </c>
      <c r="AY52" s="1904">
        <f t="shared" si="25"/>
        <v>6.2615884742880601E-2</v>
      </c>
      <c r="AZ52" s="1904">
        <f t="shared" si="25"/>
        <v>6.3863133000487959E-2</v>
      </c>
      <c r="BA52" s="1906">
        <f t="shared" si="25"/>
        <v>6.252393180103577E-2</v>
      </c>
      <c r="BB52" s="1904">
        <f t="shared" si="25"/>
        <v>6.0264105430296588E-2</v>
      </c>
      <c r="BC52" s="1904">
        <f t="shared" si="25"/>
        <v>6.0409696863919171E-2</v>
      </c>
      <c r="BD52" s="1904">
        <f t="shared" si="25"/>
        <v>6.0519908092929509E-2</v>
      </c>
      <c r="BE52" s="1904">
        <f t="shared" si="25"/>
        <v>6.0562497978434715E-2</v>
      </c>
      <c r="BF52" s="1906">
        <f t="shared" si="25"/>
        <v>6.0442150125107341E-2</v>
      </c>
      <c r="BG52" s="1904">
        <f t="shared" si="25"/>
        <v>6.0349175929010457E-2</v>
      </c>
      <c r="BH52" s="1904">
        <f t="shared" si="25"/>
        <v>6.0495440181751459E-2</v>
      </c>
      <c r="BI52" s="1904">
        <f t="shared" si="25"/>
        <v>6.0604317185997125E-2</v>
      </c>
      <c r="BJ52" s="1904">
        <f t="shared" si="25"/>
        <v>6.0646491704724692E-2</v>
      </c>
      <c r="BK52" s="1906">
        <f t="shared" si="25"/>
        <v>6.0526952532055978E-2</v>
      </c>
      <c r="BL52" s="716"/>
      <c r="BM52" s="716"/>
      <c r="BN52" s="716"/>
      <c r="BO52" s="716"/>
      <c r="BP52" s="716"/>
      <c r="BQ52" s="716"/>
      <c r="BR52" s="1331" t="str">
        <f t="shared" si="22"/>
        <v>Combined Organic Growth, Insurance + Fin Svcs</v>
      </c>
      <c r="BS52" s="90"/>
      <c r="BT52" s="90"/>
      <c r="BU52" s="90"/>
      <c r="BV52" s="90"/>
      <c r="BW52" s="90"/>
      <c r="BX52" s="90"/>
      <c r="BY52" s="90"/>
      <c r="BZ52" s="90"/>
      <c r="CA52" s="90"/>
      <c r="CB52" s="90"/>
      <c r="CC52" s="90"/>
      <c r="CD52" s="90"/>
    </row>
    <row r="53" spans="1:82" s="6" customFormat="1" hidden="1" outlineLevel="1" x14ac:dyDescent="0.2">
      <c r="A53" s="1373" t="s">
        <v>388</v>
      </c>
      <c r="B53" s="1316">
        <v>21.503</v>
      </c>
      <c r="C53" s="1316">
        <v>50.064</v>
      </c>
      <c r="D53" s="1317">
        <v>14.294</v>
      </c>
      <c r="E53" s="1317">
        <v>15.037000000000001</v>
      </c>
      <c r="F53" s="1317">
        <v>14.388999999999999</v>
      </c>
      <c r="G53" s="1317">
        <v>14.252000000000001</v>
      </c>
      <c r="H53" s="1318">
        <f>SUM(D53:G53)</f>
        <v>57.972000000000001</v>
      </c>
      <c r="I53" s="1317">
        <v>15.617000000000001</v>
      </c>
      <c r="J53" s="1317">
        <v>19.321999999999999</v>
      </c>
      <c r="K53" s="1317">
        <v>30.277000000000001</v>
      </c>
      <c r="L53" s="1292">
        <v>38.506</v>
      </c>
      <c r="M53" s="1319">
        <f>SUM(I53:L53)</f>
        <v>103.72200000000001</v>
      </c>
      <c r="N53" s="1292">
        <v>30.448</v>
      </c>
      <c r="O53" s="1292">
        <v>50.381</v>
      </c>
      <c r="P53" s="1292">
        <v>69.323999999999998</v>
      </c>
      <c r="Q53" s="1321">
        <v>72.802000000000007</v>
      </c>
      <c r="R53" s="1319">
        <f>SUM(N53:Q53)</f>
        <v>222.95500000000004</v>
      </c>
      <c r="S53" s="1292">
        <v>59.048999999999999</v>
      </c>
      <c r="T53" s="1292">
        <v>61.087000000000003</v>
      </c>
      <c r="U53" s="1292">
        <v>73.611999999999995</v>
      </c>
      <c r="V53" s="1292">
        <v>77.790000000000006</v>
      </c>
      <c r="W53" s="1319">
        <f>SUM(S53:V53)</f>
        <v>271.53800000000001</v>
      </c>
      <c r="X53" s="1292">
        <v>58.4</v>
      </c>
      <c r="Y53" s="1292">
        <v>56</v>
      </c>
      <c r="Z53" s="1292">
        <v>81.099999999999994</v>
      </c>
      <c r="AA53" s="1293">
        <v>84</v>
      </c>
      <c r="AB53" s="1319">
        <f>SUM(X53:AA53)</f>
        <v>279.5</v>
      </c>
      <c r="AC53" s="1292">
        <v>75.103999999999999</v>
      </c>
      <c r="AD53" s="1292">
        <v>69.051000000000002</v>
      </c>
      <c r="AE53" s="1292">
        <v>79.992999999999995</v>
      </c>
      <c r="AF53" s="1292">
        <v>83.2</v>
      </c>
      <c r="AG53" s="1320">
        <f>SUM(AC53:AF53)</f>
        <v>307.34800000000001</v>
      </c>
      <c r="AH53" s="1292">
        <v>69.150999999999996</v>
      </c>
      <c r="AI53" s="1321"/>
      <c r="AJ53" s="1321"/>
      <c r="AK53" s="1321"/>
      <c r="AL53" s="1320"/>
      <c r="AM53" s="1321"/>
      <c r="AN53" s="1321"/>
      <c r="AO53" s="1321"/>
      <c r="AP53" s="1321"/>
      <c r="AQ53" s="1320"/>
      <c r="AR53" s="1321"/>
      <c r="AS53" s="1321"/>
      <c r="AT53" s="1321"/>
      <c r="AU53" s="1321"/>
      <c r="AV53" s="1320"/>
      <c r="AW53" s="1321"/>
      <c r="AX53" s="1321"/>
      <c r="AY53" s="1321"/>
      <c r="AZ53" s="1321"/>
      <c r="BA53" s="1320"/>
      <c r="BB53" s="1321"/>
      <c r="BC53" s="1321"/>
      <c r="BD53" s="1321"/>
      <c r="BE53" s="1321"/>
      <c r="BF53" s="1320"/>
      <c r="BG53" s="1321"/>
      <c r="BH53" s="1321"/>
      <c r="BI53" s="1321"/>
      <c r="BJ53" s="1321"/>
      <c r="BK53" s="1320"/>
      <c r="BL53" s="716"/>
      <c r="BM53" s="716"/>
      <c r="BN53" s="716"/>
      <c r="BO53" s="716"/>
      <c r="BP53" s="716"/>
      <c r="BQ53" s="716"/>
      <c r="BR53" s="1278" t="str">
        <f t="shared" si="22"/>
        <v>Healthcare  (Reflects Acc Chg)</v>
      </c>
      <c r="BS53" s="1321">
        <f>H53</f>
        <v>57.972000000000001</v>
      </c>
      <c r="BT53" s="1321">
        <f>M53</f>
        <v>103.72200000000001</v>
      </c>
      <c r="BU53" s="1321">
        <f>R53</f>
        <v>222.95500000000004</v>
      </c>
      <c r="BV53" s="1321">
        <f>W53</f>
        <v>271.53800000000001</v>
      </c>
      <c r="BW53" s="1321">
        <f>AB53</f>
        <v>279.5</v>
      </c>
      <c r="BX53" s="1321">
        <f>AG53</f>
        <v>307.34800000000001</v>
      </c>
      <c r="BY53" s="1321">
        <f>AL53</f>
        <v>0</v>
      </c>
      <c r="BZ53" s="1321">
        <f>AQ53</f>
        <v>0</v>
      </c>
      <c r="CA53" s="1321">
        <f>AV53</f>
        <v>0</v>
      </c>
      <c r="CB53" s="1321">
        <f>BA53</f>
        <v>0</v>
      </c>
      <c r="CC53" s="1321">
        <f>BF53</f>
        <v>0</v>
      </c>
      <c r="CD53" s="1321">
        <f>BK53</f>
        <v>0</v>
      </c>
    </row>
    <row r="54" spans="1:82" hidden="1" outlineLevel="1" x14ac:dyDescent="0.2">
      <c r="A54" s="729" t="s">
        <v>209</v>
      </c>
      <c r="B54" s="1280"/>
      <c r="C54" s="1322">
        <f>C53/B53-1</f>
        <v>1.3282332697763102</v>
      </c>
      <c r="D54" s="1323">
        <v>0.42799999999999999</v>
      </c>
      <c r="E54" s="1323">
        <v>4.7E-2</v>
      </c>
      <c r="F54" s="1323">
        <v>0.158</v>
      </c>
      <c r="G54" s="1323">
        <v>7.3999999999999996E-2</v>
      </c>
      <c r="H54" s="1322">
        <f t="shared" ref="H54:W54" si="26">H53/C53-1</f>
        <v>0.1579578139980824</v>
      </c>
      <c r="I54" s="1230">
        <f t="shared" si="26"/>
        <v>9.255631733594516E-2</v>
      </c>
      <c r="J54" s="1230">
        <f t="shared" si="26"/>
        <v>0.28496375606836466</v>
      </c>
      <c r="K54" s="1230">
        <f t="shared" si="26"/>
        <v>1.1041768017235389</v>
      </c>
      <c r="L54" s="1230">
        <f t="shared" si="26"/>
        <v>1.7017962391243335</v>
      </c>
      <c r="M54" s="1322">
        <f t="shared" si="26"/>
        <v>0.78917408404057143</v>
      </c>
      <c r="N54" s="1230">
        <f t="shared" si="26"/>
        <v>0.94967023115835292</v>
      </c>
      <c r="O54" s="1230">
        <f t="shared" si="26"/>
        <v>1.6074422937584103</v>
      </c>
      <c r="P54" s="1230">
        <f t="shared" si="26"/>
        <v>1.2896588169237373</v>
      </c>
      <c r="Q54" s="1230">
        <f t="shared" si="26"/>
        <v>0.89066638965356071</v>
      </c>
      <c r="R54" s="1322">
        <f t="shared" si="26"/>
        <v>1.1495439733132797</v>
      </c>
      <c r="S54" s="1230">
        <f t="shared" si="26"/>
        <v>0.93933920126116655</v>
      </c>
      <c r="T54" s="1230">
        <f t="shared" si="26"/>
        <v>0.21250074432821897</v>
      </c>
      <c r="U54" s="1230">
        <f t="shared" si="26"/>
        <v>6.1854480410824531E-2</v>
      </c>
      <c r="V54" s="1230">
        <f t="shared" si="26"/>
        <v>6.8514601247218421E-2</v>
      </c>
      <c r="W54" s="1322">
        <f t="shared" si="26"/>
        <v>0.21790495839967683</v>
      </c>
      <c r="X54" s="1230"/>
      <c r="Y54" s="1230"/>
      <c r="Z54" s="1230"/>
      <c r="AA54" s="1324"/>
      <c r="AB54" s="1322"/>
      <c r="AC54" s="1230">
        <f t="shared" ref="AC54:AH54" si="27">AC53/X53-1</f>
        <v>0.28602739726027404</v>
      </c>
      <c r="AD54" s="1230">
        <f t="shared" si="27"/>
        <v>0.23305357142857153</v>
      </c>
      <c r="AE54" s="1230">
        <f t="shared" si="27"/>
        <v>-1.3649815043156543E-2</v>
      </c>
      <c r="AF54" s="1324">
        <f t="shared" si="27"/>
        <v>-9.52380952380949E-3</v>
      </c>
      <c r="AG54" s="1324">
        <f t="shared" si="27"/>
        <v>9.9635062611806768E-2</v>
      </c>
      <c r="AH54" s="1230">
        <f t="shared" si="27"/>
        <v>-7.9263421389007327E-2</v>
      </c>
      <c r="AI54" s="1230"/>
      <c r="AJ54" s="1230"/>
      <c r="AK54" s="1230"/>
      <c r="AL54" s="1322"/>
      <c r="AM54" s="1230"/>
      <c r="AN54" s="1230"/>
      <c r="AO54" s="1230"/>
      <c r="AP54" s="1230"/>
      <c r="AQ54" s="1322"/>
      <c r="AR54" s="1230"/>
      <c r="AS54" s="1230"/>
      <c r="AT54" s="1230"/>
      <c r="AU54" s="1230"/>
      <c r="AV54" s="1322"/>
      <c r="AW54" s="1230"/>
      <c r="AX54" s="1230"/>
      <c r="AY54" s="1230"/>
      <c r="AZ54" s="1230"/>
      <c r="BA54" s="1322"/>
      <c r="BB54" s="1230"/>
      <c r="BC54" s="1230"/>
      <c r="BD54" s="1230"/>
      <c r="BE54" s="1230"/>
      <c r="BF54" s="1322"/>
      <c r="BG54" s="1230"/>
      <c r="BH54" s="1230"/>
      <c r="BI54" s="1230"/>
      <c r="BJ54" s="1230"/>
      <c r="BK54" s="1322"/>
      <c r="BL54" s="716"/>
      <c r="BM54" s="716"/>
      <c r="BN54" s="716"/>
      <c r="BO54" s="716"/>
      <c r="BP54" s="716"/>
      <c r="BQ54" s="716"/>
      <c r="BR54" s="1294" t="str">
        <f t="shared" si="22"/>
        <v>YoY Change</v>
      </c>
      <c r="BS54" s="1230">
        <f>H54</f>
        <v>0.1579578139980824</v>
      </c>
      <c r="BT54" s="1230">
        <f>M54</f>
        <v>0.78917408404057143</v>
      </c>
      <c r="BU54" s="1230">
        <f>R54</f>
        <v>1.1495439733132797</v>
      </c>
      <c r="BV54" s="1230">
        <f>W54</f>
        <v>0.21790495839967683</v>
      </c>
      <c r="BW54" s="1374">
        <f>BW47</f>
        <v>0.16237138080121372</v>
      </c>
      <c r="BX54" s="1230">
        <f>AG54</f>
        <v>9.9635062611806768E-2</v>
      </c>
      <c r="BY54" s="1230">
        <f>AL54</f>
        <v>0</v>
      </c>
      <c r="BZ54" s="1230">
        <f>AQ54</f>
        <v>0</v>
      </c>
      <c r="CA54" s="1230">
        <f>AV54</f>
        <v>0</v>
      </c>
      <c r="CB54" s="1230">
        <f>BA54</f>
        <v>0</v>
      </c>
      <c r="CC54" s="1230">
        <f>BF54</f>
        <v>0</v>
      </c>
      <c r="CD54" s="1230">
        <f>BK54</f>
        <v>0</v>
      </c>
    </row>
    <row r="55" spans="1:82" ht="12.75" hidden="1" customHeight="1" outlineLevel="2" x14ac:dyDescent="0.2">
      <c r="A55" s="748" t="s">
        <v>214</v>
      </c>
      <c r="B55" s="751"/>
      <c r="C55" s="751"/>
      <c r="D55" s="750"/>
      <c r="E55" s="750"/>
      <c r="F55" s="750"/>
      <c r="G55" s="750"/>
      <c r="H55" s="751"/>
      <c r="I55" s="750"/>
      <c r="J55" s="750"/>
      <c r="K55" s="750"/>
      <c r="L55" s="750"/>
      <c r="M55" s="751"/>
      <c r="N55" s="753"/>
      <c r="O55" s="753"/>
      <c r="P55" s="753"/>
      <c r="Q55" s="753"/>
      <c r="R55" s="752"/>
      <c r="S55" s="753"/>
      <c r="T55" s="753"/>
      <c r="U55" s="753"/>
      <c r="V55" s="753"/>
      <c r="W55" s="752"/>
      <c r="X55" s="753"/>
      <c r="Y55" s="753"/>
      <c r="Z55" s="753"/>
      <c r="AA55" s="756"/>
      <c r="AB55" s="752"/>
      <c r="AC55" s="753"/>
      <c r="AD55" s="753"/>
      <c r="AE55" s="753"/>
      <c r="AF55" s="756"/>
      <c r="AG55" s="756"/>
      <c r="AH55" s="750"/>
      <c r="AI55" s="750"/>
      <c r="AJ55" s="750"/>
      <c r="AK55" s="750"/>
      <c r="AL55" s="752"/>
      <c r="AM55" s="750"/>
      <c r="AN55" s="750"/>
      <c r="AO55" s="750"/>
      <c r="AP55" s="750"/>
      <c r="AQ55" s="752"/>
      <c r="AR55" s="750"/>
      <c r="AS55" s="750"/>
      <c r="AT55" s="750"/>
      <c r="AU55" s="750"/>
      <c r="AV55" s="752"/>
      <c r="AW55" s="750"/>
      <c r="AX55" s="750"/>
      <c r="AY55" s="750"/>
      <c r="AZ55" s="750"/>
      <c r="BA55" s="752"/>
      <c r="BB55" s="750"/>
      <c r="BC55" s="750"/>
      <c r="BD55" s="750"/>
      <c r="BE55" s="750"/>
      <c r="BF55" s="752"/>
      <c r="BG55" s="750"/>
      <c r="BH55" s="750"/>
      <c r="BI55" s="750"/>
      <c r="BJ55" s="750"/>
      <c r="BK55" s="752"/>
      <c r="BL55" s="716"/>
      <c r="BM55" s="716"/>
      <c r="BN55" s="716"/>
      <c r="BO55" s="716"/>
      <c r="BP55" s="716"/>
      <c r="BQ55" s="716"/>
      <c r="BR55" s="939" t="str">
        <f t="shared" si="22"/>
        <v>BEAR</v>
      </c>
      <c r="BS55" s="750"/>
      <c r="BT55" s="750"/>
      <c r="BU55" s="750"/>
      <c r="BV55" s="750"/>
      <c r="BW55" s="750"/>
      <c r="BX55" s="750"/>
      <c r="BY55" s="750"/>
      <c r="BZ55" s="750"/>
      <c r="CA55" s="750"/>
      <c r="CB55" s="750"/>
      <c r="CC55" s="750"/>
      <c r="CD55" s="750"/>
    </row>
    <row r="56" spans="1:82" ht="12.75" hidden="1" customHeight="1" outlineLevel="2" x14ac:dyDescent="0.2">
      <c r="A56" s="748" t="s">
        <v>215</v>
      </c>
      <c r="B56" s="751"/>
      <c r="C56" s="751"/>
      <c r="D56" s="750"/>
      <c r="E56" s="750"/>
      <c r="F56" s="750"/>
      <c r="G56" s="750"/>
      <c r="H56" s="751"/>
      <c r="I56" s="750"/>
      <c r="J56" s="750"/>
      <c r="K56" s="819"/>
      <c r="L56" s="750"/>
      <c r="M56" s="751"/>
      <c r="N56" s="753"/>
      <c r="O56" s="753"/>
      <c r="P56" s="769"/>
      <c r="Q56" s="753"/>
      <c r="R56" s="752"/>
      <c r="S56" s="753"/>
      <c r="T56" s="753"/>
      <c r="U56" s="753"/>
      <c r="V56" s="753"/>
      <c r="W56" s="752"/>
      <c r="X56" s="753"/>
      <c r="Y56" s="753"/>
      <c r="Z56" s="753"/>
      <c r="AA56" s="756"/>
      <c r="AB56" s="752"/>
      <c r="AC56" s="753"/>
      <c r="AD56" s="753"/>
      <c r="AE56" s="753"/>
      <c r="AF56" s="756"/>
      <c r="AG56" s="756"/>
      <c r="AH56" s="753"/>
      <c r="AI56" s="753"/>
      <c r="AJ56" s="753"/>
      <c r="AK56" s="753"/>
      <c r="AL56" s="1307"/>
      <c r="AM56" s="753"/>
      <c r="AN56" s="753"/>
      <c r="AO56" s="753"/>
      <c r="AP56" s="756"/>
      <c r="AQ56" s="1307"/>
      <c r="AR56" s="753"/>
      <c r="AS56" s="753"/>
      <c r="AT56" s="753"/>
      <c r="AU56" s="753"/>
      <c r="AV56" s="1307"/>
      <c r="AW56" s="753"/>
      <c r="AX56" s="753"/>
      <c r="AY56" s="753"/>
      <c r="AZ56" s="753"/>
      <c r="BA56" s="1307"/>
      <c r="BB56" s="753"/>
      <c r="BC56" s="753"/>
      <c r="BD56" s="753"/>
      <c r="BE56" s="753"/>
      <c r="BF56" s="1307"/>
      <c r="BG56" s="753"/>
      <c r="BH56" s="753"/>
      <c r="BI56" s="753"/>
      <c r="BJ56" s="753"/>
      <c r="BK56" s="1307"/>
      <c r="BL56" s="716"/>
      <c r="BM56" s="716"/>
      <c r="BN56" s="716"/>
      <c r="BO56" s="716"/>
      <c r="BP56" s="716"/>
      <c r="BQ56" s="716"/>
      <c r="BR56" s="939" t="str">
        <f t="shared" si="22"/>
        <v>BASE</v>
      </c>
      <c r="BS56" s="750"/>
      <c r="BT56" s="750"/>
      <c r="BU56" s="750"/>
      <c r="BV56" s="750"/>
      <c r="BW56" s="750"/>
      <c r="BX56" s="750"/>
      <c r="BY56" s="750"/>
      <c r="BZ56" s="750"/>
      <c r="CA56" s="750"/>
      <c r="CB56" s="750"/>
      <c r="CC56" s="750"/>
      <c r="CD56" s="750"/>
    </row>
    <row r="57" spans="1:82" ht="12.75" hidden="1" customHeight="1" outlineLevel="2" x14ac:dyDescent="0.2">
      <c r="A57" s="748" t="s">
        <v>216</v>
      </c>
      <c r="B57" s="751"/>
      <c r="C57" s="751"/>
      <c r="D57" s="750"/>
      <c r="E57" s="750"/>
      <c r="F57" s="750"/>
      <c r="G57" s="750"/>
      <c r="H57" s="751"/>
      <c r="I57" s="750"/>
      <c r="J57" s="750"/>
      <c r="K57" s="1369"/>
      <c r="L57" s="1369"/>
      <c r="M57" s="751"/>
      <c r="N57" s="753"/>
      <c r="O57" s="753"/>
      <c r="P57" s="753"/>
      <c r="Q57" s="753"/>
      <c r="R57" s="752"/>
      <c r="S57" s="753"/>
      <c r="T57" s="753"/>
      <c r="U57" s="753"/>
      <c r="V57" s="753"/>
      <c r="W57" s="752"/>
      <c r="X57" s="753"/>
      <c r="Y57" s="753"/>
      <c r="Z57" s="753"/>
      <c r="AA57" s="756"/>
      <c r="AB57" s="752"/>
      <c r="AC57" s="753"/>
      <c r="AD57" s="753"/>
      <c r="AE57" s="753"/>
      <c r="AF57" s="756"/>
      <c r="AG57" s="756"/>
      <c r="AH57" s="750"/>
      <c r="AI57" s="750"/>
      <c r="AJ57" s="750"/>
      <c r="AK57" s="750"/>
      <c r="AL57" s="752"/>
      <c r="AM57" s="750"/>
      <c r="AN57" s="750"/>
      <c r="AO57" s="750"/>
      <c r="AP57" s="750"/>
      <c r="AQ57" s="752"/>
      <c r="AR57" s="750"/>
      <c r="AS57" s="750"/>
      <c r="AT57" s="750"/>
      <c r="AU57" s="750"/>
      <c r="AV57" s="752"/>
      <c r="AW57" s="750"/>
      <c r="AX57" s="750"/>
      <c r="AY57" s="750"/>
      <c r="AZ57" s="750"/>
      <c r="BA57" s="752"/>
      <c r="BB57" s="750"/>
      <c r="BC57" s="750"/>
      <c r="BD57" s="750"/>
      <c r="BE57" s="750"/>
      <c r="BF57" s="752"/>
      <c r="BG57" s="750"/>
      <c r="BH57" s="750"/>
      <c r="BI57" s="750"/>
      <c r="BJ57" s="750"/>
      <c r="BK57" s="752"/>
      <c r="BL57" s="716"/>
      <c r="BM57" s="716"/>
      <c r="BN57" s="716"/>
      <c r="BO57" s="716"/>
      <c r="BP57" s="716"/>
      <c r="BQ57" s="716"/>
      <c r="BR57" s="939" t="str">
        <f t="shared" si="22"/>
        <v>BULL</v>
      </c>
      <c r="BS57" s="750"/>
      <c r="BT57" s="750"/>
      <c r="BU57" s="750"/>
      <c r="BV57" s="750"/>
      <c r="BW57" s="750"/>
      <c r="BX57" s="750"/>
      <c r="BY57" s="750"/>
      <c r="BZ57" s="750"/>
      <c r="CA57" s="750"/>
      <c r="CB57" s="750"/>
      <c r="CC57" s="750"/>
      <c r="CD57" s="750"/>
    </row>
    <row r="58" spans="1:82" hidden="1" outlineLevel="1" x14ac:dyDescent="0.2">
      <c r="A58" s="1330" t="s">
        <v>343</v>
      </c>
      <c r="B58" s="91"/>
      <c r="C58" s="731">
        <v>0.46500000000000002</v>
      </c>
      <c r="D58" s="716">
        <v>0.32400000000000001</v>
      </c>
      <c r="E58" s="716">
        <v>-4.8000000000000001E-2</v>
      </c>
      <c r="F58" s="716">
        <v>0.08</v>
      </c>
      <c r="G58" s="716">
        <v>7.3999999999999996E-2</v>
      </c>
      <c r="H58" s="731">
        <v>9.0999999999999998E-2</v>
      </c>
      <c r="I58" s="716">
        <v>9.2999999999999999E-2</v>
      </c>
      <c r="J58" s="716">
        <v>7.4999999999999997E-2</v>
      </c>
      <c r="K58" s="716">
        <v>0.25800000000000001</v>
      </c>
      <c r="L58" s="716">
        <v>0.373</v>
      </c>
      <c r="M58" s="731">
        <v>0.19800000000000001</v>
      </c>
      <c r="N58" s="716">
        <v>0.32900000000000001</v>
      </c>
      <c r="O58" s="716">
        <v>0.36699999999999999</v>
      </c>
      <c r="P58" s="716">
        <v>0.47399999999999998</v>
      </c>
      <c r="Q58" s="716">
        <v>0.28499999999999998</v>
      </c>
      <c r="R58" s="1309">
        <f>AVERAGE(N58:Q58)</f>
        <v>0.36374999999999996</v>
      </c>
      <c r="S58" s="716">
        <v>0.39</v>
      </c>
      <c r="T58" s="716">
        <v>0.21299999999999999</v>
      </c>
      <c r="U58" s="716">
        <v>6.2E-2</v>
      </c>
      <c r="V58" s="1370">
        <f>+V54</f>
        <v>6.8514601247218421E-2</v>
      </c>
      <c r="W58" s="1371">
        <f>(SUM((N53*(1+S58))+(O53*(1+T58)+(P53*(1+U58)+(Q53*(1+V58))))))/R53-1</f>
        <v>0.1430421430333475</v>
      </c>
      <c r="X58" s="716"/>
      <c r="Y58" s="716"/>
      <c r="Z58" s="716"/>
      <c r="AA58" s="714"/>
      <c r="AB58" s="731"/>
      <c r="AC58" s="716">
        <f>68.4/58.4-1</f>
        <v>0.17123287671232879</v>
      </c>
      <c r="AD58" s="716">
        <v>0.19600000000000001</v>
      </c>
      <c r="AE58" s="716">
        <v>-0.02</v>
      </c>
      <c r="AF58" s="714">
        <v>-2.4E-2</v>
      </c>
      <c r="AG58" s="731">
        <v>6.2E-2</v>
      </c>
      <c r="AH58" s="1310"/>
      <c r="AI58" s="1310"/>
      <c r="AJ58" s="1310"/>
      <c r="AK58" s="1310"/>
      <c r="AL58" s="1311"/>
      <c r="AM58" s="1310"/>
      <c r="AN58" s="1310"/>
      <c r="AO58" s="1310"/>
      <c r="AP58" s="1310"/>
      <c r="AQ58" s="1311"/>
      <c r="AR58" s="1310"/>
      <c r="AS58" s="1310"/>
      <c r="AT58" s="1310"/>
      <c r="AU58" s="1310"/>
      <c r="AV58" s="1311"/>
      <c r="AW58" s="1310"/>
      <c r="AX58" s="1310"/>
      <c r="AY58" s="1310"/>
      <c r="AZ58" s="1310"/>
      <c r="BA58" s="1311"/>
      <c r="BB58" s="1310"/>
      <c r="BC58" s="1310"/>
      <c r="BD58" s="1310"/>
      <c r="BE58" s="1310"/>
      <c r="BF58" s="1311"/>
      <c r="BG58" s="1310"/>
      <c r="BH58" s="1310"/>
      <c r="BI58" s="1310"/>
      <c r="BJ58" s="1310"/>
      <c r="BK58" s="1311"/>
      <c r="BL58" s="716"/>
      <c r="BM58" s="716"/>
      <c r="BN58" s="716"/>
      <c r="BO58" s="716"/>
      <c r="BP58" s="716"/>
      <c r="BQ58" s="716"/>
      <c r="BR58" s="1331" t="str">
        <f t="shared" si="22"/>
        <v>Organic growth</v>
      </c>
      <c r="BS58" s="90">
        <f>H58</f>
        <v>9.0999999999999998E-2</v>
      </c>
      <c r="BT58" s="90">
        <f>M58</f>
        <v>0.19800000000000001</v>
      </c>
      <c r="BU58" s="90">
        <f>R58</f>
        <v>0.36374999999999996</v>
      </c>
      <c r="BV58" s="90">
        <f>W58</f>
        <v>0.1430421430333475</v>
      </c>
      <c r="BW58" s="90">
        <f>AB58</f>
        <v>0</v>
      </c>
      <c r="BX58" s="90">
        <f>AG58</f>
        <v>6.2E-2</v>
      </c>
      <c r="BY58" s="90">
        <f>AL58</f>
        <v>0</v>
      </c>
      <c r="BZ58" s="90">
        <f>AQ58</f>
        <v>0</v>
      </c>
      <c r="CA58" s="90">
        <f>AV58</f>
        <v>0</v>
      </c>
      <c r="CB58" s="90">
        <f>BA58</f>
        <v>0</v>
      </c>
      <c r="CC58" s="90">
        <f>BF58</f>
        <v>0</v>
      </c>
      <c r="CD58" s="90">
        <f>BK58</f>
        <v>0</v>
      </c>
    </row>
    <row r="59" spans="1:82" hidden="1" outlineLevel="1" x14ac:dyDescent="0.2">
      <c r="A59" s="1330" t="s">
        <v>389</v>
      </c>
      <c r="B59" s="91"/>
      <c r="C59" s="731"/>
      <c r="D59" s="716"/>
      <c r="E59" s="716"/>
      <c r="F59" s="716"/>
      <c r="G59" s="716"/>
      <c r="H59" s="731"/>
      <c r="I59" s="716"/>
      <c r="J59" s="716"/>
      <c r="K59" s="716"/>
      <c r="L59" s="716"/>
      <c r="M59" s="731"/>
      <c r="N59" s="716"/>
      <c r="O59" s="716"/>
      <c r="P59" s="716"/>
      <c r="Q59" s="716"/>
      <c r="R59" s="1309"/>
      <c r="S59" s="716"/>
      <c r="T59" s="716"/>
      <c r="U59" s="716"/>
      <c r="V59" s="1370"/>
      <c r="W59" s="1371"/>
      <c r="X59" s="716"/>
      <c r="Y59" s="716"/>
      <c r="Z59" s="716"/>
      <c r="AA59" s="714"/>
      <c r="AB59" s="731"/>
      <c r="AC59" s="90">
        <f>AC53/X46-1</f>
        <v>0.17541004131714022</v>
      </c>
      <c r="AD59" s="90">
        <f>AD53/Y46-1</f>
        <v>6.0821606341793233E-2</v>
      </c>
      <c r="AE59" s="90">
        <f>AE53/Z46-1</f>
        <v>-0.12956474428726883</v>
      </c>
      <c r="AF59" s="90">
        <f>AF53/AA46-1</f>
        <v>-0.12180705087608179</v>
      </c>
      <c r="AG59" s="91">
        <f>AG53/AB46-1</f>
        <v>-2.6233414019035006E-2</v>
      </c>
      <c r="AH59" s="1310"/>
      <c r="AI59" s="1310"/>
      <c r="AJ59" s="1310"/>
      <c r="AK59" s="1310"/>
      <c r="AL59" s="91"/>
      <c r="AM59" s="1310"/>
      <c r="AN59" s="1310"/>
      <c r="AO59" s="1310"/>
      <c r="AP59" s="1310"/>
      <c r="AQ59" s="91"/>
      <c r="AR59" s="1310"/>
      <c r="AS59" s="1310"/>
      <c r="AT59" s="1310"/>
      <c r="AU59" s="1310"/>
      <c r="AV59" s="91"/>
      <c r="AW59" s="1310"/>
      <c r="AX59" s="1310"/>
      <c r="AY59" s="1310"/>
      <c r="AZ59" s="1310"/>
      <c r="BA59" s="91"/>
      <c r="BB59" s="1310"/>
      <c r="BC59" s="1310"/>
      <c r="BD59" s="1310"/>
      <c r="BE59" s="1310"/>
      <c r="BF59" s="91"/>
      <c r="BG59" s="1310"/>
      <c r="BH59" s="1310"/>
      <c r="BI59" s="1310"/>
      <c r="BJ59" s="1310"/>
      <c r="BK59" s="91"/>
      <c r="BL59" s="716"/>
      <c r="BM59" s="716"/>
      <c r="BN59" s="716"/>
      <c r="BO59" s="716"/>
      <c r="BP59" s="716"/>
      <c r="BQ59" s="716"/>
      <c r="BR59" s="1331"/>
      <c r="BS59" s="90"/>
      <c r="BT59" s="90"/>
      <c r="BU59" s="90"/>
      <c r="BV59" s="90"/>
      <c r="BW59" s="90"/>
      <c r="BX59" s="90"/>
      <c r="BY59" s="90"/>
      <c r="BZ59" s="90"/>
      <c r="CA59" s="90"/>
      <c r="CB59" s="90"/>
      <c r="CC59" s="90"/>
      <c r="CD59" s="90"/>
    </row>
    <row r="60" spans="1:82" ht="5.0999999999999996" customHeight="1" collapsed="1" x14ac:dyDescent="0.2">
      <c r="A60" s="1280"/>
      <c r="B60" s="1280"/>
      <c r="C60" s="1280"/>
      <c r="D60" s="1278"/>
      <c r="E60" s="1278"/>
      <c r="F60" s="1278"/>
      <c r="G60" s="1278"/>
      <c r="H60" s="1280"/>
      <c r="I60" s="1278"/>
      <c r="J60" s="1278"/>
      <c r="K60" s="1278"/>
      <c r="L60" s="1278"/>
      <c r="M60" s="1280"/>
      <c r="N60" s="1199"/>
      <c r="O60" s="1278"/>
      <c r="P60" s="1199"/>
      <c r="Q60" s="1230"/>
      <c r="R60" s="1280"/>
      <c r="S60" s="1199"/>
      <c r="T60" s="1199"/>
      <c r="U60" s="1199"/>
      <c r="V60" s="1375"/>
      <c r="W60" s="1318"/>
      <c r="X60" s="1199"/>
      <c r="Y60" s="1199"/>
      <c r="Z60" s="1375"/>
      <c r="AA60" s="1376"/>
      <c r="AB60" s="1280"/>
      <c r="AC60" s="1199"/>
      <c r="AD60" s="1199"/>
      <c r="AF60" s="1376"/>
      <c r="AG60" s="1280"/>
      <c r="AH60" s="1377"/>
      <c r="AI60" s="1378"/>
      <c r="AJ60" s="1378"/>
      <c r="AK60" s="1379"/>
      <c r="AL60" s="1280"/>
      <c r="AM60" s="1377"/>
      <c r="AN60" s="1378"/>
      <c r="AO60" s="1378"/>
      <c r="AP60" s="1379"/>
      <c r="AQ60" s="1280"/>
      <c r="AR60" s="1378"/>
      <c r="AS60" s="1378"/>
      <c r="AT60" s="1378"/>
      <c r="AU60" s="1378"/>
      <c r="AV60" s="1280"/>
      <c r="AW60" s="1378"/>
      <c r="AX60" s="1378"/>
      <c r="AY60" s="1378"/>
      <c r="AZ60" s="1378"/>
      <c r="BA60" s="1280"/>
      <c r="BB60" s="1378"/>
      <c r="BC60" s="1378"/>
      <c r="BD60" s="1378"/>
      <c r="BE60" s="1378"/>
      <c r="BF60" s="1280"/>
      <c r="BG60" s="1378"/>
      <c r="BH60" s="1378"/>
      <c r="BI60" s="1378"/>
      <c r="BJ60" s="1378"/>
      <c r="BK60" s="1280"/>
      <c r="BL60" s="1277"/>
      <c r="BM60" s="1277"/>
      <c r="BN60" s="1277"/>
      <c r="BO60" s="1277"/>
      <c r="BP60" s="1277"/>
      <c r="BQ60" s="1278"/>
      <c r="BR60" s="1278"/>
      <c r="BS60" s="1278"/>
      <c r="BT60" s="1278"/>
      <c r="BU60" s="1278"/>
      <c r="BV60" s="1278"/>
      <c r="BW60" s="1278"/>
      <c r="BX60" s="1278"/>
      <c r="BY60" s="1278"/>
      <c r="BZ60" s="1278"/>
      <c r="CA60" s="1278"/>
      <c r="CB60" s="1278"/>
      <c r="CC60" s="1278"/>
      <c r="CD60" s="1278"/>
    </row>
    <row r="61" spans="1:82" x14ac:dyDescent="0.2">
      <c r="A61" s="1280" t="s">
        <v>390</v>
      </c>
      <c r="B61" s="1316">
        <v>1.335</v>
      </c>
      <c r="C61" s="1316">
        <v>15.85</v>
      </c>
      <c r="D61" s="1317">
        <v>5.6980000000000004</v>
      </c>
      <c r="E61" s="1317">
        <v>6.3780000000000001</v>
      </c>
      <c r="F61" s="1317">
        <v>6.8120000000000003</v>
      </c>
      <c r="G61" s="1317">
        <v>9.1370000000000005</v>
      </c>
      <c r="H61" s="1318">
        <f>SUM(D61:G61)</f>
        <v>28.025000000000002</v>
      </c>
      <c r="I61" s="1317">
        <v>18.713000000000001</v>
      </c>
      <c r="J61" s="1317">
        <v>19.451000000000001</v>
      </c>
      <c r="K61" s="1317">
        <v>19.291</v>
      </c>
      <c r="L61" s="1292">
        <v>21.384</v>
      </c>
      <c r="M61" s="1319">
        <f>SUM(I61:L61)</f>
        <v>78.838999999999999</v>
      </c>
      <c r="N61" s="1292">
        <v>20.472999999999999</v>
      </c>
      <c r="O61" s="1292">
        <v>21.146999999999998</v>
      </c>
      <c r="P61" s="1292">
        <v>21.411000000000001</v>
      </c>
      <c r="Q61" s="1292">
        <v>22.332999999999998</v>
      </c>
      <c r="R61" s="1319">
        <f>SUM(N61:Q61)</f>
        <v>85.364000000000004</v>
      </c>
      <c r="S61" s="1292">
        <v>21.204000000000001</v>
      </c>
      <c r="T61" s="1292">
        <v>21.66</v>
      </c>
      <c r="U61" s="1292">
        <v>21.11</v>
      </c>
      <c r="V61" s="1292">
        <v>21.651</v>
      </c>
      <c r="W61" s="1319">
        <f>SUM(S61:V61)</f>
        <v>85.625</v>
      </c>
      <c r="X61" s="1292">
        <v>20.988</v>
      </c>
      <c r="Y61" s="1292">
        <v>21.841999999999999</v>
      </c>
      <c r="Z61" s="1292">
        <v>20.556999999999999</v>
      </c>
      <c r="AA61" s="1293">
        <v>21.539000000000001</v>
      </c>
      <c r="AB61" s="1319">
        <f>SUM(X61:AA61)</f>
        <v>84.926000000000002</v>
      </c>
      <c r="AC61" s="1292">
        <v>24.448</v>
      </c>
      <c r="AD61" s="1292">
        <v>65.212999999999994</v>
      </c>
      <c r="AE61" s="1292">
        <v>109.205</v>
      </c>
      <c r="AF61" s="1293">
        <v>109.9</v>
      </c>
      <c r="AG61" s="1319">
        <f>SUM(AC61:AF61)</f>
        <v>308.76599999999996</v>
      </c>
      <c r="AH61" s="1292">
        <v>112.926</v>
      </c>
      <c r="AI61" s="1292">
        <v>111.11799999999999</v>
      </c>
      <c r="AJ61" s="1292">
        <v>109.11</v>
      </c>
      <c r="AK61" s="1292">
        <v>109.7</v>
      </c>
      <c r="AL61" s="1319">
        <f>SUM(AH61:AK61)</f>
        <v>442.85399999999998</v>
      </c>
      <c r="AM61" s="1875">
        <v>106.3</v>
      </c>
      <c r="AN61" s="1914">
        <v>110.3</v>
      </c>
      <c r="AO61" s="1939">
        <v>111.4</v>
      </c>
      <c r="AP61" s="1939">
        <v>116.6</v>
      </c>
      <c r="AQ61" s="1319">
        <f>SUM(AM61:AP61)</f>
        <v>444.6</v>
      </c>
      <c r="AR61" s="1321">
        <f>(1+AR62)*AM61</f>
        <v>120.0835</v>
      </c>
      <c r="AS61" s="1321">
        <f>(1+AS62)*AN61</f>
        <v>124.26349999999999</v>
      </c>
      <c r="AT61" s="1321">
        <f>(1+AT62)*AO61</f>
        <v>125.413</v>
      </c>
      <c r="AU61" s="1321">
        <f>(1+AU62)*AP61</f>
        <v>130.84700000000001</v>
      </c>
      <c r="AV61" s="1319">
        <f>SUM(AR61:AU61)</f>
        <v>500.60699999999997</v>
      </c>
      <c r="AW61" s="1321">
        <f>(1+AW62)*AR61</f>
        <v>124.88684000000001</v>
      </c>
      <c r="AX61" s="1321">
        <f>(1+AX62)*AS61</f>
        <v>129.23403999999999</v>
      </c>
      <c r="AY61" s="1321">
        <f>(1+AY62)*AT61</f>
        <v>130.42952</v>
      </c>
      <c r="AZ61" s="1321">
        <f>(1+AZ62)*AU61</f>
        <v>136.08088000000001</v>
      </c>
      <c r="BA61" s="1319">
        <f>SUM(AW61:AZ61)</f>
        <v>520.63127999999995</v>
      </c>
      <c r="BB61" s="1321">
        <f>(1+BB62)*AW61</f>
        <v>129.8823136</v>
      </c>
      <c r="BC61" s="1321">
        <f>(1+BC62)*AX61</f>
        <v>134.4034016</v>
      </c>
      <c r="BD61" s="1321">
        <f>(1+BD62)*AY61</f>
        <v>135.64670079999999</v>
      </c>
      <c r="BE61" s="1321">
        <f>(1+BE62)*AZ61</f>
        <v>141.52411520000001</v>
      </c>
      <c r="BF61" s="1319">
        <f>SUM(BB61:BE61)</f>
        <v>541.45653119999997</v>
      </c>
      <c r="BG61" s="1321">
        <f>(1+BG62)*BB61</f>
        <v>135.07760614400001</v>
      </c>
      <c r="BH61" s="1321">
        <f>(1+BH62)*BC61</f>
        <v>139.779537664</v>
      </c>
      <c r="BI61" s="1321">
        <f>(1+BI62)*BD61</f>
        <v>141.072568832</v>
      </c>
      <c r="BJ61" s="1321">
        <f>(1+BJ62)*BE61</f>
        <v>147.18507980800001</v>
      </c>
      <c r="BK61" s="1319">
        <f>SUM(BG61:BJ61)</f>
        <v>563.11479244800012</v>
      </c>
      <c r="BL61" s="1380"/>
      <c r="BM61" s="1277"/>
      <c r="BN61" s="1277"/>
      <c r="BO61" s="1277"/>
      <c r="BP61" s="1277"/>
      <c r="BQ61" s="1278"/>
      <c r="BR61" s="1278" t="str">
        <f t="shared" ref="BR61:BR66" si="28">A61</f>
        <v>Specialized Markets incl. Energy</v>
      </c>
      <c r="BS61" s="1327">
        <f>H61</f>
        <v>28.025000000000002</v>
      </c>
      <c r="BT61" s="1327">
        <f>M61</f>
        <v>78.838999999999999</v>
      </c>
      <c r="BU61" s="1327">
        <f>R61</f>
        <v>85.364000000000004</v>
      </c>
      <c r="BV61" s="1327">
        <f>W61</f>
        <v>85.625</v>
      </c>
      <c r="BW61" s="1327">
        <f>AB61</f>
        <v>84.926000000000002</v>
      </c>
      <c r="BX61" s="1327">
        <f>AG61</f>
        <v>308.76599999999996</v>
      </c>
      <c r="BY61" s="1327">
        <f>AL61</f>
        <v>442.85399999999998</v>
      </c>
      <c r="BZ61" s="1327">
        <f>AQ61</f>
        <v>444.6</v>
      </c>
      <c r="CA61" s="1327">
        <f>AV61</f>
        <v>500.60699999999997</v>
      </c>
      <c r="CB61" s="1327">
        <f>BA61</f>
        <v>520.63127999999995</v>
      </c>
      <c r="CC61" s="1327">
        <f>BF61</f>
        <v>541.45653119999997</v>
      </c>
      <c r="CD61" s="1327">
        <f>BK61</f>
        <v>563.11479244800012</v>
      </c>
    </row>
    <row r="62" spans="1:82" x14ac:dyDescent="0.2">
      <c r="A62" s="729" t="s">
        <v>209</v>
      </c>
      <c r="B62" s="1280"/>
      <c r="C62" s="1381" t="s">
        <v>386</v>
      </c>
      <c r="D62" s="1323">
        <v>0.48699999999999999</v>
      </c>
      <c r="E62" s="1323">
        <v>1.004</v>
      </c>
      <c r="F62" s="1323">
        <v>0.749</v>
      </c>
      <c r="G62" s="1323">
        <v>0.85</v>
      </c>
      <c r="H62" s="1322">
        <f t="shared" ref="H62:AP62" si="29">H61/C61-1</f>
        <v>0.76813880126182976</v>
      </c>
      <c r="I62" s="1230">
        <f t="shared" si="29"/>
        <v>2.2841347841347841</v>
      </c>
      <c r="J62" s="1230">
        <f t="shared" si="29"/>
        <v>2.0497021009720915</v>
      </c>
      <c r="K62" s="1230">
        <f t="shared" si="29"/>
        <v>1.8319142689371697</v>
      </c>
      <c r="L62" s="1230">
        <f t="shared" si="29"/>
        <v>1.3403743022874028</v>
      </c>
      <c r="M62" s="1322">
        <f t="shared" si="29"/>
        <v>1.8131668153434433</v>
      </c>
      <c r="N62" s="1230">
        <f t="shared" si="29"/>
        <v>9.4052263132581526E-2</v>
      </c>
      <c r="O62" s="1230">
        <f t="shared" si="29"/>
        <v>8.719346049046317E-2</v>
      </c>
      <c r="P62" s="1230">
        <f t="shared" si="29"/>
        <v>0.10989580633456031</v>
      </c>
      <c r="Q62" s="1230">
        <f t="shared" si="29"/>
        <v>4.4378974934530468E-2</v>
      </c>
      <c r="R62" s="1322">
        <f>R61/M61-1</f>
        <v>8.2763606844328486E-2</v>
      </c>
      <c r="S62" s="1230">
        <f t="shared" si="29"/>
        <v>3.5705563424998754E-2</v>
      </c>
      <c r="T62" s="1230">
        <f t="shared" si="29"/>
        <v>2.4258760107816801E-2</v>
      </c>
      <c r="U62" s="1230">
        <f t="shared" si="29"/>
        <v>-1.4058194386063372E-2</v>
      </c>
      <c r="V62" s="1230">
        <f t="shared" si="29"/>
        <v>-3.0537769220436051E-2</v>
      </c>
      <c r="W62" s="1322">
        <f>W61/R61-1</f>
        <v>3.0574949627477643E-3</v>
      </c>
      <c r="X62" s="1230">
        <f t="shared" si="29"/>
        <v>-1.0186757215619791E-2</v>
      </c>
      <c r="Y62" s="1230">
        <f t="shared" si="29"/>
        <v>8.4025854108955578E-3</v>
      </c>
      <c r="Z62" s="1230">
        <f t="shared" si="29"/>
        <v>-2.6196115585030877E-2</v>
      </c>
      <c r="AA62" s="1324">
        <f t="shared" si="29"/>
        <v>-5.1729712253474336E-3</v>
      </c>
      <c r="AB62" s="1322">
        <f t="shared" si="29"/>
        <v>-8.1635036496350288E-3</v>
      </c>
      <c r="AC62" s="1230">
        <f t="shared" si="29"/>
        <v>0.16485610825233477</v>
      </c>
      <c r="AD62" s="1230">
        <f t="shared" si="29"/>
        <v>1.9856698104569177</v>
      </c>
      <c r="AE62" s="1230">
        <f t="shared" si="29"/>
        <v>4.312302378751764</v>
      </c>
      <c r="AF62" s="1324">
        <f t="shared" si="29"/>
        <v>4.102372440688983</v>
      </c>
      <c r="AG62" s="1324">
        <f t="shared" si="29"/>
        <v>2.6357063796717135</v>
      </c>
      <c r="AH62" s="1230">
        <f t="shared" si="29"/>
        <v>3.6190281413612562</v>
      </c>
      <c r="AI62" s="1230">
        <f t="shared" si="29"/>
        <v>0.70392406422032416</v>
      </c>
      <c r="AJ62" s="1230">
        <f t="shared" si="29"/>
        <v>-8.6992353829951075E-4</v>
      </c>
      <c r="AK62" s="1324">
        <f t="shared" si="29"/>
        <v>-1.8198362147406888E-3</v>
      </c>
      <c r="AL62" s="1324">
        <f>AL61/AG61-1</f>
        <v>0.43427061269699396</v>
      </c>
      <c r="AM62" s="1230">
        <f t="shared" si="29"/>
        <v>-5.8675592866124782E-2</v>
      </c>
      <c r="AN62" s="1230">
        <f t="shared" si="29"/>
        <v>-7.3615435842977472E-3</v>
      </c>
      <c r="AO62" s="1230">
        <f t="shared" si="29"/>
        <v>2.0987993767757285E-2</v>
      </c>
      <c r="AP62" s="1230">
        <f t="shared" si="29"/>
        <v>6.2898814949863269E-2</v>
      </c>
      <c r="AQ62" s="1322">
        <f>AQ61/AL61-1</f>
        <v>3.9426086249645387E-3</v>
      </c>
      <c r="AR62" s="1230">
        <f>CHOOSE(VA!$A$3,AR63,AR64,AR65)</f>
        <v>0.12966603951081845</v>
      </c>
      <c r="AS62" s="1230">
        <f>CHOOSE(VA!$A$3,AS63,AS64,AS65)</f>
        <v>0.12659564823209429</v>
      </c>
      <c r="AT62" s="1230">
        <f>CHOOSE(VA!$A$3,AT63,AT64,AT65)</f>
        <v>0.12578994614003591</v>
      </c>
      <c r="AU62" s="1324">
        <f>CHOOSE(VA!$A$3,AU63,AU64,AU65)</f>
        <v>0.12218696397941681</v>
      </c>
      <c r="AV62" s="1324">
        <f>AV61/AQ61-1</f>
        <v>0.12597165991902814</v>
      </c>
      <c r="AW62" s="1230">
        <f>CHOOSE(VA!$A$3,AW63,AW64,AW65)</f>
        <v>0.04</v>
      </c>
      <c r="AX62" s="1230">
        <f>CHOOSE(VA!$A$3,AX63,AX64,AX65)</f>
        <v>0.04</v>
      </c>
      <c r="AY62" s="1230">
        <f>CHOOSE(VA!$A$3,AY63,AY64,AY65)</f>
        <v>0.04</v>
      </c>
      <c r="AZ62" s="1324">
        <f>CHOOSE(VA!$A$3,AZ63,AZ64,AZ65)</f>
        <v>0.04</v>
      </c>
      <c r="BA62" s="1324">
        <f>BA61/AV61-1</f>
        <v>4.0000000000000036E-2</v>
      </c>
      <c r="BB62" s="1230">
        <f>CHOOSE(VA!$A$3,BB63,BB64,BB65)</f>
        <v>0.04</v>
      </c>
      <c r="BC62" s="1230">
        <f>CHOOSE(VA!$A$3,BC63,BC64,BC65)</f>
        <v>0.04</v>
      </c>
      <c r="BD62" s="1230">
        <f>CHOOSE(VA!$A$3,BD63,BD64,BD65)</f>
        <v>0.04</v>
      </c>
      <c r="BE62" s="1324">
        <f>CHOOSE(VA!$A$3,BE63,BE64,BE65)</f>
        <v>0.04</v>
      </c>
      <c r="BF62" s="1324">
        <f>BF61/BA61-1</f>
        <v>4.0000000000000036E-2</v>
      </c>
      <c r="BG62" s="1230">
        <f>CHOOSE(VA!$A$3,BG63,BG64,BG65)</f>
        <v>0.04</v>
      </c>
      <c r="BH62" s="1230">
        <f>CHOOSE(VA!$A$3,BH63,BH64,BH65)</f>
        <v>0.04</v>
      </c>
      <c r="BI62" s="1230">
        <f>CHOOSE(VA!$A$3,BI63,BI64,BI65)</f>
        <v>0.04</v>
      </c>
      <c r="BJ62" s="1324">
        <f>CHOOSE(VA!$A$3,BJ63,BJ64,BJ65)</f>
        <v>0.04</v>
      </c>
      <c r="BK62" s="1324">
        <f>BK61/BF61-1</f>
        <v>4.0000000000000258E-2</v>
      </c>
      <c r="BL62" s="1277"/>
      <c r="BM62" s="1277"/>
      <c r="BN62" s="1277"/>
      <c r="BO62" s="1277"/>
      <c r="BP62" s="1277"/>
      <c r="BQ62" s="1278"/>
      <c r="BR62" s="1294" t="str">
        <f t="shared" si="28"/>
        <v>YoY Change</v>
      </c>
      <c r="BS62" s="1230">
        <f>H62</f>
        <v>0.76813880126182976</v>
      </c>
      <c r="BT62" s="1230">
        <f>M62</f>
        <v>1.8131668153434433</v>
      </c>
      <c r="BU62" s="1230">
        <f>R62</f>
        <v>8.2763606844328486E-2</v>
      </c>
      <c r="BV62" s="1230">
        <f>W62</f>
        <v>3.0574949627477643E-3</v>
      </c>
      <c r="BW62" s="1230">
        <f>AB62</f>
        <v>-8.1635036496350288E-3</v>
      </c>
      <c r="BX62" s="1230">
        <f>AG62</f>
        <v>2.6357063796717135</v>
      </c>
      <c r="BY62" s="1230">
        <f>AL62</f>
        <v>0.43427061269699396</v>
      </c>
      <c r="BZ62" s="1230">
        <f>AQ62</f>
        <v>3.9426086249645387E-3</v>
      </c>
      <c r="CA62" s="1230">
        <f>AV62</f>
        <v>0.12597165991902814</v>
      </c>
      <c r="CB62" s="1230">
        <f>BA62</f>
        <v>4.0000000000000036E-2</v>
      </c>
      <c r="CC62" s="1230">
        <f>BF62</f>
        <v>4.0000000000000036E-2</v>
      </c>
      <c r="CD62" s="1230">
        <f>BK62</f>
        <v>4.0000000000000258E-2</v>
      </c>
    </row>
    <row r="63" spans="1:82" ht="12.75" hidden="1" customHeight="1" outlineLevel="1" x14ac:dyDescent="0.2">
      <c r="A63" s="748" t="s">
        <v>214</v>
      </c>
      <c r="B63" s="751"/>
      <c r="C63" s="768"/>
      <c r="D63" s="750"/>
      <c r="E63" s="750"/>
      <c r="F63" s="750"/>
      <c r="G63" s="750"/>
      <c r="H63" s="751"/>
      <c r="I63" s="750"/>
      <c r="J63" s="750"/>
      <c r="K63" s="750"/>
      <c r="L63" s="750"/>
      <c r="M63" s="751"/>
      <c r="N63" s="750"/>
      <c r="O63" s="750"/>
      <c r="P63" s="750"/>
      <c r="Q63" s="753"/>
      <c r="R63" s="752"/>
      <c r="S63" s="750"/>
      <c r="T63" s="750"/>
      <c r="U63" s="750"/>
      <c r="V63" s="753"/>
      <c r="W63" s="752"/>
      <c r="X63" s="750"/>
      <c r="Y63" s="750"/>
      <c r="Z63" s="750"/>
      <c r="AA63" s="749"/>
      <c r="AB63" s="752"/>
      <c r="AC63" s="753"/>
      <c r="AD63" s="753"/>
      <c r="AE63" s="753"/>
      <c r="AF63" s="756"/>
      <c r="AG63" s="756"/>
      <c r="AH63" s="750"/>
      <c r="AI63" s="750"/>
      <c r="AJ63" s="750"/>
      <c r="AK63" s="749"/>
      <c r="AL63" s="756"/>
      <c r="AM63" s="750"/>
      <c r="AN63" s="750"/>
      <c r="AO63" s="750"/>
      <c r="AP63" s="749"/>
      <c r="AQ63" s="756"/>
      <c r="AR63" s="750">
        <f t="shared" ref="AR63:BJ63" si="30">AR64-3%</f>
        <v>9.9666039510818455E-2</v>
      </c>
      <c r="AS63" s="750">
        <f t="shared" si="30"/>
        <v>9.6595648232094294E-2</v>
      </c>
      <c r="AT63" s="750">
        <f t="shared" si="30"/>
        <v>9.5789946140035914E-2</v>
      </c>
      <c r="AU63" s="749">
        <f t="shared" si="30"/>
        <v>9.2186963979416808E-2</v>
      </c>
      <c r="AV63" s="756"/>
      <c r="AW63" s="750">
        <f t="shared" si="30"/>
        <v>1.0000000000000002E-2</v>
      </c>
      <c r="AX63" s="750">
        <f t="shared" si="30"/>
        <v>1.0000000000000002E-2</v>
      </c>
      <c r="AY63" s="750">
        <f t="shared" si="30"/>
        <v>1.0000000000000002E-2</v>
      </c>
      <c r="AZ63" s="749">
        <f t="shared" si="30"/>
        <v>1.0000000000000002E-2</v>
      </c>
      <c r="BA63" s="756"/>
      <c r="BB63" s="750">
        <f t="shared" si="30"/>
        <v>1.0000000000000002E-2</v>
      </c>
      <c r="BC63" s="750">
        <f t="shared" si="30"/>
        <v>1.0000000000000002E-2</v>
      </c>
      <c r="BD63" s="750">
        <f t="shared" si="30"/>
        <v>1.0000000000000002E-2</v>
      </c>
      <c r="BE63" s="749">
        <f t="shared" si="30"/>
        <v>1.0000000000000002E-2</v>
      </c>
      <c r="BF63" s="756"/>
      <c r="BG63" s="750">
        <f t="shared" si="30"/>
        <v>1.0000000000000002E-2</v>
      </c>
      <c r="BH63" s="750">
        <f t="shared" si="30"/>
        <v>1.0000000000000002E-2</v>
      </c>
      <c r="BI63" s="750">
        <f t="shared" si="30"/>
        <v>1.0000000000000002E-2</v>
      </c>
      <c r="BJ63" s="749">
        <f t="shared" si="30"/>
        <v>1.0000000000000002E-2</v>
      </c>
      <c r="BK63" s="756"/>
      <c r="BL63" s="716"/>
      <c r="BM63" s="716"/>
      <c r="BN63" s="716"/>
      <c r="BO63" s="716"/>
      <c r="BP63" s="716"/>
      <c r="BQ63" s="716"/>
      <c r="BR63" s="939" t="str">
        <f t="shared" si="28"/>
        <v>BEAR</v>
      </c>
      <c r="BS63" s="750"/>
      <c r="BT63" s="750"/>
      <c r="BU63" s="750"/>
      <c r="BV63" s="750"/>
      <c r="BW63" s="750"/>
      <c r="BX63" s="750"/>
      <c r="BY63" s="750"/>
      <c r="BZ63" s="750"/>
      <c r="CA63" s="750"/>
      <c r="CB63" s="750"/>
      <c r="CC63" s="750"/>
      <c r="CD63" s="750"/>
    </row>
    <row r="64" spans="1:82" ht="12.75" hidden="1" customHeight="1" outlineLevel="1" x14ac:dyDescent="0.2">
      <c r="A64" s="748" t="s">
        <v>215</v>
      </c>
      <c r="B64" s="751"/>
      <c r="C64" s="768"/>
      <c r="D64" s="750"/>
      <c r="E64" s="750"/>
      <c r="F64" s="750"/>
      <c r="G64" s="750"/>
      <c r="H64" s="751"/>
      <c r="I64" s="750"/>
      <c r="J64" s="750"/>
      <c r="K64" s="819"/>
      <c r="L64" s="750"/>
      <c r="M64" s="751"/>
      <c r="N64" s="750"/>
      <c r="O64" s="750"/>
      <c r="P64" s="750"/>
      <c r="Q64" s="753"/>
      <c r="R64" s="752"/>
      <c r="S64" s="750"/>
      <c r="T64" s="750"/>
      <c r="U64" s="750"/>
      <c r="V64" s="1382"/>
      <c r="W64" s="752"/>
      <c r="X64" s="750"/>
      <c r="Y64" s="750"/>
      <c r="Z64" s="750"/>
      <c r="AA64" s="749"/>
      <c r="AB64" s="752"/>
      <c r="AC64" s="753"/>
      <c r="AD64" s="753"/>
      <c r="AE64" s="769"/>
      <c r="AF64" s="1383"/>
      <c r="AG64" s="756"/>
      <c r="AH64" s="753"/>
      <c r="AI64" s="753"/>
      <c r="AJ64" s="753"/>
      <c r="AK64" s="756"/>
      <c r="AL64" s="1326"/>
      <c r="AM64" s="750"/>
      <c r="AN64" s="750"/>
      <c r="AO64" s="1889"/>
      <c r="AP64" s="1889"/>
      <c r="AQ64" s="1307"/>
      <c r="AR64" s="1991">
        <f>AR66+9/AM61</f>
        <v>0.12966603951081845</v>
      </c>
      <c r="AS64" s="1991">
        <f t="shared" ref="AS64:AU64" si="31">AS66+9/AN61</f>
        <v>0.12659564823209429</v>
      </c>
      <c r="AT64" s="1991">
        <f t="shared" si="31"/>
        <v>0.12578994614003591</v>
      </c>
      <c r="AU64" s="1992">
        <f t="shared" si="31"/>
        <v>0.12218696397941681</v>
      </c>
      <c r="AV64" s="1326">
        <f>AVERAGE(AR64:AU64)</f>
        <v>0.12605964946559137</v>
      </c>
      <c r="AW64" s="1889">
        <f>AW66</f>
        <v>0.04</v>
      </c>
      <c r="AX64" s="1889">
        <f>AX66</f>
        <v>0.04</v>
      </c>
      <c r="AY64" s="1889">
        <f>AY66</f>
        <v>0.04</v>
      </c>
      <c r="AZ64" s="1917">
        <f>AZ66</f>
        <v>0.04</v>
      </c>
      <c r="BA64" s="1326">
        <f>AVERAGE(AW64:AZ64)</f>
        <v>0.04</v>
      </c>
      <c r="BB64" s="1889">
        <f>BB66</f>
        <v>0.04</v>
      </c>
      <c r="BC64" s="1889">
        <f>BC66</f>
        <v>0.04</v>
      </c>
      <c r="BD64" s="1889">
        <f>BD66</f>
        <v>0.04</v>
      </c>
      <c r="BE64" s="1917">
        <f>BE66</f>
        <v>0.04</v>
      </c>
      <c r="BF64" s="1326">
        <f>AVERAGE(BB64:BE64)</f>
        <v>0.04</v>
      </c>
      <c r="BG64" s="1889">
        <f>BG66</f>
        <v>0.04</v>
      </c>
      <c r="BH64" s="1889">
        <f>BH66</f>
        <v>0.04</v>
      </c>
      <c r="BI64" s="1889">
        <f>BI66</f>
        <v>0.04</v>
      </c>
      <c r="BJ64" s="1917">
        <f>BJ66</f>
        <v>0.04</v>
      </c>
      <c r="BK64" s="1326">
        <f>AVERAGE(BG64:BJ64)</f>
        <v>0.04</v>
      </c>
      <c r="BL64" s="716"/>
      <c r="BM64" s="716"/>
      <c r="BN64" s="716"/>
      <c r="BO64" s="716"/>
      <c r="BP64" s="716"/>
      <c r="BQ64" s="716"/>
      <c r="BR64" s="939" t="str">
        <f t="shared" si="28"/>
        <v>BASE</v>
      </c>
      <c r="BS64" s="750"/>
      <c r="BT64" s="750"/>
      <c r="BU64" s="750"/>
      <c r="BV64" s="750"/>
      <c r="BW64" s="750"/>
      <c r="BX64" s="750"/>
      <c r="BY64" s="750"/>
      <c r="BZ64" s="750"/>
      <c r="CA64" s="750"/>
      <c r="CB64" s="750"/>
      <c r="CC64" s="750"/>
      <c r="CD64" s="750"/>
    </row>
    <row r="65" spans="1:82" ht="12.75" hidden="1" customHeight="1" outlineLevel="1" x14ac:dyDescent="0.2">
      <c r="A65" s="748" t="s">
        <v>216</v>
      </c>
      <c r="B65" s="751"/>
      <c r="C65" s="768"/>
      <c r="D65" s="750"/>
      <c r="E65" s="750"/>
      <c r="F65" s="750"/>
      <c r="G65" s="750"/>
      <c r="H65" s="751"/>
      <c r="I65" s="750"/>
      <c r="J65" s="750"/>
      <c r="K65" s="750"/>
      <c r="L65" s="750"/>
      <c r="M65" s="751"/>
      <c r="N65" s="750"/>
      <c r="O65" s="750"/>
      <c r="P65" s="750"/>
      <c r="Q65" s="753"/>
      <c r="R65" s="752"/>
      <c r="S65" s="750"/>
      <c r="T65" s="750"/>
      <c r="U65" s="750"/>
      <c r="V65" s="753"/>
      <c r="W65" s="752"/>
      <c r="X65" s="750"/>
      <c r="Y65" s="750"/>
      <c r="Z65" s="750"/>
      <c r="AA65" s="749"/>
      <c r="AB65" s="752"/>
      <c r="AC65" s="753"/>
      <c r="AD65" s="753"/>
      <c r="AE65" s="769"/>
      <c r="AF65" s="1384"/>
      <c r="AG65" s="756"/>
      <c r="AH65" s="750"/>
      <c r="AI65" s="750"/>
      <c r="AJ65" s="750"/>
      <c r="AK65" s="749"/>
      <c r="AL65" s="756"/>
      <c r="AM65" s="750"/>
      <c r="AN65" s="750"/>
      <c r="AO65" s="750"/>
      <c r="AP65" s="749"/>
      <c r="AQ65" s="756"/>
      <c r="AR65" s="750">
        <f>AR64+0.015</f>
        <v>0.14466603951081847</v>
      </c>
      <c r="AS65" s="750">
        <f>AS64+0.015</f>
        <v>0.14159564823209431</v>
      </c>
      <c r="AT65" s="750">
        <f>AT64+0.015</f>
        <v>0.14078994614003593</v>
      </c>
      <c r="AU65" s="749">
        <f>AU64+0.015</f>
        <v>0.13718696397941682</v>
      </c>
      <c r="AV65" s="756"/>
      <c r="AW65" s="750">
        <f>AW64+0.015</f>
        <v>5.5E-2</v>
      </c>
      <c r="AX65" s="750">
        <f>AX64+0.015</f>
        <v>5.5E-2</v>
      </c>
      <c r="AY65" s="750">
        <f>AY64+0.015</f>
        <v>5.5E-2</v>
      </c>
      <c r="AZ65" s="749">
        <f>AZ64+0.015</f>
        <v>5.5E-2</v>
      </c>
      <c r="BA65" s="756"/>
      <c r="BB65" s="750">
        <f>BB64+0.015</f>
        <v>5.5E-2</v>
      </c>
      <c r="BC65" s="750">
        <f>BC64+0.015</f>
        <v>5.5E-2</v>
      </c>
      <c r="BD65" s="750">
        <f>BD64+0.015</f>
        <v>5.5E-2</v>
      </c>
      <c r="BE65" s="749">
        <f>BE64+0.015</f>
        <v>5.5E-2</v>
      </c>
      <c r="BF65" s="756"/>
      <c r="BG65" s="750">
        <f>BG64+0.015</f>
        <v>5.5E-2</v>
      </c>
      <c r="BH65" s="750">
        <f>BH64+0.015</f>
        <v>5.5E-2</v>
      </c>
      <c r="BI65" s="750">
        <f>BI64+0.015</f>
        <v>5.5E-2</v>
      </c>
      <c r="BJ65" s="749">
        <f>BJ64+0.015</f>
        <v>5.5E-2</v>
      </c>
      <c r="BK65" s="756"/>
      <c r="BL65" s="716"/>
      <c r="BM65" s="716"/>
      <c r="BN65" s="716"/>
      <c r="BO65" s="716"/>
      <c r="BP65" s="716"/>
      <c r="BQ65" s="716"/>
      <c r="BR65" s="939" t="str">
        <f t="shared" si="28"/>
        <v>BULL</v>
      </c>
      <c r="BS65" s="750"/>
      <c r="BT65" s="750"/>
      <c r="BU65" s="750"/>
      <c r="BV65" s="750"/>
      <c r="BW65" s="750"/>
      <c r="BX65" s="750"/>
      <c r="BY65" s="750"/>
      <c r="BZ65" s="750"/>
      <c r="CA65" s="750"/>
      <c r="CB65" s="750"/>
      <c r="CC65" s="750"/>
      <c r="CD65" s="750"/>
    </row>
    <row r="66" spans="1:82" collapsed="1" x14ac:dyDescent="0.2">
      <c r="A66" s="1330" t="s">
        <v>343</v>
      </c>
      <c r="B66" s="91"/>
      <c r="C66" s="1381" t="s">
        <v>386</v>
      </c>
      <c r="D66" s="716">
        <v>0.48699999999999999</v>
      </c>
      <c r="E66" s="716">
        <v>1.004</v>
      </c>
      <c r="F66" s="716">
        <v>0.749</v>
      </c>
      <c r="G66" s="716">
        <v>0.45300000000000001</v>
      </c>
      <c r="H66" s="731">
        <v>0.64500000000000002</v>
      </c>
      <c r="I66" s="716">
        <v>0.28999999999999998</v>
      </c>
      <c r="J66" s="716">
        <v>0.221</v>
      </c>
      <c r="K66" s="716">
        <v>4.2999999999999997E-2</v>
      </c>
      <c r="L66" s="716">
        <v>-1.6E-2</v>
      </c>
      <c r="M66" s="731">
        <v>0.124</v>
      </c>
      <c r="N66" s="716">
        <v>9.4E-2</v>
      </c>
      <c r="O66" s="716">
        <f>O62</f>
        <v>8.719346049046317E-2</v>
      </c>
      <c r="P66" s="716">
        <v>0.11</v>
      </c>
      <c r="Q66" s="716">
        <f>Q62</f>
        <v>4.4378974934530468E-2</v>
      </c>
      <c r="R66" s="1309">
        <f>AVERAGE(N66:Q66)</f>
        <v>8.3893108856248413E-2</v>
      </c>
      <c r="S66" s="716">
        <v>3.5999999999999997E-2</v>
      </c>
      <c r="T66" s="716">
        <v>2.4E-2</v>
      </c>
      <c r="U66" s="716">
        <v>-1.4E-2</v>
      </c>
      <c r="V66" s="716">
        <f>+V62</f>
        <v>-3.0537769220436051E-2</v>
      </c>
      <c r="W66" s="1309">
        <f>W62</f>
        <v>3.0574949627477643E-3</v>
      </c>
      <c r="X66" s="716">
        <f>X62</f>
        <v>-1.0186757215619791E-2</v>
      </c>
      <c r="Y66" s="716">
        <f>Y62</f>
        <v>8.4025854108955578E-3</v>
      </c>
      <c r="Z66" s="716">
        <f>Z62</f>
        <v>-2.6196115585030877E-2</v>
      </c>
      <c r="AA66" s="714">
        <f>AA62</f>
        <v>-5.1729712253474336E-3</v>
      </c>
      <c r="AB66" s="731">
        <v>-8.0000000000000002E-3</v>
      </c>
      <c r="AC66" s="716">
        <v>4.2999999999999997E-2</v>
      </c>
      <c r="AD66" s="716">
        <v>0.06</v>
      </c>
      <c r="AE66" s="716">
        <v>5.6000000000000001E-2</v>
      </c>
      <c r="AF66" s="716">
        <v>4.2999999999999997E-2</v>
      </c>
      <c r="AG66" s="731">
        <v>5.0999999999999997E-2</v>
      </c>
      <c r="AH66" s="1385">
        <v>-3.5999999999999997E-2</v>
      </c>
      <c r="AI66" s="716">
        <v>-9.6000000000000002E-2</v>
      </c>
      <c r="AJ66" s="716">
        <v>-4.9000000000000002E-2</v>
      </c>
      <c r="AK66" s="716">
        <v>-5.5E-2</v>
      </c>
      <c r="AL66" s="731">
        <v>-5.5E-2</v>
      </c>
      <c r="AM66" s="1879">
        <v>-2.1000000000000001E-2</v>
      </c>
      <c r="AN66" s="1913">
        <v>6.0000000000000001E-3</v>
      </c>
      <c r="AO66" s="1938">
        <v>2.1999999999999999E-2</v>
      </c>
      <c r="AP66" s="1938">
        <v>4.7E-2</v>
      </c>
      <c r="AQ66" s="91">
        <f>SUMPRODUCT(AM66:AP66,AH61:AK61)/AL61</f>
        <v>1.3213343449534157E-2</v>
      </c>
      <c r="AR66" s="1310">
        <v>4.4999999999999998E-2</v>
      </c>
      <c r="AS66" s="1310">
        <v>4.4999999999999998E-2</v>
      </c>
      <c r="AT66" s="1310">
        <v>4.4999999999999998E-2</v>
      </c>
      <c r="AU66" s="1310">
        <v>4.4999999999999998E-2</v>
      </c>
      <c r="AV66" s="91">
        <f>SUMPRODUCT(AR66:AU66,AM61:AP61)/AQ61</f>
        <v>4.4999999999999991E-2</v>
      </c>
      <c r="AW66" s="1310">
        <v>0.04</v>
      </c>
      <c r="AX66" s="1310">
        <v>0.04</v>
      </c>
      <c r="AY66" s="1310">
        <v>0.04</v>
      </c>
      <c r="AZ66" s="1332">
        <v>0.04</v>
      </c>
      <c r="BA66" s="746">
        <f>SUMPRODUCT(AW66:AZ66,AR61:AU61)/AV61</f>
        <v>0.04</v>
      </c>
      <c r="BB66" s="1310">
        <v>0.04</v>
      </c>
      <c r="BC66" s="1310">
        <v>0.04</v>
      </c>
      <c r="BD66" s="1310">
        <v>0.04</v>
      </c>
      <c r="BE66" s="1332">
        <v>0.04</v>
      </c>
      <c r="BF66" s="746">
        <f>SUMPRODUCT(BB66:BE66,AW61:AZ61)/BA61</f>
        <v>4.0000000000000008E-2</v>
      </c>
      <c r="BG66" s="1310">
        <v>0.04</v>
      </c>
      <c r="BH66" s="1310">
        <v>0.04</v>
      </c>
      <c r="BI66" s="1310">
        <v>0.04</v>
      </c>
      <c r="BJ66" s="1310">
        <v>0.04</v>
      </c>
      <c r="BK66" s="91">
        <f>SUMPRODUCT(BG66:BJ66,BB61:BE61)/BF61</f>
        <v>0.04</v>
      </c>
      <c r="BL66" s="716"/>
      <c r="BM66" s="716"/>
      <c r="BN66" s="716"/>
      <c r="BO66" s="716"/>
      <c r="BP66" s="716"/>
      <c r="BQ66" s="716"/>
      <c r="BR66" s="1331" t="str">
        <f t="shared" si="28"/>
        <v>Organic growth</v>
      </c>
      <c r="BS66" s="90">
        <f>H66</f>
        <v>0.64500000000000002</v>
      </c>
      <c r="BT66" s="90">
        <f>M66</f>
        <v>0.124</v>
      </c>
      <c r="BU66" s="90">
        <f>R66</f>
        <v>8.3893108856248413E-2</v>
      </c>
      <c r="BV66" s="90">
        <f>W66</f>
        <v>3.0574949627477643E-3</v>
      </c>
      <c r="BW66" s="90">
        <f>AB66</f>
        <v>-8.0000000000000002E-3</v>
      </c>
      <c r="BX66" s="90">
        <f>AG66</f>
        <v>5.0999999999999997E-2</v>
      </c>
      <c r="BY66" s="90">
        <f>AL66</f>
        <v>-5.5E-2</v>
      </c>
      <c r="BZ66" s="90">
        <f>AQ66</f>
        <v>1.3213343449534157E-2</v>
      </c>
      <c r="CA66" s="90">
        <f>AV66</f>
        <v>4.4999999999999991E-2</v>
      </c>
      <c r="CB66" s="90">
        <f>BA66</f>
        <v>0.04</v>
      </c>
      <c r="CC66" s="90">
        <f>BF66</f>
        <v>4.0000000000000008E-2</v>
      </c>
      <c r="CD66" s="90">
        <f>BK66</f>
        <v>0.04</v>
      </c>
    </row>
    <row r="67" spans="1:82" ht="5.0999999999999996" customHeight="1" x14ac:dyDescent="0.25">
      <c r="A67" s="1330"/>
      <c r="B67" s="91"/>
      <c r="C67" s="1381"/>
      <c r="D67" s="716"/>
      <c r="E67" s="716"/>
      <c r="F67" s="716"/>
      <c r="G67" s="716"/>
      <c r="H67" s="731"/>
      <c r="I67" s="716"/>
      <c r="J67" s="716"/>
      <c r="K67" s="716"/>
      <c r="L67" s="716"/>
      <c r="M67" s="731"/>
      <c r="N67" s="716"/>
      <c r="O67" s="716"/>
      <c r="P67" s="716"/>
      <c r="Q67" s="716"/>
      <c r="R67" s="1309"/>
      <c r="S67" s="716"/>
      <c r="T67" s="716"/>
      <c r="U67" s="716"/>
      <c r="V67" s="716"/>
      <c r="W67" s="1309"/>
      <c r="X67" s="716"/>
      <c r="Y67" s="716"/>
      <c r="Z67" s="716"/>
      <c r="AA67" s="714"/>
      <c r="AB67" s="731"/>
      <c r="AC67" s="716"/>
      <c r="AD67" s="1310"/>
      <c r="AE67" s="90"/>
      <c r="AF67" s="1386"/>
      <c r="AG67" s="1372"/>
      <c r="AH67" s="1377"/>
      <c r="AJ67" s="1387"/>
      <c r="AK67" s="1387"/>
      <c r="AL67" s="1388"/>
      <c r="AM67" s="1387"/>
      <c r="AN67" s="1387"/>
      <c r="AO67" s="1387"/>
      <c r="AP67" s="1387"/>
      <c r="AQ67" s="1389"/>
      <c r="AR67" s="1387"/>
      <c r="AS67" s="1387"/>
      <c r="AT67" s="1387"/>
      <c r="AU67"/>
      <c r="AV67" s="1389"/>
      <c r="AW67" s="1387"/>
      <c r="AX67" s="1387"/>
      <c r="AY67" s="1387"/>
      <c r="AZ67" s="1918"/>
      <c r="BA67" s="1390"/>
      <c r="BB67" s="1387"/>
      <c r="BC67" s="1387"/>
      <c r="BD67" s="1387"/>
      <c r="BE67" s="1918"/>
      <c r="BF67" s="1390"/>
      <c r="BG67" s="1387"/>
      <c r="BH67" s="1387"/>
      <c r="BI67" s="1387"/>
      <c r="BJ67"/>
      <c r="BK67" s="1389"/>
      <c r="BL67" s="716"/>
      <c r="BM67" s="716"/>
      <c r="BN67" s="716"/>
      <c r="BO67" s="716"/>
      <c r="BP67" s="716"/>
      <c r="BQ67" s="716"/>
      <c r="BR67" s="1331"/>
      <c r="BS67" s="90"/>
      <c r="BT67" s="90"/>
      <c r="BU67" s="90"/>
      <c r="BV67" s="90"/>
      <c r="BW67" s="90"/>
      <c r="BX67" s="90"/>
      <c r="BY67" s="90"/>
      <c r="BZ67" s="90"/>
      <c r="CA67" s="90"/>
      <c r="CB67" s="90"/>
      <c r="CC67" s="90"/>
      <c r="CD67" s="90"/>
    </row>
    <row r="68" spans="1:82" hidden="1" outlineLevel="1" x14ac:dyDescent="0.2">
      <c r="A68" s="1280" t="s">
        <v>391</v>
      </c>
      <c r="B68" s="1316"/>
      <c r="C68" s="1316"/>
      <c r="D68" s="1317"/>
      <c r="E68" s="1317"/>
      <c r="F68" s="1317"/>
      <c r="G68" s="1317"/>
      <c r="H68" s="1318"/>
      <c r="I68" s="1317"/>
      <c r="J68" s="1317"/>
      <c r="K68" s="1317"/>
      <c r="L68" s="1292"/>
      <c r="M68" s="1319"/>
      <c r="N68" s="1292"/>
      <c r="O68" s="1292"/>
      <c r="P68" s="1292"/>
      <c r="Q68" s="1292"/>
      <c r="R68" s="1319"/>
      <c r="S68" s="1292">
        <v>0</v>
      </c>
      <c r="T68" s="1292">
        <v>0</v>
      </c>
      <c r="U68" s="1292">
        <v>0</v>
      </c>
      <c r="V68" s="1293">
        <v>0</v>
      </c>
      <c r="W68" s="1391">
        <f>SUM(S68:V68)</f>
        <v>0</v>
      </c>
      <c r="X68" s="1292"/>
      <c r="Y68" s="1292"/>
      <c r="Z68" s="1292"/>
      <c r="AA68" s="1293"/>
      <c r="AB68" s="1319"/>
      <c r="AC68" s="1292">
        <v>0</v>
      </c>
      <c r="AD68" s="1291">
        <v>42.852640000000001</v>
      </c>
      <c r="AE68" s="1291">
        <f>87.5-2.5</f>
        <v>85</v>
      </c>
      <c r="AF68" s="1297">
        <f>AF61-(AA61*(1+AF66))-2.5*(2/3)-(51/5)*(1/4)*(1/2)-1</f>
        <v>83.493156333333332</v>
      </c>
      <c r="AG68" s="1319">
        <f>SUM(AC68:AF68)</f>
        <v>211.34579633333334</v>
      </c>
      <c r="AH68" s="1292">
        <f>89.6-(51/5)*(1/4)</f>
        <v>87.05</v>
      </c>
      <c r="AI68" s="1292">
        <f>AD68+48.4</f>
        <v>91.25264</v>
      </c>
      <c r="AJ68" s="1292">
        <f>AE68*(1+AJ69)</f>
        <v>80.834999999999994</v>
      </c>
      <c r="AK68" s="1292">
        <f>AF68*(1+AK69)</f>
        <v>78.901032735000001</v>
      </c>
      <c r="AL68" s="1320">
        <f>SUM(AH68:AK68)</f>
        <v>338.03867273499998</v>
      </c>
      <c r="AM68" s="1321"/>
      <c r="AN68" s="1321"/>
      <c r="AO68" s="1321">
        <f>(1+AO69)*AJ68</f>
        <v>83.502554999999987</v>
      </c>
      <c r="AP68" s="1321">
        <f>(1+AP69)*AK68</f>
        <v>81.741469913460008</v>
      </c>
      <c r="AQ68" s="1320"/>
      <c r="AR68" s="1321"/>
      <c r="AS68" s="1321"/>
      <c r="AT68" s="1321"/>
      <c r="AU68" s="1321"/>
      <c r="AV68" s="1320"/>
      <c r="AW68" s="1321"/>
      <c r="AX68" s="1321"/>
      <c r="AY68" s="1321"/>
      <c r="AZ68" s="1500"/>
      <c r="BA68" s="1500"/>
      <c r="BB68" s="1321"/>
      <c r="BC68" s="1321"/>
      <c r="BD68" s="1321"/>
      <c r="BE68" s="1500"/>
      <c r="BF68" s="1500"/>
      <c r="BG68" s="1321"/>
      <c r="BH68" s="1321"/>
      <c r="BI68" s="1321"/>
      <c r="BJ68" s="1321"/>
      <c r="BK68" s="1320"/>
      <c r="BL68" s="1380"/>
      <c r="BM68" s="1277"/>
      <c r="BN68" s="1277"/>
      <c r="BO68" s="1277"/>
      <c r="BP68" s="1277"/>
      <c r="BQ68" s="1278"/>
      <c r="BR68" s="1278" t="str">
        <f t="shared" ref="BR68:BR73" si="32">A68</f>
        <v>Energy - Wood Mac</v>
      </c>
      <c r="BS68" s="1327">
        <f>H68</f>
        <v>0</v>
      </c>
      <c r="BT68" s="1327">
        <f>M68</f>
        <v>0</v>
      </c>
      <c r="BU68" s="1327">
        <f>R68</f>
        <v>0</v>
      </c>
      <c r="BV68" s="1327">
        <f>W68</f>
        <v>0</v>
      </c>
      <c r="BW68" s="1327">
        <f>AB68</f>
        <v>0</v>
      </c>
      <c r="BX68" s="1327">
        <f>AG68</f>
        <v>211.34579633333334</v>
      </c>
      <c r="BY68" s="1327">
        <f>AL68</f>
        <v>338.03867273499998</v>
      </c>
      <c r="BZ68" s="1327">
        <f>AQ68</f>
        <v>0</v>
      </c>
      <c r="CA68" s="1327">
        <f>AV68</f>
        <v>0</v>
      </c>
      <c r="CB68" s="1327">
        <f>BA68</f>
        <v>0</v>
      </c>
      <c r="CC68" s="1327">
        <f>BF68</f>
        <v>0</v>
      </c>
      <c r="CD68" s="1327">
        <f>BK68</f>
        <v>0</v>
      </c>
    </row>
    <row r="69" spans="1:82" hidden="1" outlineLevel="1" x14ac:dyDescent="0.2">
      <c r="A69" s="729" t="s">
        <v>392</v>
      </c>
      <c r="B69" s="1280"/>
      <c r="C69" s="1381"/>
      <c r="D69" s="1323"/>
      <c r="E69" s="1323"/>
      <c r="F69" s="1323"/>
      <c r="G69" s="1323"/>
      <c r="H69" s="1322"/>
      <c r="I69" s="1230"/>
      <c r="J69" s="1230"/>
      <c r="K69" s="1230"/>
      <c r="L69" s="1230"/>
      <c r="M69" s="1322"/>
      <c r="N69" s="1230"/>
      <c r="O69" s="1230"/>
      <c r="P69" s="1230"/>
      <c r="Q69" s="1230"/>
      <c r="R69" s="1322"/>
      <c r="S69" s="1230"/>
      <c r="T69" s="1230"/>
      <c r="U69" s="1230"/>
      <c r="V69" s="1230"/>
      <c r="W69" s="1322"/>
      <c r="X69" s="1230"/>
      <c r="Y69" s="1230"/>
      <c r="Z69" s="1230"/>
      <c r="AA69" s="1324"/>
      <c r="AB69" s="1322"/>
      <c r="AC69" s="1218" t="s">
        <v>280</v>
      </c>
      <c r="AD69" s="1218" t="s">
        <v>386</v>
      </c>
      <c r="AE69" s="1218" t="s">
        <v>386</v>
      </c>
      <c r="AF69" s="1218" t="s">
        <v>386</v>
      </c>
      <c r="AG69" s="1381" t="s">
        <v>386</v>
      </c>
      <c r="AH69" s="1323">
        <v>-0.01</v>
      </c>
      <c r="AI69" s="1230">
        <f>AI71</f>
        <v>-3.4025317148877354E-2</v>
      </c>
      <c r="AJ69" s="1230">
        <f>AJ66</f>
        <v>-4.9000000000000002E-2</v>
      </c>
      <c r="AK69" s="1324">
        <f>AK66</f>
        <v>-5.5E-2</v>
      </c>
      <c r="AL69" s="1324"/>
      <c r="AM69" s="1230"/>
      <c r="AN69" s="1230"/>
      <c r="AO69" s="1230">
        <f>CHOOSE(VA!$A$3,AO70,AO71,AO72)</f>
        <v>3.3000000000000002E-2</v>
      </c>
      <c r="AP69" s="1230">
        <f>CHOOSE(VA!$A$3,AP70,AP71,AP72)</f>
        <v>3.5999999999999997E-2</v>
      </c>
      <c r="AQ69" s="1322"/>
      <c r="AR69" s="1230"/>
      <c r="AS69" s="1230"/>
      <c r="AT69" s="1230"/>
      <c r="AU69" s="1230"/>
      <c r="AV69" s="1322"/>
      <c r="AW69" s="1230"/>
      <c r="AX69" s="1230"/>
      <c r="AY69" s="1230"/>
      <c r="AZ69" s="1324"/>
      <c r="BA69" s="1324"/>
      <c r="BB69" s="1230"/>
      <c r="BC69" s="1230"/>
      <c r="BD69" s="1230"/>
      <c r="BE69" s="1324"/>
      <c r="BF69" s="1324"/>
      <c r="BG69" s="1230"/>
      <c r="BH69" s="1230"/>
      <c r="BI69" s="1230"/>
      <c r="BJ69" s="1230"/>
      <c r="BK69" s="1322"/>
      <c r="BL69" s="1277"/>
      <c r="BM69" s="1277"/>
      <c r="BN69" s="1277"/>
      <c r="BO69" s="1277"/>
      <c r="BP69" s="1277"/>
      <c r="BQ69" s="1278"/>
      <c r="BR69" s="1294" t="str">
        <f t="shared" si="32"/>
        <v>YoY Change - Energy only</v>
      </c>
      <c r="BS69" s="1230">
        <f>H69</f>
        <v>0</v>
      </c>
      <c r="BT69" s="1230">
        <f>M69</f>
        <v>0</v>
      </c>
      <c r="BU69" s="1230">
        <f>R69</f>
        <v>0</v>
      </c>
      <c r="BV69" s="1230">
        <f>W69</f>
        <v>0</v>
      </c>
      <c r="BW69" s="1230">
        <f>AB69</f>
        <v>0</v>
      </c>
      <c r="BX69" s="1218" t="s">
        <v>386</v>
      </c>
      <c r="BY69" s="1230">
        <f>AL69</f>
        <v>0</v>
      </c>
      <c r="BZ69" s="1230">
        <f>AQ69</f>
        <v>0</v>
      </c>
      <c r="CA69" s="1230">
        <f>AV69</f>
        <v>0</v>
      </c>
      <c r="CB69" s="1230">
        <f>BA69</f>
        <v>0</v>
      </c>
      <c r="CC69" s="1230">
        <f>BF69</f>
        <v>0</v>
      </c>
      <c r="CD69" s="1230">
        <f>BK69</f>
        <v>0</v>
      </c>
    </row>
    <row r="70" spans="1:82" ht="12.75" hidden="1" customHeight="1" outlineLevel="2" x14ac:dyDescent="0.2">
      <c r="A70" s="748" t="s">
        <v>214</v>
      </c>
      <c r="B70" s="751"/>
      <c r="C70" s="768"/>
      <c r="D70" s="750"/>
      <c r="E70" s="750"/>
      <c r="F70" s="750"/>
      <c r="G70" s="750"/>
      <c r="H70" s="751"/>
      <c r="I70" s="750"/>
      <c r="J70" s="750"/>
      <c r="K70" s="750"/>
      <c r="L70" s="750"/>
      <c r="M70" s="751"/>
      <c r="N70" s="750"/>
      <c r="O70" s="750"/>
      <c r="P70" s="750"/>
      <c r="Q70" s="753"/>
      <c r="R70" s="752"/>
      <c r="S70" s="750"/>
      <c r="T70" s="750"/>
      <c r="U70" s="750"/>
      <c r="V70" s="753"/>
      <c r="W70" s="752"/>
      <c r="X70" s="750"/>
      <c r="Y70" s="750"/>
      <c r="Z70" s="750"/>
      <c r="AA70" s="749"/>
      <c r="AB70" s="752"/>
      <c r="AC70" s="753"/>
      <c r="AD70" s="753"/>
      <c r="AE70" s="753"/>
      <c r="AF70" s="756"/>
      <c r="AG70" s="756"/>
      <c r="AH70" s="750"/>
      <c r="AI70" s="750"/>
      <c r="AJ70" s="750"/>
      <c r="AK70" s="749"/>
      <c r="AL70" s="756"/>
      <c r="AM70" s="750"/>
      <c r="AN70" s="750"/>
      <c r="AO70" s="750"/>
      <c r="AP70" s="749">
        <f>AP71-0.015</f>
        <v>2.0999999999999998E-2</v>
      </c>
      <c r="AQ70" s="756"/>
      <c r="AR70" s="750"/>
      <c r="AS70" s="750"/>
      <c r="AT70" s="750"/>
      <c r="AU70" s="750"/>
      <c r="AV70" s="752"/>
      <c r="AW70" s="750"/>
      <c r="AX70" s="750"/>
      <c r="AY70" s="750"/>
      <c r="AZ70" s="749"/>
      <c r="BA70" s="756"/>
      <c r="BB70" s="750"/>
      <c r="BC70" s="750"/>
      <c r="BD70" s="750"/>
      <c r="BE70" s="749"/>
      <c r="BF70" s="756"/>
      <c r="BG70" s="750"/>
      <c r="BH70" s="750"/>
      <c r="BI70" s="750"/>
      <c r="BJ70" s="750"/>
      <c r="BK70" s="752"/>
      <c r="BL70" s="716"/>
      <c r="BM70" s="716"/>
      <c r="BN70" s="716"/>
      <c r="BO70" s="716"/>
      <c r="BP70" s="716"/>
      <c r="BQ70" s="716"/>
      <c r="BR70" s="939" t="str">
        <f t="shared" si="32"/>
        <v>BEAR</v>
      </c>
      <c r="BS70" s="750"/>
      <c r="BT70" s="750"/>
      <c r="BU70" s="750"/>
      <c r="BV70" s="750"/>
      <c r="BW70" s="750"/>
      <c r="BX70" s="750"/>
      <c r="BY70" s="750"/>
      <c r="BZ70" s="750"/>
      <c r="CA70" s="750"/>
      <c r="CB70" s="750"/>
      <c r="CC70" s="750"/>
      <c r="CD70" s="750"/>
    </row>
    <row r="71" spans="1:82" ht="12.75" hidden="1" customHeight="1" outlineLevel="2" x14ac:dyDescent="0.2">
      <c r="A71" s="748" t="s">
        <v>215</v>
      </c>
      <c r="B71" s="751"/>
      <c r="C71" s="768"/>
      <c r="D71" s="750"/>
      <c r="E71" s="750"/>
      <c r="F71" s="750"/>
      <c r="G71" s="750"/>
      <c r="H71" s="751"/>
      <c r="I71" s="750"/>
      <c r="J71" s="750"/>
      <c r="K71" s="819"/>
      <c r="L71" s="750"/>
      <c r="M71" s="751"/>
      <c r="N71" s="750"/>
      <c r="O71" s="750"/>
      <c r="P71" s="750"/>
      <c r="Q71" s="753"/>
      <c r="R71" s="752"/>
      <c r="S71" s="750"/>
      <c r="T71" s="750"/>
      <c r="U71" s="750"/>
      <c r="V71" s="1382"/>
      <c r="W71" s="752"/>
      <c r="X71" s="750"/>
      <c r="Y71" s="750"/>
      <c r="Z71" s="750"/>
      <c r="AA71" s="749"/>
      <c r="AB71" s="752"/>
      <c r="AC71" s="753"/>
      <c r="AD71" s="1325">
        <f>AD68/(42/90)</f>
        <v>91.827085714285715</v>
      </c>
      <c r="AE71" s="753"/>
      <c r="AF71" s="756"/>
      <c r="AG71" s="756"/>
      <c r="AH71" s="750">
        <f>AH69</f>
        <v>-0.01</v>
      </c>
      <c r="AI71" s="750">
        <f>(AI68-51/5/4)/AD71-1</f>
        <v>-3.4025317148877354E-2</v>
      </c>
      <c r="AJ71" s="750"/>
      <c r="AK71" s="749"/>
      <c r="AL71" s="1326"/>
      <c r="AM71" s="753"/>
      <c r="AN71" s="753"/>
      <c r="AO71" s="753">
        <v>3.3000000000000002E-2</v>
      </c>
      <c r="AP71" s="753">
        <v>3.5999999999999997E-2</v>
      </c>
      <c r="AQ71" s="1307"/>
      <c r="AR71" s="753"/>
      <c r="AS71" s="753"/>
      <c r="AT71" s="753"/>
      <c r="AU71" s="753"/>
      <c r="AV71" s="1307"/>
      <c r="AW71" s="753"/>
      <c r="AX71" s="753"/>
      <c r="AY71" s="753"/>
      <c r="AZ71" s="756"/>
      <c r="BA71" s="1326"/>
      <c r="BB71" s="753"/>
      <c r="BC71" s="753"/>
      <c r="BD71" s="753"/>
      <c r="BE71" s="756"/>
      <c r="BF71" s="1326"/>
      <c r="BG71" s="753"/>
      <c r="BH71" s="753"/>
      <c r="BI71" s="753"/>
      <c r="BJ71" s="753"/>
      <c r="BK71" s="1307"/>
      <c r="BL71" s="716"/>
      <c r="BM71" s="716"/>
      <c r="BN71" s="716"/>
      <c r="BO71" s="716"/>
      <c r="BP71" s="716"/>
      <c r="BQ71" s="716"/>
      <c r="BR71" s="939" t="str">
        <f t="shared" si="32"/>
        <v>BASE</v>
      </c>
      <c r="BS71" s="750"/>
      <c r="BT71" s="750"/>
      <c r="BU71" s="750"/>
      <c r="BV71" s="750"/>
      <c r="BW71" s="750"/>
      <c r="BX71" s="750"/>
      <c r="BY71" s="750"/>
      <c r="BZ71" s="750"/>
      <c r="CA71" s="750"/>
      <c r="CB71" s="750"/>
      <c r="CC71" s="750"/>
      <c r="CD71" s="750"/>
    </row>
    <row r="72" spans="1:82" ht="12.75" hidden="1" customHeight="1" outlineLevel="2" x14ac:dyDescent="0.2">
      <c r="A72" s="748" t="s">
        <v>216</v>
      </c>
      <c r="B72" s="751"/>
      <c r="C72" s="768"/>
      <c r="D72" s="750"/>
      <c r="E72" s="750"/>
      <c r="F72" s="750"/>
      <c r="G72" s="750"/>
      <c r="H72" s="751"/>
      <c r="I72" s="750"/>
      <c r="J72" s="750"/>
      <c r="K72" s="750"/>
      <c r="L72" s="750"/>
      <c r="M72" s="751"/>
      <c r="N72" s="750"/>
      <c r="O72" s="750"/>
      <c r="P72" s="750"/>
      <c r="Q72" s="753"/>
      <c r="R72" s="752"/>
      <c r="S72" s="750"/>
      <c r="T72" s="750"/>
      <c r="U72" s="750"/>
      <c r="V72" s="753"/>
      <c r="W72" s="752"/>
      <c r="X72" s="750"/>
      <c r="Y72" s="750"/>
      <c r="Z72" s="750"/>
      <c r="AA72" s="749"/>
      <c r="AB72" s="752"/>
      <c r="AC72" s="753"/>
      <c r="AD72" s="753"/>
      <c r="AE72" s="753"/>
      <c r="AF72" s="756"/>
      <c r="AG72" s="756"/>
      <c r="AH72" s="750"/>
      <c r="AI72" s="750"/>
      <c r="AJ72" s="750"/>
      <c r="AK72" s="749"/>
      <c r="AL72" s="756"/>
      <c r="AM72" s="750"/>
      <c r="AN72" s="750"/>
      <c r="AO72" s="750"/>
      <c r="AP72" s="749">
        <f>AP71+0.015</f>
        <v>5.0999999999999997E-2</v>
      </c>
      <c r="AQ72" s="756"/>
      <c r="AR72" s="750"/>
      <c r="AS72" s="750"/>
      <c r="AT72" s="750"/>
      <c r="AU72" s="750"/>
      <c r="AV72" s="752"/>
      <c r="AW72" s="750"/>
      <c r="AX72" s="750"/>
      <c r="AY72" s="750"/>
      <c r="AZ72" s="749"/>
      <c r="BA72" s="756"/>
      <c r="BB72" s="750"/>
      <c r="BC72" s="750"/>
      <c r="BD72" s="750"/>
      <c r="BE72" s="749"/>
      <c r="BF72" s="756"/>
      <c r="BG72" s="750"/>
      <c r="BH72" s="750"/>
      <c r="BI72" s="750"/>
      <c r="BJ72" s="750"/>
      <c r="BK72" s="752"/>
      <c r="BL72" s="716"/>
      <c r="BM72" s="716"/>
      <c r="BN72" s="716"/>
      <c r="BO72" s="716"/>
      <c r="BP72" s="716"/>
      <c r="BQ72" s="716"/>
      <c r="BR72" s="939" t="str">
        <f t="shared" si="32"/>
        <v>BULL</v>
      </c>
      <c r="BS72" s="750"/>
      <c r="BT72" s="750"/>
      <c r="BU72" s="750"/>
      <c r="BV72" s="750"/>
      <c r="BW72" s="750"/>
      <c r="BX72" s="750"/>
      <c r="BY72" s="750"/>
      <c r="BZ72" s="750"/>
      <c r="CA72" s="750"/>
      <c r="CB72" s="750"/>
      <c r="CC72" s="750"/>
      <c r="CD72" s="750"/>
    </row>
    <row r="73" spans="1:82" ht="17.25" hidden="1" customHeight="1" outlineLevel="1" collapsed="1" x14ac:dyDescent="0.25">
      <c r="A73" s="1330" t="s">
        <v>393</v>
      </c>
      <c r="B73" s="91"/>
      <c r="C73" s="1381"/>
      <c r="D73" s="716"/>
      <c r="E73" s="716"/>
      <c r="F73" s="716"/>
      <c r="G73" s="716"/>
      <c r="H73" s="731"/>
      <c r="I73" s="716"/>
      <c r="J73" s="716"/>
      <c r="K73" s="716"/>
      <c r="L73" s="716"/>
      <c r="M73" s="731"/>
      <c r="N73" s="716"/>
      <c r="O73" s="716"/>
      <c r="P73" s="716"/>
      <c r="Q73" s="716"/>
      <c r="R73" s="1309"/>
      <c r="S73" s="716"/>
      <c r="T73" s="716"/>
      <c r="U73" s="716"/>
      <c r="V73" s="716"/>
      <c r="W73" s="1309"/>
      <c r="X73" s="716"/>
      <c r="Y73" s="716"/>
      <c r="Z73" s="716"/>
      <c r="AA73" s="714"/>
      <c r="AB73" s="731"/>
      <c r="AC73" s="1392">
        <v>8.6999999999999994E-2</v>
      </c>
      <c r="AD73" s="1392">
        <v>0.1</v>
      </c>
      <c r="AE73" s="1392">
        <v>0.01</v>
      </c>
      <c r="AF73" s="1393">
        <v>-0.01</v>
      </c>
      <c r="AG73" s="731">
        <v>0.05</v>
      </c>
      <c r="AH73" s="716">
        <v>0.01</v>
      </c>
      <c r="AI73" s="716">
        <f>AI71+0.02</f>
        <v>-1.4025317148877354E-2</v>
      </c>
      <c r="AJ73" s="716">
        <f>+AJ66+0.06</f>
        <v>1.0999999999999996E-2</v>
      </c>
      <c r="AK73" s="714">
        <v>5.0000000000000001E-3</v>
      </c>
      <c r="AL73" s="746">
        <f>AVERAGE(AH73:AK73)</f>
        <v>2.9936707127806604E-3</v>
      </c>
      <c r="AM73" s="1310"/>
      <c r="AN73" s="1310"/>
      <c r="AO73" s="1310">
        <v>3.3000000000000002E-2</v>
      </c>
      <c r="AP73" s="1310">
        <f>AP71</f>
        <v>3.5999999999999997E-2</v>
      </c>
      <c r="AQ73" s="1897"/>
      <c r="AR73" s="1310"/>
      <c r="AS73" s="1310"/>
      <c r="AT73" s="1310"/>
      <c r="AU73" s="1332"/>
      <c r="AV73" s="1926"/>
      <c r="AW73" s="1310"/>
      <c r="AX73" s="1310"/>
      <c r="AY73" s="1310"/>
      <c r="AZ73" s="1332"/>
      <c r="BA73" s="1926"/>
      <c r="BB73" s="1310"/>
      <c r="BC73" s="1310"/>
      <c r="BD73" s="1310"/>
      <c r="BE73" s="1332"/>
      <c r="BF73" s="1926"/>
      <c r="BG73" s="1310"/>
      <c r="BH73" s="1310"/>
      <c r="BI73" s="1310"/>
      <c r="BJ73" s="1310"/>
      <c r="BK73" s="1926"/>
      <c r="BL73" s="716"/>
      <c r="BM73" s="716"/>
      <c r="BN73" s="716"/>
      <c r="BO73" s="716"/>
      <c r="BP73" s="716"/>
      <c r="BQ73" s="716"/>
      <c r="BR73" s="1331" t="str">
        <f t="shared" si="32"/>
        <v>Organic c/c growth - Energy only</v>
      </c>
      <c r="BS73" s="90">
        <f>H73</f>
        <v>0</v>
      </c>
      <c r="BT73" s="90">
        <f>M73</f>
        <v>0</v>
      </c>
      <c r="BU73" s="90">
        <f>R73</f>
        <v>0</v>
      </c>
      <c r="BV73" s="90">
        <f>W73</f>
        <v>0</v>
      </c>
      <c r="BW73" s="90">
        <f>AB73</f>
        <v>0</v>
      </c>
      <c r="BX73" s="90">
        <f>AG73</f>
        <v>0.05</v>
      </c>
      <c r="BY73" s="90">
        <f>AL73</f>
        <v>2.9936707127806604E-3</v>
      </c>
      <c r="BZ73" s="90">
        <f>AQ73</f>
        <v>0</v>
      </c>
      <c r="CA73" s="90">
        <f>AV73</f>
        <v>0</v>
      </c>
      <c r="CB73" s="90">
        <f>BA73</f>
        <v>0</v>
      </c>
      <c r="CC73" s="90">
        <f>BF73</f>
        <v>0</v>
      </c>
      <c r="CD73" s="90">
        <f>BK73</f>
        <v>0</v>
      </c>
    </row>
    <row r="74" spans="1:82" ht="4.5" customHeight="1" collapsed="1" x14ac:dyDescent="0.2">
      <c r="A74" s="1280"/>
      <c r="B74" s="1280"/>
      <c r="C74" s="1280"/>
      <c r="D74" s="1278"/>
      <c r="E74" s="1278"/>
      <c r="F74" s="1278"/>
      <c r="G74" s="1278"/>
      <c r="H74" s="1280"/>
      <c r="I74" s="1278"/>
      <c r="J74" s="1278"/>
      <c r="K74" s="1278"/>
      <c r="L74" s="1278"/>
      <c r="M74" s="1280"/>
      <c r="N74" s="1278"/>
      <c r="O74" s="1278"/>
      <c r="P74" s="1278"/>
      <c r="Q74" s="1278"/>
      <c r="R74" s="1280"/>
      <c r="S74" s="1278"/>
      <c r="T74" s="1278"/>
      <c r="U74" s="1278"/>
      <c r="V74" s="1278"/>
      <c r="W74" s="1280"/>
      <c r="X74" s="1282"/>
      <c r="Y74" s="1278"/>
      <c r="Z74" s="1278"/>
      <c r="AA74" s="1283"/>
      <c r="AB74" s="1280"/>
      <c r="AC74" s="1282"/>
      <c r="AD74" s="1278"/>
      <c r="AF74" s="1394"/>
      <c r="AG74" s="1391"/>
      <c r="AH74" s="1278"/>
      <c r="AI74" s="1278"/>
      <c r="AJ74" s="1278"/>
      <c r="AL74" s="1281"/>
      <c r="AM74" s="1278"/>
      <c r="AN74" s="1278"/>
      <c r="AO74" s="1278"/>
      <c r="AP74" s="1278"/>
      <c r="AQ74" s="1281"/>
      <c r="AR74" s="1278"/>
      <c r="AS74" s="1278"/>
      <c r="AT74" s="1278"/>
      <c r="AU74" s="1278"/>
      <c r="AV74" s="1281"/>
      <c r="AW74" s="1278"/>
      <c r="AX74" s="1278"/>
      <c r="AY74" s="1278"/>
      <c r="AZ74" s="1283"/>
      <c r="BA74" s="1360"/>
      <c r="BB74" s="1278"/>
      <c r="BC74" s="1278"/>
      <c r="BD74" s="1278"/>
      <c r="BE74" s="1283"/>
      <c r="BF74" s="1360"/>
      <c r="BG74" s="1278"/>
      <c r="BH74" s="1278"/>
      <c r="BI74" s="1278"/>
      <c r="BJ74" s="1278"/>
      <c r="BK74" s="1281"/>
      <c r="BL74" s="1277"/>
      <c r="BM74" s="1277"/>
      <c r="BN74" s="1277"/>
      <c r="BO74" s="1277"/>
      <c r="BP74" s="1277"/>
      <c r="BQ74" s="1278"/>
      <c r="BR74" s="1278"/>
      <c r="BS74" s="1278"/>
      <c r="BT74" s="1278"/>
      <c r="BU74" s="1278"/>
      <c r="BV74" s="1278"/>
      <c r="BW74" s="1278"/>
      <c r="BX74" s="1278"/>
      <c r="BY74" s="1278"/>
      <c r="BZ74" s="1278"/>
      <c r="CA74" s="1278"/>
      <c r="CB74" s="1278"/>
      <c r="CC74" s="1278"/>
      <c r="CD74" s="1278"/>
    </row>
    <row r="75" spans="1:82" ht="14.25" hidden="1" customHeight="1" outlineLevel="1" x14ac:dyDescent="0.2">
      <c r="A75" s="1373" t="s">
        <v>394</v>
      </c>
      <c r="B75" s="1395"/>
      <c r="C75" s="1395">
        <f>SUM(C24,C61,C46,C42,C40)</f>
        <v>397.50100000000003</v>
      </c>
      <c r="D75" s="1396">
        <f t="shared" ref="D75:U75" si="33">SUM(D24,D61,D46,D42,D40)</f>
        <v>107.80899999999998</v>
      </c>
      <c r="E75" s="1396">
        <f t="shared" si="33"/>
        <v>114.43300000000001</v>
      </c>
      <c r="F75" s="1396">
        <f t="shared" si="33"/>
        <v>115.029</v>
      </c>
      <c r="G75" s="1396">
        <f t="shared" si="33"/>
        <v>121.569</v>
      </c>
      <c r="H75" s="1395">
        <f t="shared" si="33"/>
        <v>458.84</v>
      </c>
      <c r="I75" s="1396">
        <f t="shared" si="33"/>
        <v>140.87300000000002</v>
      </c>
      <c r="J75" s="1396">
        <f t="shared" si="33"/>
        <v>152.26900000000003</v>
      </c>
      <c r="K75" s="1396">
        <f t="shared" si="33"/>
        <v>166.915505</v>
      </c>
      <c r="L75" s="1396">
        <f t="shared" si="33"/>
        <v>179.04249499999992</v>
      </c>
      <c r="M75" s="1397">
        <f t="shared" si="33"/>
        <v>639.1</v>
      </c>
      <c r="N75" s="1396">
        <f>SUM(N24,N61,N46,N42,N40)</f>
        <v>168.50000000000003</v>
      </c>
      <c r="O75" s="1396">
        <f t="shared" si="33"/>
        <v>194.90000000000003</v>
      </c>
      <c r="P75" s="1396">
        <f t="shared" si="33"/>
        <v>222.90000000000003</v>
      </c>
      <c r="Q75" s="1398">
        <f t="shared" si="33"/>
        <v>242</v>
      </c>
      <c r="R75" s="1397">
        <f t="shared" si="33"/>
        <v>828.30000000000018</v>
      </c>
      <c r="S75" s="1396">
        <f t="shared" si="33"/>
        <v>224.08400000000003</v>
      </c>
      <c r="T75" s="1396">
        <f t="shared" si="33"/>
        <v>236.10699999999997</v>
      </c>
      <c r="U75" s="1396">
        <f t="shared" si="33"/>
        <v>256.87199999999996</v>
      </c>
      <c r="V75" s="1398">
        <f>SUM(V24,V61,V46,V42,V40)</f>
        <v>260.37399999999997</v>
      </c>
      <c r="W75" s="1397">
        <f>SUM(W24,W61,W46,W42,W40)</f>
        <v>977.43700000000001</v>
      </c>
      <c r="X75" s="1282"/>
      <c r="Y75" s="1278"/>
      <c r="Z75" s="1278"/>
      <c r="AA75" s="1283"/>
      <c r="AB75" s="1280"/>
      <c r="AC75" s="1314"/>
      <c r="AD75" s="1312"/>
      <c r="AE75" s="1278"/>
      <c r="AF75" s="1283"/>
      <c r="AG75" s="1283"/>
      <c r="AH75" s="1278"/>
      <c r="AI75" s="1278"/>
      <c r="AJ75" s="1278"/>
      <c r="AK75" s="1278"/>
      <c r="AL75" s="1280"/>
      <c r="AM75" s="1278"/>
      <c r="AN75" s="1278"/>
      <c r="AO75" s="1278"/>
      <c r="AP75" s="1278"/>
      <c r="AQ75" s="1280"/>
      <c r="AR75" s="1278"/>
      <c r="AS75" s="1278"/>
      <c r="AT75" s="1278"/>
      <c r="AU75" s="1278"/>
      <c r="AV75" s="1280"/>
      <c r="AW75" s="1278"/>
      <c r="AX75" s="1278"/>
      <c r="AY75" s="1278"/>
      <c r="AZ75" s="1283"/>
      <c r="BA75" s="1283"/>
      <c r="BB75" s="1278"/>
      <c r="BC75" s="1278"/>
      <c r="BD75" s="1278"/>
      <c r="BE75" s="1283"/>
      <c r="BF75" s="1283"/>
      <c r="BG75" s="1278"/>
      <c r="BH75" s="1278"/>
      <c r="BI75" s="1278"/>
      <c r="BJ75" s="1278"/>
      <c r="BK75" s="1280"/>
      <c r="BL75" s="1277"/>
      <c r="BM75" s="1277"/>
      <c r="BN75" s="1277"/>
      <c r="BO75" s="1277"/>
      <c r="BP75" s="1277"/>
      <c r="BQ75" s="1278"/>
      <c r="BR75" s="1399" t="str">
        <f>A75</f>
        <v>Restated</v>
      </c>
      <c r="BS75" s="1199">
        <f>H75</f>
        <v>458.84</v>
      </c>
      <c r="BT75" s="1199">
        <f>M75</f>
        <v>639.1</v>
      </c>
      <c r="BU75" s="1199">
        <f>R75</f>
        <v>828.30000000000018</v>
      </c>
      <c r="BV75" s="1199">
        <f>W75</f>
        <v>977.43700000000001</v>
      </c>
      <c r="BW75" s="1278"/>
      <c r="BX75" s="1278"/>
      <c r="BY75" s="1278"/>
      <c r="BZ75" s="1278"/>
      <c r="CA75" s="1278"/>
      <c r="CB75" s="1278"/>
      <c r="CC75" s="1278"/>
      <c r="CD75" s="1278"/>
    </row>
    <row r="76" spans="1:82" ht="12.75" hidden="1" customHeight="1" outlineLevel="1" x14ac:dyDescent="0.2">
      <c r="A76" s="1400" t="s">
        <v>347</v>
      </c>
      <c r="B76" s="1400">
        <f t="shared" ref="B76:L76" si="34">B24+B31+B46+B61</f>
        <v>389.15899999999999</v>
      </c>
      <c r="C76" s="1400">
        <f>C24+C31+C46+C61</f>
        <v>503.12800000000004</v>
      </c>
      <c r="D76" s="1401">
        <f t="shared" si="34"/>
        <v>141.57600000000002</v>
      </c>
      <c r="E76" s="1401">
        <f t="shared" si="34"/>
        <v>147.38799999999998</v>
      </c>
      <c r="F76" s="1401">
        <f t="shared" si="34"/>
        <v>151.08500000000004</v>
      </c>
      <c r="G76" s="1401">
        <f t="shared" si="34"/>
        <v>156.15600000000001</v>
      </c>
      <c r="H76" s="1400">
        <f t="shared" si="34"/>
        <v>596.20500000000004</v>
      </c>
      <c r="I76" s="1401">
        <f t="shared" si="34"/>
        <v>172.32599999999996</v>
      </c>
      <c r="J76" s="1401">
        <f t="shared" si="34"/>
        <v>186.75</v>
      </c>
      <c r="K76" s="1401">
        <f t="shared" si="34"/>
        <v>200.12099999999998</v>
      </c>
      <c r="L76" s="1401">
        <f t="shared" si="34"/>
        <v>209.28199999999998</v>
      </c>
      <c r="M76" s="1402">
        <f>SUM(M24+M31+M46+M61)</f>
        <v>768.47900000000004</v>
      </c>
      <c r="N76" s="1401">
        <f>N24+N31+N46+N61</f>
        <v>201.53199999999998</v>
      </c>
      <c r="O76" s="1401">
        <f>O24+O31+O46+O61</f>
        <v>229.03699999999998</v>
      </c>
      <c r="P76" s="1401">
        <f>P24+P31+P46+P61</f>
        <v>254.99599999999998</v>
      </c>
      <c r="Q76" s="304">
        <f>SUM(Q24+Q31+Q46+Q61)</f>
        <v>269.24900000000002</v>
      </c>
      <c r="R76" s="1402">
        <f>SUM(R24+R31+R46+R61)</f>
        <v>954.81400000000008</v>
      </c>
      <c r="S76" s="1401">
        <f>S24+S31+S46+S61</f>
        <v>224.08400000000003</v>
      </c>
      <c r="T76" s="1401">
        <f>T24+T31+T46+T61</f>
        <v>236.107</v>
      </c>
      <c r="U76" s="1403">
        <f t="shared" ref="U76:AB76" si="35">SUM(U24+U31+U46+U61)</f>
        <v>256.87199999999996</v>
      </c>
      <c r="V76" s="304">
        <f t="shared" si="35"/>
        <v>260.37400000000002</v>
      </c>
      <c r="W76" s="1402">
        <f t="shared" si="35"/>
        <v>977.43700000000001</v>
      </c>
      <c r="X76" s="1404">
        <f t="shared" si="35"/>
        <v>247.32999999999998</v>
      </c>
      <c r="Y76" s="304">
        <f t="shared" si="35"/>
        <v>261.60199999999998</v>
      </c>
      <c r="Z76" s="304">
        <f t="shared" si="35"/>
        <v>287.21100000000001</v>
      </c>
      <c r="AA76" s="1405">
        <f t="shared" si="35"/>
        <v>299.93099999999998</v>
      </c>
      <c r="AB76" s="1402">
        <f t="shared" si="35"/>
        <v>1096.0739999999998</v>
      </c>
      <c r="AC76" s="1404">
        <f>SUM(AC24+AC31+AC53+AC61)</f>
        <v>288.45499999999998</v>
      </c>
      <c r="AD76" s="304">
        <f>SUM(AD24+AD31+AD53+AD61)</f>
        <v>325.91999999999996</v>
      </c>
      <c r="AE76" s="305">
        <f>SUM(AE24+AE31+AE53+AE61)</f>
        <v>378.67399999999998</v>
      </c>
      <c r="AF76" s="1405">
        <f>SUM(AF24+AF31+AF53+AF61)</f>
        <v>386.80000000000007</v>
      </c>
      <c r="AG76" s="1405">
        <f>SUM(AG24+AG31+AG53+AG61)</f>
        <v>1379.8490000000002</v>
      </c>
      <c r="AH76" s="304">
        <f>SUM(AH24+AH31+AH61)</f>
        <v>312.94499999999999</v>
      </c>
      <c r="AI76" s="304">
        <f t="shared" ref="AI76:AQ76" si="36">SUM(AI24+AI31+AI61)</f>
        <v>317.17899999999997</v>
      </c>
      <c r="AJ76" s="304">
        <f t="shared" si="36"/>
        <v>317.30700000000002</v>
      </c>
      <c r="AK76" s="304">
        <f t="shared" si="36"/>
        <v>323.5</v>
      </c>
      <c r="AL76" s="1402">
        <f t="shared" si="36"/>
        <v>1270.931</v>
      </c>
      <c r="AM76" s="304">
        <f t="shared" si="36"/>
        <v>313.2</v>
      </c>
      <c r="AN76" s="304">
        <f t="shared" si="36"/>
        <v>330.6</v>
      </c>
      <c r="AO76" s="304">
        <f t="shared" si="36"/>
        <v>355.9</v>
      </c>
      <c r="AP76" s="304">
        <f t="shared" si="36"/>
        <v>375.1</v>
      </c>
      <c r="AQ76" s="1402">
        <f t="shared" si="36"/>
        <v>1374.8000000000002</v>
      </c>
      <c r="AR76" s="304">
        <f t="shared" ref="AR76:BK76" si="37">SUM(AR24+AR31+AR61)</f>
        <v>369.75749999999999</v>
      </c>
      <c r="AS76" s="304">
        <f t="shared" si="37"/>
        <v>380.93349999999998</v>
      </c>
      <c r="AT76" s="304">
        <f t="shared" si="37"/>
        <v>395.85133333333334</v>
      </c>
      <c r="AU76" s="304">
        <f t="shared" si="37"/>
        <v>406.85299999999995</v>
      </c>
      <c r="AV76" s="1402">
        <f t="shared" si="37"/>
        <v>1553.3953333333334</v>
      </c>
      <c r="AW76" s="304">
        <f t="shared" si="37"/>
        <v>392.03801999999996</v>
      </c>
      <c r="AX76" s="304">
        <f t="shared" si="37"/>
        <v>404.41124000000002</v>
      </c>
      <c r="AY76" s="304">
        <f t="shared" si="37"/>
        <v>420.35475374999999</v>
      </c>
      <c r="AZ76" s="1405">
        <f t="shared" si="37"/>
        <v>432.53458000000001</v>
      </c>
      <c r="BA76" s="1405">
        <f t="shared" si="37"/>
        <v>1649.3385937499997</v>
      </c>
      <c r="BB76" s="304">
        <f t="shared" si="37"/>
        <v>415.27130120000004</v>
      </c>
      <c r="BC76" s="304">
        <f t="shared" si="37"/>
        <v>428.40912059999999</v>
      </c>
      <c r="BD76" s="304">
        <f t="shared" si="37"/>
        <v>445.35361986250007</v>
      </c>
      <c r="BE76" s="1405">
        <f t="shared" si="37"/>
        <v>458.1886892</v>
      </c>
      <c r="BF76" s="1405">
        <f t="shared" si="37"/>
        <v>1747.2227308624999</v>
      </c>
      <c r="BG76" s="304">
        <f t="shared" si="37"/>
        <v>439.95328137600001</v>
      </c>
      <c r="BH76" s="304">
        <f t="shared" si="37"/>
        <v>453.90573889400002</v>
      </c>
      <c r="BI76" s="304">
        <f t="shared" si="37"/>
        <v>471.91510631587511</v>
      </c>
      <c r="BJ76" s="304">
        <f t="shared" si="37"/>
        <v>485.44283588800005</v>
      </c>
      <c r="BK76" s="1402">
        <f t="shared" si="37"/>
        <v>1851.2169624738751</v>
      </c>
      <c r="BL76" s="1406"/>
      <c r="BM76" s="1406"/>
      <c r="BN76" s="1406"/>
      <c r="BO76" s="1406"/>
      <c r="BP76" s="1406"/>
      <c r="BQ76" s="1401"/>
      <c r="BR76" s="1401" t="str">
        <f>A76</f>
        <v>Total Decision Analytics</v>
      </c>
      <c r="BS76" s="304">
        <f>H76</f>
        <v>596.20500000000004</v>
      </c>
      <c r="BT76" s="304">
        <f>M76</f>
        <v>768.47900000000004</v>
      </c>
      <c r="BU76" s="304">
        <f>R76</f>
        <v>954.81400000000008</v>
      </c>
      <c r="BV76" s="304">
        <f>W76</f>
        <v>977.43700000000001</v>
      </c>
      <c r="BW76" s="304">
        <f>AB76</f>
        <v>1096.0739999999998</v>
      </c>
      <c r="BX76" s="304">
        <f>AG76</f>
        <v>1379.8490000000002</v>
      </c>
      <c r="BY76" s="304">
        <f>AL76</f>
        <v>1270.931</v>
      </c>
      <c r="BZ76" s="304">
        <f>AQ76</f>
        <v>1374.8000000000002</v>
      </c>
      <c r="CA76" s="304">
        <f>AV76</f>
        <v>1553.3953333333334</v>
      </c>
      <c r="CB76" s="304">
        <f>BA76</f>
        <v>1649.3385937499997</v>
      </c>
      <c r="CC76" s="304">
        <f>BF76</f>
        <v>1747.2227308624999</v>
      </c>
      <c r="CD76" s="304">
        <f>BK76</f>
        <v>1851.2169624738751</v>
      </c>
    </row>
    <row r="77" spans="1:82" ht="16.5" hidden="1" customHeight="1" outlineLevel="1" x14ac:dyDescent="0.2">
      <c r="A77" s="729" t="s">
        <v>209</v>
      </c>
      <c r="B77" s="1280"/>
      <c r="C77" s="1322">
        <f>C76/B76-1</f>
        <v>0.29285973085551165</v>
      </c>
      <c r="D77" s="1323">
        <v>0.219</v>
      </c>
      <c r="E77" s="1323">
        <v>0.183</v>
      </c>
      <c r="F77" s="1323">
        <v>0.17799999999999999</v>
      </c>
      <c r="G77" s="1323">
        <v>0.16500000000000001</v>
      </c>
      <c r="H77" s="1322">
        <f>H76/C76-1</f>
        <v>0.18499666088947553</v>
      </c>
      <c r="I77" s="1230">
        <f>I76/D76-1</f>
        <v>0.21719783014070138</v>
      </c>
      <c r="J77" s="1230">
        <f>J76/E76-1</f>
        <v>0.26706380438027533</v>
      </c>
      <c r="K77" s="1230">
        <f>K76/F76-1</f>
        <v>0.32455902306648521</v>
      </c>
      <c r="L77" s="1230">
        <f t="shared" ref="L77:V77" si="38">L76/G76-1</f>
        <v>0.34021107098030168</v>
      </c>
      <c r="M77" s="1322">
        <f t="shared" si="38"/>
        <v>0.28895094807993882</v>
      </c>
      <c r="N77" s="1230">
        <f t="shared" si="38"/>
        <v>0.16948109977600612</v>
      </c>
      <c r="O77" s="1230">
        <f t="shared" si="38"/>
        <v>0.22643641231593037</v>
      </c>
      <c r="P77" s="1230">
        <f t="shared" si="38"/>
        <v>0.27420910349238703</v>
      </c>
      <c r="Q77" s="1230">
        <f t="shared" si="38"/>
        <v>0.28653682590953844</v>
      </c>
      <c r="R77" s="1322">
        <f t="shared" si="38"/>
        <v>0.24247246834331193</v>
      </c>
      <c r="S77" s="1230">
        <f t="shared" si="38"/>
        <v>0.1119028243653617</v>
      </c>
      <c r="T77" s="1230">
        <f t="shared" si="38"/>
        <v>3.0868374978715307E-2</v>
      </c>
      <c r="U77" s="1230">
        <f t="shared" si="38"/>
        <v>7.3569781486766406E-3</v>
      </c>
      <c r="V77" s="1230">
        <f t="shared" si="38"/>
        <v>-3.2962053712362938E-2</v>
      </c>
      <c r="W77" s="1322">
        <f>W75/R75-1</f>
        <v>0.1800519135578893</v>
      </c>
      <c r="X77" s="1407">
        <f>X76/S75-1</f>
        <v>0.1037378840077825</v>
      </c>
      <c r="Y77" s="1230">
        <f>Y76/T75-1</f>
        <v>0.1079807036640168</v>
      </c>
      <c r="Z77" s="1230">
        <f>Z76/U75-1</f>
        <v>0.11810940857703467</v>
      </c>
      <c r="AA77" s="1324">
        <f>AA76/V75-1</f>
        <v>0.15192377119067202</v>
      </c>
      <c r="AB77" s="1322">
        <f>AB76/W75-1</f>
        <v>0.1213755976088482</v>
      </c>
      <c r="AC77" s="1407">
        <f t="shared" ref="AC77:AQ77" si="39">AC76/X76-1</f>
        <v>0.16627582581975497</v>
      </c>
      <c r="AD77" s="1230">
        <f t="shared" si="39"/>
        <v>0.24586203469392442</v>
      </c>
      <c r="AE77" s="1230">
        <f t="shared" si="39"/>
        <v>0.31845228769093081</v>
      </c>
      <c r="AF77" s="1324">
        <f t="shared" si="39"/>
        <v>0.28962994822142463</v>
      </c>
      <c r="AG77" s="1322">
        <f t="shared" si="39"/>
        <v>0.25890131505719527</v>
      </c>
      <c r="AH77" s="1230">
        <f t="shared" si="39"/>
        <v>8.4900591080064425E-2</v>
      </c>
      <c r="AI77" s="1230">
        <f t="shared" si="39"/>
        <v>-2.6819464899361711E-2</v>
      </c>
      <c r="AJ77" s="1230">
        <f t="shared" si="39"/>
        <v>-0.16205760099716371</v>
      </c>
      <c r="AK77" s="1230">
        <f t="shared" si="39"/>
        <v>-0.16365046535677363</v>
      </c>
      <c r="AL77" s="1322">
        <f t="shared" si="39"/>
        <v>-7.8934724016903379E-2</v>
      </c>
      <c r="AM77" s="1230">
        <f t="shared" ref="AM77" si="40">AM76/AH76-1</f>
        <v>8.1483966831230603E-4</v>
      </c>
      <c r="AN77" s="1230">
        <f t="shared" ref="AN77" si="41">AN76/AI76-1</f>
        <v>4.2313646237613689E-2</v>
      </c>
      <c r="AO77" s="1230">
        <f t="shared" si="39"/>
        <v>0.12162668960974687</v>
      </c>
      <c r="AP77" s="1230">
        <f t="shared" si="39"/>
        <v>0.15950540958268933</v>
      </c>
      <c r="AQ77" s="1322">
        <f t="shared" si="39"/>
        <v>8.1726702708487142E-2</v>
      </c>
      <c r="AR77" s="1230">
        <f t="shared" ref="AR77:BK77" si="42">AR76/AM76-1</f>
        <v>0.18057950191570882</v>
      </c>
      <c r="AS77" s="1230">
        <f t="shared" si="42"/>
        <v>0.15224894131881417</v>
      </c>
      <c r="AT77" s="1230">
        <f t="shared" si="42"/>
        <v>0.11225437857075971</v>
      </c>
      <c r="AU77" s="1230">
        <f t="shared" si="42"/>
        <v>8.4652092775259646E-2</v>
      </c>
      <c r="AV77" s="1322">
        <f t="shared" si="42"/>
        <v>0.12990641062942476</v>
      </c>
      <c r="AW77" s="1230">
        <f t="shared" si="42"/>
        <v>6.0257114460152916E-2</v>
      </c>
      <c r="AX77" s="1230">
        <f t="shared" si="42"/>
        <v>6.1632122142053714E-2</v>
      </c>
      <c r="AY77" s="1230">
        <f t="shared" si="42"/>
        <v>6.1900563048080226E-2</v>
      </c>
      <c r="AZ77" s="1324">
        <f t="shared" si="42"/>
        <v>6.3122503705269617E-2</v>
      </c>
      <c r="BA77" s="1324">
        <f t="shared" si="42"/>
        <v>6.1763582236846082E-2</v>
      </c>
      <c r="BB77" s="1230">
        <f t="shared" si="42"/>
        <v>5.9262826600338547E-2</v>
      </c>
      <c r="BC77" s="1230">
        <f t="shared" si="42"/>
        <v>5.9340290838602705E-2</v>
      </c>
      <c r="BD77" s="1230">
        <f t="shared" si="42"/>
        <v>5.9470877608696737E-2</v>
      </c>
      <c r="BE77" s="1324">
        <f t="shared" si="42"/>
        <v>5.9311117275293812E-2</v>
      </c>
      <c r="BF77" s="1324">
        <f t="shared" si="42"/>
        <v>5.9347509046003166E-2</v>
      </c>
      <c r="BG77" s="1230">
        <f t="shared" si="42"/>
        <v>5.9435795598388408E-2</v>
      </c>
      <c r="BH77" s="1230">
        <f t="shared" si="42"/>
        <v>5.9514648657085667E-2</v>
      </c>
      <c r="BI77" s="1230">
        <f t="shared" si="42"/>
        <v>5.9641339530541515E-2</v>
      </c>
      <c r="BJ77" s="1230">
        <f t="shared" si="42"/>
        <v>5.9482364646726626E-2</v>
      </c>
      <c r="BK77" s="1322">
        <f t="shared" si="42"/>
        <v>5.9519733674732622E-2</v>
      </c>
      <c r="BL77" s="1277"/>
      <c r="BM77" s="1277"/>
      <c r="BN77" s="1277"/>
      <c r="BO77" s="1277"/>
      <c r="BP77" s="1277"/>
      <c r="BQ77" s="1278"/>
      <c r="BR77" s="1294" t="str">
        <f>A77</f>
        <v>YoY Change</v>
      </c>
      <c r="BS77" s="1230">
        <f>H77</f>
        <v>0.18499666088947553</v>
      </c>
      <c r="BT77" s="1230">
        <f>M77</f>
        <v>0.28895094807993882</v>
      </c>
      <c r="BU77" s="1230">
        <f>R77</f>
        <v>0.24247246834331193</v>
      </c>
      <c r="BV77" s="1230">
        <f>W77</f>
        <v>0.1800519135578893</v>
      </c>
      <c r="BW77" s="1230">
        <f>AB77</f>
        <v>0.1213755976088482</v>
      </c>
      <c r="BX77" s="1230">
        <f>AG77</f>
        <v>0.25890131505719527</v>
      </c>
      <c r="BY77" s="1230">
        <f>AL77</f>
        <v>-7.8934724016903379E-2</v>
      </c>
      <c r="BZ77" s="1230">
        <f>AQ77</f>
        <v>8.1726702708487142E-2</v>
      </c>
      <c r="CA77" s="1230">
        <f>AV77</f>
        <v>0.12990641062942476</v>
      </c>
      <c r="CB77" s="1230">
        <f>BA77</f>
        <v>6.1763582236846082E-2</v>
      </c>
      <c r="CC77" s="1230">
        <f>BF77</f>
        <v>5.9347509046003166E-2</v>
      </c>
      <c r="CD77" s="1230">
        <f>BK77</f>
        <v>5.9519733674732622E-2</v>
      </c>
    </row>
    <row r="78" spans="1:82" ht="13.5" hidden="1" customHeight="1" outlineLevel="1" collapsed="1" x14ac:dyDescent="0.2">
      <c r="A78" s="1330" t="s">
        <v>343</v>
      </c>
      <c r="B78" s="91"/>
      <c r="C78" s="731">
        <v>0.20799999999999999</v>
      </c>
      <c r="D78" s="716">
        <v>0.20599999999999999</v>
      </c>
      <c r="E78" s="716">
        <v>0.16300000000000001</v>
      </c>
      <c r="F78" s="716">
        <v>0.161</v>
      </c>
      <c r="G78" s="716">
        <v>0.13200000000000001</v>
      </c>
      <c r="H78" s="731">
        <v>0.16400000000000001</v>
      </c>
      <c r="I78" s="716">
        <v>8.5999999999999993E-2</v>
      </c>
      <c r="J78" s="716">
        <v>0.125</v>
      </c>
      <c r="K78" s="716">
        <v>0.11899999999999999</v>
      </c>
      <c r="L78" s="716">
        <v>0.11</v>
      </c>
      <c r="M78" s="1309">
        <f>AVERAGE(I78:L78)</f>
        <v>0.10999999999999999</v>
      </c>
      <c r="N78" s="716">
        <v>9.6000000000000002E-2</v>
      </c>
      <c r="O78" s="716">
        <v>7.5999999999999998E-2</v>
      </c>
      <c r="P78" s="716">
        <v>0.11</v>
      </c>
      <c r="Q78" s="716">
        <v>7.9000000000000001E-2</v>
      </c>
      <c r="R78" s="1309">
        <f>AVERAGE(N78:Q78)</f>
        <v>9.0249999999999997E-2</v>
      </c>
      <c r="S78" s="716">
        <v>7.8E-2</v>
      </c>
      <c r="T78" s="716">
        <v>8.3000000000000004E-2</v>
      </c>
      <c r="U78" s="716">
        <v>5.1999999999999998E-2</v>
      </c>
      <c r="V78" s="716">
        <v>7.5999999999999998E-2</v>
      </c>
      <c r="W78" s="1309">
        <f>AVERAGE(S78:V78)</f>
        <v>7.2249999999999995E-2</v>
      </c>
      <c r="X78" s="716">
        <v>0.1037378840077825</v>
      </c>
      <c r="Y78" s="716">
        <v>0.1079807036640168</v>
      </c>
      <c r="Z78" s="716">
        <v>0.11810940857703467</v>
      </c>
      <c r="AA78" s="716">
        <v>0.15192377119067202</v>
      </c>
      <c r="AB78" s="1408">
        <v>0.121</v>
      </c>
      <c r="AC78" s="716">
        <v>0.156</v>
      </c>
      <c r="AD78" s="716">
        <v>0.11600000000000001</v>
      </c>
      <c r="AE78" s="1323">
        <v>1.4E-2</v>
      </c>
      <c r="AF78" s="1323">
        <f>(AF76-(AF86-1.039*SUM(AA68,AA61,AA53,AA31,AA24,AA16)))/SUM(AA68,AA61,AA53,AA31,AA24)-1</f>
        <v>3.0581297481594882E-2</v>
      </c>
      <c r="AG78" s="1322"/>
      <c r="AH78" s="1230"/>
      <c r="AI78" s="1230"/>
      <c r="AJ78" s="1230"/>
      <c r="AK78" s="1230"/>
      <c r="AL78" s="1322"/>
      <c r="AM78" s="1230"/>
      <c r="AN78" s="1230"/>
      <c r="AO78" s="1230"/>
      <c r="AP78" s="1230"/>
      <c r="AQ78" s="1322"/>
      <c r="AR78" s="1230"/>
      <c r="AS78" s="1230"/>
      <c r="AT78" s="1230"/>
      <c r="AU78" s="1230"/>
      <c r="AV78" s="1322"/>
      <c r="AW78" s="1230"/>
      <c r="AX78" s="1230"/>
      <c r="AY78" s="1230"/>
      <c r="AZ78" s="1324"/>
      <c r="BA78" s="1324"/>
      <c r="BB78" s="1230"/>
      <c r="BC78" s="1230"/>
      <c r="BD78" s="1230"/>
      <c r="BE78" s="1324"/>
      <c r="BF78" s="1324"/>
      <c r="BG78" s="1230"/>
      <c r="BH78" s="1230"/>
      <c r="BI78" s="1230"/>
      <c r="BJ78" s="1230"/>
      <c r="BK78" s="1322"/>
      <c r="BL78" s="716"/>
      <c r="BM78" s="716"/>
      <c r="BN78" s="716"/>
      <c r="BO78" s="716"/>
      <c r="BP78" s="716"/>
      <c r="BQ78" s="716"/>
      <c r="BR78" s="1294" t="str">
        <f>A78</f>
        <v>Organic growth</v>
      </c>
      <c r="BS78" s="90">
        <f>H78</f>
        <v>0.16400000000000001</v>
      </c>
      <c r="BT78" s="90">
        <f>M78</f>
        <v>0.10999999999999999</v>
      </c>
      <c r="BU78" s="90">
        <f>R78</f>
        <v>9.0249999999999997E-2</v>
      </c>
      <c r="BV78" s="90">
        <f>W78</f>
        <v>7.2249999999999995E-2</v>
      </c>
      <c r="BW78" s="90">
        <f>AB78</f>
        <v>0.121</v>
      </c>
      <c r="BX78" s="90">
        <f>AG78</f>
        <v>0</v>
      </c>
      <c r="BY78" s="90">
        <f>AL78</f>
        <v>0</v>
      </c>
      <c r="BZ78" s="90">
        <f>AQ78</f>
        <v>0</v>
      </c>
      <c r="CA78" s="90">
        <f>AV78</f>
        <v>0</v>
      </c>
      <c r="CB78" s="90">
        <f>BA78</f>
        <v>0</v>
      </c>
      <c r="CC78" s="90">
        <f>BF78</f>
        <v>0</v>
      </c>
      <c r="CD78" s="90">
        <f>BK78</f>
        <v>0</v>
      </c>
    </row>
    <row r="79" spans="1:82" ht="12" hidden="1" customHeight="1" outlineLevel="1" x14ac:dyDescent="0.2">
      <c r="A79" s="1280"/>
      <c r="B79" s="1280"/>
      <c r="C79" s="1280"/>
      <c r="D79" s="1278"/>
      <c r="E79" s="1278"/>
      <c r="F79" s="1278"/>
      <c r="G79" s="1278"/>
      <c r="H79" s="1280"/>
      <c r="I79" s="1278"/>
      <c r="J79" s="1278"/>
      <c r="K79" s="1278"/>
      <c r="L79" s="1278"/>
      <c r="M79" s="1280"/>
      <c r="N79" s="1278"/>
      <c r="O79" s="1278"/>
      <c r="P79" s="1278"/>
      <c r="Q79" s="1278"/>
      <c r="R79" s="1280"/>
      <c r="S79" s="1278"/>
      <c r="T79" s="1278"/>
      <c r="U79" s="1278"/>
      <c r="V79" s="1278"/>
      <c r="W79" s="1280"/>
      <c r="X79" s="1282"/>
      <c r="Y79" s="1278"/>
      <c r="Z79" s="1278"/>
      <c r="AA79" s="1283"/>
      <c r="AB79" s="1280"/>
      <c r="AC79" s="1282"/>
      <c r="AD79" s="1278"/>
      <c r="AE79" s="1323">
        <v>8.1000000000000003E-2</v>
      </c>
      <c r="AF79" s="1409">
        <v>5.2999999999999999E-2</v>
      </c>
      <c r="AG79" s="1283"/>
      <c r="AH79" s="1278"/>
      <c r="AI79" s="1278"/>
      <c r="AJ79" s="1278"/>
      <c r="AK79" s="1278"/>
      <c r="AL79" s="1280"/>
      <c r="AM79" s="1278"/>
      <c r="AN79" s="1278"/>
      <c r="AO79" s="1278"/>
      <c r="AP79" s="1278"/>
      <c r="AQ79" s="1280"/>
      <c r="AR79" s="1278"/>
      <c r="AS79" s="1278"/>
      <c r="AT79" s="1278"/>
      <c r="AU79" s="1278"/>
      <c r="AV79" s="1280"/>
      <c r="AW79" s="1278"/>
      <c r="AX79" s="1278"/>
      <c r="AY79" s="1278"/>
      <c r="AZ79" s="1283"/>
      <c r="BA79" s="1283"/>
      <c r="BB79" s="1278"/>
      <c r="BC79" s="1278"/>
      <c r="BD79" s="1278"/>
      <c r="BE79" s="1283"/>
      <c r="BF79" s="1283"/>
      <c r="BG79" s="1278"/>
      <c r="BH79" s="1278"/>
      <c r="BI79" s="1278"/>
      <c r="BJ79" s="1278"/>
      <c r="BK79" s="1280"/>
      <c r="BL79" s="1277"/>
      <c r="BM79" s="1277"/>
      <c r="BN79" s="1277"/>
      <c r="BO79" s="1277"/>
      <c r="BP79" s="1277"/>
      <c r="BQ79" s="1278"/>
      <c r="BR79" s="1278"/>
      <c r="BS79" s="1278"/>
      <c r="BT79" s="1278"/>
      <c r="BU79" s="1278"/>
      <c r="BV79" s="1278"/>
      <c r="BW79" s="1278"/>
      <c r="BX79" s="1278"/>
      <c r="BY79" s="1278"/>
      <c r="BZ79" s="1278"/>
      <c r="CA79" s="1278"/>
      <c r="CB79" s="1278"/>
      <c r="CC79" s="1278"/>
      <c r="CD79" s="1278"/>
    </row>
    <row r="80" spans="1:82" s="1414" customFormat="1" ht="15" collapsed="1" x14ac:dyDescent="0.25">
      <c r="A80" s="1395" t="s">
        <v>395</v>
      </c>
      <c r="B80" s="1395"/>
      <c r="C80" s="1395">
        <f>SUM(C24,C61,C42,C40)</f>
        <v>347.43700000000001</v>
      </c>
      <c r="D80" s="1396">
        <f t="shared" ref="D80:W80" si="43">SUM(D24,D61,D42,D40)</f>
        <v>93.514999999999986</v>
      </c>
      <c r="E80" s="1396">
        <f t="shared" si="43"/>
        <v>99.396000000000001</v>
      </c>
      <c r="F80" s="1396">
        <f t="shared" si="43"/>
        <v>100.64</v>
      </c>
      <c r="G80" s="1396">
        <f t="shared" si="43"/>
        <v>107.31700000000001</v>
      </c>
      <c r="H80" s="1395">
        <f t="shared" si="43"/>
        <v>400.86799999999999</v>
      </c>
      <c r="I80" s="1396">
        <f t="shared" si="43"/>
        <v>125.25600000000003</v>
      </c>
      <c r="J80" s="1396">
        <f t="shared" si="43"/>
        <v>132.94700000000003</v>
      </c>
      <c r="K80" s="1396">
        <f t="shared" si="43"/>
        <v>136.63850500000001</v>
      </c>
      <c r="L80" s="1396">
        <f t="shared" si="43"/>
        <v>140.53649499999992</v>
      </c>
      <c r="M80" s="1397">
        <f t="shared" si="43"/>
        <v>535.37800000000004</v>
      </c>
      <c r="N80" s="1396">
        <f t="shared" si="43"/>
        <v>138.05200000000002</v>
      </c>
      <c r="O80" s="1396">
        <f t="shared" si="43"/>
        <v>144.51900000000003</v>
      </c>
      <c r="P80" s="1396">
        <f t="shared" si="43"/>
        <v>153.57600000000002</v>
      </c>
      <c r="Q80" s="1398">
        <f t="shared" si="43"/>
        <v>169.19799999999998</v>
      </c>
      <c r="R80" s="1397">
        <f t="shared" si="43"/>
        <v>605.34500000000014</v>
      </c>
      <c r="S80" s="1396">
        <f>SUM(S24,S61,S42,S40)</f>
        <v>165.03500000000003</v>
      </c>
      <c r="T80" s="1396">
        <f>SUM(T24,T61,T42,T40)</f>
        <v>175.01999999999998</v>
      </c>
      <c r="U80" s="1410">
        <f>SUM(U24,U61,U42,U40)</f>
        <v>183.25999999999996</v>
      </c>
      <c r="V80" s="1398">
        <f>SUM(V24,V61,V42,V40)</f>
        <v>182.584</v>
      </c>
      <c r="W80" s="1397">
        <f t="shared" si="43"/>
        <v>705.899</v>
      </c>
      <c r="X80" s="1411"/>
      <c r="Y80" s="1398"/>
      <c r="Z80" s="1398"/>
      <c r="AA80" s="1412"/>
      <c r="AB80" s="1397"/>
      <c r="AC80" s="1411"/>
      <c r="AD80" s="1398"/>
      <c r="AE80" s="1413"/>
      <c r="AF80" s="1412"/>
      <c r="AG80" s="1412"/>
      <c r="AH80" s="1398"/>
      <c r="AI80" s="1398"/>
      <c r="AJ80" s="1398"/>
      <c r="AL80" s="1397"/>
      <c r="AM80" s="1278"/>
      <c r="AN80" s="1908"/>
      <c r="AO80" s="1398"/>
      <c r="AP80" s="1398"/>
      <c r="AQ80" s="1397"/>
      <c r="AR80" s="1908"/>
      <c r="AS80" s="1908"/>
      <c r="AT80" s="1908"/>
      <c r="AU80"/>
      <c r="AV80" s="1397"/>
      <c r="AW80" s="1908"/>
      <c r="AX80" s="1908"/>
      <c r="AY80" s="1908"/>
      <c r="AZ80" s="1918"/>
      <c r="BA80" s="1412"/>
      <c r="BB80" s="1908"/>
      <c r="BC80" s="1908"/>
      <c r="BD80" s="1908"/>
      <c r="BE80" s="1918"/>
      <c r="BF80" s="1412"/>
      <c r="BG80" s="1908"/>
      <c r="BH80" s="1908"/>
      <c r="BI80" s="1908"/>
      <c r="BJ80"/>
      <c r="BK80" s="1397"/>
      <c r="BL80" s="1415"/>
      <c r="BM80" s="1415"/>
      <c r="BN80" s="1415"/>
      <c r="BO80" s="1415"/>
      <c r="BP80" s="1415"/>
      <c r="BQ80" s="1396"/>
      <c r="BR80" s="1396"/>
      <c r="BS80" s="1398"/>
      <c r="BT80" s="1398"/>
      <c r="BU80" s="1398"/>
      <c r="BV80" s="1398"/>
      <c r="BW80" s="1398"/>
      <c r="BX80" s="1398"/>
      <c r="BY80" s="1398"/>
      <c r="BZ80" s="1398"/>
      <c r="CA80" s="1398"/>
      <c r="CB80" s="1398"/>
      <c r="CC80" s="1398"/>
      <c r="CD80" s="1398"/>
    </row>
    <row r="81" spans="1:82" s="6" customFormat="1" x14ac:dyDescent="0.2">
      <c r="A81" s="1400" t="s">
        <v>396</v>
      </c>
      <c r="B81" s="1400"/>
      <c r="C81" s="1400">
        <f t="shared" ref="C81:AQ81" si="44">C24+C31+C61</f>
        <v>453.06400000000002</v>
      </c>
      <c r="D81" s="1401">
        <f t="shared" si="44"/>
        <v>127.28200000000001</v>
      </c>
      <c r="E81" s="1401">
        <f t="shared" si="44"/>
        <v>132.351</v>
      </c>
      <c r="F81" s="1401">
        <f t="shared" si="44"/>
        <v>136.69600000000003</v>
      </c>
      <c r="G81" s="1401">
        <f t="shared" si="44"/>
        <v>141.904</v>
      </c>
      <c r="H81" s="1400">
        <f t="shared" si="44"/>
        <v>538.23300000000006</v>
      </c>
      <c r="I81" s="1401">
        <f t="shared" si="44"/>
        <v>156.70899999999997</v>
      </c>
      <c r="J81" s="1401">
        <f t="shared" si="44"/>
        <v>167.428</v>
      </c>
      <c r="K81" s="1401">
        <f t="shared" si="44"/>
        <v>169.84399999999999</v>
      </c>
      <c r="L81" s="1401">
        <f t="shared" si="44"/>
        <v>170.77600000000001</v>
      </c>
      <c r="M81" s="1402">
        <f t="shared" si="44"/>
        <v>664.75700000000006</v>
      </c>
      <c r="N81" s="1401">
        <f t="shared" si="44"/>
        <v>171.084</v>
      </c>
      <c r="O81" s="1401">
        <f t="shared" si="44"/>
        <v>178.65599999999998</v>
      </c>
      <c r="P81" s="1401">
        <f t="shared" si="44"/>
        <v>185.672</v>
      </c>
      <c r="Q81" s="304">
        <f t="shared" si="44"/>
        <v>196.447</v>
      </c>
      <c r="R81" s="1402">
        <f t="shared" si="44"/>
        <v>731.85900000000004</v>
      </c>
      <c r="S81" s="1401">
        <f t="shared" si="44"/>
        <v>165.03500000000003</v>
      </c>
      <c r="T81" s="1401">
        <f t="shared" si="44"/>
        <v>175.01999999999998</v>
      </c>
      <c r="U81" s="1403">
        <f t="shared" si="44"/>
        <v>183.26</v>
      </c>
      <c r="V81" s="304">
        <f t="shared" si="44"/>
        <v>182.584</v>
      </c>
      <c r="W81" s="1402">
        <f t="shared" si="44"/>
        <v>705.899</v>
      </c>
      <c r="X81" s="1404">
        <f t="shared" si="44"/>
        <v>183.434</v>
      </c>
      <c r="Y81" s="304">
        <f t="shared" si="44"/>
        <v>196.51</v>
      </c>
      <c r="Z81" s="304">
        <f t="shared" si="44"/>
        <v>195.31100000000001</v>
      </c>
      <c r="AA81" s="1405">
        <f t="shared" si="44"/>
        <v>205.19099999999997</v>
      </c>
      <c r="AB81" s="1402">
        <f t="shared" si="44"/>
        <v>780.44600000000003</v>
      </c>
      <c r="AC81" s="1404">
        <f t="shared" si="44"/>
        <v>213.35100000000003</v>
      </c>
      <c r="AD81" s="304">
        <f t="shared" si="44"/>
        <v>256.86900000000003</v>
      </c>
      <c r="AE81" s="305">
        <f t="shared" si="44"/>
        <v>298.68099999999998</v>
      </c>
      <c r="AF81" s="1405">
        <f t="shared" si="44"/>
        <v>303.60000000000002</v>
      </c>
      <c r="AG81" s="1405">
        <f t="shared" si="44"/>
        <v>1072.501</v>
      </c>
      <c r="AH81" s="304">
        <f t="shared" si="44"/>
        <v>312.94499999999999</v>
      </c>
      <c r="AI81" s="304">
        <f>AI24+AI31+AI61</f>
        <v>317.17899999999997</v>
      </c>
      <c r="AJ81" s="304">
        <f t="shared" si="44"/>
        <v>317.30700000000002</v>
      </c>
      <c r="AK81" s="304">
        <f t="shared" si="44"/>
        <v>323.5</v>
      </c>
      <c r="AL81" s="1402">
        <f t="shared" si="44"/>
        <v>1270.931</v>
      </c>
      <c r="AM81" s="304">
        <f t="shared" si="44"/>
        <v>313.2</v>
      </c>
      <c r="AN81" s="304">
        <f t="shared" si="44"/>
        <v>330.6</v>
      </c>
      <c r="AO81" s="304">
        <f t="shared" si="44"/>
        <v>355.9</v>
      </c>
      <c r="AP81" s="304">
        <f t="shared" si="44"/>
        <v>375.1</v>
      </c>
      <c r="AQ81" s="1402">
        <f t="shared" si="44"/>
        <v>1374.8000000000002</v>
      </c>
      <c r="AR81" s="304">
        <f t="shared" ref="AR81:BK81" si="45">AR24+AR31+AR61</f>
        <v>369.75749999999999</v>
      </c>
      <c r="AS81" s="304">
        <f t="shared" si="45"/>
        <v>380.93349999999998</v>
      </c>
      <c r="AT81" s="304">
        <f t="shared" si="45"/>
        <v>395.85133333333334</v>
      </c>
      <c r="AU81" s="304">
        <f t="shared" si="45"/>
        <v>406.85299999999995</v>
      </c>
      <c r="AV81" s="1402">
        <f t="shared" si="45"/>
        <v>1553.3953333333334</v>
      </c>
      <c r="AW81" s="304">
        <f t="shared" si="45"/>
        <v>392.03801999999996</v>
      </c>
      <c r="AX81" s="304">
        <f t="shared" si="45"/>
        <v>404.41124000000002</v>
      </c>
      <c r="AY81" s="304">
        <f t="shared" si="45"/>
        <v>420.35475374999999</v>
      </c>
      <c r="AZ81" s="304">
        <f t="shared" si="45"/>
        <v>432.53458000000001</v>
      </c>
      <c r="BA81" s="1402">
        <f t="shared" si="45"/>
        <v>1649.3385937499997</v>
      </c>
      <c r="BB81" s="304">
        <f t="shared" si="45"/>
        <v>415.27130120000004</v>
      </c>
      <c r="BC81" s="304">
        <f t="shared" si="45"/>
        <v>428.40912059999999</v>
      </c>
      <c r="BD81" s="304">
        <f t="shared" si="45"/>
        <v>445.35361986250007</v>
      </c>
      <c r="BE81" s="1405">
        <f t="shared" si="45"/>
        <v>458.1886892</v>
      </c>
      <c r="BF81" s="1405">
        <f t="shared" si="45"/>
        <v>1747.2227308624999</v>
      </c>
      <c r="BG81" s="304">
        <f t="shared" si="45"/>
        <v>439.95328137600001</v>
      </c>
      <c r="BH81" s="304">
        <f t="shared" si="45"/>
        <v>453.90573889400002</v>
      </c>
      <c r="BI81" s="304">
        <f t="shared" si="45"/>
        <v>471.91510631587511</v>
      </c>
      <c r="BJ81" s="304">
        <f t="shared" si="45"/>
        <v>485.44283588800005</v>
      </c>
      <c r="BK81" s="1402">
        <f t="shared" si="45"/>
        <v>1851.2169624738751</v>
      </c>
      <c r="BL81" s="1406"/>
      <c r="BM81" s="1406"/>
      <c r="BN81" s="1406"/>
      <c r="BO81" s="1406"/>
      <c r="BP81" s="1406"/>
      <c r="BQ81" s="1401"/>
      <c r="BR81" s="1401" t="str">
        <f>A81</f>
        <v>Total Decision Analytics from Continuing Operations</v>
      </c>
      <c r="BS81" s="304">
        <f>H81</f>
        <v>538.23300000000006</v>
      </c>
      <c r="BT81" s="304">
        <f>M81</f>
        <v>664.75700000000006</v>
      </c>
      <c r="BU81" s="304">
        <f>R81</f>
        <v>731.85900000000004</v>
      </c>
      <c r="BV81" s="304">
        <f>W81</f>
        <v>705.899</v>
      </c>
      <c r="BW81" s="304">
        <f>AB81</f>
        <v>780.44600000000003</v>
      </c>
      <c r="BX81" s="304">
        <f>AG81</f>
        <v>1072.501</v>
      </c>
      <c r="BY81" s="304">
        <f>AL81</f>
        <v>1270.931</v>
      </c>
      <c r="BZ81" s="304">
        <f>AQ81</f>
        <v>1374.8000000000002</v>
      </c>
      <c r="CA81" s="304">
        <f>AV81</f>
        <v>1553.3953333333334</v>
      </c>
      <c r="CB81" s="304">
        <f>BA81</f>
        <v>1649.3385937499997</v>
      </c>
      <c r="CC81" s="304">
        <f>BF81</f>
        <v>1747.2227308624999</v>
      </c>
      <c r="CD81" s="304">
        <f>BK81</f>
        <v>1851.2169624738751</v>
      </c>
    </row>
    <row r="82" spans="1:82" s="6" customFormat="1" x14ac:dyDescent="0.2">
      <c r="A82" s="729" t="s">
        <v>209</v>
      </c>
      <c r="B82" s="1280"/>
      <c r="C82" s="1322"/>
      <c r="D82" s="1323">
        <v>0.219</v>
      </c>
      <c r="E82" s="1323">
        <v>0.183</v>
      </c>
      <c r="F82" s="1323">
        <v>0.17799999999999999</v>
      </c>
      <c r="G82" s="1323">
        <v>0.16500000000000001</v>
      </c>
      <c r="H82" s="1322">
        <f t="shared" ref="H82:V82" si="46">H81/C81-1</f>
        <v>0.18798447901400261</v>
      </c>
      <c r="I82" s="1230">
        <f t="shared" si="46"/>
        <v>0.2311952986282424</v>
      </c>
      <c r="J82" s="1230">
        <f t="shared" si="46"/>
        <v>0.26503010933049231</v>
      </c>
      <c r="K82" s="1230">
        <f t="shared" si="46"/>
        <v>0.24249429390764887</v>
      </c>
      <c r="L82" s="1230">
        <f t="shared" si="46"/>
        <v>0.20346149509527578</v>
      </c>
      <c r="M82" s="1322">
        <f t="shared" si="46"/>
        <v>0.23507291451843337</v>
      </c>
      <c r="N82" s="1230">
        <f t="shared" si="46"/>
        <v>9.1730532388057062E-2</v>
      </c>
      <c r="O82" s="1230">
        <f t="shared" si="46"/>
        <v>6.7061662326492355E-2</v>
      </c>
      <c r="P82" s="1230">
        <f t="shared" si="46"/>
        <v>9.319139916629382E-2</v>
      </c>
      <c r="Q82" s="1230">
        <f t="shared" si="46"/>
        <v>0.15031971705626068</v>
      </c>
      <c r="R82" s="1322">
        <f t="shared" si="46"/>
        <v>0.10094214878519514</v>
      </c>
      <c r="S82" s="1230">
        <f t="shared" si="46"/>
        <v>-3.5356900703747751E-2</v>
      </c>
      <c r="T82" s="1230">
        <f t="shared" si="46"/>
        <v>-2.0351961311123046E-2</v>
      </c>
      <c r="U82" s="1230">
        <f t="shared" si="46"/>
        <v>-1.2990650178809959E-2</v>
      </c>
      <c r="V82" s="1230">
        <f t="shared" si="46"/>
        <v>-7.0568652104638918E-2</v>
      </c>
      <c r="W82" s="1322">
        <f>W80/R80-1</f>
        <v>0.16611023465957397</v>
      </c>
      <c r="X82" s="1407">
        <f>X81/S80-1</f>
        <v>0.11148544248189762</v>
      </c>
      <c r="Y82" s="1230">
        <f>Y81/T80-1</f>
        <v>0.12278596731802094</v>
      </c>
      <c r="Z82" s="1230">
        <f>Z81/U80-1</f>
        <v>6.5759030885081504E-2</v>
      </c>
      <c r="AA82" s="1324">
        <f>AA81/V80-1</f>
        <v>0.12381698286815923</v>
      </c>
      <c r="AB82" s="1322">
        <f>AB81/W80-1</f>
        <v>0.10560575946417261</v>
      </c>
      <c r="AC82" s="1407">
        <f t="shared" ref="AC82:AQ82" si="47">AC81/X81-1</f>
        <v>0.16309408288539773</v>
      </c>
      <c r="AD82" s="1230">
        <f t="shared" si="47"/>
        <v>0.3071548521703733</v>
      </c>
      <c r="AE82" s="1230">
        <f t="shared" si="47"/>
        <v>0.5292584647050087</v>
      </c>
      <c r="AF82" s="1324">
        <f t="shared" si="47"/>
        <v>0.47959705835051269</v>
      </c>
      <c r="AG82" s="1322">
        <f t="shared" si="47"/>
        <v>0.37421551266839725</v>
      </c>
      <c r="AH82" s="1230">
        <f t="shared" si="47"/>
        <v>0.46680821744449275</v>
      </c>
      <c r="AI82" s="1230">
        <f t="shared" si="47"/>
        <v>0.23478893910903986</v>
      </c>
      <c r="AJ82" s="1230">
        <f t="shared" si="47"/>
        <v>6.2360846521874569E-2</v>
      </c>
      <c r="AK82" s="1230">
        <f t="shared" si="47"/>
        <v>6.5546772068511228E-2</v>
      </c>
      <c r="AL82" s="1322">
        <f t="shared" si="47"/>
        <v>0.18501614450709147</v>
      </c>
      <c r="AM82" s="1230">
        <f>AM81/AH81-1</f>
        <v>8.1483966831230603E-4</v>
      </c>
      <c r="AN82" s="1230">
        <f>AN81/AI81-1</f>
        <v>4.2313646237613689E-2</v>
      </c>
      <c r="AO82" s="1230">
        <f t="shared" si="47"/>
        <v>0.12162668960974687</v>
      </c>
      <c r="AP82" s="1230">
        <f t="shared" si="47"/>
        <v>0.15950540958268933</v>
      </c>
      <c r="AQ82" s="1322">
        <f t="shared" si="47"/>
        <v>8.1726702708487142E-2</v>
      </c>
      <c r="AR82" s="1230">
        <f t="shared" ref="AR82:BK82" si="48">AR81/AM81-1</f>
        <v>0.18057950191570882</v>
      </c>
      <c r="AS82" s="1230">
        <f t="shared" si="48"/>
        <v>0.15224894131881417</v>
      </c>
      <c r="AT82" s="1230">
        <f t="shared" si="48"/>
        <v>0.11225437857075971</v>
      </c>
      <c r="AU82" s="1230">
        <f t="shared" si="48"/>
        <v>8.4652092775259646E-2</v>
      </c>
      <c r="AV82" s="1322">
        <f t="shared" si="48"/>
        <v>0.12990641062942476</v>
      </c>
      <c r="AW82" s="1230">
        <f t="shared" si="48"/>
        <v>6.0257114460152916E-2</v>
      </c>
      <c r="AX82" s="1230">
        <f t="shared" si="48"/>
        <v>6.1632122142053714E-2</v>
      </c>
      <c r="AY82" s="1230">
        <f t="shared" si="48"/>
        <v>6.1900563048080226E-2</v>
      </c>
      <c r="AZ82" s="1230">
        <f t="shared" si="48"/>
        <v>6.3122503705269617E-2</v>
      </c>
      <c r="BA82" s="1322">
        <f t="shared" si="48"/>
        <v>6.1763582236846082E-2</v>
      </c>
      <c r="BB82" s="1230">
        <f t="shared" si="48"/>
        <v>5.9262826600338547E-2</v>
      </c>
      <c r="BC82" s="1230">
        <f t="shared" si="48"/>
        <v>5.9340290838602705E-2</v>
      </c>
      <c r="BD82" s="1230">
        <f t="shared" si="48"/>
        <v>5.9470877608696737E-2</v>
      </c>
      <c r="BE82" s="1230">
        <f t="shared" si="48"/>
        <v>5.9311117275293812E-2</v>
      </c>
      <c r="BF82" s="1322">
        <f t="shared" si="48"/>
        <v>5.9347509046003166E-2</v>
      </c>
      <c r="BG82" s="1230">
        <f t="shared" si="48"/>
        <v>5.9435795598388408E-2</v>
      </c>
      <c r="BH82" s="1230">
        <f t="shared" si="48"/>
        <v>5.9514648657085667E-2</v>
      </c>
      <c r="BI82" s="1230">
        <f t="shared" si="48"/>
        <v>5.9641339530541515E-2</v>
      </c>
      <c r="BJ82" s="1230">
        <f t="shared" si="48"/>
        <v>5.9482364646726626E-2</v>
      </c>
      <c r="BK82" s="1322">
        <f t="shared" si="48"/>
        <v>5.9519733674732622E-2</v>
      </c>
      <c r="BL82" s="1277"/>
      <c r="BM82" s="1277"/>
      <c r="BN82" s="1277"/>
      <c r="BO82" s="1277"/>
      <c r="BP82" s="1277"/>
      <c r="BQ82" s="1278"/>
      <c r="BR82" s="1294" t="str">
        <f>A82</f>
        <v>YoY Change</v>
      </c>
      <c r="BS82" s="1230">
        <f>H82</f>
        <v>0.18798447901400261</v>
      </c>
      <c r="BT82" s="1230">
        <f>M82</f>
        <v>0.23507291451843337</v>
      </c>
      <c r="BU82" s="1230">
        <f>R82</f>
        <v>0.10094214878519514</v>
      </c>
      <c r="BV82" s="1230">
        <f>W82</f>
        <v>0.16611023465957397</v>
      </c>
      <c r="BW82" s="1230">
        <f>AB82</f>
        <v>0.10560575946417261</v>
      </c>
      <c r="BX82" s="1230">
        <f>AG82</f>
        <v>0.37421551266839725</v>
      </c>
      <c r="BY82" s="1230">
        <f>AL82</f>
        <v>0.18501614450709147</v>
      </c>
      <c r="BZ82" s="1230">
        <f>AQ82</f>
        <v>8.1726702708487142E-2</v>
      </c>
      <c r="CA82" s="1230">
        <f>AV82</f>
        <v>0.12990641062942476</v>
      </c>
      <c r="CB82" s="1230">
        <f>BA82</f>
        <v>6.1763582236846082E-2</v>
      </c>
      <c r="CC82" s="1230">
        <f>BF82</f>
        <v>5.9347509046003166E-2</v>
      </c>
      <c r="CD82" s="1230">
        <f>BK82</f>
        <v>5.9519733674732622E-2</v>
      </c>
    </row>
    <row r="83" spans="1:82" s="6" customFormat="1" x14ac:dyDescent="0.2">
      <c r="A83" s="1330" t="s">
        <v>397</v>
      </c>
      <c r="B83" s="1280"/>
      <c r="C83" s="1280"/>
      <c r="D83" s="1278"/>
      <c r="E83" s="1278"/>
      <c r="F83" s="1278"/>
      <c r="G83" s="1278"/>
      <c r="H83" s="1280"/>
      <c r="I83" s="1278"/>
      <c r="J83" s="1278"/>
      <c r="K83" s="1278"/>
      <c r="L83" s="1278"/>
      <c r="M83" s="1280"/>
      <c r="N83" s="1278"/>
      <c r="O83" s="1278"/>
      <c r="P83" s="1278"/>
      <c r="Q83" s="1278"/>
      <c r="R83" s="1280"/>
      <c r="S83" s="1278"/>
      <c r="T83" s="1278"/>
      <c r="U83" s="1278"/>
      <c r="V83" s="1278"/>
      <c r="W83" s="1280"/>
      <c r="X83" s="1416">
        <f>((X29+1)*S24+(1+X36)*S31+(1+X66)*S61)/S81-1</f>
        <v>0.11148544248189762</v>
      </c>
      <c r="Y83" s="1417">
        <f t="shared" ref="Y83:AG83" si="49">((Y29+1)*T24+(1+Y36)*T31+(1+Y66)*T61)/T81-1</f>
        <v>0.12278596731802094</v>
      </c>
      <c r="Z83" s="1417">
        <f t="shared" si="49"/>
        <v>6.5759030885081504E-2</v>
      </c>
      <c r="AA83" s="1418">
        <f t="shared" si="49"/>
        <v>0.12381698286815923</v>
      </c>
      <c r="AB83" s="1359">
        <f t="shared" si="49"/>
        <v>0.10598907492431642</v>
      </c>
      <c r="AC83" s="1416">
        <f t="shared" si="49"/>
        <v>0.14915165127511809</v>
      </c>
      <c r="AD83" s="1417">
        <f t="shared" si="49"/>
        <v>9.3117500381660001E-2</v>
      </c>
      <c r="AE83" s="1230">
        <f t="shared" si="49"/>
        <v>8.1271367204100109E-2</v>
      </c>
      <c r="AF83" s="1324">
        <f>((AF29+1)*AA24+(1+AF36)*AA31+(1+AF66)*AA61)/AA81-1</f>
        <v>5.3760764361010294E-2</v>
      </c>
      <c r="AG83" s="1418">
        <f t="shared" si="49"/>
        <v>9.3109527116546076E-2</v>
      </c>
      <c r="AH83" s="1419">
        <v>4.8000000000000001E-2</v>
      </c>
      <c r="AI83" s="1419">
        <v>5.5E-2</v>
      </c>
      <c r="AJ83" s="1419">
        <v>6.9000000000000006E-2</v>
      </c>
      <c r="AK83" s="1419">
        <v>7.2999999999999995E-2</v>
      </c>
      <c r="AL83" s="1420">
        <v>6.3E-2</v>
      </c>
      <c r="AM83" s="1890">
        <v>1.4999999999999999E-2</v>
      </c>
      <c r="AN83" s="1915">
        <v>0.04</v>
      </c>
      <c r="AO83" s="1940">
        <v>8.2000000000000003E-2</v>
      </c>
      <c r="AP83" s="1940">
        <v>8.5999999999999993E-2</v>
      </c>
      <c r="AQ83" s="1359">
        <f t="shared" ref="AQ83:BK83" si="50">((AQ29+1)*AL24+(1+AQ36)*AL31+(1+AQ66)*AL61)/AL81-1</f>
        <v>5.5626913656209309E-2</v>
      </c>
      <c r="AR83" s="1417">
        <f t="shared" si="50"/>
        <v>7.6971583652618136E-2</v>
      </c>
      <c r="AS83" s="1417">
        <f t="shared" si="50"/>
        <v>6.5285843920145137E-2</v>
      </c>
      <c r="AT83" s="1417">
        <f t="shared" si="50"/>
        <v>6.0741781399269668E-2</v>
      </c>
      <c r="AU83" s="1417">
        <f t="shared" si="50"/>
        <v>6.0658491069047971E-2</v>
      </c>
      <c r="AV83" s="1359">
        <f t="shared" si="50"/>
        <v>6.5509164969449918E-2</v>
      </c>
      <c r="AW83" s="1417">
        <f t="shared" si="50"/>
        <v>6.0257114460152916E-2</v>
      </c>
      <c r="AX83" s="1417">
        <f t="shared" si="50"/>
        <v>6.1632122142053714E-2</v>
      </c>
      <c r="AY83" s="1417">
        <f t="shared" si="50"/>
        <v>6.1900563048080226E-2</v>
      </c>
      <c r="AZ83" s="1417">
        <f t="shared" si="50"/>
        <v>6.3122503705269617E-2</v>
      </c>
      <c r="BA83" s="1359">
        <f t="shared" si="50"/>
        <v>6.1763582236846526E-2</v>
      </c>
      <c r="BB83" s="1417">
        <f t="shared" si="50"/>
        <v>5.9262826600338547E-2</v>
      </c>
      <c r="BC83" s="1417">
        <f t="shared" si="50"/>
        <v>5.9340290838602705E-2</v>
      </c>
      <c r="BD83" s="1417">
        <f t="shared" si="50"/>
        <v>5.9470877608696737E-2</v>
      </c>
      <c r="BE83" s="1417">
        <f t="shared" si="50"/>
        <v>5.9311117275293812E-2</v>
      </c>
      <c r="BF83" s="1359">
        <f t="shared" si="50"/>
        <v>5.9347509046003166E-2</v>
      </c>
      <c r="BG83" s="1417">
        <f t="shared" si="50"/>
        <v>5.9435795598388408E-2</v>
      </c>
      <c r="BH83" s="1417">
        <f t="shared" si="50"/>
        <v>5.9514648657085667E-2</v>
      </c>
      <c r="BI83" s="1417">
        <f t="shared" si="50"/>
        <v>5.9641339530541515E-2</v>
      </c>
      <c r="BJ83" s="1417">
        <f t="shared" si="50"/>
        <v>5.9482364646726626E-2</v>
      </c>
      <c r="BK83" s="1359">
        <f t="shared" si="50"/>
        <v>5.9519733674732622E-2</v>
      </c>
      <c r="BL83" s="1277"/>
      <c r="BM83" s="1277"/>
      <c r="BN83" s="1277"/>
      <c r="BO83" s="1277"/>
      <c r="BP83" s="1277"/>
      <c r="BQ83" s="1278"/>
      <c r="BR83" s="1294" t="str">
        <f>A83</f>
        <v>Organic c/c growth</v>
      </c>
      <c r="BS83" s="90">
        <f>H83</f>
        <v>0</v>
      </c>
      <c r="BT83" s="90">
        <f>M83</f>
        <v>0</v>
      </c>
      <c r="BU83" s="90">
        <f>R83</f>
        <v>0</v>
      </c>
      <c r="BV83" s="90"/>
      <c r="BW83" s="90">
        <f>AB83</f>
        <v>0.10598907492431642</v>
      </c>
      <c r="BX83" s="90">
        <f>AG83</f>
        <v>9.3109527116546076E-2</v>
      </c>
      <c r="BY83" s="90">
        <f>AL83</f>
        <v>6.3E-2</v>
      </c>
      <c r="BZ83" s="90">
        <f>AQ83</f>
        <v>5.5626913656209309E-2</v>
      </c>
      <c r="CA83" s="90">
        <f>AV83</f>
        <v>6.5509164969449918E-2</v>
      </c>
      <c r="CB83" s="90">
        <f>BA83</f>
        <v>6.1763582236846526E-2</v>
      </c>
      <c r="CC83" s="90">
        <f>BF83</f>
        <v>5.9347509046003166E-2</v>
      </c>
      <c r="CD83" s="90">
        <f>BK83</f>
        <v>5.9519733674732622E-2</v>
      </c>
    </row>
    <row r="84" spans="1:82" hidden="1" x14ac:dyDescent="0.2">
      <c r="A84" s="1280"/>
      <c r="B84" s="1280"/>
      <c r="C84" s="1280"/>
      <c r="D84" s="1278"/>
      <c r="E84" s="1278"/>
      <c r="F84" s="1278"/>
      <c r="G84" s="1278"/>
      <c r="H84" s="1280"/>
      <c r="I84" s="1278"/>
      <c r="J84" s="1278"/>
      <c r="K84" s="1278"/>
      <c r="L84" s="1278"/>
      <c r="M84" s="1280"/>
      <c r="N84" s="1278"/>
      <c r="O84" s="1278"/>
      <c r="P84" s="1278"/>
      <c r="Q84" s="1278"/>
      <c r="R84" s="1280"/>
      <c r="S84" s="1278"/>
      <c r="T84" s="1278"/>
      <c r="U84" s="1278"/>
      <c r="V84" s="1278"/>
      <c r="W84" s="1280"/>
      <c r="X84" s="1282"/>
      <c r="Y84" s="1278"/>
      <c r="Z84" s="1278"/>
      <c r="AA84" s="1283"/>
      <c r="AB84" s="1280"/>
      <c r="AC84" s="1282"/>
      <c r="AD84" s="1278"/>
      <c r="AE84" s="1323"/>
      <c r="AF84" s="1409"/>
      <c r="AG84" s="1283"/>
      <c r="AH84" s="1278"/>
      <c r="AI84" s="1278"/>
      <c r="AJ84" s="1278"/>
      <c r="AK84" s="1278"/>
      <c r="AL84" s="1280"/>
      <c r="AM84" s="1278"/>
      <c r="AN84" s="1278"/>
      <c r="AO84" s="1278"/>
      <c r="AP84" s="1278"/>
      <c r="AQ84" s="1280"/>
      <c r="AR84" s="1278"/>
      <c r="AS84" s="1278"/>
      <c r="AT84" s="1278"/>
      <c r="AU84" s="1278"/>
      <c r="AV84" s="1280"/>
      <c r="AW84" s="1278"/>
      <c r="AX84" s="1278"/>
      <c r="AY84" s="1278"/>
      <c r="AZ84" s="1278"/>
      <c r="BA84" s="1280"/>
      <c r="BB84" s="1278"/>
      <c r="BC84" s="1278"/>
      <c r="BD84" s="1278"/>
      <c r="BE84" s="1278"/>
      <c r="BF84" s="1280"/>
      <c r="BG84" s="1278"/>
      <c r="BH84" s="1278"/>
      <c r="BI84" s="1278"/>
      <c r="BJ84" s="1278"/>
      <c r="BK84" s="1280"/>
      <c r="BL84" s="1277"/>
      <c r="BM84" s="1277"/>
      <c r="BN84" s="1277"/>
      <c r="BO84" s="1277"/>
      <c r="BP84" s="1277"/>
      <c r="BQ84" s="1278"/>
      <c r="BR84" s="1278"/>
      <c r="BS84" s="1278"/>
      <c r="BT84" s="1278"/>
      <c r="BU84" s="1278"/>
      <c r="BV84" s="1278"/>
      <c r="BW84" s="1278"/>
      <c r="BX84" s="1278"/>
      <c r="BY84" s="1278"/>
      <c r="BZ84" s="1278"/>
      <c r="CA84" s="1278"/>
      <c r="CB84" s="1278"/>
      <c r="CC84" s="1278"/>
      <c r="CD84" s="1278"/>
    </row>
    <row r="85" spans="1:82" ht="12.75" hidden="1" customHeight="1" outlineLevel="1" x14ac:dyDescent="0.2">
      <c r="A85" s="1373" t="s">
        <v>394</v>
      </c>
      <c r="B85" s="1395"/>
      <c r="C85" s="1395">
        <f>SUM(C29,C66,C51,C47,C45)</f>
        <v>1.8582332697763102</v>
      </c>
      <c r="D85" s="1396">
        <f>SUM(D29,D66,D51,D47,D45)</f>
        <v>1.3479999999999999</v>
      </c>
      <c r="E85" s="1396">
        <f>SUM(E29,E66,E51,E47,E45)</f>
        <v>1.1219999999999999</v>
      </c>
      <c r="F85" s="1396">
        <f>SUM(F29,F66,F51,F47,F45)</f>
        <v>1.0859999999999999</v>
      </c>
      <c r="G85" s="1396">
        <f>SUM(G29,G66,G51,G47,G45)</f>
        <v>0.74399999999999988</v>
      </c>
      <c r="H85" s="1395">
        <f t="shared" ref="H85:W85" si="51">+H75+H16</f>
        <v>1000.9779999999998</v>
      </c>
      <c r="I85" s="1396">
        <f t="shared" si="51"/>
        <v>281.41600000000005</v>
      </c>
      <c r="J85" s="1396">
        <f t="shared" si="51"/>
        <v>292.79900000000009</v>
      </c>
      <c r="K85" s="1396">
        <f t="shared" si="51"/>
        <v>306.89250500000003</v>
      </c>
      <c r="L85" s="1396">
        <f t="shared" si="51"/>
        <v>321.35349499999995</v>
      </c>
      <c r="M85" s="1397">
        <f t="shared" si="51"/>
        <v>1202.4610000000002</v>
      </c>
      <c r="N85" s="1396">
        <f t="shared" si="51"/>
        <v>313.46900000000005</v>
      </c>
      <c r="O85" s="1396">
        <f t="shared" si="51"/>
        <v>339.08900000000006</v>
      </c>
      <c r="P85" s="1396">
        <f t="shared" si="51"/>
        <v>366.76700000000005</v>
      </c>
      <c r="Q85" s="1398">
        <f t="shared" si="51"/>
        <v>388.48099999999999</v>
      </c>
      <c r="R85" s="1397">
        <f t="shared" si="51"/>
        <v>1407.8060000000003</v>
      </c>
      <c r="S85" s="1396">
        <f t="shared" si="51"/>
        <v>376.697</v>
      </c>
      <c r="T85" s="1396">
        <f t="shared" si="51"/>
        <v>390.36599999999999</v>
      </c>
      <c r="U85" s="1396">
        <f t="shared" si="51"/>
        <v>411.92699999999996</v>
      </c>
      <c r="V85" s="1398">
        <f t="shared" si="51"/>
        <v>416.72299999999996</v>
      </c>
      <c r="W85" s="1397">
        <f t="shared" si="51"/>
        <v>1595.7130000000002</v>
      </c>
      <c r="X85" s="1282"/>
      <c r="Y85" s="1278"/>
      <c r="Z85" s="1278"/>
      <c r="AA85" s="1283"/>
      <c r="AB85" s="1280"/>
      <c r="AC85" s="1282"/>
      <c r="AD85" s="1278"/>
      <c r="AE85" s="1278"/>
      <c r="AF85" s="1315"/>
      <c r="AG85" s="1315"/>
      <c r="AH85" s="1278"/>
      <c r="AI85" s="1278"/>
      <c r="AJ85" s="1278"/>
      <c r="AK85" s="1278"/>
      <c r="AL85" s="1280"/>
      <c r="AM85" s="1278"/>
      <c r="AN85" s="1278"/>
      <c r="AO85" s="1278"/>
      <c r="AP85" s="1278"/>
      <c r="AQ85" s="1280"/>
      <c r="AR85" s="1278"/>
      <c r="AS85" s="1278"/>
      <c r="AT85" s="1278"/>
      <c r="AU85" s="1278"/>
      <c r="AV85" s="1280"/>
      <c r="AW85" s="1278"/>
      <c r="AX85" s="1278"/>
      <c r="AY85" s="1278"/>
      <c r="AZ85" s="1278"/>
      <c r="BA85" s="1280"/>
      <c r="BB85" s="1278"/>
      <c r="BC85" s="1278"/>
      <c r="BD85" s="1278"/>
      <c r="BE85" s="1278"/>
      <c r="BF85" s="1280"/>
      <c r="BG85" s="1278"/>
      <c r="BH85" s="1278"/>
      <c r="BI85" s="1278"/>
      <c r="BJ85" s="1278"/>
      <c r="BK85" s="1280"/>
      <c r="BL85" s="1277"/>
      <c r="BM85" s="1277"/>
      <c r="BN85" s="1277"/>
      <c r="BO85" s="1277"/>
      <c r="BP85" s="1277"/>
      <c r="BQ85" s="1278"/>
      <c r="BR85" s="1399" t="str">
        <f>A85</f>
        <v>Restated</v>
      </c>
      <c r="BS85" s="1199">
        <f>H85</f>
        <v>1000.9779999999998</v>
      </c>
      <c r="BT85" s="1199">
        <f>M85</f>
        <v>1202.4610000000002</v>
      </c>
      <c r="BU85" s="1199">
        <f>R85</f>
        <v>1407.8060000000003</v>
      </c>
      <c r="BV85" s="1199">
        <f>W85</f>
        <v>1595.7130000000002</v>
      </c>
      <c r="BW85" s="1278"/>
      <c r="BX85" s="1278"/>
      <c r="BY85" s="1278"/>
      <c r="BZ85" s="1278"/>
      <c r="CA85" s="1278"/>
      <c r="CB85" s="1278"/>
      <c r="CC85" s="1278"/>
      <c r="CD85" s="1278"/>
    </row>
    <row r="86" spans="1:82" ht="12.75" hidden="1" customHeight="1" outlineLevel="1" x14ac:dyDescent="0.2">
      <c r="A86" s="1284" t="s">
        <v>50</v>
      </c>
      <c r="B86" s="1421">
        <f t="shared" ref="B86:AQ86" si="52">B16+B76</f>
        <v>893.55</v>
      </c>
      <c r="C86" s="1421">
        <f t="shared" si="52"/>
        <v>1027.104</v>
      </c>
      <c r="D86" s="1422">
        <f t="shared" si="52"/>
        <v>276.154</v>
      </c>
      <c r="E86" s="1422">
        <f t="shared" si="52"/>
        <v>281.67700000000002</v>
      </c>
      <c r="F86" s="1422">
        <f t="shared" si="52"/>
        <v>287.35400000000004</v>
      </c>
      <c r="G86" s="1422">
        <f t="shared" si="52"/>
        <v>293.15800000000002</v>
      </c>
      <c r="H86" s="1421">
        <f t="shared" si="52"/>
        <v>1138.3429999999998</v>
      </c>
      <c r="I86" s="1422">
        <f t="shared" si="52"/>
        <v>312.86899999999997</v>
      </c>
      <c r="J86" s="1422">
        <f t="shared" si="52"/>
        <v>327.28000000000003</v>
      </c>
      <c r="K86" s="1422">
        <f t="shared" si="52"/>
        <v>340.09799999999996</v>
      </c>
      <c r="L86" s="1422">
        <f t="shared" si="52"/>
        <v>351.59299999999996</v>
      </c>
      <c r="M86" s="1421">
        <f t="shared" si="52"/>
        <v>1331.8400000000001</v>
      </c>
      <c r="N86" s="1422">
        <f t="shared" si="52"/>
        <v>346.50099999999998</v>
      </c>
      <c r="O86" s="1422">
        <f t="shared" si="52"/>
        <v>373.226</v>
      </c>
      <c r="P86" s="1422">
        <f t="shared" si="52"/>
        <v>398.863</v>
      </c>
      <c r="Q86" s="1422">
        <f t="shared" si="52"/>
        <v>415.73</v>
      </c>
      <c r="R86" s="1421">
        <f t="shared" si="52"/>
        <v>1534.3200000000002</v>
      </c>
      <c r="S86" s="1422">
        <f t="shared" si="52"/>
        <v>376.697</v>
      </c>
      <c r="T86" s="1422">
        <f t="shared" si="52"/>
        <v>390.36599999999999</v>
      </c>
      <c r="U86" s="1422">
        <f t="shared" si="52"/>
        <v>411.92699999999996</v>
      </c>
      <c r="V86" s="1422">
        <f t="shared" si="52"/>
        <v>416.72300000000001</v>
      </c>
      <c r="W86" s="1421">
        <f t="shared" si="52"/>
        <v>1595.7130000000002</v>
      </c>
      <c r="X86" s="1423">
        <f t="shared" si="52"/>
        <v>409.64299999999997</v>
      </c>
      <c r="Y86" s="1422">
        <f t="shared" si="52"/>
        <v>423.55399999999997</v>
      </c>
      <c r="Z86" s="1422">
        <f t="shared" si="52"/>
        <v>448.66500000000002</v>
      </c>
      <c r="AA86" s="1424">
        <f t="shared" si="52"/>
        <v>464.86399999999998</v>
      </c>
      <c r="AB86" s="1421">
        <f t="shared" si="52"/>
        <v>1746.7259999999999</v>
      </c>
      <c r="AC86" s="1423">
        <f t="shared" si="52"/>
        <v>459.39699999999999</v>
      </c>
      <c r="AD86" s="1422">
        <f t="shared" si="52"/>
        <v>497.65</v>
      </c>
      <c r="AE86" s="1422">
        <f>AE16+AE76</f>
        <v>550.40099999999995</v>
      </c>
      <c r="AF86" s="1424">
        <f>AF16+AF76</f>
        <v>560.60000000000014</v>
      </c>
      <c r="AG86" s="1424">
        <f t="shared" si="52"/>
        <v>2068.0480000000002</v>
      </c>
      <c r="AH86" s="1422">
        <f t="shared" si="52"/>
        <v>492.70100000000002</v>
      </c>
      <c r="AI86" s="1422">
        <f>AI16+AI76</f>
        <v>498.29599999999994</v>
      </c>
      <c r="AJ86" s="1422">
        <f>AJ16+AJ76</f>
        <v>498.08100000000002</v>
      </c>
      <c r="AK86" s="1422">
        <f t="shared" si="52"/>
        <v>506.1</v>
      </c>
      <c r="AL86" s="1421">
        <f t="shared" si="52"/>
        <v>1995.1779999999999</v>
      </c>
      <c r="AM86" s="1422">
        <f>AM16+AM76</f>
        <v>502.59999999999997</v>
      </c>
      <c r="AN86" s="1422">
        <f t="shared" si="52"/>
        <v>523.20000000000005</v>
      </c>
      <c r="AO86" s="1422">
        <f t="shared" si="52"/>
        <v>549.09999999999991</v>
      </c>
      <c r="AP86" s="1422">
        <f t="shared" si="52"/>
        <v>570.29999999999995</v>
      </c>
      <c r="AQ86" s="1421">
        <f t="shared" si="52"/>
        <v>2145.2000000000003</v>
      </c>
      <c r="AR86" s="1422">
        <f t="shared" ref="AR86:BK86" si="53">AR16+AR76</f>
        <v>568.154</v>
      </c>
      <c r="AS86" s="1422">
        <f t="shared" si="53"/>
        <v>582.68200000000002</v>
      </c>
      <c r="AT86" s="1422">
        <f t="shared" si="53"/>
        <v>598.22833333333335</v>
      </c>
      <c r="AU86" s="1422">
        <f t="shared" si="53"/>
        <v>610.34899999999993</v>
      </c>
      <c r="AV86" s="1421">
        <f t="shared" si="53"/>
        <v>2359.4133333333334</v>
      </c>
      <c r="AW86" s="1422">
        <f t="shared" si="53"/>
        <v>600.35434499999997</v>
      </c>
      <c r="AX86" s="1422">
        <f t="shared" si="53"/>
        <v>616.247165</v>
      </c>
      <c r="AY86" s="1422">
        <f t="shared" si="53"/>
        <v>632.85060375</v>
      </c>
      <c r="AZ86" s="1422">
        <f t="shared" si="53"/>
        <v>646.20537999999999</v>
      </c>
      <c r="BA86" s="1421">
        <f t="shared" si="53"/>
        <v>2495.65749375</v>
      </c>
      <c r="BB86" s="1422">
        <f t="shared" si="53"/>
        <v>634.00344245000008</v>
      </c>
      <c r="BC86" s="1422">
        <f t="shared" si="53"/>
        <v>650.83684185000004</v>
      </c>
      <c r="BD86" s="1422">
        <f t="shared" si="53"/>
        <v>668.4742623625001</v>
      </c>
      <c r="BE86" s="1422">
        <f t="shared" si="53"/>
        <v>682.54302919999998</v>
      </c>
      <c r="BF86" s="1421">
        <f t="shared" si="53"/>
        <v>2635.8575758625002</v>
      </c>
      <c r="BG86" s="1422">
        <f t="shared" si="53"/>
        <v>669.62202968849999</v>
      </c>
      <c r="BH86" s="1422">
        <f t="shared" si="53"/>
        <v>687.45484620650006</v>
      </c>
      <c r="BI86" s="1422">
        <f t="shared" si="53"/>
        <v>706.19178094087511</v>
      </c>
      <c r="BJ86" s="1422">
        <f t="shared" si="53"/>
        <v>721.01489288800008</v>
      </c>
      <c r="BK86" s="1421">
        <f t="shared" si="53"/>
        <v>2784.2835497238752</v>
      </c>
      <c r="BL86" s="1425"/>
      <c r="BM86" s="1425"/>
      <c r="BN86" s="1425"/>
      <c r="BO86" s="1425"/>
      <c r="BP86" s="1425"/>
      <c r="BQ86" s="1286"/>
      <c r="BR86" s="1286" t="str">
        <f>A86</f>
        <v>Total Revenue</v>
      </c>
      <c r="BS86" s="1422">
        <f>H86</f>
        <v>1138.3429999999998</v>
      </c>
      <c r="BT86" s="1422">
        <f>M86</f>
        <v>1331.8400000000001</v>
      </c>
      <c r="BU86" s="1422">
        <f>R86</f>
        <v>1534.3200000000002</v>
      </c>
      <c r="BV86" s="1422">
        <f>W86</f>
        <v>1595.7130000000002</v>
      </c>
      <c r="BW86" s="1422">
        <f>AB86</f>
        <v>1746.7259999999999</v>
      </c>
      <c r="BX86" s="1422">
        <f>AG86</f>
        <v>2068.0480000000002</v>
      </c>
      <c r="BY86" s="1422">
        <f>AL86</f>
        <v>1995.1779999999999</v>
      </c>
      <c r="BZ86" s="1422">
        <f>AQ86</f>
        <v>2145.2000000000003</v>
      </c>
      <c r="CA86" s="1422">
        <f>AV86</f>
        <v>2359.4133333333334</v>
      </c>
      <c r="CB86" s="1422">
        <f>BA86</f>
        <v>2495.65749375</v>
      </c>
      <c r="CC86" s="1422">
        <f>BF86</f>
        <v>2635.8575758625002</v>
      </c>
      <c r="CD86" s="1422">
        <f>BK86</f>
        <v>2784.2835497238752</v>
      </c>
    </row>
    <row r="87" spans="1:82" ht="12.75" hidden="1" customHeight="1" outlineLevel="1" x14ac:dyDescent="0.2">
      <c r="A87" s="729" t="s">
        <v>209</v>
      </c>
      <c r="B87" s="1280"/>
      <c r="C87" s="1322">
        <f>C86/B86-1</f>
        <v>0.14946449555145214</v>
      </c>
      <c r="D87" s="1323">
        <v>0.124</v>
      </c>
      <c r="E87" s="1323">
        <v>9.1999999999999998E-2</v>
      </c>
      <c r="F87" s="1323">
        <v>0.112</v>
      </c>
      <c r="G87" s="1323">
        <v>0.106</v>
      </c>
      <c r="H87" s="1322">
        <f t="shared" ref="H87:R87" si="54">H86/C86-1</f>
        <v>0.10830354082936089</v>
      </c>
      <c r="I87" s="1230">
        <f t="shared" si="54"/>
        <v>0.13295117941438472</v>
      </c>
      <c r="J87" s="1230">
        <f t="shared" si="54"/>
        <v>0.16189820255114906</v>
      </c>
      <c r="K87" s="1230">
        <f t="shared" si="54"/>
        <v>0.18355060308887272</v>
      </c>
      <c r="L87" s="1230">
        <f t="shared" si="54"/>
        <v>0.19932937187455213</v>
      </c>
      <c r="M87" s="1322">
        <f t="shared" si="54"/>
        <v>0.16998127980758015</v>
      </c>
      <c r="N87" s="1230">
        <f t="shared" si="54"/>
        <v>0.10749546934979182</v>
      </c>
      <c r="O87" s="1230">
        <f t="shared" si="54"/>
        <v>0.14038743583475921</v>
      </c>
      <c r="P87" s="1230">
        <f t="shared" si="54"/>
        <v>0.17278843156972412</v>
      </c>
      <c r="Q87" s="1230">
        <f t="shared" si="54"/>
        <v>0.18241830753172006</v>
      </c>
      <c r="R87" s="1322">
        <f t="shared" si="54"/>
        <v>0.15203027390677559</v>
      </c>
      <c r="S87" s="1230">
        <f>S86/N85-1</f>
        <v>0.20170415575383838</v>
      </c>
      <c r="T87" s="1230">
        <f>T86/O85-1</f>
        <v>0.15121988622456017</v>
      </c>
      <c r="U87" s="1230">
        <f>U86/P85-1</f>
        <v>0.12312994353363282</v>
      </c>
      <c r="V87" s="1230">
        <f>V86/Q85-1</f>
        <v>7.2698536093142252E-2</v>
      </c>
      <c r="W87" s="1322">
        <f>W85/R85-1</f>
        <v>0.1334750668771123</v>
      </c>
      <c r="X87" s="1407">
        <f>X86/S85-1</f>
        <v>8.7460213381046259E-2</v>
      </c>
      <c r="Y87" s="1230">
        <f>Y86/T85-1</f>
        <v>8.5017650102723996E-2</v>
      </c>
      <c r="Z87" s="1230">
        <f>Z86/U85-1</f>
        <v>8.9185705234180013E-2</v>
      </c>
      <c r="AA87" s="1324">
        <f>AA86/V85-1</f>
        <v>0.11552278131996552</v>
      </c>
      <c r="AB87" s="1322">
        <f>AB86/W85-1</f>
        <v>9.4636692187128668E-2</v>
      </c>
      <c r="AC87" s="1407">
        <f t="shared" ref="AC87:AQ87" si="55">AC86/X86-1</f>
        <v>0.1214569759522317</v>
      </c>
      <c r="AD87" s="1230">
        <f t="shared" si="55"/>
        <v>0.17493873272357252</v>
      </c>
      <c r="AE87" s="1230">
        <f t="shared" si="55"/>
        <v>0.22675269967570433</v>
      </c>
      <c r="AF87" s="1324">
        <f t="shared" si="55"/>
        <v>0.20594410408205444</v>
      </c>
      <c r="AG87" s="1322">
        <f t="shared" si="55"/>
        <v>0.18395672818747788</v>
      </c>
      <c r="AH87" s="1230">
        <f t="shared" si="55"/>
        <v>7.2495031530462883E-2</v>
      </c>
      <c r="AI87" s="1230">
        <f t="shared" si="55"/>
        <v>1.2981010750525712E-3</v>
      </c>
      <c r="AJ87" s="1230">
        <f t="shared" si="55"/>
        <v>-9.5057966827821749E-2</v>
      </c>
      <c r="AK87" s="1230">
        <f t="shared" si="55"/>
        <v>-9.7217267213699832E-2</v>
      </c>
      <c r="AL87" s="1322">
        <f t="shared" si="55"/>
        <v>-3.5236126047364591E-2</v>
      </c>
      <c r="AM87" s="1230">
        <f t="shared" si="55"/>
        <v>2.0091292690698648E-2</v>
      </c>
      <c r="AN87" s="1230">
        <f t="shared" si="55"/>
        <v>4.9978326135469819E-2</v>
      </c>
      <c r="AO87" s="1230">
        <f t="shared" si="55"/>
        <v>0.10243113067954779</v>
      </c>
      <c r="AP87" s="1230">
        <f t="shared" si="55"/>
        <v>0.12685240071132164</v>
      </c>
      <c r="AQ87" s="1322">
        <f t="shared" si="55"/>
        <v>7.5192288607833779E-2</v>
      </c>
      <c r="AR87" s="1230">
        <f t="shared" ref="AR87:BK87" si="56">AR86/AM86-1</f>
        <v>0.1304297652208517</v>
      </c>
      <c r="AS87" s="1230">
        <f t="shared" si="56"/>
        <v>0.11368883792048923</v>
      </c>
      <c r="AT87" s="1230">
        <f t="shared" si="56"/>
        <v>8.9470648940691122E-2</v>
      </c>
      <c r="AU87" s="1230">
        <f t="shared" si="56"/>
        <v>7.0224443275469062E-2</v>
      </c>
      <c r="AV87" s="1322">
        <f t="shared" si="56"/>
        <v>9.9857045186152016E-2</v>
      </c>
      <c r="AW87" s="1230">
        <f t="shared" si="56"/>
        <v>5.667538202670408E-2</v>
      </c>
      <c r="AX87" s="1230">
        <f t="shared" si="56"/>
        <v>5.7604602510460179E-2</v>
      </c>
      <c r="AY87" s="1230">
        <f t="shared" si="56"/>
        <v>5.7874675082256744E-2</v>
      </c>
      <c r="AZ87" s="1230">
        <f t="shared" si="56"/>
        <v>5.8747339636830764E-2</v>
      </c>
      <c r="BA87" s="1322">
        <f t="shared" si="56"/>
        <v>5.774493111988277E-2</v>
      </c>
      <c r="BB87" s="1230">
        <f t="shared" si="56"/>
        <v>5.604872810573247E-2</v>
      </c>
      <c r="BC87" s="1230">
        <f t="shared" si="56"/>
        <v>5.612955128158692E-2</v>
      </c>
      <c r="BD87" s="1230">
        <f t="shared" si="56"/>
        <v>5.6290787116911378E-2</v>
      </c>
      <c r="BE87" s="1230">
        <f t="shared" si="56"/>
        <v>5.6232353249674238E-2</v>
      </c>
      <c r="BF87" s="1322">
        <f t="shared" si="56"/>
        <v>5.6177613500093759E-2</v>
      </c>
      <c r="BG87" s="1230">
        <f t="shared" si="56"/>
        <v>5.6180431924561569E-2</v>
      </c>
      <c r="BH87" s="1230">
        <f t="shared" si="56"/>
        <v>5.6262955631727118E-2</v>
      </c>
      <c r="BI87" s="1230">
        <f t="shared" si="56"/>
        <v>5.6423292117597779E-2</v>
      </c>
      <c r="BJ87" s="1230">
        <f t="shared" si="56"/>
        <v>5.6365477401611574E-2</v>
      </c>
      <c r="BK87" s="1322">
        <f t="shared" si="56"/>
        <v>5.631031631623995E-2</v>
      </c>
      <c r="BL87" s="1277"/>
      <c r="BM87" s="1277"/>
      <c r="BN87" s="1277"/>
      <c r="BO87" s="1277"/>
      <c r="BP87" s="1277"/>
      <c r="BQ87" s="1278"/>
      <c r="BR87" s="1294" t="str">
        <f>A87</f>
        <v>YoY Change</v>
      </c>
      <c r="BS87" s="1230">
        <f>H87</f>
        <v>0.10830354082936089</v>
      </c>
      <c r="BT87" s="1230">
        <f>M87</f>
        <v>0.16998127980758015</v>
      </c>
      <c r="BU87" s="1230">
        <f>R87</f>
        <v>0.15203027390677559</v>
      </c>
      <c r="BV87" s="1230">
        <f>W87</f>
        <v>0.1334750668771123</v>
      </c>
      <c r="BW87" s="1230">
        <f>AB87</f>
        <v>9.4636692187128668E-2</v>
      </c>
      <c r="BX87" s="1230">
        <f>AG87</f>
        <v>0.18395672818747788</v>
      </c>
      <c r="BY87" s="1230">
        <f>AL87</f>
        <v>-3.5236126047364591E-2</v>
      </c>
      <c r="BZ87" s="1230">
        <f>AQ87</f>
        <v>7.5192288607833779E-2</v>
      </c>
      <c r="CA87" s="1230">
        <f>AV87</f>
        <v>9.9857045186152016E-2</v>
      </c>
      <c r="CB87" s="1230">
        <f>BA87</f>
        <v>5.774493111988277E-2</v>
      </c>
      <c r="CC87" s="1230">
        <f>BF87</f>
        <v>5.6177613500093759E-2</v>
      </c>
      <c r="CD87" s="1230">
        <f>BK87</f>
        <v>5.631031631623995E-2</v>
      </c>
    </row>
    <row r="88" spans="1:82" ht="12.75" hidden="1" customHeight="1" outlineLevel="1" collapsed="1" x14ac:dyDescent="0.2">
      <c r="A88" s="1330" t="s">
        <v>343</v>
      </c>
      <c r="B88" s="91"/>
      <c r="C88" s="731">
        <v>0.112</v>
      </c>
      <c r="D88" s="716">
        <v>0.11799999999999999</v>
      </c>
      <c r="E88" s="716">
        <v>8.2000000000000003E-2</v>
      </c>
      <c r="F88" s="716">
        <v>0.104</v>
      </c>
      <c r="G88" s="716">
        <v>8.8999999999999996E-2</v>
      </c>
      <c r="H88" s="731">
        <v>9.8000000000000004E-2</v>
      </c>
      <c r="I88" s="716">
        <v>6.6000000000000003E-2</v>
      </c>
      <c r="J88" s="716">
        <v>8.7999999999999995E-2</v>
      </c>
      <c r="K88" s="716">
        <v>7.5999999999999998E-2</v>
      </c>
      <c r="L88" s="716">
        <v>7.5999999999999998E-2</v>
      </c>
      <c r="M88" s="731">
        <v>7.5999999999999998E-2</v>
      </c>
      <c r="N88" s="716">
        <v>7.6999999999999999E-2</v>
      </c>
      <c r="O88" s="716">
        <v>6.4000000000000001E-2</v>
      </c>
      <c r="P88" s="716">
        <v>8.5000000000000006E-2</v>
      </c>
      <c r="Q88" s="716">
        <v>6.7000000000000004E-2</v>
      </c>
      <c r="R88" s="731">
        <v>7.2999999999999995E-2</v>
      </c>
      <c r="S88" s="716">
        <v>6.8000000000000005E-2</v>
      </c>
      <c r="T88" s="716">
        <v>7.8E-2</v>
      </c>
      <c r="U88" s="716">
        <v>6.0999999999999999E-2</v>
      </c>
      <c r="V88" s="1426">
        <v>7.2999999999999995E-2</v>
      </c>
      <c r="W88" s="1408">
        <v>8.5000000000000006E-2</v>
      </c>
      <c r="X88" s="716">
        <f>+X87</f>
        <v>8.7460213381046259E-2</v>
      </c>
      <c r="Y88" s="716">
        <f>+Y87</f>
        <v>8.5017650102723996E-2</v>
      </c>
      <c r="Z88" s="716">
        <f>+Z87</f>
        <v>8.9185705234180013E-2</v>
      </c>
      <c r="AA88" s="716">
        <v>0.114</v>
      </c>
      <c r="AB88" s="1408">
        <v>9.4E-2</v>
      </c>
      <c r="AC88" s="716">
        <v>0.115</v>
      </c>
      <c r="AD88" s="716">
        <v>9.4E-2</v>
      </c>
      <c r="AE88" s="1323">
        <v>5.6000000000000001E-2</v>
      </c>
      <c r="AF88" s="1409">
        <v>3.9E-2</v>
      </c>
      <c r="AG88" s="1427">
        <v>7.3999999999999996E-2</v>
      </c>
      <c r="AH88" s="1230"/>
      <c r="AI88" s="1230"/>
      <c r="AJ88" s="1230"/>
      <c r="AK88" s="1230"/>
      <c r="AL88" s="1322"/>
      <c r="AM88" s="1230">
        <f t="shared" ref="AM88:BK88" si="57">AM92</f>
        <v>2.5000000000000001E-2</v>
      </c>
      <c r="AN88" s="1230">
        <f t="shared" si="57"/>
        <v>4.1000000000000002E-2</v>
      </c>
      <c r="AO88" s="1230">
        <f t="shared" si="57"/>
        <v>7.0000000000000007E-2</v>
      </c>
      <c r="AP88" s="1230">
        <f t="shared" si="57"/>
        <v>7.3999999999999996E-2</v>
      </c>
      <c r="AQ88" s="1322">
        <f t="shared" si="57"/>
        <v>5.2502881948377489E-2</v>
      </c>
      <c r="AR88" s="1230">
        <f t="shared" si="57"/>
        <v>6.5865499403103822E-2</v>
      </c>
      <c r="AS88" s="1230">
        <f t="shared" si="57"/>
        <v>5.8738532110091723E-2</v>
      </c>
      <c r="AT88" s="1230">
        <f t="shared" si="57"/>
        <v>5.6082680750318747E-2</v>
      </c>
      <c r="AU88" s="1230">
        <f t="shared" si="57"/>
        <v>5.4443275469051366E-2</v>
      </c>
      <c r="AV88" s="1322">
        <f t="shared" si="57"/>
        <v>5.8586611970911751E-2</v>
      </c>
      <c r="AW88" s="1230">
        <f t="shared" si="57"/>
        <v>5.667538202670408E-2</v>
      </c>
      <c r="AX88" s="1230">
        <f t="shared" si="57"/>
        <v>5.7604602510460179E-2</v>
      </c>
      <c r="AY88" s="1230">
        <f t="shared" si="57"/>
        <v>5.7874675082256744E-2</v>
      </c>
      <c r="AZ88" s="1230">
        <f t="shared" si="57"/>
        <v>5.8747339636830764E-2</v>
      </c>
      <c r="BA88" s="1322">
        <f t="shared" si="57"/>
        <v>5.7744931119882992E-2</v>
      </c>
      <c r="BB88" s="1230">
        <f t="shared" si="57"/>
        <v>5.604872810573247E-2</v>
      </c>
      <c r="BC88" s="1230">
        <f t="shared" si="57"/>
        <v>5.612955128158692E-2</v>
      </c>
      <c r="BD88" s="1230">
        <f t="shared" si="57"/>
        <v>5.6290787116911378E-2</v>
      </c>
      <c r="BE88" s="1230">
        <f t="shared" si="57"/>
        <v>5.6232353249674238E-2</v>
      </c>
      <c r="BF88" s="1322">
        <f t="shared" si="57"/>
        <v>5.6177613500093759E-2</v>
      </c>
      <c r="BG88" s="1230">
        <f t="shared" si="57"/>
        <v>5.6180431924561569E-2</v>
      </c>
      <c r="BH88" s="1230">
        <f t="shared" si="57"/>
        <v>5.6262955631727118E-2</v>
      </c>
      <c r="BI88" s="1230">
        <f t="shared" si="57"/>
        <v>5.6423292117598001E-2</v>
      </c>
      <c r="BJ88" s="1230">
        <f t="shared" si="57"/>
        <v>5.6365477401611574E-2</v>
      </c>
      <c r="BK88" s="1322">
        <f t="shared" si="57"/>
        <v>5.631031631623995E-2</v>
      </c>
      <c r="BL88" s="716"/>
      <c r="BM88" s="716"/>
      <c r="BN88" s="716"/>
      <c r="BO88" s="716"/>
      <c r="BP88" s="716"/>
      <c r="BQ88" s="716"/>
      <c r="BR88" s="1331" t="str">
        <f>A88</f>
        <v>Organic growth</v>
      </c>
      <c r="BS88" s="90">
        <f>H88</f>
        <v>9.8000000000000004E-2</v>
      </c>
      <c r="BT88" s="90">
        <f>M88</f>
        <v>7.5999999999999998E-2</v>
      </c>
      <c r="BU88" s="90">
        <f>R88</f>
        <v>7.2999999999999995E-2</v>
      </c>
      <c r="BV88" s="90">
        <f>W88</f>
        <v>8.5000000000000006E-2</v>
      </c>
      <c r="BW88" s="1230">
        <f>AB88</f>
        <v>9.4E-2</v>
      </c>
      <c r="BX88" s="1230">
        <f>AG88</f>
        <v>7.3999999999999996E-2</v>
      </c>
      <c r="BY88" s="90"/>
      <c r="BZ88" s="90"/>
      <c r="CA88" s="90"/>
      <c r="CB88" s="90"/>
      <c r="CC88" s="90"/>
      <c r="CD88" s="90"/>
    </row>
    <row r="89" spans="1:82" collapsed="1" x14ac:dyDescent="0.2">
      <c r="A89" s="1330"/>
      <c r="B89" s="91"/>
      <c r="C89" s="731"/>
      <c r="D89" s="716"/>
      <c r="E89" s="716"/>
      <c r="F89" s="716"/>
      <c r="G89" s="716"/>
      <c r="H89" s="731"/>
      <c r="I89" s="716"/>
      <c r="J89" s="716"/>
      <c r="K89" s="716"/>
      <c r="L89" s="716"/>
      <c r="M89" s="731"/>
      <c r="N89" s="716"/>
      <c r="O89" s="716"/>
      <c r="P89" s="716"/>
      <c r="Q89" s="716"/>
      <c r="R89" s="731"/>
      <c r="S89" s="716"/>
      <c r="T89" s="716"/>
      <c r="U89" s="716"/>
      <c r="V89" s="1426"/>
      <c r="W89" s="1408"/>
      <c r="X89" s="716"/>
      <c r="Y89" s="716"/>
      <c r="Z89" s="716"/>
      <c r="AA89" s="716"/>
      <c r="AB89" s="1408"/>
      <c r="AC89" s="716"/>
      <c r="AD89" s="716"/>
      <c r="AE89" s="1323"/>
      <c r="AF89" s="1409"/>
      <c r="AG89" s="1409"/>
      <c r="AH89" s="1230"/>
      <c r="AI89" s="1230"/>
      <c r="AJ89" s="1230"/>
      <c r="AK89" s="1230"/>
      <c r="AL89" s="1322"/>
      <c r="AM89" s="1899">
        <f>((1+AM66)*AH61+(1+AM36)*AH31+(1+AM27)*AH24)/AH81-1</f>
        <v>2.796179839907964E-2</v>
      </c>
      <c r="AN89" s="1898"/>
      <c r="AP89" s="1230"/>
      <c r="AQ89" s="1322"/>
      <c r="AR89" s="1898"/>
      <c r="AS89" s="1898"/>
      <c r="AT89" s="1898"/>
      <c r="AU89" s="1898"/>
      <c r="AV89" s="1322"/>
      <c r="AW89" s="1898"/>
      <c r="AX89" s="1898"/>
      <c r="AY89" s="1898"/>
      <c r="AZ89" s="1898"/>
      <c r="BA89" s="1322"/>
      <c r="BB89" s="1898"/>
      <c r="BC89" s="1898"/>
      <c r="BD89" s="1898"/>
      <c r="BE89" s="1898"/>
      <c r="BF89" s="1322"/>
      <c r="BG89" s="1898"/>
      <c r="BH89" s="1898"/>
      <c r="BI89" s="1898"/>
      <c r="BJ89" s="1898"/>
      <c r="BK89" s="1322"/>
      <c r="BL89" s="716"/>
      <c r="BM89" s="716"/>
      <c r="BN89" s="716"/>
      <c r="BO89" s="716"/>
      <c r="BP89" s="716"/>
      <c r="BQ89" s="716"/>
      <c r="BR89" s="1331"/>
      <c r="BS89" s="90"/>
      <c r="BT89" s="90"/>
      <c r="BU89" s="90"/>
      <c r="BV89" s="90"/>
      <c r="BW89" s="1230"/>
      <c r="BX89" s="1230"/>
      <c r="BY89" s="90"/>
      <c r="BZ89" s="90"/>
      <c r="CA89" s="90"/>
      <c r="CB89" s="90"/>
      <c r="CC89" s="90"/>
      <c r="CD89" s="90"/>
    </row>
    <row r="90" spans="1:82" s="6" customFormat="1" x14ac:dyDescent="0.2">
      <c r="A90" s="1284" t="s">
        <v>398</v>
      </c>
      <c r="B90" s="1421"/>
      <c r="C90" s="1421">
        <f>C81+C16</f>
        <v>977.04</v>
      </c>
      <c r="D90" s="1422">
        <f t="shared" ref="D90:AQ90" si="58">D81+D16</f>
        <v>261.86</v>
      </c>
      <c r="E90" s="1422">
        <f t="shared" si="58"/>
        <v>266.64</v>
      </c>
      <c r="F90" s="1422">
        <f t="shared" si="58"/>
        <v>272.96500000000003</v>
      </c>
      <c r="G90" s="1422">
        <f t="shared" si="58"/>
        <v>278.90600000000001</v>
      </c>
      <c r="H90" s="1421">
        <f t="shared" si="58"/>
        <v>1080.3710000000001</v>
      </c>
      <c r="I90" s="1422">
        <f t="shared" si="58"/>
        <v>297.25199999999995</v>
      </c>
      <c r="J90" s="1422">
        <f t="shared" si="58"/>
        <v>307.95800000000003</v>
      </c>
      <c r="K90" s="1422">
        <f t="shared" si="58"/>
        <v>309.82100000000003</v>
      </c>
      <c r="L90" s="1422">
        <f t="shared" si="58"/>
        <v>313.08699999999999</v>
      </c>
      <c r="M90" s="1421">
        <f t="shared" si="58"/>
        <v>1228.1180000000002</v>
      </c>
      <c r="N90" s="1422">
        <f t="shared" si="58"/>
        <v>316.053</v>
      </c>
      <c r="O90" s="1422">
        <f t="shared" si="58"/>
        <v>322.84499999999997</v>
      </c>
      <c r="P90" s="1422">
        <f t="shared" si="58"/>
        <v>329.53899999999999</v>
      </c>
      <c r="Q90" s="1422">
        <f t="shared" si="58"/>
        <v>342.928</v>
      </c>
      <c r="R90" s="1421">
        <f t="shared" si="58"/>
        <v>1311.3650000000002</v>
      </c>
      <c r="S90" s="1422">
        <f t="shared" si="58"/>
        <v>317.64800000000002</v>
      </c>
      <c r="T90" s="1422">
        <f t="shared" si="58"/>
        <v>329.279</v>
      </c>
      <c r="U90" s="1422">
        <f t="shared" si="58"/>
        <v>338.315</v>
      </c>
      <c r="V90" s="1422">
        <f t="shared" si="58"/>
        <v>338.93299999999999</v>
      </c>
      <c r="W90" s="1421">
        <f t="shared" si="58"/>
        <v>1324.1750000000002</v>
      </c>
      <c r="X90" s="1423">
        <f t="shared" si="58"/>
        <v>345.74699999999996</v>
      </c>
      <c r="Y90" s="1422">
        <f t="shared" si="58"/>
        <v>358.46199999999999</v>
      </c>
      <c r="Z90" s="1422">
        <f t="shared" si="58"/>
        <v>356.76499999999999</v>
      </c>
      <c r="AA90" s="1424">
        <f t="shared" si="58"/>
        <v>370.12399999999997</v>
      </c>
      <c r="AB90" s="1421">
        <f t="shared" si="58"/>
        <v>1431.098</v>
      </c>
      <c r="AC90" s="1423">
        <f t="shared" si="58"/>
        <v>384.29300000000001</v>
      </c>
      <c r="AD90" s="1422">
        <f t="shared" si="58"/>
        <v>428.59900000000005</v>
      </c>
      <c r="AE90" s="1422">
        <f t="shared" si="58"/>
        <v>470.40799999999996</v>
      </c>
      <c r="AF90" s="1424">
        <f>AF81+AF16</f>
        <v>477.40000000000003</v>
      </c>
      <c r="AG90" s="1424">
        <f t="shared" si="58"/>
        <v>1760.7</v>
      </c>
      <c r="AH90" s="1422">
        <f t="shared" si="58"/>
        <v>492.70100000000002</v>
      </c>
      <c r="AI90" s="1422">
        <f>AI81+AI16</f>
        <v>498.29599999999994</v>
      </c>
      <c r="AJ90" s="1422">
        <f t="shared" si="58"/>
        <v>498.08100000000002</v>
      </c>
      <c r="AK90" s="1422">
        <f t="shared" si="58"/>
        <v>506.1</v>
      </c>
      <c r="AL90" s="1421">
        <f t="shared" si="58"/>
        <v>1995.1779999999999</v>
      </c>
      <c r="AM90" s="1422">
        <f t="shared" si="58"/>
        <v>502.59999999999997</v>
      </c>
      <c r="AN90" s="1422">
        <f t="shared" si="58"/>
        <v>523.20000000000005</v>
      </c>
      <c r="AO90" s="1422">
        <f t="shared" si="58"/>
        <v>549.09999999999991</v>
      </c>
      <c r="AP90" s="1422">
        <f t="shared" si="58"/>
        <v>570.29999999999995</v>
      </c>
      <c r="AQ90" s="1421">
        <f t="shared" si="58"/>
        <v>2145.2000000000003</v>
      </c>
      <c r="AR90" s="1422">
        <f t="shared" ref="AR90:BK90" si="59">AR81+AR16</f>
        <v>568.154</v>
      </c>
      <c r="AS90" s="1422">
        <f t="shared" si="59"/>
        <v>582.68200000000002</v>
      </c>
      <c r="AT90" s="1422">
        <f t="shared" si="59"/>
        <v>598.22833333333335</v>
      </c>
      <c r="AU90" s="1422">
        <f t="shared" si="59"/>
        <v>610.34899999999993</v>
      </c>
      <c r="AV90" s="1421">
        <f t="shared" si="59"/>
        <v>2359.4133333333334</v>
      </c>
      <c r="AW90" s="1422">
        <f t="shared" si="59"/>
        <v>600.35434499999997</v>
      </c>
      <c r="AX90" s="1422">
        <f t="shared" si="59"/>
        <v>616.247165</v>
      </c>
      <c r="AY90" s="1422">
        <f t="shared" si="59"/>
        <v>632.85060375</v>
      </c>
      <c r="AZ90" s="1422">
        <f t="shared" si="59"/>
        <v>646.20537999999999</v>
      </c>
      <c r="BA90" s="1421">
        <f t="shared" si="59"/>
        <v>2495.65749375</v>
      </c>
      <c r="BB90" s="1422">
        <f t="shared" si="59"/>
        <v>634.00344245000008</v>
      </c>
      <c r="BC90" s="1422">
        <f t="shared" si="59"/>
        <v>650.83684185000004</v>
      </c>
      <c r="BD90" s="1422">
        <f t="shared" si="59"/>
        <v>668.4742623625001</v>
      </c>
      <c r="BE90" s="1422">
        <f t="shared" si="59"/>
        <v>682.54302919999998</v>
      </c>
      <c r="BF90" s="1421">
        <f t="shared" si="59"/>
        <v>2635.8575758625002</v>
      </c>
      <c r="BG90" s="1422">
        <f t="shared" si="59"/>
        <v>669.62202968849999</v>
      </c>
      <c r="BH90" s="1422">
        <f t="shared" si="59"/>
        <v>687.45484620650006</v>
      </c>
      <c r="BI90" s="1422">
        <f t="shared" si="59"/>
        <v>706.19178094087511</v>
      </c>
      <c r="BJ90" s="1422">
        <f t="shared" si="59"/>
        <v>721.01489288800008</v>
      </c>
      <c r="BK90" s="1421">
        <f t="shared" si="59"/>
        <v>2784.2835497238752</v>
      </c>
      <c r="BL90" s="1425"/>
      <c r="BM90" s="1425"/>
      <c r="BN90" s="1425"/>
      <c r="BO90" s="1425"/>
      <c r="BP90" s="1425"/>
      <c r="BQ90" s="1286"/>
      <c r="BR90" s="1286" t="str">
        <f>A90</f>
        <v>Total Revenue from Continuing Operations</v>
      </c>
      <c r="BS90" s="1422">
        <f>H90</f>
        <v>1080.3710000000001</v>
      </c>
      <c r="BT90" s="1422">
        <f>M90</f>
        <v>1228.1180000000002</v>
      </c>
      <c r="BU90" s="1422">
        <f>R90</f>
        <v>1311.3650000000002</v>
      </c>
      <c r="BV90" s="1422">
        <f>W90</f>
        <v>1324.1750000000002</v>
      </c>
      <c r="BW90" s="1422">
        <f>AB90</f>
        <v>1431.098</v>
      </c>
      <c r="BX90" s="1422">
        <f>AG90</f>
        <v>1760.7</v>
      </c>
      <c r="BY90" s="1422">
        <f>AL90</f>
        <v>1995.1779999999999</v>
      </c>
      <c r="BZ90" s="1422">
        <f>AQ90</f>
        <v>2145.2000000000003</v>
      </c>
      <c r="CA90" s="1422">
        <f>AV90</f>
        <v>2359.4133333333334</v>
      </c>
      <c r="CB90" s="1422">
        <f>BA90</f>
        <v>2495.65749375</v>
      </c>
      <c r="CC90" s="1422">
        <f>BF90</f>
        <v>2635.8575758625002</v>
      </c>
      <c r="CD90" s="1422">
        <f>BK90</f>
        <v>2784.2835497238752</v>
      </c>
    </row>
    <row r="91" spans="1:82" s="6" customFormat="1" x14ac:dyDescent="0.2">
      <c r="A91" s="729" t="s">
        <v>209</v>
      </c>
      <c r="B91" s="1280"/>
      <c r="C91" s="1322"/>
      <c r="D91" s="1323">
        <v>0.219</v>
      </c>
      <c r="E91" s="1323">
        <v>0.183</v>
      </c>
      <c r="F91" s="1323">
        <v>0.17799999999999999</v>
      </c>
      <c r="G91" s="1323">
        <v>0.16500000000000001</v>
      </c>
      <c r="H91" s="1322">
        <f t="shared" ref="H91:AQ91" si="60">H90/C90-1</f>
        <v>0.10575923196593817</v>
      </c>
      <c r="I91" s="1230">
        <f t="shared" si="60"/>
        <v>0.1351561903307108</v>
      </c>
      <c r="J91" s="1230">
        <f t="shared" si="60"/>
        <v>0.15495799579958014</v>
      </c>
      <c r="K91" s="1230">
        <f t="shared" si="60"/>
        <v>0.13502097338486618</v>
      </c>
      <c r="L91" s="1230">
        <f t="shared" si="60"/>
        <v>0.12255383534237341</v>
      </c>
      <c r="M91" s="1322">
        <f t="shared" si="60"/>
        <v>0.13675579962809081</v>
      </c>
      <c r="N91" s="1230">
        <f t="shared" si="60"/>
        <v>6.324936417585092E-2</v>
      </c>
      <c r="O91" s="1230">
        <f t="shared" si="60"/>
        <v>4.8341007539989045E-2</v>
      </c>
      <c r="P91" s="1230">
        <f t="shared" si="60"/>
        <v>6.3643200428634472E-2</v>
      </c>
      <c r="Q91" s="1230">
        <f t="shared" si="60"/>
        <v>9.53121656280842E-2</v>
      </c>
      <c r="R91" s="1322">
        <f t="shared" si="60"/>
        <v>6.7784203146603161E-2</v>
      </c>
      <c r="S91" s="1230">
        <f t="shared" si="60"/>
        <v>5.046621927335071E-3</v>
      </c>
      <c r="T91" s="1230">
        <f t="shared" si="60"/>
        <v>1.992906812866857E-2</v>
      </c>
      <c r="U91" s="1230">
        <f t="shared" si="60"/>
        <v>2.6631142292718124E-2</v>
      </c>
      <c r="V91" s="1230">
        <f t="shared" si="60"/>
        <v>-1.1649675733681697E-2</v>
      </c>
      <c r="W91" s="1428">
        <f t="shared" si="60"/>
        <v>9.7684473811638917E-3</v>
      </c>
      <c r="X91" s="1407">
        <f t="shared" si="60"/>
        <v>8.8459552712436107E-2</v>
      </c>
      <c r="Y91" s="1230">
        <f t="shared" si="60"/>
        <v>8.8626969834092018E-2</v>
      </c>
      <c r="Z91" s="1230">
        <f t="shared" si="60"/>
        <v>5.4534974801590197E-2</v>
      </c>
      <c r="AA91" s="1324">
        <f t="shared" si="60"/>
        <v>9.2027037792129951E-2</v>
      </c>
      <c r="AB91" s="1322">
        <f t="shared" si="60"/>
        <v>8.0746880132912757E-2</v>
      </c>
      <c r="AC91" s="1407">
        <f t="shared" si="60"/>
        <v>0.1114861444929387</v>
      </c>
      <c r="AD91" s="1230">
        <f t="shared" si="60"/>
        <v>0.1956609068743691</v>
      </c>
      <c r="AE91" s="1230">
        <f t="shared" si="60"/>
        <v>0.31853741258251222</v>
      </c>
      <c r="AF91" s="1324">
        <f t="shared" si="60"/>
        <v>0.2898380002377583</v>
      </c>
      <c r="AG91" s="1322">
        <f t="shared" si="60"/>
        <v>0.23031406654191411</v>
      </c>
      <c r="AH91" s="1230">
        <f t="shared" si="60"/>
        <v>0.28209725391823426</v>
      </c>
      <c r="AI91" s="1230">
        <f t="shared" si="60"/>
        <v>0.162615871712253</v>
      </c>
      <c r="AJ91" s="1230">
        <f t="shared" si="60"/>
        <v>5.8827655992245154E-2</v>
      </c>
      <c r="AK91" s="1230">
        <f t="shared" si="60"/>
        <v>6.011730205278587E-2</v>
      </c>
      <c r="AL91" s="1322">
        <f t="shared" si="60"/>
        <v>0.13317316976202642</v>
      </c>
      <c r="AM91" s="1230">
        <f t="shared" si="60"/>
        <v>2.0091292690698648E-2</v>
      </c>
      <c r="AN91" s="1230">
        <f t="shared" si="60"/>
        <v>4.9978326135469819E-2</v>
      </c>
      <c r="AO91" s="1230">
        <f t="shared" si="60"/>
        <v>0.10243113067954779</v>
      </c>
      <c r="AP91" s="1230">
        <f t="shared" si="60"/>
        <v>0.12685240071132164</v>
      </c>
      <c r="AQ91" s="1322">
        <f t="shared" si="60"/>
        <v>7.5192288607833779E-2</v>
      </c>
      <c r="AR91" s="1230">
        <f t="shared" ref="AR91:BK91" si="61">AR90/AM90-1</f>
        <v>0.1304297652208517</v>
      </c>
      <c r="AS91" s="1230">
        <f t="shared" si="61"/>
        <v>0.11368883792048923</v>
      </c>
      <c r="AT91" s="1230">
        <f t="shared" si="61"/>
        <v>8.9470648940691122E-2</v>
      </c>
      <c r="AU91" s="1230">
        <f t="shared" si="61"/>
        <v>7.0224443275469062E-2</v>
      </c>
      <c r="AV91" s="1322">
        <f t="shared" si="61"/>
        <v>9.9857045186152016E-2</v>
      </c>
      <c r="AW91" s="1230">
        <f t="shared" si="61"/>
        <v>5.667538202670408E-2</v>
      </c>
      <c r="AX91" s="1230">
        <f t="shared" si="61"/>
        <v>5.7604602510460179E-2</v>
      </c>
      <c r="AY91" s="1230">
        <f t="shared" si="61"/>
        <v>5.7874675082256744E-2</v>
      </c>
      <c r="AZ91" s="1230">
        <f t="shared" si="61"/>
        <v>5.8747339636830764E-2</v>
      </c>
      <c r="BA91" s="1322">
        <f t="shared" si="61"/>
        <v>5.774493111988277E-2</v>
      </c>
      <c r="BB91" s="1230">
        <f t="shared" si="61"/>
        <v>5.604872810573247E-2</v>
      </c>
      <c r="BC91" s="1230">
        <f t="shared" si="61"/>
        <v>5.612955128158692E-2</v>
      </c>
      <c r="BD91" s="1230">
        <f t="shared" si="61"/>
        <v>5.6290787116911378E-2</v>
      </c>
      <c r="BE91" s="1230">
        <f t="shared" si="61"/>
        <v>5.6232353249674238E-2</v>
      </c>
      <c r="BF91" s="1322">
        <f t="shared" si="61"/>
        <v>5.6177613500093759E-2</v>
      </c>
      <c r="BG91" s="1230">
        <f t="shared" si="61"/>
        <v>5.6180431924561569E-2</v>
      </c>
      <c r="BH91" s="1230">
        <f t="shared" si="61"/>
        <v>5.6262955631727118E-2</v>
      </c>
      <c r="BI91" s="1230">
        <f t="shared" si="61"/>
        <v>5.6423292117597779E-2</v>
      </c>
      <c r="BJ91" s="1230">
        <f t="shared" si="61"/>
        <v>5.6365477401611574E-2</v>
      </c>
      <c r="BK91" s="1322">
        <f t="shared" si="61"/>
        <v>5.631031631623995E-2</v>
      </c>
      <c r="BL91" s="1277"/>
      <c r="BM91" s="1277"/>
      <c r="BN91" s="1277"/>
      <c r="BO91" s="1277"/>
      <c r="BP91" s="1277"/>
      <c r="BQ91" s="1278"/>
      <c r="BR91" s="1294" t="str">
        <f>A91</f>
        <v>YoY Change</v>
      </c>
      <c r="BS91" s="1230">
        <f>H91</f>
        <v>0.10575923196593817</v>
      </c>
      <c r="BT91" s="1230">
        <f>M91</f>
        <v>0.13675579962809081</v>
      </c>
      <c r="BU91" s="1230">
        <f>R91</f>
        <v>6.7784203146603161E-2</v>
      </c>
      <c r="BV91" s="1230">
        <f>W91</f>
        <v>9.7684473811638917E-3</v>
      </c>
      <c r="BW91" s="1230">
        <f>AB91</f>
        <v>8.0746880132912757E-2</v>
      </c>
      <c r="BX91" s="1230">
        <f>AG91</f>
        <v>0.23031406654191411</v>
      </c>
      <c r="BY91" s="1230">
        <f>AL91</f>
        <v>0.13317316976202642</v>
      </c>
      <c r="BZ91" s="1230">
        <f>AQ91</f>
        <v>7.5192288607833779E-2</v>
      </c>
      <c r="CA91" s="1230">
        <f>AV91</f>
        <v>9.9857045186152016E-2</v>
      </c>
      <c r="CB91" s="1230">
        <f>BA91</f>
        <v>5.774493111988277E-2</v>
      </c>
      <c r="CC91" s="1230">
        <f>BF91</f>
        <v>5.6177613500093759E-2</v>
      </c>
      <c r="CD91" s="1230">
        <f>BK91</f>
        <v>5.631031631623995E-2</v>
      </c>
    </row>
    <row r="92" spans="1:82" s="6" customFormat="1" collapsed="1" x14ac:dyDescent="0.2">
      <c r="A92" s="1330" t="s">
        <v>397</v>
      </c>
      <c r="B92" s="91"/>
      <c r="C92" s="731"/>
      <c r="D92" s="716"/>
      <c r="E92" s="716"/>
      <c r="F92" s="716"/>
      <c r="G92" s="716"/>
      <c r="H92" s="731"/>
      <c r="I92" s="716"/>
      <c r="J92" s="716"/>
      <c r="K92" s="716"/>
      <c r="L92" s="716"/>
      <c r="M92" s="731"/>
      <c r="N92" s="716"/>
      <c r="O92" s="716"/>
      <c r="P92" s="716"/>
      <c r="Q92" s="716"/>
      <c r="R92" s="731"/>
      <c r="S92" s="716"/>
      <c r="T92" s="716"/>
      <c r="U92" s="716"/>
      <c r="V92" s="1429"/>
      <c r="W92" s="1408"/>
      <c r="X92" s="1407">
        <f t="shared" ref="X92:AG92" si="62">((1+X21)*S16+S81*(1+X83))/S90-1</f>
        <v>8.8459552712436107E-2</v>
      </c>
      <c r="Y92" s="1230">
        <f t="shared" si="62"/>
        <v>8.8626969834092018E-2</v>
      </c>
      <c r="Z92" s="1230">
        <f t="shared" si="62"/>
        <v>5.4534974801590419E-2</v>
      </c>
      <c r="AA92" s="1324">
        <f t="shared" si="62"/>
        <v>9.2027037792130173E-2</v>
      </c>
      <c r="AB92" s="1322">
        <f t="shared" si="62"/>
        <v>8.0780813714199207E-2</v>
      </c>
      <c r="AC92" s="1407">
        <f t="shared" si="62"/>
        <v>0.10408907091023223</v>
      </c>
      <c r="AD92" s="1230">
        <f t="shared" si="62"/>
        <v>7.832495494641023E-2</v>
      </c>
      <c r="AE92" s="1230">
        <f t="shared" si="62"/>
        <v>7.3286875113870442E-2</v>
      </c>
      <c r="AF92" s="1324">
        <f t="shared" si="62"/>
        <v>5.3867371475505799E-2</v>
      </c>
      <c r="AG92" s="1322">
        <f t="shared" si="62"/>
        <v>7.7013564409984525E-2</v>
      </c>
      <c r="AH92" s="1323">
        <f>5%+0.054*(2/3)*(AH68/AH90)</f>
        <v>5.636044984686453E-2</v>
      </c>
      <c r="AI92" s="1323">
        <f>5.4%+0.063*(2/3)*(AI68/AI90)</f>
        <v>6.1691434167643333E-2</v>
      </c>
      <c r="AJ92" s="1323">
        <v>6.2E-2</v>
      </c>
      <c r="AK92" s="1323">
        <v>6.2E-2</v>
      </c>
      <c r="AL92" s="1427">
        <v>5.8000000000000003E-2</v>
      </c>
      <c r="AM92" s="1891">
        <v>2.5000000000000001E-2</v>
      </c>
      <c r="AN92" s="1916">
        <v>4.1000000000000002E-2</v>
      </c>
      <c r="AO92" s="1934">
        <v>7.0000000000000007E-2</v>
      </c>
      <c r="AP92" s="1934">
        <v>7.3999999999999996E-2</v>
      </c>
      <c r="AQ92" s="1322">
        <f t="shared" ref="AQ92:BK92" si="63">((1+AQ21)*AL16+AL81*(1+AQ83))/AL90-1</f>
        <v>5.2502881948377489E-2</v>
      </c>
      <c r="AR92" s="1230">
        <f t="shared" si="63"/>
        <v>6.5865499403103822E-2</v>
      </c>
      <c r="AS92" s="1230">
        <f t="shared" si="63"/>
        <v>5.8738532110091723E-2</v>
      </c>
      <c r="AT92" s="1230">
        <f t="shared" si="63"/>
        <v>5.6082680750318747E-2</v>
      </c>
      <c r="AU92" s="1230">
        <f t="shared" si="63"/>
        <v>5.4443275469051366E-2</v>
      </c>
      <c r="AV92" s="1322">
        <f t="shared" si="63"/>
        <v>5.8586611970911751E-2</v>
      </c>
      <c r="AW92" s="1230">
        <f t="shared" si="63"/>
        <v>5.667538202670408E-2</v>
      </c>
      <c r="AX92" s="1230">
        <f t="shared" si="63"/>
        <v>5.7604602510460179E-2</v>
      </c>
      <c r="AY92" s="1230">
        <f t="shared" si="63"/>
        <v>5.7874675082256744E-2</v>
      </c>
      <c r="AZ92" s="1230">
        <f t="shared" si="63"/>
        <v>5.8747339636830764E-2</v>
      </c>
      <c r="BA92" s="1322">
        <f t="shared" si="63"/>
        <v>5.7744931119882992E-2</v>
      </c>
      <c r="BB92" s="1230">
        <f t="shared" si="63"/>
        <v>5.604872810573247E-2</v>
      </c>
      <c r="BC92" s="1230">
        <f t="shared" si="63"/>
        <v>5.612955128158692E-2</v>
      </c>
      <c r="BD92" s="1230">
        <f t="shared" si="63"/>
        <v>5.6290787116911378E-2</v>
      </c>
      <c r="BE92" s="1230">
        <f t="shared" si="63"/>
        <v>5.6232353249674238E-2</v>
      </c>
      <c r="BF92" s="1322">
        <f t="shared" si="63"/>
        <v>5.6177613500093759E-2</v>
      </c>
      <c r="BG92" s="1230">
        <f t="shared" si="63"/>
        <v>5.6180431924561569E-2</v>
      </c>
      <c r="BH92" s="1230">
        <f t="shared" si="63"/>
        <v>5.6262955631727118E-2</v>
      </c>
      <c r="BI92" s="1230">
        <f t="shared" si="63"/>
        <v>5.6423292117598001E-2</v>
      </c>
      <c r="BJ92" s="1230">
        <f t="shared" si="63"/>
        <v>5.6365477401611574E-2</v>
      </c>
      <c r="BK92" s="1322">
        <f t="shared" si="63"/>
        <v>5.631031631623995E-2</v>
      </c>
      <c r="BL92" s="716"/>
      <c r="BM92" s="716"/>
      <c r="BN92" s="716"/>
      <c r="BO92" s="716"/>
      <c r="BP92" s="716"/>
      <c r="BQ92" s="716"/>
      <c r="BR92" s="1331" t="str">
        <f>A92</f>
        <v>Organic c/c growth</v>
      </c>
      <c r="BS92" s="90"/>
      <c r="BT92" s="90"/>
      <c r="BU92" s="90"/>
      <c r="BV92" s="1230"/>
      <c r="BW92" s="90">
        <f>AB92</f>
        <v>8.0780813714199207E-2</v>
      </c>
      <c r="BX92" s="90">
        <f>AG92</f>
        <v>7.7013564409984525E-2</v>
      </c>
      <c r="BY92" s="90">
        <f>AL92</f>
        <v>5.8000000000000003E-2</v>
      </c>
      <c r="BZ92" s="90">
        <f>AQ92</f>
        <v>5.2502881948377489E-2</v>
      </c>
      <c r="CA92" s="90">
        <f>AV92</f>
        <v>5.8586611970911751E-2</v>
      </c>
      <c r="CB92" s="90">
        <f>BA92</f>
        <v>5.7744931119882992E-2</v>
      </c>
      <c r="CC92" s="90">
        <f>BF92</f>
        <v>5.6177613500093759E-2</v>
      </c>
      <c r="CD92" s="90">
        <f>BK92</f>
        <v>5.631031631623995E-2</v>
      </c>
    </row>
    <row r="93" spans="1:82" x14ac:dyDescent="0.2">
      <c r="A93" s="1280"/>
      <c r="B93" s="1280"/>
      <c r="C93" s="1280"/>
      <c r="D93" s="1278"/>
      <c r="E93" s="1278"/>
      <c r="F93" s="1278"/>
      <c r="G93" s="1278"/>
      <c r="H93" s="1280"/>
      <c r="I93" s="1278"/>
      <c r="J93" s="1278"/>
      <c r="K93" s="1278"/>
      <c r="L93" s="1278"/>
      <c r="M93" s="1280"/>
      <c r="N93" s="1278"/>
      <c r="O93" s="1285"/>
      <c r="P93" s="1285"/>
      <c r="Q93" s="1312"/>
      <c r="R93" s="1280"/>
      <c r="S93" s="1278"/>
      <c r="T93" s="1278"/>
      <c r="U93" s="1312"/>
      <c r="V93" s="1312"/>
      <c r="W93" s="1280"/>
      <c r="X93" s="1314"/>
      <c r="Y93" s="1312"/>
      <c r="Z93" s="1312"/>
      <c r="AA93" s="1394"/>
      <c r="AB93" s="1280"/>
      <c r="AC93" s="1314"/>
      <c r="AD93" s="1312"/>
      <c r="AE93" s="1312"/>
      <c r="AF93" s="1315"/>
      <c r="AG93" s="1283"/>
      <c r="AH93" s="1312"/>
      <c r="AI93" s="1430"/>
      <c r="AJ93" s="1312"/>
      <c r="AK93" s="1312"/>
      <c r="AL93" s="1870"/>
      <c r="AM93" s="1899">
        <f>((1+AM66)*AH61+(1+AM36)*AH31+(1+AM27)*AH24+(1+AM21)*AH16)/AH90-1</f>
        <v>3.3083466443136977E-2</v>
      </c>
      <c r="AN93" s="1312"/>
      <c r="AO93" s="1899">
        <f>((1+AO66)*AJ61+(1+AO36)*AJ31+((1+AO29)*AJ24-8))/AJ81-1</f>
        <v>5.5544006277831848E-2</v>
      </c>
      <c r="AP93" s="1899">
        <f>((1+AP66)*AK61+(1+AP36)*AK31+((1+AP29)*AK24-8))/AK81-1</f>
        <v>6.1976197836167035E-2</v>
      </c>
      <c r="AQ93" s="1280"/>
      <c r="AR93" s="1312"/>
      <c r="AS93" s="1312"/>
      <c r="AT93" s="1312"/>
      <c r="AU93" s="1312"/>
      <c r="AV93" s="1280"/>
      <c r="AW93" s="1312"/>
      <c r="AX93" s="1312"/>
      <c r="AY93" s="1312"/>
      <c r="AZ93" s="1312"/>
      <c r="BA93" s="1280"/>
      <c r="BB93" s="1312"/>
      <c r="BC93" s="1312"/>
      <c r="BD93" s="1312"/>
      <c r="BE93" s="1312"/>
      <c r="BF93" s="1280"/>
      <c r="BG93" s="1312"/>
      <c r="BH93" s="1312"/>
      <c r="BI93" s="1312"/>
      <c r="BJ93" s="1312"/>
      <c r="BK93" s="1280"/>
      <c r="BL93" s="1277"/>
      <c r="BM93" s="1277"/>
      <c r="BN93" s="1277"/>
      <c r="BO93" s="1277"/>
      <c r="BP93" s="1277"/>
      <c r="BQ93" s="1278"/>
      <c r="BR93" s="1278"/>
      <c r="BS93" s="1278"/>
      <c r="BT93" s="1278"/>
      <c r="BU93" s="1278"/>
      <c r="BV93" s="1278"/>
      <c r="BW93" s="1278"/>
      <c r="BX93" s="1278"/>
      <c r="BY93" s="1278"/>
      <c r="BZ93" s="1278"/>
      <c r="CA93" s="1278"/>
      <c r="CB93" s="1278"/>
      <c r="CC93" s="1278"/>
      <c r="CD93" s="1278"/>
    </row>
    <row r="94" spans="1:82" hidden="1" x14ac:dyDescent="0.2">
      <c r="A94" s="1280"/>
      <c r="B94" s="1280"/>
      <c r="C94" s="1280"/>
      <c r="D94" s="1278"/>
      <c r="E94" s="1278"/>
      <c r="F94" s="1278"/>
      <c r="G94" s="1278"/>
      <c r="H94" s="1280"/>
      <c r="I94" s="1278"/>
      <c r="J94" s="1278"/>
      <c r="K94" s="1278"/>
      <c r="L94" s="1278"/>
      <c r="M94" s="1280"/>
      <c r="N94" s="1278"/>
      <c r="O94" s="1285"/>
      <c r="P94" s="1285"/>
      <c r="Q94" s="1226"/>
      <c r="R94" s="1431"/>
      <c r="S94" s="1278"/>
      <c r="T94" s="1278"/>
      <c r="U94" s="1226"/>
      <c r="V94" s="1226"/>
      <c r="W94" s="1431"/>
      <c r="X94" s="1432"/>
      <c r="Y94" s="1226"/>
      <c r="Z94" s="1226"/>
      <c r="AA94" s="1433"/>
      <c r="AB94" s="1280"/>
      <c r="AC94" s="1432"/>
      <c r="AD94" s="1226"/>
      <c r="AE94" s="1226"/>
      <c r="AF94" s="1433"/>
      <c r="AG94" s="1315"/>
      <c r="AH94" s="1226"/>
      <c r="AI94" s="1226"/>
      <c r="AJ94" s="1226"/>
      <c r="AK94" s="1226"/>
      <c r="AL94" s="1434"/>
      <c r="AM94" s="1226"/>
      <c r="AN94" s="1226"/>
      <c r="AO94" s="1226"/>
      <c r="AP94" s="1226"/>
      <c r="AQ94" s="1434"/>
      <c r="AR94" s="1226"/>
      <c r="AS94" s="1226"/>
      <c r="AT94" s="1226"/>
      <c r="AU94" s="1226"/>
      <c r="AV94" s="1434"/>
      <c r="AW94" s="1226"/>
      <c r="AX94" s="1226"/>
      <c r="AY94" s="1226"/>
      <c r="AZ94" s="1226"/>
      <c r="BA94" s="1434"/>
      <c r="BB94" s="1226"/>
      <c r="BC94" s="1226"/>
      <c r="BD94" s="1226"/>
      <c r="BE94" s="1226"/>
      <c r="BF94" s="1434"/>
      <c r="BG94" s="1226"/>
      <c r="BH94" s="1226"/>
      <c r="BI94" s="1226"/>
      <c r="BJ94" s="1226"/>
      <c r="BK94" s="1434"/>
      <c r="BL94" s="1277"/>
      <c r="BM94" s="1277"/>
      <c r="BN94" s="1277"/>
      <c r="BO94" s="1277"/>
      <c r="BP94" s="1277"/>
      <c r="BQ94" s="1278"/>
      <c r="BR94" s="1278"/>
      <c r="BS94" s="1278"/>
      <c r="BT94" s="1278"/>
      <c r="BU94" s="1278"/>
      <c r="BV94" s="1278"/>
      <c r="BW94" s="1278"/>
      <c r="BX94" s="1278"/>
      <c r="BY94" s="1278"/>
      <c r="BZ94" s="1278"/>
      <c r="CA94" s="1278"/>
      <c r="CB94" s="1278"/>
      <c r="CC94" s="1278"/>
      <c r="CD94" s="1278"/>
    </row>
    <row r="95" spans="1:82" ht="12.75" customHeight="1" x14ac:dyDescent="0.2">
      <c r="A95" s="1284" t="s">
        <v>399</v>
      </c>
      <c r="B95" s="1284"/>
      <c r="C95" s="1284"/>
      <c r="D95" s="1286"/>
      <c r="E95" s="1286"/>
      <c r="F95" s="1286"/>
      <c r="G95" s="1286"/>
      <c r="H95" s="1435">
        <f t="shared" ref="H95:AQ95" si="64">+H1</f>
        <v>2010</v>
      </c>
      <c r="I95" s="1436" t="str">
        <f t="shared" si="64"/>
        <v>1Q11</v>
      </c>
      <c r="J95" s="1436" t="str">
        <f t="shared" si="64"/>
        <v>2Q11</v>
      </c>
      <c r="K95" s="1436" t="str">
        <f t="shared" si="64"/>
        <v>3Q11</v>
      </c>
      <c r="L95" s="1436" t="str">
        <f t="shared" si="64"/>
        <v>4Q11</v>
      </c>
      <c r="M95" s="1437">
        <f t="shared" si="64"/>
        <v>2011</v>
      </c>
      <c r="N95" s="1436" t="str">
        <f t="shared" si="64"/>
        <v>1Q12</v>
      </c>
      <c r="O95" s="1436" t="str">
        <f t="shared" si="64"/>
        <v>2Q12</v>
      </c>
      <c r="P95" s="1436" t="str">
        <f t="shared" si="64"/>
        <v>3Q12</v>
      </c>
      <c r="Q95" s="1436" t="str">
        <f t="shared" si="64"/>
        <v>4Q12</v>
      </c>
      <c r="R95" s="1437">
        <f t="shared" si="64"/>
        <v>2012</v>
      </c>
      <c r="S95" s="1436" t="str">
        <f t="shared" si="64"/>
        <v>1Q13</v>
      </c>
      <c r="T95" s="1436" t="str">
        <f t="shared" si="64"/>
        <v>2Q13</v>
      </c>
      <c r="U95" s="1436" t="str">
        <f t="shared" si="64"/>
        <v>3Q13</v>
      </c>
      <c r="V95" s="1436" t="str">
        <f t="shared" si="64"/>
        <v>4Q13</v>
      </c>
      <c r="W95" s="1437">
        <f t="shared" si="64"/>
        <v>2013</v>
      </c>
      <c r="X95" s="1438" t="str">
        <f t="shared" si="64"/>
        <v>1Q14</v>
      </c>
      <c r="Y95" s="1436" t="str">
        <f t="shared" si="64"/>
        <v>2Q14</v>
      </c>
      <c r="Z95" s="1436" t="str">
        <f t="shared" si="64"/>
        <v>3Q14</v>
      </c>
      <c r="AA95" s="1439" t="str">
        <f t="shared" si="64"/>
        <v>4Q14</v>
      </c>
      <c r="AB95" s="1440">
        <f t="shared" si="64"/>
        <v>2014</v>
      </c>
      <c r="AC95" s="1441" t="str">
        <f t="shared" si="64"/>
        <v>1Q15</v>
      </c>
      <c r="AD95" s="1442" t="str">
        <f t="shared" si="64"/>
        <v>2Q15</v>
      </c>
      <c r="AE95" s="1442" t="str">
        <f t="shared" si="64"/>
        <v>3Q15</v>
      </c>
      <c r="AF95" s="1443" t="str">
        <f t="shared" si="64"/>
        <v>4Q15</v>
      </c>
      <c r="AG95" s="1443">
        <f t="shared" si="64"/>
        <v>2015</v>
      </c>
      <c r="AH95" s="1442" t="str">
        <f t="shared" si="64"/>
        <v>1Q16</v>
      </c>
      <c r="AI95" s="1442" t="str">
        <f t="shared" si="64"/>
        <v>2Q16</v>
      </c>
      <c r="AJ95" s="1442" t="str">
        <f t="shared" si="64"/>
        <v>3Q16</v>
      </c>
      <c r="AK95" s="1442" t="str">
        <f t="shared" si="64"/>
        <v>4Q16</v>
      </c>
      <c r="AL95" s="1440">
        <f t="shared" si="64"/>
        <v>2016</v>
      </c>
      <c r="AM95" s="1442" t="str">
        <f t="shared" si="64"/>
        <v>1Q17</v>
      </c>
      <c r="AN95" s="1442" t="str">
        <f t="shared" si="64"/>
        <v>2Q17</v>
      </c>
      <c r="AO95" s="1442" t="str">
        <f t="shared" si="64"/>
        <v>3Q17</v>
      </c>
      <c r="AP95" s="1442" t="str">
        <f t="shared" si="64"/>
        <v>4Q17</v>
      </c>
      <c r="AQ95" s="1440">
        <f t="shared" si="64"/>
        <v>2017</v>
      </c>
      <c r="AR95" s="1442" t="str">
        <f t="shared" ref="AR95:BK95" si="65">+AR1</f>
        <v>1Q18E</v>
      </c>
      <c r="AS95" s="1442" t="str">
        <f t="shared" si="65"/>
        <v>2Q18E</v>
      </c>
      <c r="AT95" s="1442" t="str">
        <f t="shared" si="65"/>
        <v>3Q18E</v>
      </c>
      <c r="AU95" s="1442" t="str">
        <f t="shared" si="65"/>
        <v>4Q18E</v>
      </c>
      <c r="AV95" s="1440" t="str">
        <f t="shared" si="65"/>
        <v>2018E</v>
      </c>
      <c r="AW95" s="1442" t="str">
        <f t="shared" si="65"/>
        <v>1Q19E</v>
      </c>
      <c r="AX95" s="1442" t="str">
        <f t="shared" si="65"/>
        <v>2Q19E</v>
      </c>
      <c r="AY95" s="1442" t="str">
        <f t="shared" si="65"/>
        <v>3Q19E</v>
      </c>
      <c r="AZ95" s="1442" t="str">
        <f t="shared" si="65"/>
        <v>4Q19E</v>
      </c>
      <c r="BA95" s="1440" t="str">
        <f t="shared" si="65"/>
        <v>2019E</v>
      </c>
      <c r="BB95" s="1442" t="str">
        <f t="shared" si="65"/>
        <v>1Q20E</v>
      </c>
      <c r="BC95" s="1442" t="str">
        <f t="shared" si="65"/>
        <v>2Q20E</v>
      </c>
      <c r="BD95" s="1442" t="str">
        <f t="shared" si="65"/>
        <v>3Q20E</v>
      </c>
      <c r="BE95" s="1442" t="str">
        <f t="shared" si="65"/>
        <v>4Q20E</v>
      </c>
      <c r="BF95" s="1440" t="str">
        <f t="shared" si="65"/>
        <v>2020E</v>
      </c>
      <c r="BG95" s="1442" t="str">
        <f t="shared" si="65"/>
        <v>1Q21E</v>
      </c>
      <c r="BH95" s="1442" t="str">
        <f t="shared" si="65"/>
        <v>2Q21E</v>
      </c>
      <c r="BI95" s="1442" t="str">
        <f t="shared" si="65"/>
        <v>3Q21E</v>
      </c>
      <c r="BJ95" s="1442" t="str">
        <f t="shared" si="65"/>
        <v>4Q21E</v>
      </c>
      <c r="BK95" s="1440" t="str">
        <f t="shared" si="65"/>
        <v>2021E</v>
      </c>
      <c r="BL95" s="1277"/>
      <c r="BM95" s="1277"/>
      <c r="BN95" s="1277"/>
      <c r="BO95" s="1277"/>
      <c r="BP95" s="1277"/>
      <c r="BQ95" s="1278"/>
      <c r="BR95" s="1286" t="str">
        <f t="shared" ref="BR95:BR100" si="66">A95</f>
        <v>% of Decision Analytics Revenue</v>
      </c>
      <c r="BS95" s="1436">
        <f>H95</f>
        <v>2010</v>
      </c>
      <c r="BT95" s="1442">
        <f t="shared" ref="BT95:BT100" si="67">M95</f>
        <v>2011</v>
      </c>
      <c r="BU95" s="1442">
        <f t="shared" ref="BU95:BU100" si="68">R95</f>
        <v>2012</v>
      </c>
      <c r="BV95" s="1442">
        <f t="shared" ref="BV95:BV100" si="69">W95</f>
        <v>2013</v>
      </c>
      <c r="BW95" s="1442">
        <f t="shared" ref="BW95:BW100" si="70">AB95</f>
        <v>2014</v>
      </c>
      <c r="BX95" s="1442">
        <f t="shared" ref="BX95:BX100" si="71">AG95</f>
        <v>2015</v>
      </c>
      <c r="BY95" s="1442">
        <f t="shared" ref="BY95:BY100" si="72">AL95</f>
        <v>2016</v>
      </c>
      <c r="BZ95" s="1442">
        <f t="shared" ref="BZ95:BZ100" si="73">AQ95</f>
        <v>2017</v>
      </c>
      <c r="CA95" s="1442" t="str">
        <f t="shared" ref="CA95:CA100" si="74">AV95</f>
        <v>2018E</v>
      </c>
      <c r="CB95" s="1442" t="str">
        <f t="shared" ref="CB95:CB100" si="75">BA95</f>
        <v>2019E</v>
      </c>
      <c r="CC95" s="1442" t="str">
        <f t="shared" ref="CC95:CC100" si="76">BF95</f>
        <v>2020E</v>
      </c>
      <c r="CD95" s="1442" t="str">
        <f t="shared" ref="CD95:CD100" si="77">BK95</f>
        <v>2021E</v>
      </c>
    </row>
    <row r="96" spans="1:82" ht="12.75" customHeight="1" x14ac:dyDescent="0.2">
      <c r="A96" s="1333" t="s">
        <v>342</v>
      </c>
      <c r="B96" s="1322">
        <f t="shared" ref="B96:AG96" si="78">B24/B$76</f>
        <v>0.79948041802964853</v>
      </c>
      <c r="C96" s="1322">
        <f t="shared" si="78"/>
        <v>0.65905097708734151</v>
      </c>
      <c r="D96" s="1230">
        <f t="shared" si="78"/>
        <v>0.62028168616149615</v>
      </c>
      <c r="E96" s="1230">
        <f t="shared" si="78"/>
        <v>0.63110972399381238</v>
      </c>
      <c r="F96" s="1230">
        <f t="shared" si="78"/>
        <v>0.6210278982029982</v>
      </c>
      <c r="G96" s="1230">
        <f t="shared" si="78"/>
        <v>0.62873024411485956</v>
      </c>
      <c r="H96" s="1322">
        <f t="shared" si="78"/>
        <v>0.62536040455883457</v>
      </c>
      <c r="I96" s="1230">
        <f t="shared" si="78"/>
        <v>0.61105114724417686</v>
      </c>
      <c r="J96" s="1230">
        <f t="shared" si="78"/>
        <v>0.60152074966532798</v>
      </c>
      <c r="K96" s="1230">
        <f t="shared" si="78"/>
        <v>0.58105346265509372</v>
      </c>
      <c r="L96" s="1230">
        <f t="shared" si="78"/>
        <v>0.56049254116455316</v>
      </c>
      <c r="M96" s="1322">
        <f t="shared" si="78"/>
        <v>0.58715462621620107</v>
      </c>
      <c r="N96" s="1230">
        <f t="shared" si="78"/>
        <v>0.57725820217136736</v>
      </c>
      <c r="O96" s="1230">
        <f t="shared" si="78"/>
        <v>0.53358191034636326</v>
      </c>
      <c r="P96" s="1230">
        <f t="shared" si="78"/>
        <v>0.49530580871856816</v>
      </c>
      <c r="Q96" s="1230">
        <f t="shared" si="78"/>
        <v>0.4776582271429049</v>
      </c>
      <c r="R96" s="1322">
        <f t="shared" si="78"/>
        <v>0.51680850930128797</v>
      </c>
      <c r="S96" s="1230">
        <f t="shared" si="78"/>
        <v>0.56473911568875956</v>
      </c>
      <c r="T96" s="1230">
        <f t="shared" si="78"/>
        <v>0.56662868953482959</v>
      </c>
      <c r="U96" s="1230">
        <f t="shared" si="78"/>
        <v>0.54802002553801121</v>
      </c>
      <c r="V96" s="1230">
        <f t="shared" si="78"/>
        <v>0.53017966463625388</v>
      </c>
      <c r="W96" s="1322">
        <f t="shared" si="78"/>
        <v>0.55159565271214406</v>
      </c>
      <c r="X96" s="1407">
        <f t="shared" si="78"/>
        <v>0.57182711357295923</v>
      </c>
      <c r="Y96" s="1230">
        <f t="shared" si="78"/>
        <v>0.58421189440447707</v>
      </c>
      <c r="Z96" s="1230">
        <f t="shared" si="78"/>
        <v>0.5205093119692491</v>
      </c>
      <c r="AA96" s="1324">
        <f t="shared" si="78"/>
        <v>0.51678552733795446</v>
      </c>
      <c r="AB96" s="1322">
        <f t="shared" si="78"/>
        <v>0.54627424790661949</v>
      </c>
      <c r="AC96" s="1407">
        <f t="shared" si="78"/>
        <v>0.53295314693799734</v>
      </c>
      <c r="AD96" s="1230">
        <f t="shared" si="78"/>
        <v>0.50710603829160539</v>
      </c>
      <c r="AE96" s="1230">
        <f t="shared" si="78"/>
        <v>0.4287909917237519</v>
      </c>
      <c r="AF96" s="1324">
        <f t="shared" si="78"/>
        <v>0.42864529472595653</v>
      </c>
      <c r="AG96" s="1324">
        <f t="shared" si="78"/>
        <v>0.46902305976958347</v>
      </c>
      <c r="AH96" s="1230">
        <f>AH24/AH$81</f>
        <v>0.54816341529661761</v>
      </c>
      <c r="AI96" s="1230">
        <f t="shared" ref="AI96:AQ96" si="79">AI24/AI$81</f>
        <v>0.55323965331878844</v>
      </c>
      <c r="AJ96" s="1230">
        <f t="shared" si="79"/>
        <v>0.54977041162029194</v>
      </c>
      <c r="AK96" s="1230">
        <f>AK24/AK$81</f>
        <v>0.55115919629057186</v>
      </c>
      <c r="AL96" s="1322">
        <f t="shared" si="79"/>
        <v>0.55059401336500569</v>
      </c>
      <c r="AM96" s="1230">
        <f t="shared" si="79"/>
        <v>0.57024265644955296</v>
      </c>
      <c r="AN96" s="1230">
        <f t="shared" si="79"/>
        <v>0.57773744706594066</v>
      </c>
      <c r="AO96" s="1230">
        <f t="shared" si="79"/>
        <v>0.57291373981455473</v>
      </c>
      <c r="AP96" s="1230">
        <f t="shared" si="79"/>
        <v>0.56304985337243396</v>
      </c>
      <c r="AQ96" s="1322">
        <f t="shared" si="79"/>
        <v>0.57077393075356408</v>
      </c>
      <c r="AR96" s="1230">
        <f t="shared" ref="AR96:BK96" si="80">AR24/AR$81</f>
        <v>0.55826859495750591</v>
      </c>
      <c r="AS96" s="1230">
        <f t="shared" si="80"/>
        <v>0.56734311894333267</v>
      </c>
      <c r="AT96" s="1230">
        <f t="shared" si="80"/>
        <v>0.56204644167759954</v>
      </c>
      <c r="AU96" s="1230">
        <f t="shared" si="80"/>
        <v>0.55414609207748244</v>
      </c>
      <c r="AV96" s="1322">
        <f t="shared" si="80"/>
        <v>0.56037688195278046</v>
      </c>
      <c r="AW96" s="1230">
        <f t="shared" si="80"/>
        <v>0.56339862138881325</v>
      </c>
      <c r="AX96" s="1230">
        <f t="shared" si="80"/>
        <v>0.57315098363734895</v>
      </c>
      <c r="AY96" s="1230">
        <f t="shared" si="80"/>
        <v>0.56765654871578819</v>
      </c>
      <c r="AZ96" s="1230">
        <f t="shared" si="80"/>
        <v>0.56033716425632363</v>
      </c>
      <c r="BA96" s="1322">
        <f t="shared" si="80"/>
        <v>0.56607218935393333</v>
      </c>
      <c r="BB96" s="1230">
        <f t="shared" si="80"/>
        <v>0.56910948798308136</v>
      </c>
      <c r="BC96" s="1230">
        <f t="shared" si="80"/>
        <v>0.57891836815390152</v>
      </c>
      <c r="BD96" s="1230">
        <f t="shared" si="80"/>
        <v>0.57329797350996825</v>
      </c>
      <c r="BE96" s="1230">
        <f t="shared" si="80"/>
        <v>0.56599119557663669</v>
      </c>
      <c r="BF96" s="1322">
        <f t="shared" si="80"/>
        <v>0.57176444692277628</v>
      </c>
      <c r="BG96" s="1230">
        <f t="shared" si="80"/>
        <v>0.57478438492627371</v>
      </c>
      <c r="BH96" s="1230">
        <f t="shared" si="80"/>
        <v>0.58464755981411509</v>
      </c>
      <c r="BI96" s="1230">
        <f t="shared" si="80"/>
        <v>0.57890232173032885</v>
      </c>
      <c r="BJ96" s="1230">
        <f t="shared" si="80"/>
        <v>0.57160987240116623</v>
      </c>
      <c r="BK96" s="1322">
        <f t="shared" si="80"/>
        <v>0.57742006945496538</v>
      </c>
      <c r="BL96" s="1277"/>
      <c r="BM96" s="1277"/>
      <c r="BN96" s="1277"/>
      <c r="BO96" s="1277"/>
      <c r="BP96" s="1277"/>
      <c r="BQ96" s="1278"/>
      <c r="BR96" s="1335" t="str">
        <f t="shared" si="66"/>
        <v>Insurance</v>
      </c>
      <c r="BS96" s="1230">
        <f>H96</f>
        <v>0.62536040455883457</v>
      </c>
      <c r="BT96" s="1230">
        <f t="shared" si="67"/>
        <v>0.58715462621620107</v>
      </c>
      <c r="BU96" s="1230">
        <f t="shared" si="68"/>
        <v>0.51680850930128797</v>
      </c>
      <c r="BV96" s="1230">
        <f t="shared" si="69"/>
        <v>0.55159565271214406</v>
      </c>
      <c r="BW96" s="1230">
        <f t="shared" si="70"/>
        <v>0.54627424790661949</v>
      </c>
      <c r="BX96" s="1230">
        <f t="shared" si="71"/>
        <v>0.46902305976958347</v>
      </c>
      <c r="BY96" s="1230">
        <f t="shared" si="72"/>
        <v>0.55059401336500569</v>
      </c>
      <c r="BZ96" s="1230">
        <f t="shared" si="73"/>
        <v>0.57077393075356408</v>
      </c>
      <c r="CA96" s="1230">
        <f t="shared" si="74"/>
        <v>0.56037688195278046</v>
      </c>
      <c r="CB96" s="1230">
        <f t="shared" si="75"/>
        <v>0.56607218935393333</v>
      </c>
      <c r="CC96" s="1230">
        <f t="shared" si="76"/>
        <v>0.57176444692277628</v>
      </c>
      <c r="CD96" s="1230">
        <f t="shared" si="77"/>
        <v>0.57742006945496538</v>
      </c>
    </row>
    <row r="97" spans="1:82" ht="12.75" customHeight="1" x14ac:dyDescent="0.2">
      <c r="A97" s="1333" t="s">
        <v>344</v>
      </c>
      <c r="B97" s="1322">
        <f t="shared" ref="B97:AG97" si="81">B31/B$76</f>
        <v>0.1418340575446026</v>
      </c>
      <c r="C97" s="1322">
        <f t="shared" si="81"/>
        <v>0.20994061153424176</v>
      </c>
      <c r="D97" s="1230">
        <f t="shared" si="81"/>
        <v>0.23850793919873423</v>
      </c>
      <c r="E97" s="1230">
        <f t="shared" si="81"/>
        <v>0.22359350829104135</v>
      </c>
      <c r="F97" s="1230">
        <f t="shared" si="81"/>
        <v>0.23864711917132733</v>
      </c>
      <c r="G97" s="1230">
        <f t="shared" si="81"/>
        <v>0.22149004841312536</v>
      </c>
      <c r="H97" s="1322">
        <f t="shared" si="81"/>
        <v>0.23039893996192584</v>
      </c>
      <c r="I97" s="1230">
        <f t="shared" si="81"/>
        <v>0.18973341225351953</v>
      </c>
      <c r="J97" s="1230">
        <f t="shared" si="81"/>
        <v>0.19085943775100403</v>
      </c>
      <c r="K97" s="1230">
        <f t="shared" si="81"/>
        <v>0.17125638988412012</v>
      </c>
      <c r="L97" s="1230">
        <f t="shared" si="81"/>
        <v>0.15333855754436598</v>
      </c>
      <c r="M97" s="1322">
        <f t="shared" si="81"/>
        <v>0.1752839049603177</v>
      </c>
      <c r="N97" s="1230">
        <f t="shared" si="81"/>
        <v>0.17007224659111209</v>
      </c>
      <c r="O97" s="1230">
        <f t="shared" si="81"/>
        <v>0.15411920344747793</v>
      </c>
      <c r="P97" s="1230">
        <f t="shared" si="81"/>
        <v>0.14886508023655273</v>
      </c>
      <c r="Q97" s="1230">
        <f t="shared" si="81"/>
        <v>0.1690071272316703</v>
      </c>
      <c r="R97" s="1322">
        <f t="shared" si="81"/>
        <v>0.16028147890583921</v>
      </c>
      <c r="S97" s="1230">
        <f t="shared" si="81"/>
        <v>7.7122864640045682E-2</v>
      </c>
      <c r="T97" s="1230">
        <f t="shared" si="81"/>
        <v>8.2907325915792418E-2</v>
      </c>
      <c r="U97" s="1230">
        <f t="shared" si="81"/>
        <v>8.3228222616711839E-2</v>
      </c>
      <c r="V97" s="1230">
        <f t="shared" si="81"/>
        <v>8.790432224415648E-2</v>
      </c>
      <c r="W97" s="1322">
        <f t="shared" si="81"/>
        <v>8.2996653492757089E-2</v>
      </c>
      <c r="X97" s="1407">
        <f t="shared" si="81"/>
        <v>8.4971495572716618E-2</v>
      </c>
      <c r="Y97" s="1230">
        <f t="shared" si="81"/>
        <v>8.3474132460761005E-2</v>
      </c>
      <c r="Z97" s="1230">
        <f t="shared" si="81"/>
        <v>8.7942314187130707E-2</v>
      </c>
      <c r="AA97" s="1324">
        <f t="shared" si="81"/>
        <v>9.552863825346497E-2</v>
      </c>
      <c r="AB97" s="1322">
        <f t="shared" si="81"/>
        <v>8.8281448150398609E-2</v>
      </c>
      <c r="AC97" s="1407">
        <f t="shared" si="81"/>
        <v>0.1219254303097537</v>
      </c>
      <c r="AD97" s="1230">
        <f t="shared" si="81"/>
        <v>8.0940108001963676E-2</v>
      </c>
      <c r="AE97" s="1230">
        <f t="shared" si="81"/>
        <v>7.1576078632280007E-2</v>
      </c>
      <c r="AF97" s="1324">
        <f t="shared" si="81"/>
        <v>7.2130299896587369E-2</v>
      </c>
      <c r="AG97" s="1324">
        <f t="shared" si="81"/>
        <v>8.4468662875430561E-2</v>
      </c>
      <c r="AH97" s="1230">
        <f>AH31/AH$81</f>
        <v>9.0987234178529774E-2</v>
      </c>
      <c r="AI97" s="1230">
        <f t="shared" ref="AI97:AQ97" si="82">AI31/AI$81</f>
        <v>9.6428199849296459E-2</v>
      </c>
      <c r="AJ97" s="1230">
        <f t="shared" si="82"/>
        <v>0.10636701995228594</v>
      </c>
      <c r="AK97" s="1230">
        <f>AK31/AK$81</f>
        <v>0.10973724884080371</v>
      </c>
      <c r="AL97" s="1322">
        <f t="shared" si="82"/>
        <v>0.10095748707050185</v>
      </c>
      <c r="AM97" s="1230">
        <f t="shared" si="82"/>
        <v>9.0357598978288642E-2</v>
      </c>
      <c r="AN97" s="1230">
        <f t="shared" si="82"/>
        <v>8.8626739261947973E-2</v>
      </c>
      <c r="AO97" s="1230">
        <f t="shared" si="82"/>
        <v>0.11407698791795449</v>
      </c>
      <c r="AP97" s="1230">
        <f t="shared" si="82"/>
        <v>0.12609970674486801</v>
      </c>
      <c r="AQ97" s="1322">
        <f t="shared" si="82"/>
        <v>0.10583357579284258</v>
      </c>
      <c r="AR97" s="1230">
        <f t="shared" ref="AR97:BK97" si="83">AR31/AR$81</f>
        <v>0.11696855371425867</v>
      </c>
      <c r="AS97" s="1230">
        <f t="shared" si="83"/>
        <v>0.10644902587984519</v>
      </c>
      <c r="AT97" s="1230">
        <f t="shared" si="83"/>
        <v>0.12113512311861187</v>
      </c>
      <c r="AU97" s="1230">
        <f t="shared" si="83"/>
        <v>0.12424634941858609</v>
      </c>
      <c r="AV97" s="1322">
        <f t="shared" si="83"/>
        <v>0.11735679648838053</v>
      </c>
      <c r="AW97" s="1230">
        <f t="shared" si="83"/>
        <v>0.11804339793370043</v>
      </c>
      <c r="AX97" s="1230">
        <f t="shared" si="83"/>
        <v>0.1072880664741168</v>
      </c>
      <c r="AY97" s="1230">
        <f t="shared" si="83"/>
        <v>0.12205905736114209</v>
      </c>
      <c r="AZ97" s="1230">
        <f t="shared" si="83"/>
        <v>0.12505011738021038</v>
      </c>
      <c r="BA97" s="1322">
        <f t="shared" si="83"/>
        <v>0.11826716826925038</v>
      </c>
      <c r="BB97" s="1230">
        <f t="shared" si="83"/>
        <v>0.11812554794479981</v>
      </c>
      <c r="BC97" s="1230">
        <f t="shared" si="83"/>
        <v>0.10735488062342623</v>
      </c>
      <c r="BD97" s="1230">
        <f t="shared" si="83"/>
        <v>0.12212001626211436</v>
      </c>
      <c r="BE97" s="1230">
        <f t="shared" si="83"/>
        <v>0.12513143897136605</v>
      </c>
      <c r="BF97" s="1322">
        <f t="shared" si="83"/>
        <v>0.1183400133524658</v>
      </c>
      <c r="BG97" s="1230">
        <f t="shared" si="83"/>
        <v>0.11818845591371133</v>
      </c>
      <c r="BH97" s="1230">
        <f t="shared" si="83"/>
        <v>0.10740405864616054</v>
      </c>
      <c r="BI97" s="1230">
        <f t="shared" si="83"/>
        <v>0.12216135064642808</v>
      </c>
      <c r="BJ97" s="1230">
        <f t="shared" si="83"/>
        <v>0.1251925749173515</v>
      </c>
      <c r="BK97" s="1322">
        <f t="shared" si="83"/>
        <v>0.11839365532017863</v>
      </c>
      <c r="BL97" s="1277"/>
      <c r="BM97" s="1277"/>
      <c r="BN97" s="1277"/>
      <c r="BO97" s="1277"/>
      <c r="BP97" s="1277"/>
      <c r="BQ97" s="1278"/>
      <c r="BR97" s="1335" t="str">
        <f t="shared" si="66"/>
        <v>Financial Services</v>
      </c>
      <c r="BS97" s="1230">
        <f>H97</f>
        <v>0.23039893996192584</v>
      </c>
      <c r="BT97" s="1230">
        <f t="shared" si="67"/>
        <v>0.1752839049603177</v>
      </c>
      <c r="BU97" s="1230">
        <f t="shared" si="68"/>
        <v>0.16028147890583921</v>
      </c>
      <c r="BV97" s="1230">
        <f t="shared" si="69"/>
        <v>8.2996653492757089E-2</v>
      </c>
      <c r="BW97" s="1230">
        <f t="shared" si="70"/>
        <v>8.8281448150398609E-2</v>
      </c>
      <c r="BX97" s="1230">
        <f t="shared" si="71"/>
        <v>8.4468662875430561E-2</v>
      </c>
      <c r="BY97" s="1230">
        <f t="shared" si="72"/>
        <v>0.10095748707050185</v>
      </c>
      <c r="BZ97" s="1230">
        <f t="shared" si="73"/>
        <v>0.10583357579284258</v>
      </c>
      <c r="CA97" s="1230">
        <f t="shared" si="74"/>
        <v>0.11735679648838053</v>
      </c>
      <c r="CB97" s="1230">
        <f t="shared" si="75"/>
        <v>0.11826716826925038</v>
      </c>
      <c r="CC97" s="1230">
        <f t="shared" si="76"/>
        <v>0.1183400133524658</v>
      </c>
      <c r="CD97" s="1230">
        <f t="shared" si="77"/>
        <v>0.11839365532017863</v>
      </c>
    </row>
    <row r="98" spans="1:82" ht="12.75" customHeight="1" x14ac:dyDescent="0.2">
      <c r="A98" s="1333" t="s">
        <v>345</v>
      </c>
      <c r="B98" s="1322">
        <f t="shared" ref="B98:AG98" si="84">B46/B$76</f>
        <v>5.525504999241955E-2</v>
      </c>
      <c r="C98" s="1322">
        <f t="shared" si="84"/>
        <v>9.9505493631839206E-2</v>
      </c>
      <c r="D98" s="1230">
        <f t="shared" si="84"/>
        <v>0.10096344013109565</v>
      </c>
      <c r="E98" s="1230">
        <f t="shared" si="84"/>
        <v>0.10202323119928354</v>
      </c>
      <c r="F98" s="1230">
        <f t="shared" si="84"/>
        <v>9.5237780057583446E-2</v>
      </c>
      <c r="G98" s="1230">
        <f t="shared" si="84"/>
        <v>9.1267706652322034E-2</v>
      </c>
      <c r="H98" s="1322">
        <f t="shared" si="84"/>
        <v>9.7235011447404832E-2</v>
      </c>
      <c r="I98" s="1230">
        <f t="shared" si="84"/>
        <v>9.06247461207247E-2</v>
      </c>
      <c r="J98" s="1230">
        <f t="shared" si="84"/>
        <v>0.10346452476572958</v>
      </c>
      <c r="K98" s="1230">
        <f t="shared" si="84"/>
        <v>0.15129346745219144</v>
      </c>
      <c r="L98" s="1230">
        <f t="shared" si="84"/>
        <v>0.18399097867948511</v>
      </c>
      <c r="M98" s="1322">
        <f t="shared" si="84"/>
        <v>0.13497050667617463</v>
      </c>
      <c r="N98" s="1230">
        <f t="shared" si="84"/>
        <v>0.15108270646845168</v>
      </c>
      <c r="O98" s="1230">
        <f t="shared" si="84"/>
        <v>0.21996882599754627</v>
      </c>
      <c r="P98" s="1230">
        <f t="shared" si="84"/>
        <v>0.27186308804844</v>
      </c>
      <c r="Q98" s="1230">
        <f t="shared" si="84"/>
        <v>0.27038911936534582</v>
      </c>
      <c r="R98" s="1322">
        <f t="shared" si="84"/>
        <v>0.23350621168101854</v>
      </c>
      <c r="S98" s="1230">
        <f t="shared" si="84"/>
        <v>0.2635127898466646</v>
      </c>
      <c r="T98" s="1230">
        <f t="shared" si="84"/>
        <v>0.25872591663948974</v>
      </c>
      <c r="U98" s="1230">
        <f t="shared" si="84"/>
        <v>0.28657074340527583</v>
      </c>
      <c r="V98" s="1230">
        <f t="shared" si="84"/>
        <v>0.2987625492560701</v>
      </c>
      <c r="W98" s="1322">
        <f t="shared" si="84"/>
        <v>0.27780613993536157</v>
      </c>
      <c r="X98" s="1407">
        <f t="shared" si="84"/>
        <v>0.25834310435450614</v>
      </c>
      <c r="Y98" s="1230">
        <f t="shared" si="84"/>
        <v>0.24882072767027777</v>
      </c>
      <c r="Z98" s="1230">
        <f t="shared" si="84"/>
        <v>0.31997381715881357</v>
      </c>
      <c r="AA98" s="1324">
        <f t="shared" si="84"/>
        <v>0.31587265070966325</v>
      </c>
      <c r="AB98" s="1322">
        <f t="shared" si="84"/>
        <v>0.2879623091141657</v>
      </c>
      <c r="AC98" s="1407">
        <f t="shared" si="84"/>
        <v>0.26036643497252604</v>
      </c>
      <c r="AD98" s="1230">
        <f t="shared" si="84"/>
        <v>0.21186487481590577</v>
      </c>
      <c r="AE98" s="1230">
        <f t="shared" si="84"/>
        <v>0.21124502870542999</v>
      </c>
      <c r="AF98" s="1324">
        <f t="shared" si="84"/>
        <v>0.21509824198552221</v>
      </c>
      <c r="AG98" s="1324">
        <f t="shared" si="84"/>
        <v>0.22274031433874283</v>
      </c>
      <c r="AH98" s="1230">
        <v>0</v>
      </c>
      <c r="AI98" s="1230">
        <f t="shared" ref="AI98:AQ98" si="85">AI46/AI$81</f>
        <v>0</v>
      </c>
      <c r="AJ98" s="1230">
        <f t="shared" si="85"/>
        <v>0</v>
      </c>
      <c r="AK98" s="1230">
        <f>AK46/AK$81</f>
        <v>0</v>
      </c>
      <c r="AL98" s="1322">
        <f t="shared" si="85"/>
        <v>0</v>
      </c>
      <c r="AM98" s="1230">
        <f t="shared" si="85"/>
        <v>0</v>
      </c>
      <c r="AN98" s="1230">
        <f t="shared" si="85"/>
        <v>0</v>
      </c>
      <c r="AO98" s="1230">
        <f t="shared" si="85"/>
        <v>0</v>
      </c>
      <c r="AP98" s="1230">
        <f t="shared" si="85"/>
        <v>0</v>
      </c>
      <c r="AQ98" s="1322">
        <f t="shared" si="85"/>
        <v>0</v>
      </c>
      <c r="AR98" s="1230">
        <f t="shared" ref="AR98:BK98" si="86">AR46/AR$81</f>
        <v>0</v>
      </c>
      <c r="AS98" s="1230">
        <f t="shared" si="86"/>
        <v>0</v>
      </c>
      <c r="AT98" s="1230">
        <f t="shared" si="86"/>
        <v>0</v>
      </c>
      <c r="AU98" s="1230">
        <f t="shared" si="86"/>
        <v>0</v>
      </c>
      <c r="AV98" s="1322">
        <f t="shared" si="86"/>
        <v>0</v>
      </c>
      <c r="AW98" s="1230">
        <f t="shared" si="86"/>
        <v>0</v>
      </c>
      <c r="AX98" s="1230">
        <f t="shared" si="86"/>
        <v>0</v>
      </c>
      <c r="AY98" s="1230">
        <f t="shared" si="86"/>
        <v>0</v>
      </c>
      <c r="AZ98" s="1230">
        <f t="shared" si="86"/>
        <v>0</v>
      </c>
      <c r="BA98" s="1322">
        <f t="shared" si="86"/>
        <v>0</v>
      </c>
      <c r="BB98" s="1230">
        <f t="shared" si="86"/>
        <v>0</v>
      </c>
      <c r="BC98" s="1230">
        <f t="shared" si="86"/>
        <v>0</v>
      </c>
      <c r="BD98" s="1230">
        <f t="shared" si="86"/>
        <v>0</v>
      </c>
      <c r="BE98" s="1230">
        <f t="shared" si="86"/>
        <v>0</v>
      </c>
      <c r="BF98" s="1322">
        <f t="shared" si="86"/>
        <v>0</v>
      </c>
      <c r="BG98" s="1230">
        <f t="shared" si="86"/>
        <v>0</v>
      </c>
      <c r="BH98" s="1230">
        <f t="shared" si="86"/>
        <v>0</v>
      </c>
      <c r="BI98" s="1230">
        <f t="shared" si="86"/>
        <v>0</v>
      </c>
      <c r="BJ98" s="1230">
        <f t="shared" si="86"/>
        <v>0</v>
      </c>
      <c r="BK98" s="1322">
        <f t="shared" si="86"/>
        <v>0</v>
      </c>
      <c r="BL98" s="1277"/>
      <c r="BM98" s="1277"/>
      <c r="BN98" s="1277"/>
      <c r="BO98" s="1277"/>
      <c r="BP98" s="1277"/>
      <c r="BQ98" s="1278"/>
      <c r="BR98" s="1335" t="str">
        <f t="shared" si="66"/>
        <v>Healthcare</v>
      </c>
      <c r="BS98" s="1230">
        <f>H98</f>
        <v>9.7235011447404832E-2</v>
      </c>
      <c r="BT98" s="1230">
        <f t="shared" si="67"/>
        <v>0.13497050667617463</v>
      </c>
      <c r="BU98" s="1230">
        <f t="shared" si="68"/>
        <v>0.23350621168101854</v>
      </c>
      <c r="BV98" s="1230">
        <f t="shared" si="69"/>
        <v>0.27780613993536157</v>
      </c>
      <c r="BW98" s="1230">
        <f t="shared" si="70"/>
        <v>0.2879623091141657</v>
      </c>
      <c r="BX98" s="1230">
        <f t="shared" si="71"/>
        <v>0.22274031433874283</v>
      </c>
      <c r="BY98" s="1230">
        <f t="shared" si="72"/>
        <v>0</v>
      </c>
      <c r="BZ98" s="1230">
        <f t="shared" si="73"/>
        <v>0</v>
      </c>
      <c r="CA98" s="1230">
        <f t="shared" si="74"/>
        <v>0</v>
      </c>
      <c r="CB98" s="1230">
        <f t="shared" si="75"/>
        <v>0</v>
      </c>
      <c r="CC98" s="1230">
        <f t="shared" si="76"/>
        <v>0</v>
      </c>
      <c r="CD98" s="1230">
        <f t="shared" si="77"/>
        <v>0</v>
      </c>
    </row>
    <row r="99" spans="1:82" ht="12.75" customHeight="1" x14ac:dyDescent="0.2">
      <c r="A99" s="1333" t="s">
        <v>400</v>
      </c>
      <c r="B99" s="1322">
        <f t="shared" ref="B99:AG99" si="87">B61/B$76</f>
        <v>3.4304744333293075E-3</v>
      </c>
      <c r="C99" s="1322">
        <f t="shared" si="87"/>
        <v>3.1502917746577409E-2</v>
      </c>
      <c r="D99" s="1230">
        <f t="shared" si="87"/>
        <v>4.0246934508673782E-2</v>
      </c>
      <c r="E99" s="1230">
        <f t="shared" si="87"/>
        <v>4.3273536515862902E-2</v>
      </c>
      <c r="F99" s="1230">
        <f t="shared" si="87"/>
        <v>4.5087202568090803E-2</v>
      </c>
      <c r="G99" s="1230">
        <f t="shared" si="87"/>
        <v>5.8512000819693127E-2</v>
      </c>
      <c r="H99" s="1322">
        <f t="shared" si="87"/>
        <v>4.7005644031834687E-2</v>
      </c>
      <c r="I99" s="1230">
        <f t="shared" si="87"/>
        <v>0.10859069438157913</v>
      </c>
      <c r="J99" s="1230">
        <f t="shared" si="87"/>
        <v>0.10415528781793842</v>
      </c>
      <c r="K99" s="1230">
        <f t="shared" si="87"/>
        <v>9.6396680008594818E-2</v>
      </c>
      <c r="L99" s="1230">
        <f t="shared" si="87"/>
        <v>0.10217792261159585</v>
      </c>
      <c r="M99" s="1322">
        <f t="shared" si="87"/>
        <v>0.10259096214730655</v>
      </c>
      <c r="N99" s="1230">
        <f t="shared" si="87"/>
        <v>0.10158684476906893</v>
      </c>
      <c r="O99" s="1230">
        <f t="shared" si="87"/>
        <v>9.2330060208612591E-2</v>
      </c>
      <c r="P99" s="1230">
        <f t="shared" si="87"/>
        <v>8.3966022996439169E-2</v>
      </c>
      <c r="Q99" s="1230">
        <f t="shared" si="87"/>
        <v>8.294552626007895E-2</v>
      </c>
      <c r="R99" s="1322">
        <f t="shared" si="87"/>
        <v>8.940380011185424E-2</v>
      </c>
      <c r="S99" s="1230">
        <f t="shared" si="87"/>
        <v>9.4625229824530074E-2</v>
      </c>
      <c r="T99" s="1230">
        <f t="shared" si="87"/>
        <v>9.173806790988831E-2</v>
      </c>
      <c r="U99" s="1230">
        <f t="shared" si="87"/>
        <v>8.2181008440001257E-2</v>
      </c>
      <c r="V99" s="1230">
        <f t="shared" si="87"/>
        <v>8.3153463863519392E-2</v>
      </c>
      <c r="W99" s="1322">
        <f t="shared" si="87"/>
        <v>8.7601553859737252E-2</v>
      </c>
      <c r="X99" s="1407">
        <f t="shared" si="87"/>
        <v>8.4858286499818067E-2</v>
      </c>
      <c r="Y99" s="1230">
        <f t="shared" si="87"/>
        <v>8.3493245464484223E-2</v>
      </c>
      <c r="Z99" s="1230">
        <f t="shared" si="87"/>
        <v>7.1574556684806626E-2</v>
      </c>
      <c r="AA99" s="1324">
        <f t="shared" si="87"/>
        <v>7.1813183698917427E-2</v>
      </c>
      <c r="AB99" s="1322">
        <f t="shared" si="87"/>
        <v>7.748199482881632E-2</v>
      </c>
      <c r="AC99" s="1407">
        <f t="shared" si="87"/>
        <v>8.4754987779723012E-2</v>
      </c>
      <c r="AD99" s="1230">
        <f t="shared" si="87"/>
        <v>0.20008897889052529</v>
      </c>
      <c r="AE99" s="1230">
        <f t="shared" si="87"/>
        <v>0.28838790093853817</v>
      </c>
      <c r="AF99" s="1324">
        <f t="shared" si="87"/>
        <v>0.28412616339193381</v>
      </c>
      <c r="AG99" s="1324">
        <f t="shared" si="87"/>
        <v>0.22376796301624302</v>
      </c>
      <c r="AH99" s="1230">
        <f>AH61/AH$81</f>
        <v>0.36084935052485262</v>
      </c>
      <c r="AI99" s="1230">
        <f>AI61/AI$81</f>
        <v>0.3503321468319151</v>
      </c>
      <c r="AJ99" s="1230">
        <f>AJ61/AJ$81</f>
        <v>0.34386256842742202</v>
      </c>
      <c r="AK99" s="1230">
        <f>AK61/AK$81</f>
        <v>0.33910355486862442</v>
      </c>
      <c r="AL99" s="1322">
        <f t="shared" ref="AL99:AQ99" si="88">AL61/AL$81</f>
        <v>0.34844849956449248</v>
      </c>
      <c r="AM99" s="1230">
        <f t="shared" si="88"/>
        <v>0.33939974457215838</v>
      </c>
      <c r="AN99" s="1230">
        <f t="shared" si="88"/>
        <v>0.33363581367211126</v>
      </c>
      <c r="AO99" s="1230">
        <f t="shared" si="88"/>
        <v>0.31300927226749092</v>
      </c>
      <c r="AP99" s="1230">
        <f t="shared" si="88"/>
        <v>0.31085043988269789</v>
      </c>
      <c r="AQ99" s="1322">
        <f t="shared" si="88"/>
        <v>0.32339249345359322</v>
      </c>
      <c r="AR99" s="1230">
        <f t="shared" ref="AR99:BK99" si="89">AR61/AR$81</f>
        <v>0.3247628513282354</v>
      </c>
      <c r="AS99" s="1230">
        <f t="shared" si="89"/>
        <v>0.32620785517682221</v>
      </c>
      <c r="AT99" s="1230">
        <f t="shared" si="89"/>
        <v>0.31681843520378861</v>
      </c>
      <c r="AU99" s="1230">
        <f t="shared" si="89"/>
        <v>0.32160755850393147</v>
      </c>
      <c r="AV99" s="1322">
        <f t="shared" si="89"/>
        <v>0.32226632155883905</v>
      </c>
      <c r="AW99" s="1230">
        <f t="shared" si="89"/>
        <v>0.31855798067748636</v>
      </c>
      <c r="AX99" s="1230">
        <f t="shared" si="89"/>
        <v>0.31956094988853423</v>
      </c>
      <c r="AY99" s="1230">
        <f t="shared" si="89"/>
        <v>0.31028439392306978</v>
      </c>
      <c r="AZ99" s="1230">
        <f t="shared" si="89"/>
        <v>0.31461271836346588</v>
      </c>
      <c r="BA99" s="1322">
        <f t="shared" si="89"/>
        <v>0.3156606423768164</v>
      </c>
      <c r="BB99" s="1230">
        <f t="shared" si="89"/>
        <v>0.31276496407211873</v>
      </c>
      <c r="BC99" s="1230">
        <f t="shared" si="89"/>
        <v>0.31372675122267224</v>
      </c>
      <c r="BD99" s="1230">
        <f t="shared" si="89"/>
        <v>0.30458201022791731</v>
      </c>
      <c r="BE99" s="1230">
        <f t="shared" si="89"/>
        <v>0.30887736545199729</v>
      </c>
      <c r="BF99" s="1322">
        <f t="shared" si="89"/>
        <v>0.30989553972475797</v>
      </c>
      <c r="BG99" s="1230">
        <f t="shared" si="89"/>
        <v>0.307027159160015</v>
      </c>
      <c r="BH99" s="1230">
        <f t="shared" si="89"/>
        <v>0.30794838153972431</v>
      </c>
      <c r="BI99" s="1230">
        <f t="shared" si="89"/>
        <v>0.29893632762324301</v>
      </c>
      <c r="BJ99" s="1230">
        <f t="shared" si="89"/>
        <v>0.30319755268148219</v>
      </c>
      <c r="BK99" s="1322">
        <f t="shared" si="89"/>
        <v>0.30418627522485603</v>
      </c>
      <c r="BL99" s="1277"/>
      <c r="BM99" s="1277"/>
      <c r="BN99" s="1277"/>
      <c r="BO99" s="1277"/>
      <c r="BP99" s="1277"/>
      <c r="BQ99" s="1278"/>
      <c r="BR99" s="1335" t="str">
        <f t="shared" si="66"/>
        <v>Specialized incl. Energy</v>
      </c>
      <c r="BS99" s="1230">
        <f>H99</f>
        <v>4.7005644031834687E-2</v>
      </c>
      <c r="BT99" s="1230">
        <f t="shared" si="67"/>
        <v>0.10259096214730655</v>
      </c>
      <c r="BU99" s="1230">
        <f t="shared" si="68"/>
        <v>8.940380011185424E-2</v>
      </c>
      <c r="BV99" s="1230">
        <f t="shared" si="69"/>
        <v>8.7601553859737252E-2</v>
      </c>
      <c r="BW99" s="1230">
        <f t="shared" si="70"/>
        <v>7.748199482881632E-2</v>
      </c>
      <c r="BX99" s="1230">
        <f t="shared" si="71"/>
        <v>0.22376796301624302</v>
      </c>
      <c r="BY99" s="1230">
        <f t="shared" si="72"/>
        <v>0.34844849956449248</v>
      </c>
      <c r="BZ99" s="1230">
        <f t="shared" si="73"/>
        <v>0.32339249345359322</v>
      </c>
      <c r="CA99" s="1230">
        <f t="shared" si="74"/>
        <v>0.32226632155883905</v>
      </c>
      <c r="CB99" s="1230">
        <f t="shared" si="75"/>
        <v>0.3156606423768164</v>
      </c>
      <c r="CC99" s="1230">
        <f t="shared" si="76"/>
        <v>0.30989553972475797</v>
      </c>
      <c r="CD99" s="1230">
        <f t="shared" si="77"/>
        <v>0.30418627522485603</v>
      </c>
    </row>
    <row r="100" spans="1:82" hidden="1" x14ac:dyDescent="0.2">
      <c r="A100" s="1333" t="s">
        <v>401</v>
      </c>
      <c r="B100" s="1322"/>
      <c r="C100" s="1322"/>
      <c r="D100" s="1230"/>
      <c r="E100" s="1230"/>
      <c r="F100" s="1230"/>
      <c r="G100" s="1230"/>
      <c r="H100" s="1322"/>
      <c r="I100" s="1230"/>
      <c r="J100" s="1230"/>
      <c r="K100" s="1230"/>
      <c r="L100" s="1230"/>
      <c r="M100" s="1322"/>
      <c r="N100" s="1230"/>
      <c r="O100" s="1230"/>
      <c r="P100" s="1230"/>
      <c r="Q100" s="1230"/>
      <c r="R100" s="1322"/>
      <c r="S100" s="1230"/>
      <c r="T100" s="1230"/>
      <c r="U100" s="1230"/>
      <c r="V100" s="1230"/>
      <c r="W100" s="1322"/>
      <c r="X100" s="1407"/>
      <c r="Y100" s="1230"/>
      <c r="Z100" s="1230"/>
      <c r="AA100" s="1324"/>
      <c r="AB100" s="1322"/>
      <c r="AC100" s="1407"/>
      <c r="AD100" s="1230">
        <f t="shared" ref="AD100:AQ100" si="90">AD68/AD$76</f>
        <v>0.1314820814923908</v>
      </c>
      <c r="AE100" s="1230">
        <f t="shared" si="90"/>
        <v>0.22446748390436103</v>
      </c>
      <c r="AF100" s="1324">
        <f t="shared" si="90"/>
        <v>0.2158561435711823</v>
      </c>
      <c r="AG100" s="1324">
        <f t="shared" si="90"/>
        <v>0.15316588723355476</v>
      </c>
      <c r="AH100" s="1230">
        <f t="shared" si="90"/>
        <v>0.27816389461406954</v>
      </c>
      <c r="AI100" s="1230">
        <f t="shared" si="90"/>
        <v>0.28770076203027317</v>
      </c>
      <c r="AJ100" s="1230">
        <f t="shared" si="90"/>
        <v>0.25475328309807216</v>
      </c>
      <c r="AK100" s="1230">
        <f>AK68/AK$76</f>
        <v>0.24389809191653786</v>
      </c>
      <c r="AL100" s="1322">
        <f t="shared" si="90"/>
        <v>0.26597720311724238</v>
      </c>
      <c r="AM100" s="1230">
        <f t="shared" si="90"/>
        <v>0</v>
      </c>
      <c r="AN100" s="1230">
        <f t="shared" si="90"/>
        <v>0</v>
      </c>
      <c r="AO100" s="1230">
        <f t="shared" si="90"/>
        <v>0.2346236442821017</v>
      </c>
      <c r="AP100" s="1230">
        <f t="shared" si="90"/>
        <v>0.21791914133153825</v>
      </c>
      <c r="AQ100" s="1322">
        <f t="shared" si="90"/>
        <v>0</v>
      </c>
      <c r="AR100" s="1230">
        <f t="shared" ref="AR100:BK100" si="91">AR68/AR$76</f>
        <v>0</v>
      </c>
      <c r="AS100" s="1230">
        <f t="shared" si="91"/>
        <v>0</v>
      </c>
      <c r="AT100" s="1230">
        <f t="shared" si="91"/>
        <v>0</v>
      </c>
      <c r="AU100" s="1230">
        <f t="shared" si="91"/>
        <v>0</v>
      </c>
      <c r="AV100" s="1322">
        <f t="shared" si="91"/>
        <v>0</v>
      </c>
      <c r="AW100" s="1230">
        <f t="shared" si="91"/>
        <v>0</v>
      </c>
      <c r="AX100" s="1230">
        <f t="shared" si="91"/>
        <v>0</v>
      </c>
      <c r="AY100" s="1230">
        <f t="shared" si="91"/>
        <v>0</v>
      </c>
      <c r="AZ100" s="1230">
        <f t="shared" si="91"/>
        <v>0</v>
      </c>
      <c r="BA100" s="1322">
        <f t="shared" si="91"/>
        <v>0</v>
      </c>
      <c r="BB100" s="1230">
        <f t="shared" si="91"/>
        <v>0</v>
      </c>
      <c r="BC100" s="1230">
        <f t="shared" si="91"/>
        <v>0</v>
      </c>
      <c r="BD100" s="1230">
        <f t="shared" si="91"/>
        <v>0</v>
      </c>
      <c r="BE100" s="1230">
        <f t="shared" si="91"/>
        <v>0</v>
      </c>
      <c r="BF100" s="1322">
        <f t="shared" si="91"/>
        <v>0</v>
      </c>
      <c r="BG100" s="1230">
        <f t="shared" si="91"/>
        <v>0</v>
      </c>
      <c r="BH100" s="1230">
        <f t="shared" si="91"/>
        <v>0</v>
      </c>
      <c r="BI100" s="1230">
        <f t="shared" si="91"/>
        <v>0</v>
      </c>
      <c r="BJ100" s="1230">
        <f t="shared" si="91"/>
        <v>0</v>
      </c>
      <c r="BK100" s="1322">
        <f t="shared" si="91"/>
        <v>0</v>
      </c>
      <c r="BL100" s="1277"/>
      <c r="BM100" s="1277"/>
      <c r="BN100" s="1277"/>
      <c r="BO100" s="1277"/>
      <c r="BP100" s="1277"/>
      <c r="BQ100" s="1278"/>
      <c r="BR100" s="1335" t="str">
        <f t="shared" si="66"/>
        <v>Energy</v>
      </c>
      <c r="BS100" s="1230"/>
      <c r="BT100" s="1230">
        <f t="shared" si="67"/>
        <v>0</v>
      </c>
      <c r="BU100" s="1230">
        <f t="shared" si="68"/>
        <v>0</v>
      </c>
      <c r="BV100" s="1230">
        <f t="shared" si="69"/>
        <v>0</v>
      </c>
      <c r="BW100" s="1230">
        <f t="shared" si="70"/>
        <v>0</v>
      </c>
      <c r="BX100" s="1230">
        <f t="shared" si="71"/>
        <v>0.15316588723355476</v>
      </c>
      <c r="BY100" s="1230">
        <f t="shared" si="72"/>
        <v>0.26597720311724238</v>
      </c>
      <c r="BZ100" s="1230">
        <f t="shared" si="73"/>
        <v>0</v>
      </c>
      <c r="CA100" s="1230">
        <f t="shared" si="74"/>
        <v>0</v>
      </c>
      <c r="CB100" s="1230">
        <f t="shared" si="75"/>
        <v>0</v>
      </c>
      <c r="CC100" s="1230">
        <f t="shared" si="76"/>
        <v>0</v>
      </c>
      <c r="CD100" s="1230">
        <f t="shared" si="77"/>
        <v>0</v>
      </c>
    </row>
    <row r="101" spans="1:82" ht="5.0999999999999996" customHeight="1" x14ac:dyDescent="0.2">
      <c r="A101" s="1333"/>
      <c r="B101" s="1280"/>
      <c r="C101" s="1280"/>
      <c r="D101" s="1278"/>
      <c r="E101" s="1278"/>
      <c r="F101" s="1278"/>
      <c r="G101" s="1278"/>
      <c r="H101" s="1280"/>
      <c r="I101" s="1278"/>
      <c r="J101" s="1278"/>
      <c r="K101" s="1278"/>
      <c r="L101" s="1278"/>
      <c r="M101" s="1280"/>
      <c r="N101" s="1278"/>
      <c r="O101" s="1278"/>
      <c r="P101" s="1278"/>
      <c r="Q101" s="1278"/>
      <c r="R101" s="1280"/>
      <c r="S101" s="1278"/>
      <c r="T101" s="1278"/>
      <c r="U101" s="1278"/>
      <c r="V101" s="1278"/>
      <c r="W101" s="1280"/>
      <c r="X101" s="1282"/>
      <c r="Y101" s="1278"/>
      <c r="Z101" s="1278"/>
      <c r="AA101" s="1283"/>
      <c r="AB101" s="1280"/>
      <c r="AC101" s="1282"/>
      <c r="AD101" s="1278"/>
      <c r="AE101" s="1278"/>
      <c r="AF101" s="1283"/>
      <c r="AG101" s="1283"/>
      <c r="AH101" s="1278"/>
      <c r="AI101" s="1278"/>
      <c r="AJ101" s="1278"/>
      <c r="AK101" s="1278"/>
      <c r="AL101" s="1280"/>
      <c r="AM101" s="1278"/>
      <c r="AN101" s="1278"/>
      <c r="AO101" s="1278"/>
      <c r="AP101" s="1278"/>
      <c r="AQ101" s="1280"/>
      <c r="AR101" s="1278"/>
      <c r="AS101" s="1278"/>
      <c r="AT101" s="1278"/>
      <c r="AU101" s="1278"/>
      <c r="AV101" s="1280"/>
      <c r="AW101" s="1278"/>
      <c r="AX101" s="1278"/>
      <c r="AY101" s="1278"/>
      <c r="AZ101" s="1278"/>
      <c r="BA101" s="1280"/>
      <c r="BB101" s="1278"/>
      <c r="BC101" s="1278"/>
      <c r="BD101" s="1278"/>
      <c r="BE101" s="1278"/>
      <c r="BF101" s="1280"/>
      <c r="BG101" s="1278"/>
      <c r="BH101" s="1278"/>
      <c r="BI101" s="1278"/>
      <c r="BJ101" s="1278"/>
      <c r="BK101" s="1280"/>
      <c r="BL101" s="1277"/>
      <c r="BM101" s="1277"/>
      <c r="BN101" s="1277"/>
      <c r="BO101" s="1277"/>
      <c r="BP101" s="1277"/>
      <c r="BQ101" s="1278"/>
      <c r="BR101" s="1335"/>
      <c r="BS101" s="1278"/>
      <c r="BT101" s="1278"/>
      <c r="BU101" s="1278"/>
      <c r="BV101" s="1278"/>
      <c r="BW101" s="1278"/>
      <c r="BX101" s="1278"/>
      <c r="BY101" s="1278"/>
      <c r="BZ101" s="1278"/>
      <c r="CA101" s="1278"/>
      <c r="CB101" s="1278"/>
      <c r="CC101" s="1278"/>
      <c r="CD101" s="1278"/>
    </row>
    <row r="102" spans="1:82" ht="12.75" customHeight="1" x14ac:dyDescent="0.2">
      <c r="A102" s="1444" t="s">
        <v>402</v>
      </c>
      <c r="B102" s="1445"/>
      <c r="C102" s="1445"/>
      <c r="D102" s="1328"/>
      <c r="E102" s="1328"/>
      <c r="F102" s="1328"/>
      <c r="G102" s="1328"/>
      <c r="H102" s="1445"/>
      <c r="I102" s="1328"/>
      <c r="J102" s="1328"/>
      <c r="K102" s="1328"/>
      <c r="L102" s="1328"/>
      <c r="M102" s="1445"/>
      <c r="N102" s="1328"/>
      <c r="O102" s="1328"/>
      <c r="P102" s="1328"/>
      <c r="Q102" s="1328"/>
      <c r="R102" s="1445"/>
      <c r="S102" s="1328"/>
      <c r="T102" s="1328"/>
      <c r="U102" s="1328"/>
      <c r="V102" s="1328"/>
      <c r="W102" s="1445"/>
      <c r="X102" s="1446"/>
      <c r="Y102" s="1328"/>
      <c r="Z102" s="1328"/>
      <c r="AA102" s="1329"/>
      <c r="AB102" s="1445"/>
      <c r="AC102" s="1446"/>
      <c r="AD102" s="1328"/>
      <c r="AE102" s="1328"/>
      <c r="AF102" s="1329"/>
      <c r="AG102" s="1329"/>
      <c r="AH102" s="1328"/>
      <c r="AI102" s="1328"/>
      <c r="AJ102" s="1328"/>
      <c r="AK102" s="1328"/>
      <c r="AL102" s="1445"/>
      <c r="AM102" s="1328"/>
      <c r="AN102" s="1328"/>
      <c r="AO102" s="1328"/>
      <c r="AP102" s="1328"/>
      <c r="AQ102" s="1445"/>
      <c r="AR102" s="1328"/>
      <c r="AS102" s="1328"/>
      <c r="AT102" s="1328"/>
      <c r="AU102" s="1328"/>
      <c r="AV102" s="1445"/>
      <c r="AW102" s="1328"/>
      <c r="AX102" s="1328"/>
      <c r="AY102" s="1328"/>
      <c r="AZ102" s="1328"/>
      <c r="BA102" s="1445"/>
      <c r="BB102" s="1328"/>
      <c r="BC102" s="1328"/>
      <c r="BD102" s="1328"/>
      <c r="BE102" s="1328"/>
      <c r="BF102" s="1445"/>
      <c r="BG102" s="1328"/>
      <c r="BH102" s="1328"/>
      <c r="BI102" s="1328"/>
      <c r="BJ102" s="1328"/>
      <c r="BK102" s="1445"/>
      <c r="BL102" s="1277"/>
      <c r="BM102" s="1277"/>
      <c r="BN102" s="1277"/>
      <c r="BO102" s="1277"/>
      <c r="BP102" s="1277"/>
      <c r="BQ102" s="1278"/>
      <c r="BR102" s="1286" t="str">
        <f t="shared" ref="BR102:BR108" si="92">A102</f>
        <v>% of Total revenue</v>
      </c>
      <c r="BS102" s="1328"/>
      <c r="BT102" s="1328"/>
      <c r="BU102" s="1328"/>
      <c r="BV102" s="1328"/>
      <c r="BW102" s="1328"/>
      <c r="BX102" s="1328"/>
      <c r="BY102" s="1328"/>
      <c r="BZ102" s="1328"/>
      <c r="CA102" s="1328"/>
      <c r="CB102" s="1328"/>
      <c r="CC102" s="1328"/>
      <c r="CD102" s="1328"/>
    </row>
    <row r="103" spans="1:82" ht="12.75" customHeight="1" x14ac:dyDescent="0.2">
      <c r="A103" s="1333" t="s">
        <v>101</v>
      </c>
      <c r="B103" s="1322">
        <f t="shared" ref="B103:AG103" si="93">(B16)/B86</f>
        <v>0.56447988361031842</v>
      </c>
      <c r="C103" s="1322">
        <f t="shared" si="93"/>
        <v>0.51014892357541197</v>
      </c>
      <c r="D103" s="1230">
        <f t="shared" si="93"/>
        <v>0.48732953352115116</v>
      </c>
      <c r="E103" s="1230">
        <f t="shared" si="93"/>
        <v>0.47674819030307763</v>
      </c>
      <c r="F103" s="1230">
        <f t="shared" si="93"/>
        <v>0.47421995169720965</v>
      </c>
      <c r="G103" s="1230">
        <f t="shared" si="93"/>
        <v>0.46733160957572367</v>
      </c>
      <c r="H103" s="1322">
        <f t="shared" si="93"/>
        <v>0.47625188541590713</v>
      </c>
      <c r="I103" s="1230">
        <f t="shared" si="93"/>
        <v>0.44920717616638278</v>
      </c>
      <c r="J103" s="1230">
        <f t="shared" si="93"/>
        <v>0.42938768027377172</v>
      </c>
      <c r="K103" s="1230">
        <f t="shared" si="93"/>
        <v>0.41157842739445694</v>
      </c>
      <c r="L103" s="1230">
        <f t="shared" si="93"/>
        <v>0.40476061810104302</v>
      </c>
      <c r="M103" s="1322">
        <f t="shared" si="93"/>
        <v>0.42299450384430565</v>
      </c>
      <c r="N103" s="1230">
        <f t="shared" si="93"/>
        <v>0.41837974493580105</v>
      </c>
      <c r="O103" s="1230">
        <f t="shared" si="93"/>
        <v>0.38633160605102534</v>
      </c>
      <c r="P103" s="1230">
        <f t="shared" si="93"/>
        <v>0.36069276919644094</v>
      </c>
      <c r="Q103" s="1230">
        <f t="shared" si="93"/>
        <v>0.35234647487552012</v>
      </c>
      <c r="R103" s="1322">
        <f t="shared" si="93"/>
        <v>0.37769565670785754</v>
      </c>
      <c r="S103" s="1230">
        <f t="shared" si="93"/>
        <v>0.40513463075097494</v>
      </c>
      <c r="T103" s="1230">
        <f t="shared" si="93"/>
        <v>0.39516505023490778</v>
      </c>
      <c r="U103" s="1230">
        <f t="shared" si="93"/>
        <v>0.37641378205361636</v>
      </c>
      <c r="V103" s="1230">
        <f t="shared" si="93"/>
        <v>0.37518687473453588</v>
      </c>
      <c r="W103" s="1322">
        <f t="shared" si="93"/>
        <v>0.38746065238548538</v>
      </c>
      <c r="X103" s="1407">
        <f t="shared" si="93"/>
        <v>0.39623037620562296</v>
      </c>
      <c r="Y103" s="1230">
        <f t="shared" si="93"/>
        <v>0.38236446828503567</v>
      </c>
      <c r="Z103" s="1230">
        <f t="shared" si="93"/>
        <v>0.35985423422821033</v>
      </c>
      <c r="AA103" s="1324">
        <f t="shared" si="93"/>
        <v>0.35479839264817237</v>
      </c>
      <c r="AB103" s="1322">
        <f t="shared" si="93"/>
        <v>0.37249803346374882</v>
      </c>
      <c r="AC103" s="1407">
        <f t="shared" si="93"/>
        <v>0.37210081911723414</v>
      </c>
      <c r="AD103" s="1230">
        <f t="shared" si="93"/>
        <v>0.34508188485883656</v>
      </c>
      <c r="AE103" s="1230">
        <f t="shared" si="93"/>
        <v>0.31200343022632587</v>
      </c>
      <c r="AF103" s="1324">
        <f t="shared" si="93"/>
        <v>0.31002497324295392</v>
      </c>
      <c r="AG103" s="1324">
        <f t="shared" si="93"/>
        <v>0.33277709221449403</v>
      </c>
      <c r="AH103" s="1230">
        <f>(AH16)/AH$90</f>
        <v>0.3648379037184824</v>
      </c>
      <c r="AI103" s="1230">
        <f t="shared" ref="AI103:AQ103" si="94">(AI16)/AI$90</f>
        <v>0.36347271501276351</v>
      </c>
      <c r="AJ103" s="1230">
        <f t="shared" si="94"/>
        <v>0.36294096743300786</v>
      </c>
      <c r="AK103" s="1230">
        <f>(AK16)/AK$90</f>
        <v>0.36079826121319902</v>
      </c>
      <c r="AL103" s="1322">
        <f t="shared" si="94"/>
        <v>0.36299868984120714</v>
      </c>
      <c r="AM103" s="1230">
        <f t="shared" si="94"/>
        <v>0.37684042976522081</v>
      </c>
      <c r="AN103" s="1230">
        <f t="shared" si="94"/>
        <v>0.3681192660550458</v>
      </c>
      <c r="AO103" s="1230">
        <f t="shared" si="94"/>
        <v>0.35184847932981245</v>
      </c>
      <c r="AP103" s="1230">
        <f t="shared" si="94"/>
        <v>0.34227599509030338</v>
      </c>
      <c r="AQ103" s="1322">
        <f t="shared" si="94"/>
        <v>0.35912735409285845</v>
      </c>
      <c r="AR103" s="1230">
        <f t="shared" ref="AR103:BK103" si="95">(AR16)/AR$90</f>
        <v>0.34919493658409517</v>
      </c>
      <c r="AS103" s="1230">
        <f t="shared" si="95"/>
        <v>0.34624117443133645</v>
      </c>
      <c r="AT103" s="1230">
        <f t="shared" si="95"/>
        <v>0.33829390673015042</v>
      </c>
      <c r="AU103" s="1230">
        <f t="shared" si="95"/>
        <v>0.3334092461853792</v>
      </c>
      <c r="AV103" s="1322">
        <f t="shared" si="95"/>
        <v>0.34161797282940387</v>
      </c>
      <c r="AW103" s="1230">
        <f t="shared" si="95"/>
        <v>0.34698895199967283</v>
      </c>
      <c r="AX103" s="1230">
        <f t="shared" si="95"/>
        <v>0.34375156111265842</v>
      </c>
      <c r="AY103" s="1230">
        <f t="shared" si="95"/>
        <v>0.33577569293738707</v>
      </c>
      <c r="AZ103" s="1230">
        <f t="shared" si="95"/>
        <v>0.33065462871881379</v>
      </c>
      <c r="BA103" s="1322">
        <f t="shared" si="95"/>
        <v>0.33911660639309632</v>
      </c>
      <c r="BB103" s="1230">
        <f t="shared" si="95"/>
        <v>0.34500150410027158</v>
      </c>
      <c r="BC103" s="1230">
        <f t="shared" si="95"/>
        <v>0.34175650016638653</v>
      </c>
      <c r="BD103" s="1230">
        <f t="shared" si="95"/>
        <v>0.33377596575140273</v>
      </c>
      <c r="BE103" s="1230">
        <f t="shared" si="95"/>
        <v>0.32870358409925143</v>
      </c>
      <c r="BF103" s="1322">
        <f t="shared" si="95"/>
        <v>0.33713310352484527</v>
      </c>
      <c r="BG103" s="1230">
        <f t="shared" si="95"/>
        <v>0.34298266504066349</v>
      </c>
      <c r="BH103" s="1230">
        <f t="shared" si="95"/>
        <v>0.3397301053316682</v>
      </c>
      <c r="BI103" s="1230">
        <f t="shared" si="95"/>
        <v>0.3317465325252979</v>
      </c>
      <c r="BJ103" s="1230">
        <f t="shared" si="95"/>
        <v>0.32672287261144406</v>
      </c>
      <c r="BK103" s="1322">
        <f t="shared" si="95"/>
        <v>0.33511909638030035</v>
      </c>
      <c r="BL103" s="1277"/>
      <c r="BM103" s="1277"/>
      <c r="BN103" s="1277"/>
      <c r="BO103" s="1277"/>
      <c r="BP103" s="1277"/>
      <c r="BQ103" s="1278"/>
      <c r="BR103" s="1335" t="str">
        <f t="shared" si="92"/>
        <v>Risk Assessment</v>
      </c>
      <c r="BS103" s="1230">
        <f>H103</f>
        <v>0.47625188541590713</v>
      </c>
      <c r="BT103" s="1230">
        <f t="shared" ref="BT103:BT108" si="96">M103</f>
        <v>0.42299450384430565</v>
      </c>
      <c r="BU103" s="1230">
        <f t="shared" ref="BU103:BU108" si="97">R103</f>
        <v>0.37769565670785754</v>
      </c>
      <c r="BV103" s="1230">
        <f t="shared" ref="BV103:BV108" si="98">W103</f>
        <v>0.38746065238548538</v>
      </c>
      <c r="BW103" s="1230">
        <f t="shared" ref="BW103:BW108" si="99">AB103</f>
        <v>0.37249803346374882</v>
      </c>
      <c r="BX103" s="1230">
        <f t="shared" ref="BX103:BX108" si="100">AG103</f>
        <v>0.33277709221449403</v>
      </c>
      <c r="BY103" s="1230">
        <f t="shared" ref="BY103:BY108" si="101">AL103</f>
        <v>0.36299868984120714</v>
      </c>
      <c r="BZ103" s="1230">
        <f t="shared" ref="BZ103:BZ108" si="102">AQ103</f>
        <v>0.35912735409285845</v>
      </c>
      <c r="CA103" s="1230">
        <f t="shared" ref="CA103:CA108" si="103">AV103</f>
        <v>0.34161797282940387</v>
      </c>
      <c r="CB103" s="1230">
        <f t="shared" ref="CB103:CB108" si="104">BA103</f>
        <v>0.33911660639309632</v>
      </c>
      <c r="CC103" s="1230">
        <f t="shared" ref="CC103:CC108" si="105">BF103</f>
        <v>0.33713310352484527</v>
      </c>
      <c r="CD103" s="1230">
        <f t="shared" ref="CD103:CD108" si="106">BK103</f>
        <v>0.33511909638030035</v>
      </c>
    </row>
    <row r="104" spans="1:82" ht="12.75" customHeight="1" x14ac:dyDescent="0.2">
      <c r="A104" s="1333" t="s">
        <v>403</v>
      </c>
      <c r="B104" s="1322">
        <f t="shared" ref="B104:AG104" si="107">B24/B86</f>
        <v>0.34818980471154387</v>
      </c>
      <c r="C104" s="1322">
        <f t="shared" si="107"/>
        <v>0.32283683054491069</v>
      </c>
      <c r="D104" s="1230">
        <f t="shared" si="107"/>
        <v>0.31800010139270113</v>
      </c>
      <c r="E104" s="1230">
        <f t="shared" si="107"/>
        <v>0.33022930519708743</v>
      </c>
      <c r="F104" s="1230">
        <f t="shared" si="107"/>
        <v>0.32652407831455277</v>
      </c>
      <c r="G104" s="1230">
        <f t="shared" si="107"/>
        <v>0.33490472714372455</v>
      </c>
      <c r="H104" s="1322">
        <f t="shared" si="107"/>
        <v>0.32753133282323521</v>
      </c>
      <c r="I104" s="1230">
        <f t="shared" si="107"/>
        <v>0.3365625868973916</v>
      </c>
      <c r="J104" s="1230">
        <f t="shared" si="107"/>
        <v>0.34323515032999263</v>
      </c>
      <c r="K104" s="1230">
        <f t="shared" si="107"/>
        <v>0.34190439226340646</v>
      </c>
      <c r="L104" s="1230">
        <f t="shared" si="107"/>
        <v>0.33362723376176434</v>
      </c>
      <c r="M104" s="1322">
        <f t="shared" si="107"/>
        <v>0.33879144641999037</v>
      </c>
      <c r="N104" s="1230">
        <f t="shared" si="107"/>
        <v>0.33574506278481159</v>
      </c>
      <c r="O104" s="1230">
        <f t="shared" si="107"/>
        <v>0.32744235396247851</v>
      </c>
      <c r="P104" s="1230">
        <f t="shared" si="107"/>
        <v>0.31665258497278514</v>
      </c>
      <c r="Q104" s="1230">
        <f t="shared" si="107"/>
        <v>0.30935703461381187</v>
      </c>
      <c r="R104" s="1322">
        <f t="shared" si="107"/>
        <v>0.32161217998852909</v>
      </c>
      <c r="S104" s="1230">
        <f t="shared" si="107"/>
        <v>0.33594374258356186</v>
      </c>
      <c r="T104" s="1230">
        <f t="shared" si="107"/>
        <v>0.34271683497025868</v>
      </c>
      <c r="U104" s="1230">
        <f t="shared" si="107"/>
        <v>0.34173773508412897</v>
      </c>
      <c r="V104" s="1230">
        <f t="shared" si="107"/>
        <v>0.33126321321357349</v>
      </c>
      <c r="W104" s="1322">
        <f t="shared" si="107"/>
        <v>0.3378740412592991</v>
      </c>
      <c r="X104" s="1407">
        <f t="shared" si="107"/>
        <v>0.34525184123737013</v>
      </c>
      <c r="Y104" s="1230">
        <f t="shared" si="107"/>
        <v>0.36083002403471576</v>
      </c>
      <c r="Z104" s="1230">
        <f t="shared" si="107"/>
        <v>0.3332018321019023</v>
      </c>
      <c r="AA104" s="1324">
        <f t="shared" si="107"/>
        <v>0.33343085289461005</v>
      </c>
      <c r="AB104" s="1322">
        <f t="shared" si="107"/>
        <v>0.34278816482951535</v>
      </c>
      <c r="AC104" s="1407">
        <f t="shared" si="107"/>
        <v>0.33464084441126085</v>
      </c>
      <c r="AD104" s="1230">
        <f t="shared" si="107"/>
        <v>0.33211293077464082</v>
      </c>
      <c r="AE104" s="1230">
        <f t="shared" si="107"/>
        <v>0.2950067314557932</v>
      </c>
      <c r="AF104" s="1324">
        <f t="shared" si="107"/>
        <v>0.29575454869782369</v>
      </c>
      <c r="AG104" s="1324">
        <f t="shared" si="107"/>
        <v>0.31294292975791665</v>
      </c>
      <c r="AH104" s="1230">
        <f>AH24/AH$90</f>
        <v>0.34817262396463572</v>
      </c>
      <c r="AI104" s="1230">
        <f t="shared" ref="AI104:AQ104" si="108">AI24/AI$90</f>
        <v>0.35215213447428839</v>
      </c>
      <c r="AJ104" s="1230">
        <f t="shared" si="108"/>
        <v>0.35023620656078025</v>
      </c>
      <c r="AK104" s="1230">
        <f>AK24/AK$90</f>
        <v>0.35230191661726934</v>
      </c>
      <c r="AL104" s="1322">
        <f t="shared" si="108"/>
        <v>0.35072910787909656</v>
      </c>
      <c r="AM104" s="1230">
        <f t="shared" si="108"/>
        <v>0.35535216872264225</v>
      </c>
      <c r="AN104" s="1230">
        <f t="shared" si="108"/>
        <v>0.36506116207951067</v>
      </c>
      <c r="AO104" s="1230">
        <f t="shared" si="108"/>
        <v>0.37133491167364785</v>
      </c>
      <c r="AP104" s="1230">
        <f t="shared" si="108"/>
        <v>0.37033140452393476</v>
      </c>
      <c r="AQ104" s="1322">
        <f t="shared" si="108"/>
        <v>0.36579339921685622</v>
      </c>
      <c r="AR104" s="1230">
        <f t="shared" ref="AR104:BK104" si="109">AR24/AR$90</f>
        <v>0.36332402834442773</v>
      </c>
      <c r="AS104" s="1230">
        <f t="shared" si="109"/>
        <v>0.37090557113485573</v>
      </c>
      <c r="AT104" s="1230">
        <f t="shared" si="109"/>
        <v>0.37190955515870477</v>
      </c>
      <c r="AU104" s="1230">
        <f t="shared" si="109"/>
        <v>0.36938866124135533</v>
      </c>
      <c r="AV104" s="1322">
        <f t="shared" si="109"/>
        <v>0.3689420675196094</v>
      </c>
      <c r="AW104" s="1230">
        <f t="shared" si="109"/>
        <v>0.36790552419504852</v>
      </c>
      <c r="AX104" s="1230">
        <f t="shared" si="109"/>
        <v>0.3761294382587545</v>
      </c>
      <c r="AY104" s="1230">
        <f t="shared" si="109"/>
        <v>0.37705127772029884</v>
      </c>
      <c r="AZ104" s="1230">
        <f t="shared" si="109"/>
        <v>0.37505908725179593</v>
      </c>
      <c r="BA104" s="1322">
        <f t="shared" si="109"/>
        <v>0.37410770952671718</v>
      </c>
      <c r="BB104" s="1230">
        <f t="shared" si="109"/>
        <v>0.37276585863118283</v>
      </c>
      <c r="BC104" s="1230">
        <f t="shared" si="109"/>
        <v>0.38106925277158848</v>
      </c>
      <c r="BD104" s="1230">
        <f t="shared" si="109"/>
        <v>0.38194488873835652</v>
      </c>
      <c r="BE104" s="1230">
        <f t="shared" si="109"/>
        <v>0.37994786102197586</v>
      </c>
      <c r="BF104" s="1322">
        <f t="shared" si="109"/>
        <v>0.37900372444653396</v>
      </c>
      <c r="BG104" s="1230">
        <f t="shared" si="109"/>
        <v>0.37764330476050179</v>
      </c>
      <c r="BH104" s="1230">
        <f t="shared" si="109"/>
        <v>0.386025182736563</v>
      </c>
      <c r="BI104" s="1230">
        <f t="shared" si="109"/>
        <v>0.38685348382544793</v>
      </c>
      <c r="BJ104" s="1230">
        <f t="shared" si="109"/>
        <v>0.38485185287719625</v>
      </c>
      <c r="BK104" s="1322">
        <f t="shared" si="109"/>
        <v>0.3839155775473671</v>
      </c>
      <c r="BL104" s="1277"/>
      <c r="BM104" s="1277"/>
      <c r="BN104" s="1277"/>
      <c r="BO104" s="1277"/>
      <c r="BP104" s="1277"/>
      <c r="BQ104" s="1278"/>
      <c r="BR104" s="1335" t="str">
        <f t="shared" si="92"/>
        <v>Insurance - Decision Analytics</v>
      </c>
      <c r="BS104" s="1230">
        <f>H104</f>
        <v>0.32753133282323521</v>
      </c>
      <c r="BT104" s="1230">
        <f t="shared" si="96"/>
        <v>0.33879144641999037</v>
      </c>
      <c r="BU104" s="1230">
        <f t="shared" si="97"/>
        <v>0.32161217998852909</v>
      </c>
      <c r="BV104" s="1230">
        <f t="shared" si="98"/>
        <v>0.3378740412592991</v>
      </c>
      <c r="BW104" s="1230">
        <f t="shared" si="99"/>
        <v>0.34278816482951535</v>
      </c>
      <c r="BX104" s="1230">
        <f t="shared" si="100"/>
        <v>0.31294292975791665</v>
      </c>
      <c r="BY104" s="1230">
        <f t="shared" si="101"/>
        <v>0.35072910787909656</v>
      </c>
      <c r="BZ104" s="1230">
        <f t="shared" si="102"/>
        <v>0.36579339921685622</v>
      </c>
      <c r="CA104" s="1230">
        <f t="shared" si="103"/>
        <v>0.3689420675196094</v>
      </c>
      <c r="CB104" s="1230">
        <f t="shared" si="104"/>
        <v>0.37410770952671718</v>
      </c>
      <c r="CC104" s="1230">
        <f t="shared" si="105"/>
        <v>0.37900372444653396</v>
      </c>
      <c r="CD104" s="1230">
        <f t="shared" si="106"/>
        <v>0.3839155775473671</v>
      </c>
    </row>
    <row r="105" spans="1:82" ht="12.75" customHeight="1" x14ac:dyDescent="0.2">
      <c r="A105" s="1333" t="s">
        <v>345</v>
      </c>
      <c r="B105" s="1322">
        <f t="shared" ref="B105:AG105" si="110">B46/B86</f>
        <v>2.4064685803816242E-2</v>
      </c>
      <c r="C105" s="1322">
        <f t="shared" si="110"/>
        <v>4.8742873165716419E-2</v>
      </c>
      <c r="D105" s="1230">
        <f t="shared" si="110"/>
        <v>5.176097394931814E-2</v>
      </c>
      <c r="E105" s="1230">
        <f t="shared" si="110"/>
        <v>5.3383840356152616E-2</v>
      </c>
      <c r="F105" s="1230">
        <f t="shared" si="110"/>
        <v>5.0074124598926753E-2</v>
      </c>
      <c r="G105" s="1230">
        <f t="shared" si="110"/>
        <v>4.8615422400207393E-2</v>
      </c>
      <c r="H105" s="1322">
        <f t="shared" si="110"/>
        <v>5.0926653917140977E-2</v>
      </c>
      <c r="I105" s="1230">
        <f t="shared" si="110"/>
        <v>4.9915459825038602E-2</v>
      </c>
      <c r="J105" s="1230">
        <f t="shared" si="110"/>
        <v>5.903813248594475E-2</v>
      </c>
      <c r="K105" s="1230">
        <f t="shared" si="110"/>
        <v>8.9024340043164049E-2</v>
      </c>
      <c r="L105" s="1230">
        <f t="shared" si="110"/>
        <v>0.10951867642416091</v>
      </c>
      <c r="M105" s="1322">
        <f t="shared" si="110"/>
        <v>7.7878724171071598E-2</v>
      </c>
      <c r="N105" s="1230">
        <f t="shared" si="110"/>
        <v>8.7872762271970356E-2</v>
      </c>
      <c r="O105" s="1230">
        <f t="shared" si="110"/>
        <v>0.13498791616875566</v>
      </c>
      <c r="P105" s="1230">
        <f t="shared" si="110"/>
        <v>0.17380403797795232</v>
      </c>
      <c r="Q105" s="1230">
        <f t="shared" si="110"/>
        <v>0.17511846631226999</v>
      </c>
      <c r="R105" s="1322">
        <f t="shared" si="110"/>
        <v>0.14531192971479223</v>
      </c>
      <c r="S105" s="1230">
        <f t="shared" si="110"/>
        <v>0.15675463303397691</v>
      </c>
      <c r="T105" s="1230">
        <f t="shared" si="110"/>
        <v>0.15648647679357322</v>
      </c>
      <c r="U105" s="1230">
        <f t="shared" si="110"/>
        <v>0.1787015660541795</v>
      </c>
      <c r="V105" s="1230">
        <f t="shared" si="110"/>
        <v>0.18667076211296232</v>
      </c>
      <c r="W105" s="1322">
        <f t="shared" si="110"/>
        <v>0.17016719171931291</v>
      </c>
      <c r="X105" s="1407">
        <f t="shared" si="110"/>
        <v>0.15597971892599166</v>
      </c>
      <c r="Y105" s="1230">
        <f t="shared" si="110"/>
        <v>0.15368052243633634</v>
      </c>
      <c r="Z105" s="1230">
        <f t="shared" si="110"/>
        <v>0.20482988421205131</v>
      </c>
      <c r="AA105" s="1324">
        <f t="shared" si="110"/>
        <v>0.20380154195635714</v>
      </c>
      <c r="AB105" s="1322">
        <f t="shared" si="110"/>
        <v>0.18069691525745882</v>
      </c>
      <c r="AC105" s="1407">
        <f t="shared" si="110"/>
        <v>0.16348387124861502</v>
      </c>
      <c r="AD105" s="1230">
        <f t="shared" si="110"/>
        <v>0.13875414447905154</v>
      </c>
      <c r="AE105" s="1230">
        <f t="shared" si="110"/>
        <v>0.14533585513107716</v>
      </c>
      <c r="AF105" s="1324">
        <f t="shared" si="110"/>
        <v>0.14841241526935423</v>
      </c>
      <c r="AG105" s="1324">
        <f t="shared" si="110"/>
        <v>0.14861744021415363</v>
      </c>
      <c r="AH105" s="1230">
        <v>0</v>
      </c>
      <c r="AI105" s="1230">
        <v>0</v>
      </c>
      <c r="AJ105" s="1230">
        <f t="shared" ref="AJ105:AQ105" si="111">AJ46/AJ90</f>
        <v>0</v>
      </c>
      <c r="AK105" s="1230">
        <f>AK46/AK90</f>
        <v>0</v>
      </c>
      <c r="AL105" s="1322">
        <f t="shared" si="111"/>
        <v>0</v>
      </c>
      <c r="AM105" s="1230">
        <f t="shared" si="111"/>
        <v>0</v>
      </c>
      <c r="AN105" s="1230">
        <f t="shared" si="111"/>
        <v>0</v>
      </c>
      <c r="AO105" s="1230">
        <f t="shared" si="111"/>
        <v>0</v>
      </c>
      <c r="AP105" s="1230">
        <f t="shared" si="111"/>
        <v>0</v>
      </c>
      <c r="AQ105" s="1322">
        <f t="shared" si="111"/>
        <v>0</v>
      </c>
      <c r="AR105" s="1230">
        <f t="shared" ref="AR105:BK105" si="112">AR46/AR90</f>
        <v>0</v>
      </c>
      <c r="AS105" s="1230">
        <f t="shared" si="112"/>
        <v>0</v>
      </c>
      <c r="AT105" s="1230">
        <f t="shared" si="112"/>
        <v>0</v>
      </c>
      <c r="AU105" s="1230">
        <f t="shared" si="112"/>
        <v>0</v>
      </c>
      <c r="AV105" s="1322">
        <f t="shared" si="112"/>
        <v>0</v>
      </c>
      <c r="AW105" s="1230">
        <f t="shared" si="112"/>
        <v>0</v>
      </c>
      <c r="AX105" s="1230">
        <f t="shared" si="112"/>
        <v>0</v>
      </c>
      <c r="AY105" s="1230">
        <f t="shared" si="112"/>
        <v>0</v>
      </c>
      <c r="AZ105" s="1230">
        <f t="shared" si="112"/>
        <v>0</v>
      </c>
      <c r="BA105" s="1322">
        <f t="shared" si="112"/>
        <v>0</v>
      </c>
      <c r="BB105" s="1230">
        <f t="shared" si="112"/>
        <v>0</v>
      </c>
      <c r="BC105" s="1230">
        <f t="shared" si="112"/>
        <v>0</v>
      </c>
      <c r="BD105" s="1230">
        <f t="shared" si="112"/>
        <v>0</v>
      </c>
      <c r="BE105" s="1230">
        <f t="shared" si="112"/>
        <v>0</v>
      </c>
      <c r="BF105" s="1322">
        <f t="shared" si="112"/>
        <v>0</v>
      </c>
      <c r="BG105" s="1230">
        <f t="shared" si="112"/>
        <v>0</v>
      </c>
      <c r="BH105" s="1230">
        <f t="shared" si="112"/>
        <v>0</v>
      </c>
      <c r="BI105" s="1230">
        <f t="shared" si="112"/>
        <v>0</v>
      </c>
      <c r="BJ105" s="1230">
        <f t="shared" si="112"/>
        <v>0</v>
      </c>
      <c r="BK105" s="1322">
        <f t="shared" si="112"/>
        <v>0</v>
      </c>
      <c r="BL105" s="1277"/>
      <c r="BM105" s="1277"/>
      <c r="BN105" s="1277"/>
      <c r="BO105" s="1277"/>
      <c r="BP105" s="1277"/>
      <c r="BQ105" s="1278"/>
      <c r="BR105" s="1335" t="str">
        <f t="shared" si="92"/>
        <v>Healthcare</v>
      </c>
      <c r="BS105" s="1230">
        <f>H105</f>
        <v>5.0926653917140977E-2</v>
      </c>
      <c r="BT105" s="1230">
        <f t="shared" si="96"/>
        <v>7.7878724171071598E-2</v>
      </c>
      <c r="BU105" s="1230">
        <f t="shared" si="97"/>
        <v>0.14531192971479223</v>
      </c>
      <c r="BV105" s="1230">
        <f t="shared" si="98"/>
        <v>0.17016719171931291</v>
      </c>
      <c r="BW105" s="1230">
        <f t="shared" si="99"/>
        <v>0.18069691525745882</v>
      </c>
      <c r="BX105" s="1230">
        <f t="shared" si="100"/>
        <v>0.14861744021415363</v>
      </c>
      <c r="BY105" s="1230">
        <f t="shared" si="101"/>
        <v>0</v>
      </c>
      <c r="BZ105" s="1230">
        <f t="shared" si="102"/>
        <v>0</v>
      </c>
      <c r="CA105" s="1230">
        <f t="shared" si="103"/>
        <v>0</v>
      </c>
      <c r="CB105" s="1230">
        <f t="shared" si="104"/>
        <v>0</v>
      </c>
      <c r="CC105" s="1230">
        <f t="shared" si="105"/>
        <v>0</v>
      </c>
      <c r="CD105" s="1230">
        <f t="shared" si="106"/>
        <v>0</v>
      </c>
    </row>
    <row r="106" spans="1:82" ht="12.75" customHeight="1" x14ac:dyDescent="0.2">
      <c r="A106" s="1333" t="s">
        <v>344</v>
      </c>
      <c r="B106" s="1322">
        <f t="shared" ref="B106:AG106" si="113">B31/B86</f>
        <v>6.177158524984612E-2</v>
      </c>
      <c r="C106" s="1322">
        <f t="shared" si="113"/>
        <v>0.10283963454528459</v>
      </c>
      <c r="D106" s="1230">
        <f t="shared" si="113"/>
        <v>0.122275976447924</v>
      </c>
      <c r="E106" s="1230">
        <f t="shared" si="113"/>
        <v>0.11699570784977117</v>
      </c>
      <c r="F106" s="1230">
        <f t="shared" si="113"/>
        <v>0.12547589384522223</v>
      </c>
      <c r="G106" s="1230">
        <f t="shared" si="113"/>
        <v>0.11798074758321452</v>
      </c>
      <c r="H106" s="1322">
        <f t="shared" si="113"/>
        <v>0.12067101040723228</v>
      </c>
      <c r="I106" s="1230">
        <f t="shared" si="113"/>
        <v>0.10450380191070384</v>
      </c>
      <c r="J106" s="1230">
        <f t="shared" si="113"/>
        <v>0.10890674651674406</v>
      </c>
      <c r="K106" s="1230">
        <f t="shared" si="113"/>
        <v>0.10077095425436199</v>
      </c>
      <c r="L106" s="1230">
        <f t="shared" si="113"/>
        <v>9.1273148213986077E-2</v>
      </c>
      <c r="M106" s="1322">
        <f t="shared" si="113"/>
        <v>0.10113977654973569</v>
      </c>
      <c r="N106" s="1230">
        <f t="shared" si="113"/>
        <v>9.8917463441663953E-2</v>
      </c>
      <c r="O106" s="1230">
        <f t="shared" si="113"/>
        <v>9.4578084056309047E-2</v>
      </c>
      <c r="P106" s="1230">
        <f t="shared" si="113"/>
        <v>9.5170522209380159E-2</v>
      </c>
      <c r="Q106" s="1230">
        <f t="shared" si="113"/>
        <v>0.10945806172275276</v>
      </c>
      <c r="R106" s="1322">
        <f t="shared" si="113"/>
        <v>9.9743860472391657E-2</v>
      </c>
      <c r="S106" s="1230">
        <f t="shared" si="113"/>
        <v>4.5877721351643364E-2</v>
      </c>
      <c r="T106" s="1230">
        <f t="shared" si="113"/>
        <v>5.0145248305436436E-2</v>
      </c>
      <c r="U106" s="1230">
        <f t="shared" si="113"/>
        <v>5.1899972567955012E-2</v>
      </c>
      <c r="V106" s="1230">
        <f t="shared" si="113"/>
        <v>5.4923774305713872E-2</v>
      </c>
      <c r="W106" s="1322">
        <f t="shared" si="113"/>
        <v>5.0838715984641347E-2</v>
      </c>
      <c r="X106" s="1407">
        <f t="shared" si="113"/>
        <v>5.1303207915184681E-2</v>
      </c>
      <c r="Y106" s="1230">
        <f t="shared" si="113"/>
        <v>5.1556590186847488E-2</v>
      </c>
      <c r="Z106" s="1230">
        <f t="shared" si="113"/>
        <v>5.6295900059064111E-2</v>
      </c>
      <c r="AA106" s="1324">
        <f t="shared" si="113"/>
        <v>6.1635230949266887E-2</v>
      </c>
      <c r="AB106" s="1322">
        <f t="shared" si="113"/>
        <v>5.5396782323043223E-2</v>
      </c>
      <c r="AC106" s="1407">
        <f t="shared" si="113"/>
        <v>7.6556877820273109E-2</v>
      </c>
      <c r="AD106" s="1230">
        <f t="shared" si="113"/>
        <v>5.3009142971968251E-2</v>
      </c>
      <c r="AE106" s="1230">
        <f t="shared" si="113"/>
        <v>4.9244096576859422E-2</v>
      </c>
      <c r="AF106" s="1324">
        <f t="shared" si="113"/>
        <v>4.9768105601141623E-2</v>
      </c>
      <c r="AG106" s="1324">
        <f t="shared" si="113"/>
        <v>5.6359426860498399E-2</v>
      </c>
      <c r="AH106" s="1230">
        <f>AH31/AH90</f>
        <v>5.7791642395692316E-2</v>
      </c>
      <c r="AI106" s="1230">
        <f t="shared" ref="AI106:AQ106" si="114">AI31/AI90</f>
        <v>6.1379180246279329E-2</v>
      </c>
      <c r="AJ106" s="1230">
        <f t="shared" si="114"/>
        <v>6.7762070827837237E-2</v>
      </c>
      <c r="AK106" s="1230">
        <f>AK31/AK90</f>
        <v>7.0144240268721597E-2</v>
      </c>
      <c r="AL106" s="1322">
        <f t="shared" si="114"/>
        <v>6.4310051534249082E-2</v>
      </c>
      <c r="AM106" s="1230">
        <f t="shared" si="114"/>
        <v>5.630720254675687E-2</v>
      </c>
      <c r="AN106" s="1230">
        <f t="shared" si="114"/>
        <v>5.6001529051987763E-2</v>
      </c>
      <c r="AO106" s="1230">
        <f t="shared" si="114"/>
        <v>7.3939173192496821E-2</v>
      </c>
      <c r="AP106" s="1230">
        <f t="shared" si="114"/>
        <v>8.2938804138172895E-2</v>
      </c>
      <c r="AQ106" s="1322">
        <f t="shared" si="114"/>
        <v>6.7825843744173026E-2</v>
      </c>
      <c r="AR106" s="1230">
        <f t="shared" ref="AR106:BK106" si="115">AR31/AR90</f>
        <v>7.612372701767478E-2</v>
      </c>
      <c r="AS106" s="1230">
        <f t="shared" si="115"/>
        <v>6.9591990142135851E-2</v>
      </c>
      <c r="AT106" s="1230">
        <f t="shared" si="115"/>
        <v>8.0155849076578897E-2</v>
      </c>
      <c r="AU106" s="1230">
        <f t="shared" si="115"/>
        <v>8.2821467717650074E-2</v>
      </c>
      <c r="AV106" s="1322">
        <f t="shared" si="115"/>
        <v>7.7265605574267066E-2</v>
      </c>
      <c r="AW106" s="1230">
        <f t="shared" si="115"/>
        <v>7.7083642994205379E-2</v>
      </c>
      <c r="AX106" s="1230">
        <f t="shared" si="115"/>
        <v>7.0407626134880483E-2</v>
      </c>
      <c r="AY106" s="1230">
        <f t="shared" si="115"/>
        <v>8.1074592796420319E-2</v>
      </c>
      <c r="AZ106" s="1230">
        <f t="shared" si="115"/>
        <v>8.3701717246612836E-2</v>
      </c>
      <c r="BA106" s="1322">
        <f t="shared" si="115"/>
        <v>7.8160807518060899E-2</v>
      </c>
      <c r="BB106" s="1230">
        <f t="shared" si="115"/>
        <v>7.7372056231175129E-2</v>
      </c>
      <c r="BC106" s="1230">
        <f t="shared" si="115"/>
        <v>7.0665652345783855E-2</v>
      </c>
      <c r="BD106" s="1230">
        <f t="shared" si="115"/>
        <v>8.135928989665013E-2</v>
      </c>
      <c r="BE106" s="1230">
        <f t="shared" si="115"/>
        <v>8.4000286497981289E-2</v>
      </c>
      <c r="BF106" s="1322">
        <f t="shared" si="115"/>
        <v>7.8443677379777366E-2</v>
      </c>
      <c r="BG106" s="1230">
        <f t="shared" si="115"/>
        <v>7.7651864327385647E-2</v>
      </c>
      <c r="BH106" s="1230">
        <f t="shared" si="115"/>
        <v>7.0915666489251752E-2</v>
      </c>
      <c r="BI106" s="1230">
        <f t="shared" si="115"/>
        <v>8.1634746160868521E-2</v>
      </c>
      <c r="BJ106" s="1230">
        <f t="shared" si="115"/>
        <v>8.4289297210731001E-2</v>
      </c>
      <c r="BK106" s="1322">
        <f t="shared" si="115"/>
        <v>7.8717680532119638E-2</v>
      </c>
      <c r="BL106" s="1277"/>
      <c r="BM106" s="1277"/>
      <c r="BN106" s="1277"/>
      <c r="BO106" s="1277"/>
      <c r="BP106" s="1277"/>
      <c r="BQ106" s="1278"/>
      <c r="BR106" s="1335" t="str">
        <f t="shared" si="92"/>
        <v>Financial Services</v>
      </c>
      <c r="BS106" s="1230">
        <f>H106</f>
        <v>0.12067101040723228</v>
      </c>
      <c r="BT106" s="1230">
        <f t="shared" si="96"/>
        <v>0.10113977654973569</v>
      </c>
      <c r="BU106" s="1230">
        <f t="shared" si="97"/>
        <v>9.9743860472391657E-2</v>
      </c>
      <c r="BV106" s="1230">
        <f t="shared" si="98"/>
        <v>5.0838715984641347E-2</v>
      </c>
      <c r="BW106" s="1230">
        <f t="shared" si="99"/>
        <v>5.5396782323043223E-2</v>
      </c>
      <c r="BX106" s="1230">
        <f t="shared" si="100"/>
        <v>5.6359426860498399E-2</v>
      </c>
      <c r="BY106" s="1230">
        <f t="shared" si="101"/>
        <v>6.4310051534249082E-2</v>
      </c>
      <c r="BZ106" s="1230">
        <f t="shared" si="102"/>
        <v>6.7825843744173026E-2</v>
      </c>
      <c r="CA106" s="1230">
        <f t="shared" si="103"/>
        <v>7.7265605574267066E-2</v>
      </c>
      <c r="CB106" s="1230">
        <f t="shared" si="104"/>
        <v>7.8160807518060899E-2</v>
      </c>
      <c r="CC106" s="1230">
        <f t="shared" si="105"/>
        <v>7.8443677379777366E-2</v>
      </c>
      <c r="CD106" s="1230">
        <f t="shared" si="106"/>
        <v>7.8717680532119638E-2</v>
      </c>
    </row>
    <row r="107" spans="1:82" ht="12.75" customHeight="1" x14ac:dyDescent="0.2">
      <c r="A107" s="1447" t="s">
        <v>400</v>
      </c>
      <c r="B107" s="1448">
        <f t="shared" ref="B107:AG107" si="116">B61/B86</f>
        <v>1.494040624475407E-3</v>
      </c>
      <c r="C107" s="1448">
        <f t="shared" si="116"/>
        <v>1.54317381686762E-2</v>
      </c>
      <c r="D107" s="1449">
        <f t="shared" si="116"/>
        <v>2.0633414688905467E-2</v>
      </c>
      <c r="E107" s="1449">
        <f t="shared" si="116"/>
        <v>2.264295629391111E-2</v>
      </c>
      <c r="F107" s="1449">
        <f t="shared" si="116"/>
        <v>2.3705951544088475E-2</v>
      </c>
      <c r="G107" s="1449">
        <f t="shared" si="116"/>
        <v>3.1167493297129874E-2</v>
      </c>
      <c r="H107" s="1448">
        <f t="shared" si="116"/>
        <v>2.4619117436484438E-2</v>
      </c>
      <c r="I107" s="1449">
        <f t="shared" si="116"/>
        <v>5.9810975200483278E-2</v>
      </c>
      <c r="J107" s="1449">
        <f t="shared" si="116"/>
        <v>5.9432290393546805E-2</v>
      </c>
      <c r="K107" s="1449">
        <f t="shared" si="116"/>
        <v>5.6721886044610682E-2</v>
      </c>
      <c r="L107" s="1449">
        <f t="shared" si="116"/>
        <v>6.0820323499045779E-2</v>
      </c>
      <c r="M107" s="1448">
        <f t="shared" si="116"/>
        <v>5.9195549014896674E-2</v>
      </c>
      <c r="N107" s="1449">
        <f t="shared" si="116"/>
        <v>5.9084966565753058E-2</v>
      </c>
      <c r="O107" s="1449">
        <f t="shared" si="116"/>
        <v>5.6660039761431406E-2</v>
      </c>
      <c r="P107" s="1449">
        <f t="shared" si="116"/>
        <v>5.3680085643441483E-2</v>
      </c>
      <c r="Q107" s="1449">
        <f t="shared" si="116"/>
        <v>5.3719962475645242E-2</v>
      </c>
      <c r="R107" s="1448">
        <f t="shared" si="116"/>
        <v>5.5636373116429425E-2</v>
      </c>
      <c r="S107" s="1449">
        <f t="shared" si="116"/>
        <v>5.6289272279842949E-2</v>
      </c>
      <c r="T107" s="1449">
        <f t="shared" si="116"/>
        <v>5.5486389695823923E-2</v>
      </c>
      <c r="U107" s="1449">
        <f t="shared" si="116"/>
        <v>5.1246944240120218E-2</v>
      </c>
      <c r="V107" s="1449">
        <f t="shared" si="116"/>
        <v>5.1955375633214389E-2</v>
      </c>
      <c r="W107" s="1448">
        <f t="shared" si="116"/>
        <v>5.3659398651261216E-2</v>
      </c>
      <c r="X107" s="1450">
        <f t="shared" si="116"/>
        <v>5.1234855715830613E-2</v>
      </c>
      <c r="Y107" s="1449">
        <f t="shared" si="116"/>
        <v>5.1568395057064745E-2</v>
      </c>
      <c r="Z107" s="1449">
        <f t="shared" si="116"/>
        <v>4.5818149398771907E-2</v>
      </c>
      <c r="AA107" s="1451">
        <f t="shared" si="116"/>
        <v>4.6333981551593587E-2</v>
      </c>
      <c r="AB107" s="1448">
        <f t="shared" si="116"/>
        <v>4.8620104126233882E-2</v>
      </c>
      <c r="AC107" s="1450">
        <f t="shared" si="116"/>
        <v>5.3217587402616909E-2</v>
      </c>
      <c r="AD107" s="1449">
        <f t="shared" si="116"/>
        <v>0.13104189691550286</v>
      </c>
      <c r="AE107" s="1449">
        <f t="shared" si="116"/>
        <v>0.19840988660994441</v>
      </c>
      <c r="AF107" s="1451">
        <f t="shared" si="116"/>
        <v>0.19603995718872633</v>
      </c>
      <c r="AG107" s="1451">
        <f t="shared" si="116"/>
        <v>0.14930311095293722</v>
      </c>
      <c r="AH107" s="1449">
        <f>AH61/AH90</f>
        <v>0.22919782992118951</v>
      </c>
      <c r="AI107" s="1449">
        <f t="shared" ref="AI107:AQ107" si="117">AI61/AI90</f>
        <v>0.22299597026666881</v>
      </c>
      <c r="AJ107" s="1449">
        <f t="shared" si="117"/>
        <v>0.21906075517837459</v>
      </c>
      <c r="AK107" s="1449">
        <f>AK61/AK90</f>
        <v>0.21675558190081012</v>
      </c>
      <c r="AL107" s="1448">
        <f t="shared" si="117"/>
        <v>0.22196215074544728</v>
      </c>
      <c r="AM107" s="1449">
        <f t="shared" si="117"/>
        <v>0.21150019896538003</v>
      </c>
      <c r="AN107" s="1449">
        <f t="shared" si="117"/>
        <v>0.21081804281345565</v>
      </c>
      <c r="AO107" s="1449">
        <f t="shared" si="117"/>
        <v>0.20287743580404302</v>
      </c>
      <c r="AP107" s="1449">
        <f t="shared" si="117"/>
        <v>0.204453796247589</v>
      </c>
      <c r="AQ107" s="1448">
        <f t="shared" si="117"/>
        <v>0.20725340294611225</v>
      </c>
      <c r="AR107" s="1449">
        <f t="shared" ref="AR107:BK107" si="118">AR61/AR90</f>
        <v>0.21135730805380232</v>
      </c>
      <c r="AS107" s="1449">
        <f t="shared" si="118"/>
        <v>0.21326126429167194</v>
      </c>
      <c r="AT107" s="1449">
        <f t="shared" si="118"/>
        <v>0.20964068903456595</v>
      </c>
      <c r="AU107" s="1449">
        <f t="shared" si="118"/>
        <v>0.21438062485561543</v>
      </c>
      <c r="AV107" s="1448">
        <f t="shared" si="118"/>
        <v>0.21217435407671961</v>
      </c>
      <c r="AW107" s="1449">
        <f t="shared" si="118"/>
        <v>0.20802188081107337</v>
      </c>
      <c r="AX107" s="1449">
        <f t="shared" si="118"/>
        <v>0.20971137449370658</v>
      </c>
      <c r="AY107" s="1449">
        <f t="shared" si="118"/>
        <v>0.20609843654589385</v>
      </c>
      <c r="AZ107" s="1449">
        <f t="shared" si="118"/>
        <v>0.21058456678277734</v>
      </c>
      <c r="BA107" s="1448">
        <f t="shared" si="118"/>
        <v>0.20861487656212557</v>
      </c>
      <c r="BB107" s="1449">
        <f t="shared" si="118"/>
        <v>0.20486058103737034</v>
      </c>
      <c r="BC107" s="1449">
        <f t="shared" si="118"/>
        <v>0.20650859471624114</v>
      </c>
      <c r="BD107" s="1449">
        <f t="shared" si="118"/>
        <v>0.20291985561359058</v>
      </c>
      <c r="BE107" s="1449">
        <f t="shared" si="118"/>
        <v>0.20734826838079151</v>
      </c>
      <c r="BF107" s="1448">
        <f t="shared" si="118"/>
        <v>0.20541949464884332</v>
      </c>
      <c r="BG107" s="1449">
        <f t="shared" si="118"/>
        <v>0.20172216587144912</v>
      </c>
      <c r="BH107" s="1449">
        <f t="shared" si="118"/>
        <v>0.20332904544251701</v>
      </c>
      <c r="BI107" s="1449">
        <f t="shared" si="118"/>
        <v>0.19976523748838576</v>
      </c>
      <c r="BJ107" s="1449">
        <f t="shared" si="118"/>
        <v>0.20413597730062868</v>
      </c>
      <c r="BK107" s="1448">
        <f t="shared" si="118"/>
        <v>0.20224764554021293</v>
      </c>
      <c r="BL107" s="1277"/>
      <c r="BM107" s="1277"/>
      <c r="BN107" s="1277"/>
      <c r="BO107" s="1277"/>
      <c r="BP107" s="1277"/>
      <c r="BQ107" s="1278"/>
      <c r="BR107" s="1335" t="str">
        <f t="shared" si="92"/>
        <v>Specialized incl. Energy</v>
      </c>
      <c r="BS107" s="1230">
        <f>H107</f>
        <v>2.4619117436484438E-2</v>
      </c>
      <c r="BT107" s="1230">
        <f t="shared" si="96"/>
        <v>5.9195549014896674E-2</v>
      </c>
      <c r="BU107" s="1230">
        <f t="shared" si="97"/>
        <v>5.5636373116429425E-2</v>
      </c>
      <c r="BV107" s="1230">
        <f t="shared" si="98"/>
        <v>5.3659398651261216E-2</v>
      </c>
      <c r="BW107" s="1230">
        <f t="shared" si="99"/>
        <v>4.8620104126233882E-2</v>
      </c>
      <c r="BX107" s="1230">
        <f t="shared" si="100"/>
        <v>0.14930311095293722</v>
      </c>
      <c r="BY107" s="1230">
        <f t="shared" si="101"/>
        <v>0.22196215074544728</v>
      </c>
      <c r="BZ107" s="1230">
        <f t="shared" si="102"/>
        <v>0.20725340294611225</v>
      </c>
      <c r="CA107" s="1230">
        <f t="shared" si="103"/>
        <v>0.21217435407671961</v>
      </c>
      <c r="CB107" s="1230">
        <f t="shared" si="104"/>
        <v>0.20861487656212557</v>
      </c>
      <c r="CC107" s="1230">
        <f t="shared" si="105"/>
        <v>0.20541949464884332</v>
      </c>
      <c r="CD107" s="1230">
        <f t="shared" si="106"/>
        <v>0.20224764554021293</v>
      </c>
    </row>
    <row r="108" spans="1:82" hidden="1" x14ac:dyDescent="0.2">
      <c r="A108" s="1452" t="s">
        <v>401</v>
      </c>
      <c r="B108" s="1322"/>
      <c r="C108" s="1322"/>
      <c r="D108" s="1230"/>
      <c r="E108" s="1230"/>
      <c r="F108" s="1230"/>
      <c r="G108" s="1230"/>
      <c r="H108" s="1322"/>
      <c r="I108" s="1230"/>
      <c r="J108" s="1230"/>
      <c r="K108" s="1230"/>
      <c r="L108" s="1230"/>
      <c r="M108" s="1322"/>
      <c r="N108" s="1230"/>
      <c r="O108" s="1230"/>
      <c r="P108" s="1230"/>
      <c r="Q108" s="1230"/>
      <c r="R108" s="1322"/>
      <c r="S108" s="1230"/>
      <c r="T108" s="1230"/>
      <c r="U108" s="1230"/>
      <c r="V108" s="1230"/>
      <c r="W108" s="1448">
        <v>0</v>
      </c>
      <c r="X108" s="1407">
        <v>0</v>
      </c>
      <c r="Y108" s="1230">
        <v>0</v>
      </c>
      <c r="Z108" s="1230">
        <v>0</v>
      </c>
      <c r="AA108" s="1324">
        <v>0</v>
      </c>
      <c r="AB108" s="1448">
        <v>0</v>
      </c>
      <c r="AC108" s="1230">
        <f t="shared" ref="AC108:AQ108" si="119">AC68/AC86</f>
        <v>0</v>
      </c>
      <c r="AD108" s="1230">
        <f t="shared" si="119"/>
        <v>8.6109996985833423E-2</v>
      </c>
      <c r="AE108" s="1230">
        <f t="shared" si="119"/>
        <v>0.15443285895192779</v>
      </c>
      <c r="AF108" s="1230">
        <f t="shared" si="119"/>
        <v>0.14893534843619927</v>
      </c>
      <c r="AG108" s="1448">
        <f t="shared" si="119"/>
        <v>0.10219578865351932</v>
      </c>
      <c r="AH108" s="1450">
        <f t="shared" si="119"/>
        <v>0.17667916241290355</v>
      </c>
      <c r="AI108" s="1449">
        <f t="shared" si="119"/>
        <v>0.18312938494388881</v>
      </c>
      <c r="AJ108" s="1449">
        <f t="shared" si="119"/>
        <v>0.16229288007372292</v>
      </c>
      <c r="AK108" s="1449">
        <f t="shared" si="119"/>
        <v>0.15590008443983402</v>
      </c>
      <c r="AL108" s="1448">
        <f t="shared" si="119"/>
        <v>0.16942782685805477</v>
      </c>
      <c r="AM108" s="1450">
        <f t="shared" si="119"/>
        <v>0</v>
      </c>
      <c r="AN108" s="1449">
        <f t="shared" si="119"/>
        <v>0</v>
      </c>
      <c r="AO108" s="1449">
        <f t="shared" si="119"/>
        <v>0.1520716718266254</v>
      </c>
      <c r="AP108" s="1449">
        <f t="shared" si="119"/>
        <v>0.14333065038306159</v>
      </c>
      <c r="AQ108" s="1448">
        <f t="shared" si="119"/>
        <v>0</v>
      </c>
      <c r="AR108" s="1449">
        <f t="shared" ref="AR108:BK108" si="120">AR68/AR86</f>
        <v>0</v>
      </c>
      <c r="AS108" s="1449">
        <f t="shared" si="120"/>
        <v>0</v>
      </c>
      <c r="AT108" s="1449">
        <f t="shared" si="120"/>
        <v>0</v>
      </c>
      <c r="AU108" s="1449">
        <f t="shared" si="120"/>
        <v>0</v>
      </c>
      <c r="AV108" s="1448">
        <f t="shared" si="120"/>
        <v>0</v>
      </c>
      <c r="AW108" s="1449">
        <f t="shared" si="120"/>
        <v>0</v>
      </c>
      <c r="AX108" s="1449">
        <f t="shared" si="120"/>
        <v>0</v>
      </c>
      <c r="AY108" s="1449">
        <f t="shared" si="120"/>
        <v>0</v>
      </c>
      <c r="AZ108" s="1449">
        <f t="shared" si="120"/>
        <v>0</v>
      </c>
      <c r="BA108" s="1448">
        <f t="shared" si="120"/>
        <v>0</v>
      </c>
      <c r="BB108" s="1449">
        <f t="shared" si="120"/>
        <v>0</v>
      </c>
      <c r="BC108" s="1449">
        <f t="shared" si="120"/>
        <v>0</v>
      </c>
      <c r="BD108" s="1449">
        <f t="shared" si="120"/>
        <v>0</v>
      </c>
      <c r="BE108" s="1449">
        <f t="shared" si="120"/>
        <v>0</v>
      </c>
      <c r="BF108" s="1448">
        <f t="shared" si="120"/>
        <v>0</v>
      </c>
      <c r="BG108" s="1449">
        <f t="shared" si="120"/>
        <v>0</v>
      </c>
      <c r="BH108" s="1449">
        <f t="shared" si="120"/>
        <v>0</v>
      </c>
      <c r="BI108" s="1449">
        <f t="shared" si="120"/>
        <v>0</v>
      </c>
      <c r="BJ108" s="1449">
        <f t="shared" si="120"/>
        <v>0</v>
      </c>
      <c r="BK108" s="1448">
        <f t="shared" si="120"/>
        <v>0</v>
      </c>
      <c r="BL108" s="1277"/>
      <c r="BM108" s="1277"/>
      <c r="BN108" s="1277"/>
      <c r="BO108" s="1277"/>
      <c r="BP108" s="1277"/>
      <c r="BQ108" s="1278"/>
      <c r="BR108" s="1335" t="str">
        <f t="shared" si="92"/>
        <v>Energy</v>
      </c>
      <c r="BS108" s="1230"/>
      <c r="BT108" s="1230">
        <f t="shared" si="96"/>
        <v>0</v>
      </c>
      <c r="BU108" s="1230">
        <f t="shared" si="97"/>
        <v>0</v>
      </c>
      <c r="BV108" s="1230">
        <f t="shared" si="98"/>
        <v>0</v>
      </c>
      <c r="BW108" s="1230">
        <f t="shared" si="99"/>
        <v>0</v>
      </c>
      <c r="BX108" s="1230">
        <f t="shared" si="100"/>
        <v>0.10219578865351932</v>
      </c>
      <c r="BY108" s="1230">
        <f t="shared" si="101"/>
        <v>0.16942782685805477</v>
      </c>
      <c r="BZ108" s="1230">
        <f t="shared" si="102"/>
        <v>0</v>
      </c>
      <c r="CA108" s="1230">
        <f t="shared" si="103"/>
        <v>0</v>
      </c>
      <c r="CB108" s="1230">
        <f t="shared" si="104"/>
        <v>0</v>
      </c>
      <c r="CC108" s="1230">
        <f t="shared" si="105"/>
        <v>0</v>
      </c>
      <c r="CD108" s="1230">
        <f t="shared" si="106"/>
        <v>0</v>
      </c>
    </row>
    <row r="109" spans="1:82" ht="12.75" hidden="1" customHeight="1" outlineLevel="1" x14ac:dyDescent="0.2">
      <c r="A109" s="1453" t="s">
        <v>404</v>
      </c>
      <c r="B109" s="1322"/>
      <c r="C109" s="1322"/>
      <c r="D109" s="1230"/>
      <c r="E109" s="1230"/>
      <c r="F109" s="1230"/>
      <c r="G109" s="1230"/>
      <c r="H109" s="1322"/>
      <c r="I109" s="1230"/>
      <c r="J109" s="1230"/>
      <c r="K109" s="1230"/>
      <c r="L109" s="1230"/>
      <c r="M109" s="1322"/>
      <c r="N109" s="1230"/>
      <c r="O109" s="1230"/>
      <c r="P109" s="1230"/>
      <c r="Q109" s="1230"/>
      <c r="R109" s="1322"/>
      <c r="S109" s="1230"/>
      <c r="T109" s="1230"/>
      <c r="U109" s="1230"/>
      <c r="V109" s="1230"/>
      <c r="W109" s="1322"/>
      <c r="X109" s="1407"/>
      <c r="Y109" s="1230"/>
      <c r="Z109" s="1230"/>
      <c r="AA109" s="1324"/>
      <c r="AB109" s="1324"/>
      <c r="AC109" s="1407"/>
      <c r="AD109" s="1230"/>
      <c r="AE109" s="1230"/>
      <c r="AF109" s="1324"/>
      <c r="AG109" s="1324"/>
      <c r="AH109" s="1230"/>
      <c r="AI109" s="1230"/>
      <c r="AJ109" s="1230"/>
      <c r="AK109" s="1230"/>
      <c r="AL109" s="1322"/>
      <c r="AM109" s="1230"/>
      <c r="AN109" s="1230"/>
      <c r="AO109" s="1230"/>
      <c r="AP109" s="1230"/>
      <c r="AQ109" s="1322"/>
      <c r="AR109" s="1230"/>
      <c r="AS109" s="1230"/>
      <c r="AT109" s="1230"/>
      <c r="AU109" s="1230"/>
      <c r="AV109" s="1322"/>
      <c r="AW109" s="1230"/>
      <c r="AX109" s="1230"/>
      <c r="AY109" s="1230"/>
      <c r="AZ109" s="1230"/>
      <c r="BA109" s="1322"/>
      <c r="BB109" s="1230"/>
      <c r="BC109" s="1230"/>
      <c r="BD109" s="1230"/>
      <c r="BE109" s="1230"/>
      <c r="BF109" s="1322"/>
      <c r="BG109" s="1230"/>
      <c r="BH109" s="1230"/>
      <c r="BI109" s="1230"/>
      <c r="BJ109" s="1230"/>
      <c r="BK109" s="1322"/>
      <c r="BL109" s="1277"/>
      <c r="BM109" s="1277"/>
      <c r="BN109" s="1277"/>
      <c r="BO109" s="1277"/>
      <c r="BP109" s="1277"/>
      <c r="BQ109" s="1278"/>
      <c r="BR109" s="1286"/>
      <c r="BS109" s="1230"/>
      <c r="BT109" s="1230"/>
      <c r="BU109" s="1230"/>
      <c r="BV109" s="1230"/>
      <c r="BW109" s="1230"/>
      <c r="BX109" s="1230"/>
      <c r="BY109" s="1230"/>
      <c r="BZ109" s="1230"/>
      <c r="CA109" s="1230"/>
      <c r="CB109" s="1230"/>
      <c r="CC109" s="1230"/>
      <c r="CD109" s="1230"/>
    </row>
    <row r="110" spans="1:82" ht="12.75" hidden="1" customHeight="1" outlineLevel="1" x14ac:dyDescent="0.2">
      <c r="A110" s="1452" t="s">
        <v>405</v>
      </c>
      <c r="B110" s="1322"/>
      <c r="C110" s="1322"/>
      <c r="D110" s="1230"/>
      <c r="E110" s="1230"/>
      <c r="F110" s="1230"/>
      <c r="G110" s="1230"/>
      <c r="H110" s="1322"/>
      <c r="I110" s="1230"/>
      <c r="J110" s="1230"/>
      <c r="K110" s="1230"/>
      <c r="L110" s="1230"/>
      <c r="M110" s="1322"/>
      <c r="N110" s="1230"/>
      <c r="O110" s="1230"/>
      <c r="P110" s="1230"/>
      <c r="Q110" s="1230"/>
      <c r="R110" s="1322"/>
      <c r="S110" s="1423">
        <f>S111*S16</f>
        <v>134.29944</v>
      </c>
      <c r="T110" s="1454">
        <f>87.7%*(T16+S16)-S110</f>
        <v>134.82730400000003</v>
      </c>
      <c r="U110" s="1454">
        <f>87.9%*(U16+T16+S16)-T110-S110</f>
        <v>136.90708899999998</v>
      </c>
      <c r="V110" s="1230"/>
      <c r="W110" s="1322"/>
      <c r="X110" s="1423">
        <f>X111*X16</f>
        <v>144.94550899999999</v>
      </c>
      <c r="Y110" s="1422">
        <f>89.2%*(Y16+X16)-X110</f>
        <v>144.29887099999999</v>
      </c>
      <c r="Z110" s="1422">
        <f>89.5%*(Z16+Y16+X16)-Y110-X110</f>
        <v>145.47412499999999</v>
      </c>
      <c r="AA110" s="1324"/>
      <c r="AB110" s="1324"/>
      <c r="AC110" s="1423"/>
      <c r="AD110" s="1422"/>
      <c r="AE110" s="1422"/>
      <c r="AF110" s="1324"/>
      <c r="AG110" s="1324"/>
      <c r="AH110" s="1422"/>
      <c r="AI110" s="1422"/>
      <c r="AJ110" s="1422"/>
      <c r="AK110" s="1422"/>
      <c r="AL110" s="1322"/>
      <c r="AM110" s="1422"/>
      <c r="AN110" s="1422"/>
      <c r="AO110" s="1422"/>
      <c r="AP110" s="1422"/>
      <c r="AQ110" s="1322"/>
      <c r="AR110" s="1422"/>
      <c r="AS110" s="1422"/>
      <c r="AT110" s="1422"/>
      <c r="AU110" s="1422"/>
      <c r="AV110" s="1322"/>
      <c r="AW110" s="1422"/>
      <c r="AX110" s="1422"/>
      <c r="AY110" s="1422"/>
      <c r="AZ110" s="1422"/>
      <c r="BA110" s="1322"/>
      <c r="BB110" s="1422"/>
      <c r="BC110" s="1422"/>
      <c r="BD110" s="1422"/>
      <c r="BE110" s="1422"/>
      <c r="BF110" s="1322"/>
      <c r="BG110" s="1422"/>
      <c r="BH110" s="1422"/>
      <c r="BI110" s="1422"/>
      <c r="BJ110" s="1422"/>
      <c r="BK110" s="1322"/>
      <c r="BL110" s="1277"/>
      <c r="BM110" s="1277"/>
      <c r="BN110" s="1277"/>
      <c r="BO110" s="1277"/>
      <c r="BP110" s="1277"/>
      <c r="BQ110" s="1278"/>
      <c r="BR110" s="1335"/>
      <c r="BS110" s="1230"/>
      <c r="BT110" s="1230"/>
      <c r="BU110" s="1230"/>
      <c r="BV110" s="1230"/>
      <c r="BW110" s="1230"/>
      <c r="BX110" s="1230"/>
      <c r="BY110" s="1230"/>
      <c r="BZ110" s="1230"/>
      <c r="CA110" s="1230"/>
      <c r="CB110" s="1230"/>
      <c r="CC110" s="1230"/>
      <c r="CD110" s="1230"/>
    </row>
    <row r="111" spans="1:82" ht="12.75" hidden="1" customHeight="1" outlineLevel="1" x14ac:dyDescent="0.2">
      <c r="A111" s="1455" t="s">
        <v>406</v>
      </c>
      <c r="B111" s="1322"/>
      <c r="C111" s="1322"/>
      <c r="D111" s="1230"/>
      <c r="E111" s="1230"/>
      <c r="F111" s="1230"/>
      <c r="G111" s="1230"/>
      <c r="H111" s="1322"/>
      <c r="I111" s="1230"/>
      <c r="J111" s="1230"/>
      <c r="K111" s="1230"/>
      <c r="L111" s="1230"/>
      <c r="M111" s="1322"/>
      <c r="N111" s="1230"/>
      <c r="O111" s="1230"/>
      <c r="P111" s="1230"/>
      <c r="Q111" s="1230"/>
      <c r="R111" s="1322"/>
      <c r="S111" s="1230">
        <v>0.88</v>
      </c>
      <c r="T111" s="1456">
        <f>T110/T16</f>
        <v>0.87403201109821804</v>
      </c>
      <c r="U111" s="1456">
        <f>U110/U16</f>
        <v>0.88295823417496999</v>
      </c>
      <c r="V111" s="1230"/>
      <c r="W111" s="1322"/>
      <c r="X111" s="1407">
        <v>0.89300000000000002</v>
      </c>
      <c r="Y111" s="1456">
        <f>Y110/Y16</f>
        <v>0.8909977709444773</v>
      </c>
      <c r="Z111" s="1456">
        <f>Z110/Z16</f>
        <v>0.90102521461221141</v>
      </c>
      <c r="AA111" s="1324"/>
      <c r="AB111" s="1324"/>
      <c r="AC111" s="1407"/>
      <c r="AD111" s="1456"/>
      <c r="AE111" s="1456"/>
      <c r="AF111" s="1324"/>
      <c r="AG111" s="1324"/>
      <c r="AH111" s="1456"/>
      <c r="AI111" s="1456"/>
      <c r="AJ111" s="1456"/>
      <c r="AK111" s="1456"/>
      <c r="AL111" s="1322"/>
      <c r="AM111" s="1456"/>
      <c r="AN111" s="1456"/>
      <c r="AO111" s="1456"/>
      <c r="AP111" s="1456"/>
      <c r="AQ111" s="1322"/>
      <c r="AR111" s="1456"/>
      <c r="AS111" s="1456"/>
      <c r="AT111" s="1456"/>
      <c r="AU111" s="1456"/>
      <c r="AV111" s="1322"/>
      <c r="AW111" s="1456"/>
      <c r="AX111" s="1456"/>
      <c r="AY111" s="1456"/>
      <c r="AZ111" s="1456"/>
      <c r="BA111" s="1322"/>
      <c r="BB111" s="1456"/>
      <c r="BC111" s="1456"/>
      <c r="BD111" s="1456"/>
      <c r="BE111" s="1456"/>
      <c r="BF111" s="1322"/>
      <c r="BG111" s="1456"/>
      <c r="BH111" s="1456"/>
      <c r="BI111" s="1456"/>
      <c r="BJ111" s="1456"/>
      <c r="BK111" s="1322"/>
      <c r="BL111" s="1277"/>
      <c r="BM111" s="1277"/>
      <c r="BN111" s="1277"/>
      <c r="BO111" s="1277"/>
      <c r="BP111" s="1277"/>
      <c r="BQ111" s="1278"/>
      <c r="BR111" s="1457"/>
      <c r="BS111" s="1230"/>
      <c r="BT111" s="1230"/>
      <c r="BU111" s="1230"/>
      <c r="BV111" s="1230"/>
      <c r="BW111" s="1230"/>
      <c r="BX111" s="1230"/>
      <c r="BY111" s="1230"/>
      <c r="BZ111" s="1230"/>
      <c r="CA111" s="1230"/>
      <c r="CB111" s="1230"/>
      <c r="CC111" s="1230"/>
      <c r="CD111" s="1230"/>
    </row>
    <row r="112" spans="1:82" ht="12.75" hidden="1" customHeight="1" outlineLevel="1" x14ac:dyDescent="0.2">
      <c r="A112" s="1455" t="s">
        <v>407</v>
      </c>
      <c r="B112" s="1322"/>
      <c r="C112" s="1322"/>
      <c r="D112" s="1230"/>
      <c r="E112" s="1230"/>
      <c r="F112" s="1230"/>
      <c r="G112" s="1230"/>
      <c r="H112" s="1322"/>
      <c r="I112" s="1230"/>
      <c r="J112" s="1230"/>
      <c r="K112" s="1230"/>
      <c r="L112" s="1230"/>
      <c r="M112" s="1322"/>
      <c r="N112" s="1230"/>
      <c r="O112" s="1230"/>
      <c r="P112" s="1230"/>
      <c r="Q112" s="1230"/>
      <c r="R112" s="1322"/>
      <c r="S112" s="1230"/>
      <c r="T112" s="1199">
        <f>+T110-S110</f>
        <v>0.52786400000002232</v>
      </c>
      <c r="U112" s="1199">
        <f>+U110-T110</f>
        <v>2.0797849999999585</v>
      </c>
      <c r="V112" s="1230"/>
      <c r="W112" s="1322"/>
      <c r="X112" s="1407"/>
      <c r="Y112" s="1199">
        <f>+Y110-X110</f>
        <v>-0.64663799999999583</v>
      </c>
      <c r="Z112" s="1199">
        <f>+Z110-Y110</f>
        <v>1.1752539999999954</v>
      </c>
      <c r="AA112" s="1324"/>
      <c r="AB112" s="1324"/>
      <c r="AC112" s="1407"/>
      <c r="AD112" s="1199"/>
      <c r="AE112" s="1199"/>
      <c r="AF112" s="1324"/>
      <c r="AG112" s="1324"/>
      <c r="AH112" s="1199"/>
      <c r="AI112" s="1199"/>
      <c r="AJ112" s="1199"/>
      <c r="AK112" s="1199"/>
      <c r="AL112" s="1322"/>
      <c r="AM112" s="1199"/>
      <c r="AN112" s="1199"/>
      <c r="AO112" s="1199"/>
      <c r="AP112" s="1199"/>
      <c r="AQ112" s="1322"/>
      <c r="AR112" s="1199"/>
      <c r="AS112" s="1199"/>
      <c r="AT112" s="1199"/>
      <c r="AU112" s="1199"/>
      <c r="AV112" s="1322"/>
      <c r="AW112" s="1199"/>
      <c r="AX112" s="1199"/>
      <c r="AY112" s="1199"/>
      <c r="AZ112" s="1199"/>
      <c r="BA112" s="1322"/>
      <c r="BB112" s="1199"/>
      <c r="BC112" s="1199"/>
      <c r="BD112" s="1199"/>
      <c r="BE112" s="1199"/>
      <c r="BF112" s="1322"/>
      <c r="BG112" s="1199"/>
      <c r="BH112" s="1199"/>
      <c r="BI112" s="1199"/>
      <c r="BJ112" s="1199"/>
      <c r="BK112" s="1322"/>
      <c r="BL112" s="1277"/>
      <c r="BM112" s="1277"/>
      <c r="BN112" s="1277"/>
      <c r="BO112" s="1277"/>
      <c r="BP112" s="1277"/>
      <c r="BQ112" s="1278"/>
      <c r="BR112" s="1457"/>
      <c r="BS112" s="1230"/>
      <c r="BT112" s="1230"/>
      <c r="BU112" s="1230"/>
      <c r="BV112" s="1230"/>
      <c r="BW112" s="1230"/>
      <c r="BX112" s="1230"/>
      <c r="BY112" s="1230"/>
      <c r="BZ112" s="1230"/>
      <c r="CA112" s="1230"/>
      <c r="CB112" s="1230"/>
      <c r="CC112" s="1230"/>
      <c r="CD112" s="1230"/>
    </row>
    <row r="113" spans="1:82" ht="12.75" hidden="1" customHeight="1" outlineLevel="1" x14ac:dyDescent="0.2">
      <c r="A113" s="1455" t="s">
        <v>408</v>
      </c>
      <c r="B113" s="1322"/>
      <c r="C113" s="1322"/>
      <c r="D113" s="1230"/>
      <c r="E113" s="1230"/>
      <c r="F113" s="1230"/>
      <c r="G113" s="1230"/>
      <c r="H113" s="1322"/>
      <c r="I113" s="1230"/>
      <c r="J113" s="1230"/>
      <c r="K113" s="1230"/>
      <c r="L113" s="1230"/>
      <c r="M113" s="1322"/>
      <c r="N113" s="1230"/>
      <c r="O113" s="1230"/>
      <c r="P113" s="1230"/>
      <c r="Q113" s="1230"/>
      <c r="R113" s="1322"/>
      <c r="S113" s="1230"/>
      <c r="T113" s="1312">
        <f>(T16-S16)-T112</f>
        <v>1.1181359999999927</v>
      </c>
      <c r="U113" s="1312">
        <f>(U16-T16)-U112</f>
        <v>-1.2837849999999662</v>
      </c>
      <c r="V113" s="1230"/>
      <c r="W113" s="1322"/>
      <c r="X113" s="1407"/>
      <c r="Y113" s="1312">
        <f>(Y16-X16)-Y112</f>
        <v>0.28563800000000583</v>
      </c>
      <c r="Z113" s="1312">
        <f>(Z16-Y16)-Z112</f>
        <v>-1.6732539999999858</v>
      </c>
      <c r="AA113" s="1324"/>
      <c r="AB113" s="1324"/>
      <c r="AC113" s="1407"/>
      <c r="AD113" s="1312"/>
      <c r="AE113" s="1312"/>
      <c r="AF113" s="1324"/>
      <c r="AG113" s="1324"/>
      <c r="AH113" s="1312"/>
      <c r="AI113" s="1312"/>
      <c r="AJ113" s="1312"/>
      <c r="AK113" s="1312"/>
      <c r="AL113" s="1322"/>
      <c r="AM113" s="1312"/>
      <c r="AN113" s="1312"/>
      <c r="AO113" s="1312"/>
      <c r="AP113" s="1312"/>
      <c r="AQ113" s="1322"/>
      <c r="AR113" s="1312"/>
      <c r="AS113" s="1312"/>
      <c r="AT113" s="1312"/>
      <c r="AU113" s="1312"/>
      <c r="AV113" s="1322"/>
      <c r="AW113" s="1312"/>
      <c r="AX113" s="1312"/>
      <c r="AY113" s="1312"/>
      <c r="AZ113" s="1312"/>
      <c r="BA113" s="1322"/>
      <c r="BB113" s="1312"/>
      <c r="BC113" s="1312"/>
      <c r="BD113" s="1312"/>
      <c r="BE113" s="1312"/>
      <c r="BF113" s="1322"/>
      <c r="BG113" s="1312"/>
      <c r="BH113" s="1312"/>
      <c r="BI113" s="1312"/>
      <c r="BJ113" s="1312"/>
      <c r="BK113" s="1322"/>
      <c r="BL113" s="1277"/>
      <c r="BM113" s="1277"/>
      <c r="BN113" s="1277"/>
      <c r="BO113" s="1277"/>
      <c r="BP113" s="1277"/>
      <c r="BQ113" s="1278"/>
      <c r="BR113" s="1457"/>
      <c r="BS113" s="1230"/>
      <c r="BT113" s="1230"/>
      <c r="BU113" s="1230"/>
      <c r="BV113" s="1230"/>
      <c r="BW113" s="1230"/>
      <c r="BX113" s="1230"/>
      <c r="BY113" s="1230"/>
      <c r="BZ113" s="1230"/>
      <c r="CA113" s="1230"/>
      <c r="CB113" s="1230"/>
      <c r="CC113" s="1230"/>
      <c r="CD113" s="1230"/>
    </row>
    <row r="114" spans="1:82" ht="12.75" hidden="1" customHeight="1" outlineLevel="1" x14ac:dyDescent="0.2">
      <c r="A114" s="1452"/>
      <c r="B114" s="1322"/>
      <c r="C114" s="1322"/>
      <c r="D114" s="1230"/>
      <c r="E114" s="1230"/>
      <c r="F114" s="1230"/>
      <c r="G114" s="1230"/>
      <c r="H114" s="1322"/>
      <c r="I114" s="1230"/>
      <c r="J114" s="1230"/>
      <c r="K114" s="1230"/>
      <c r="L114" s="1230"/>
      <c r="M114" s="1322"/>
      <c r="N114" s="1230"/>
      <c r="O114" s="1230"/>
      <c r="P114" s="1230"/>
      <c r="Q114" s="1230"/>
      <c r="R114" s="1322"/>
      <c r="S114" s="1230"/>
      <c r="T114" s="1230"/>
      <c r="U114" s="1230"/>
      <c r="V114" s="1230"/>
      <c r="W114" s="1322"/>
      <c r="X114" s="1407"/>
      <c r="Y114" s="1230"/>
      <c r="Z114" s="1230"/>
      <c r="AA114" s="1324"/>
      <c r="AB114" s="1324"/>
      <c r="AC114" s="1407"/>
      <c r="AD114" s="1230"/>
      <c r="AE114" s="1230"/>
      <c r="AF114" s="1324"/>
      <c r="AG114" s="1324"/>
      <c r="AH114" s="1230"/>
      <c r="AI114" s="1230"/>
      <c r="AJ114" s="1230"/>
      <c r="AK114" s="1230"/>
      <c r="AL114" s="1322"/>
      <c r="AM114" s="1230"/>
      <c r="AN114" s="1230"/>
      <c r="AO114" s="1230"/>
      <c r="AP114" s="1230"/>
      <c r="AQ114" s="1322"/>
      <c r="AR114" s="1230"/>
      <c r="AS114" s="1230"/>
      <c r="AT114" s="1230"/>
      <c r="AU114" s="1230"/>
      <c r="AV114" s="1322"/>
      <c r="AW114" s="1230"/>
      <c r="AX114" s="1230"/>
      <c r="AY114" s="1230"/>
      <c r="AZ114" s="1230"/>
      <c r="BA114" s="1322"/>
      <c r="BB114" s="1230"/>
      <c r="BC114" s="1230"/>
      <c r="BD114" s="1230"/>
      <c r="BE114" s="1230"/>
      <c r="BF114" s="1322"/>
      <c r="BG114" s="1230"/>
      <c r="BH114" s="1230"/>
      <c r="BI114" s="1230"/>
      <c r="BJ114" s="1230"/>
      <c r="BK114" s="1322"/>
      <c r="BL114" s="1277"/>
      <c r="BM114" s="1277"/>
      <c r="BN114" s="1277"/>
      <c r="BO114" s="1277"/>
      <c r="BP114" s="1277"/>
      <c r="BQ114" s="1278"/>
      <c r="BR114" s="1335"/>
      <c r="BS114" s="1230"/>
      <c r="BT114" s="1230"/>
      <c r="BU114" s="1230"/>
      <c r="BV114" s="1230"/>
      <c r="BW114" s="1230"/>
      <c r="BX114" s="1230"/>
      <c r="BY114" s="1230"/>
      <c r="BZ114" s="1230"/>
      <c r="CA114" s="1230"/>
      <c r="CB114" s="1230"/>
      <c r="CC114" s="1230"/>
      <c r="CD114" s="1230"/>
    </row>
    <row r="115" spans="1:82" ht="12.75" hidden="1" customHeight="1" outlineLevel="1" x14ac:dyDescent="0.2">
      <c r="A115" s="1452" t="s">
        <v>409</v>
      </c>
      <c r="B115" s="1322"/>
      <c r="C115" s="1322"/>
      <c r="D115" s="1230"/>
      <c r="E115" s="1230"/>
      <c r="F115" s="1230"/>
      <c r="G115" s="1230"/>
      <c r="H115" s="1322"/>
      <c r="I115" s="1230"/>
      <c r="J115" s="1230"/>
      <c r="K115" s="1230"/>
      <c r="L115" s="1230"/>
      <c r="M115" s="1322"/>
      <c r="N115" s="1230"/>
      <c r="O115" s="1230"/>
      <c r="P115" s="1230"/>
      <c r="Q115" s="1230"/>
      <c r="R115" s="1322"/>
      <c r="S115" s="1423">
        <f>S116*S76</f>
        <v>140.05250000000001</v>
      </c>
      <c r="T115" s="1454">
        <f>62.9%*(T76+S76)-S115</f>
        <v>149.40763900000002</v>
      </c>
      <c r="U115" s="1454">
        <f>62.2%*(U76+T76+S76)-T115-S115</f>
        <v>156.55304699999999</v>
      </c>
      <c r="V115" s="1230"/>
      <c r="W115" s="1322"/>
      <c r="X115" s="1423">
        <f>X116*X76</f>
        <v>161.75381999999999</v>
      </c>
      <c r="Y115" s="1454">
        <f>64.8%*(Y76+X76)-X115</f>
        <v>168.03411600000001</v>
      </c>
      <c r="Z115" s="1454">
        <f>63%*(Z76+Y76+X76)-Y115-X115</f>
        <v>171.78215400000002</v>
      </c>
      <c r="AA115" s="1324"/>
      <c r="AB115" s="1324"/>
      <c r="AC115" s="1423"/>
      <c r="AD115" s="1454"/>
      <c r="AE115" s="1454"/>
      <c r="AF115" s="1324"/>
      <c r="AG115" s="1324"/>
      <c r="AH115" s="1454"/>
      <c r="AI115" s="1454"/>
      <c r="AJ115" s="1454"/>
      <c r="AK115" s="1454"/>
      <c r="AL115" s="1322"/>
      <c r="AM115" s="1454"/>
      <c r="AN115" s="1454"/>
      <c r="AO115" s="1454"/>
      <c r="AP115" s="1454"/>
      <c r="AQ115" s="1322"/>
      <c r="AR115" s="1454"/>
      <c r="AS115" s="1454"/>
      <c r="AT115" s="1454"/>
      <c r="AU115" s="1454"/>
      <c r="AV115" s="1322"/>
      <c r="AW115" s="1454"/>
      <c r="AX115" s="1454"/>
      <c r="AY115" s="1454"/>
      <c r="AZ115" s="1454"/>
      <c r="BA115" s="1322"/>
      <c r="BB115" s="1454"/>
      <c r="BC115" s="1454"/>
      <c r="BD115" s="1454"/>
      <c r="BE115" s="1454"/>
      <c r="BF115" s="1322"/>
      <c r="BG115" s="1454"/>
      <c r="BH115" s="1454"/>
      <c r="BI115" s="1454"/>
      <c r="BJ115" s="1454"/>
      <c r="BK115" s="1322"/>
      <c r="BL115" s="1277"/>
      <c r="BM115" s="1277"/>
      <c r="BN115" s="1277"/>
      <c r="BO115" s="1277"/>
      <c r="BP115" s="1277"/>
      <c r="BQ115" s="1278"/>
      <c r="BR115" s="1335"/>
      <c r="BS115" s="1230"/>
      <c r="BT115" s="1230"/>
      <c r="BU115" s="1230"/>
      <c r="BV115" s="1230"/>
      <c r="BW115" s="1230"/>
      <c r="BX115" s="1230"/>
      <c r="BY115" s="1230"/>
      <c r="BZ115" s="1230"/>
      <c r="CA115" s="1230"/>
      <c r="CB115" s="1230"/>
      <c r="CC115" s="1230"/>
      <c r="CD115" s="1230"/>
    </row>
    <row r="116" spans="1:82" ht="12.75" hidden="1" customHeight="1" outlineLevel="1" x14ac:dyDescent="0.2">
      <c r="A116" s="1455" t="s">
        <v>406</v>
      </c>
      <c r="B116" s="1322"/>
      <c r="C116" s="1322"/>
      <c r="D116" s="1230"/>
      <c r="E116" s="1230"/>
      <c r="F116" s="1230"/>
      <c r="G116" s="1230"/>
      <c r="H116" s="1322"/>
      <c r="I116" s="1230"/>
      <c r="J116" s="1230"/>
      <c r="K116" s="1230"/>
      <c r="L116" s="1230"/>
      <c r="M116" s="1322"/>
      <c r="N116" s="1230"/>
      <c r="O116" s="1230"/>
      <c r="P116" s="1230"/>
      <c r="Q116" s="1230"/>
      <c r="R116" s="1322"/>
      <c r="S116" s="1230">
        <v>0.625</v>
      </c>
      <c r="T116" s="1230">
        <f>T115/T76</f>
        <v>0.6327963126887387</v>
      </c>
      <c r="U116" s="1230">
        <f>U115/U76</f>
        <v>0.60945936886854157</v>
      </c>
      <c r="V116" s="1230"/>
      <c r="W116" s="1322"/>
      <c r="X116" s="1407">
        <v>0.65400000000000003</v>
      </c>
      <c r="Y116" s="1230">
        <f>Y115/Y76</f>
        <v>0.64232733694696531</v>
      </c>
      <c r="Z116" s="1230">
        <f>Z115/Z76</f>
        <v>0.59810436926162303</v>
      </c>
      <c r="AA116" s="1324"/>
      <c r="AB116" s="1324"/>
      <c r="AC116" s="1407"/>
      <c r="AD116" s="1230"/>
      <c r="AE116" s="1230"/>
      <c r="AF116" s="1324"/>
      <c r="AG116" s="1324"/>
      <c r="AH116" s="1230"/>
      <c r="AI116" s="1230"/>
      <c r="AJ116" s="1230"/>
      <c r="AK116" s="1230"/>
      <c r="AL116" s="1322"/>
      <c r="AM116" s="1230"/>
      <c r="AN116" s="1230"/>
      <c r="AO116" s="1230"/>
      <c r="AP116" s="1230"/>
      <c r="AQ116" s="1322"/>
      <c r="AR116" s="1230"/>
      <c r="AS116" s="1230"/>
      <c r="AT116" s="1230"/>
      <c r="AU116" s="1230"/>
      <c r="AV116" s="1322"/>
      <c r="AW116" s="1230"/>
      <c r="AX116" s="1230"/>
      <c r="AY116" s="1230"/>
      <c r="AZ116" s="1230"/>
      <c r="BA116" s="1322"/>
      <c r="BB116" s="1230"/>
      <c r="BC116" s="1230"/>
      <c r="BD116" s="1230"/>
      <c r="BE116" s="1230"/>
      <c r="BF116" s="1322"/>
      <c r="BG116" s="1230"/>
      <c r="BH116" s="1230"/>
      <c r="BI116" s="1230"/>
      <c r="BJ116" s="1230"/>
      <c r="BK116" s="1322"/>
      <c r="BL116" s="1277"/>
      <c r="BM116" s="1277"/>
      <c r="BN116" s="1277"/>
      <c r="BO116" s="1277"/>
      <c r="BP116" s="1277"/>
      <c r="BQ116" s="1278"/>
      <c r="BR116" s="1457"/>
      <c r="BS116" s="1230"/>
      <c r="BT116" s="1230"/>
      <c r="BU116" s="1230"/>
      <c r="BV116" s="1230"/>
      <c r="BW116" s="1230"/>
      <c r="BX116" s="1230"/>
      <c r="BY116" s="1230"/>
      <c r="BZ116" s="1230"/>
      <c r="CA116" s="1230"/>
      <c r="CB116" s="1230"/>
      <c r="CC116" s="1230"/>
      <c r="CD116" s="1230"/>
    </row>
    <row r="117" spans="1:82" ht="12.75" hidden="1" customHeight="1" outlineLevel="1" x14ac:dyDescent="0.2">
      <c r="A117" s="1455" t="s">
        <v>407</v>
      </c>
      <c r="B117" s="1322"/>
      <c r="C117" s="1322"/>
      <c r="D117" s="1230"/>
      <c r="E117" s="1230"/>
      <c r="F117" s="1230"/>
      <c r="G117" s="1230"/>
      <c r="H117" s="1322"/>
      <c r="I117" s="1230"/>
      <c r="J117" s="1230"/>
      <c r="K117" s="1230"/>
      <c r="L117" s="1230"/>
      <c r="M117" s="1322"/>
      <c r="N117" s="1230"/>
      <c r="O117" s="1230"/>
      <c r="P117" s="1230"/>
      <c r="Q117" s="1230"/>
      <c r="R117" s="1322"/>
      <c r="S117" s="1230"/>
      <c r="T117" s="1312">
        <f>T115-S115</f>
        <v>9.3551390000000083</v>
      </c>
      <c r="U117" s="1312">
        <f>U115-T115</f>
        <v>7.1454079999999749</v>
      </c>
      <c r="V117" s="1230"/>
      <c r="W117" s="1322"/>
      <c r="X117" s="1407"/>
      <c r="Y117" s="1312">
        <f>Y115-X115</f>
        <v>6.2802960000000212</v>
      </c>
      <c r="Z117" s="1312">
        <f>Z115-Y115</f>
        <v>3.7480380000000082</v>
      </c>
      <c r="AA117" s="1324"/>
      <c r="AB117" s="1324"/>
      <c r="AC117" s="1407"/>
      <c r="AD117" s="1312"/>
      <c r="AE117" s="1312"/>
      <c r="AF117" s="1324"/>
      <c r="AG117" s="1324"/>
      <c r="AH117" s="1312"/>
      <c r="AI117" s="1312"/>
      <c r="AJ117" s="1312"/>
      <c r="AK117" s="1312"/>
      <c r="AL117" s="1322"/>
      <c r="AM117" s="1312"/>
      <c r="AN117" s="1312"/>
      <c r="AO117" s="1312"/>
      <c r="AP117" s="1312"/>
      <c r="AQ117" s="1322"/>
      <c r="AR117" s="1312"/>
      <c r="AS117" s="1312"/>
      <c r="AT117" s="1312"/>
      <c r="AU117" s="1312"/>
      <c r="AV117" s="1322"/>
      <c r="AW117" s="1312"/>
      <c r="AX117" s="1312"/>
      <c r="AY117" s="1312"/>
      <c r="AZ117" s="1312"/>
      <c r="BA117" s="1322"/>
      <c r="BB117" s="1312"/>
      <c r="BC117" s="1312"/>
      <c r="BD117" s="1312"/>
      <c r="BE117" s="1312"/>
      <c r="BF117" s="1322"/>
      <c r="BG117" s="1312"/>
      <c r="BH117" s="1312"/>
      <c r="BI117" s="1312"/>
      <c r="BJ117" s="1312"/>
      <c r="BK117" s="1322"/>
      <c r="BL117" s="1277"/>
      <c r="BM117" s="1277"/>
      <c r="BN117" s="1277"/>
      <c r="BO117" s="1277"/>
      <c r="BP117" s="1277"/>
      <c r="BQ117" s="1278"/>
      <c r="BR117" s="1457"/>
      <c r="BS117" s="1230"/>
      <c r="BT117" s="1230"/>
      <c r="BU117" s="1230"/>
      <c r="BV117" s="1230"/>
      <c r="BW117" s="1230"/>
      <c r="BX117" s="1230"/>
      <c r="BY117" s="1230"/>
      <c r="BZ117" s="1230"/>
      <c r="CA117" s="1230"/>
      <c r="CB117" s="1230"/>
      <c r="CC117" s="1230"/>
      <c r="CD117" s="1230"/>
    </row>
    <row r="118" spans="1:82" ht="12.75" hidden="1" customHeight="1" outlineLevel="1" x14ac:dyDescent="0.2">
      <c r="A118" s="1455" t="s">
        <v>408</v>
      </c>
      <c r="B118" s="1458"/>
      <c r="C118" s="1458"/>
      <c r="D118" s="1459"/>
      <c r="E118" s="1459"/>
      <c r="F118" s="1459"/>
      <c r="G118" s="1459"/>
      <c r="H118" s="1458"/>
      <c r="I118" s="1459"/>
      <c r="J118" s="1459"/>
      <c r="K118" s="1459"/>
      <c r="L118" s="1459"/>
      <c r="M118" s="1458"/>
      <c r="N118" s="1460"/>
      <c r="O118" s="1459"/>
      <c r="P118" s="1459"/>
      <c r="Q118" s="1459"/>
      <c r="R118" s="1458"/>
      <c r="S118" s="1459"/>
      <c r="T118" s="1461">
        <f>(T76-S76)-T117</f>
        <v>2.6678609999999594</v>
      </c>
      <c r="U118" s="1461">
        <f>(U76-T76)-U117</f>
        <v>13.619591999999983</v>
      </c>
      <c r="V118" s="1462"/>
      <c r="W118" s="1458"/>
      <c r="X118" s="1460"/>
      <c r="Y118" s="1461">
        <f>(Y76-X76)-Y117</f>
        <v>7.9917039999999702</v>
      </c>
      <c r="Z118" s="1461">
        <f>(Z76-Y76)-Z117</f>
        <v>21.860962000000029</v>
      </c>
      <c r="AA118" s="1462"/>
      <c r="AB118" s="1462"/>
      <c r="AC118" s="1460"/>
      <c r="AD118" s="1461"/>
      <c r="AE118" s="1461"/>
      <c r="AF118" s="1462"/>
      <c r="AG118" s="1462"/>
      <c r="AH118" s="1461"/>
      <c r="AI118" s="1461"/>
      <c r="AJ118" s="1461"/>
      <c r="AK118" s="1461"/>
      <c r="AL118" s="1458"/>
      <c r="AM118" s="1461"/>
      <c r="AN118" s="1461"/>
      <c r="AO118" s="1461"/>
      <c r="AP118" s="1461"/>
      <c r="AQ118" s="1458"/>
      <c r="AR118" s="1461"/>
      <c r="AS118" s="1461"/>
      <c r="AT118" s="1461"/>
      <c r="AU118" s="1461"/>
      <c r="AV118" s="1458"/>
      <c r="AW118" s="1461"/>
      <c r="AX118" s="1461"/>
      <c r="AY118" s="1461"/>
      <c r="AZ118" s="1461"/>
      <c r="BA118" s="1458"/>
      <c r="BB118" s="1461"/>
      <c r="BC118" s="1461"/>
      <c r="BD118" s="1461"/>
      <c r="BE118" s="1461"/>
      <c r="BF118" s="1458"/>
      <c r="BG118" s="1461"/>
      <c r="BH118" s="1461"/>
      <c r="BI118" s="1461"/>
      <c r="BJ118" s="1461"/>
      <c r="BK118" s="1458"/>
      <c r="BL118" s="1277"/>
      <c r="BM118" s="1277"/>
      <c r="BN118" s="1277"/>
      <c r="BO118" s="1277"/>
      <c r="BP118" s="1277"/>
      <c r="BQ118" s="1278"/>
      <c r="BR118" s="1457"/>
      <c r="BS118" s="1459"/>
      <c r="BT118" s="1459"/>
      <c r="BU118" s="1459"/>
      <c r="BV118" s="1459"/>
      <c r="BW118" s="1459"/>
      <c r="BX118" s="1459"/>
      <c r="BY118" s="1459"/>
      <c r="BZ118" s="1459"/>
      <c r="CA118" s="1459"/>
      <c r="CB118" s="1459"/>
      <c r="CC118" s="1459"/>
      <c r="CD118" s="1459"/>
    </row>
    <row r="119" spans="1:82" ht="12.75" hidden="1" customHeight="1" outlineLevel="1" x14ac:dyDescent="0.2">
      <c r="A119" s="1278"/>
      <c r="B119" s="1278"/>
      <c r="C119" s="1278"/>
      <c r="D119" s="1278"/>
      <c r="E119" s="1278"/>
      <c r="F119" s="1278"/>
      <c r="G119" s="1278"/>
      <c r="H119" s="1278"/>
      <c r="I119" s="1278"/>
      <c r="J119" s="1278"/>
      <c r="K119" s="1278"/>
      <c r="L119" s="1278"/>
      <c r="M119" s="1278"/>
      <c r="N119" s="1278"/>
      <c r="O119" s="1278"/>
      <c r="P119" s="1278"/>
      <c r="Q119" s="1278"/>
      <c r="R119" s="1278"/>
      <c r="S119" s="1278"/>
      <c r="T119" s="1278"/>
      <c r="U119" s="1278"/>
      <c r="V119" s="1278"/>
      <c r="W119" s="1278"/>
      <c r="X119" s="1278"/>
      <c r="Y119" s="1285"/>
      <c r="Z119" s="1285"/>
      <c r="AA119" s="1417"/>
      <c r="AB119" s="1278"/>
      <c r="AC119" s="1278"/>
      <c r="AD119" s="1285"/>
      <c r="AE119" s="1285"/>
      <c r="AF119" s="1417"/>
      <c r="AG119" s="1278"/>
      <c r="AH119" s="1285"/>
      <c r="AI119" s="1285"/>
      <c r="AJ119" s="1285"/>
      <c r="AK119" s="1285"/>
      <c r="AL119" s="1278"/>
      <c r="AM119" s="1285"/>
      <c r="AN119" s="1285"/>
      <c r="AO119" s="1285"/>
      <c r="AP119" s="1285"/>
      <c r="AQ119" s="1278"/>
      <c r="AR119" s="1285"/>
      <c r="AS119" s="1285"/>
      <c r="AT119" s="1285"/>
      <c r="AU119" s="1285"/>
      <c r="AV119" s="1278"/>
      <c r="AW119" s="1285"/>
      <c r="AX119" s="1285"/>
      <c r="AY119" s="1285"/>
      <c r="AZ119" s="1285"/>
      <c r="BA119" s="1278"/>
      <c r="BB119" s="1285"/>
      <c r="BC119" s="1285"/>
      <c r="BD119" s="1285"/>
      <c r="BE119" s="1285"/>
      <c r="BF119" s="1278"/>
      <c r="BG119" s="1285"/>
      <c r="BH119" s="1285"/>
      <c r="BI119" s="1285"/>
      <c r="BJ119" s="1285"/>
      <c r="BK119" s="1278"/>
      <c r="BL119" s="1277"/>
      <c r="BM119" s="1277"/>
      <c r="BN119" s="1277"/>
      <c r="BO119" s="1277"/>
      <c r="BP119" s="1277"/>
      <c r="BQ119" s="1278"/>
      <c r="BR119" s="1278"/>
      <c r="BS119" s="1278"/>
      <c r="BT119" s="1278"/>
      <c r="BU119" s="1278"/>
      <c r="BV119" s="1278"/>
      <c r="BW119" s="1278"/>
      <c r="BX119" s="1278"/>
      <c r="BY119" s="1278"/>
      <c r="BZ119" s="1278"/>
      <c r="CA119" s="1278"/>
      <c r="CB119" s="1278"/>
      <c r="CC119" s="1278"/>
      <c r="CD119" s="1278"/>
    </row>
    <row r="120" spans="1:82" ht="12.75" hidden="1" customHeight="1" outlineLevel="1" x14ac:dyDescent="0.2">
      <c r="A120" s="1277"/>
      <c r="B120" s="1277"/>
      <c r="C120" s="1277"/>
      <c r="D120" s="1277"/>
      <c r="E120" s="1277"/>
      <c r="F120" s="1277"/>
      <c r="G120" s="1277"/>
      <c r="H120" s="1277"/>
      <c r="I120" s="1277"/>
      <c r="J120" s="1277"/>
      <c r="K120" s="1277"/>
      <c r="L120" s="1277"/>
      <c r="M120" s="1277"/>
      <c r="N120" s="1277"/>
      <c r="O120" s="1277"/>
      <c r="P120" s="1277"/>
      <c r="Q120" s="1277"/>
      <c r="R120" s="1277"/>
      <c r="S120" s="1463"/>
      <c r="T120" s="1463"/>
      <c r="U120" s="1463"/>
      <c r="V120" s="1463"/>
      <c r="W120" s="1464"/>
      <c r="X120" s="1277"/>
      <c r="Y120" s="1465"/>
      <c r="Z120" s="1465"/>
      <c r="AA120" s="1277"/>
      <c r="AB120" s="1277"/>
      <c r="AC120" s="1277"/>
      <c r="AD120" s="1465"/>
      <c r="AE120" s="1465"/>
      <c r="AF120" s="1277"/>
      <c r="AG120" s="1277"/>
      <c r="AH120" s="1465"/>
      <c r="AI120" s="1465"/>
      <c r="AJ120" s="1465"/>
      <c r="AK120" s="1465"/>
      <c r="AL120" s="1277"/>
      <c r="AM120" s="1465"/>
      <c r="AN120" s="1465"/>
      <c r="AO120" s="1465"/>
      <c r="AP120" s="1465"/>
      <c r="AQ120" s="1277"/>
      <c r="AR120" s="1465"/>
      <c r="AS120" s="1465"/>
      <c r="AT120" s="1465"/>
      <c r="AU120" s="1465"/>
      <c r="AV120" s="1277"/>
      <c r="AW120" s="1465"/>
      <c r="AX120" s="1465"/>
      <c r="AY120" s="1465"/>
      <c r="AZ120" s="1465"/>
      <c r="BA120" s="1277"/>
      <c r="BB120" s="1465"/>
      <c r="BC120" s="1465"/>
      <c r="BD120" s="1465"/>
      <c r="BE120" s="1465"/>
      <c r="BF120" s="1277"/>
      <c r="BG120" s="1465"/>
      <c r="BH120" s="1465"/>
      <c r="BI120" s="1465"/>
      <c r="BJ120" s="1465"/>
      <c r="BK120" s="1277"/>
      <c r="BL120" s="1277"/>
      <c r="BM120" s="1277"/>
      <c r="BN120" s="1277"/>
      <c r="BO120" s="1277"/>
      <c r="BP120" s="1277"/>
      <c r="BQ120" s="1277"/>
      <c r="BR120" s="1277"/>
      <c r="BS120" s="1278"/>
      <c r="BT120" s="1278"/>
      <c r="BU120" s="1278"/>
      <c r="BV120" s="1278"/>
      <c r="BW120" s="1278"/>
      <c r="BX120" s="1278"/>
      <c r="BY120" s="1278"/>
      <c r="BZ120" s="1278"/>
      <c r="CA120" s="1278"/>
      <c r="CB120" s="1278"/>
      <c r="CC120" s="1278"/>
      <c r="CD120" s="1278"/>
    </row>
    <row r="121" spans="1:82" ht="12.75" hidden="1" customHeight="1" outlineLevel="1" x14ac:dyDescent="0.2">
      <c r="A121" s="1466" t="s">
        <v>410</v>
      </c>
      <c r="B121" s="1277"/>
      <c r="C121" s="1277"/>
      <c r="D121" s="1277"/>
      <c r="E121" s="1277"/>
      <c r="F121" s="1277"/>
      <c r="G121" s="1277"/>
      <c r="H121" s="1277"/>
      <c r="I121" s="1467" t="str">
        <f t="shared" ref="I121:U121" si="121">+I1&amp;"R"</f>
        <v>1Q11R</v>
      </c>
      <c r="J121" s="1467" t="str">
        <f t="shared" si="121"/>
        <v>2Q11R</v>
      </c>
      <c r="K121" s="1467" t="str">
        <f t="shared" si="121"/>
        <v>3Q11R</v>
      </c>
      <c r="L121" s="1467" t="str">
        <f t="shared" si="121"/>
        <v>4Q11R</v>
      </c>
      <c r="M121" s="1468" t="str">
        <f t="shared" si="121"/>
        <v>2011R</v>
      </c>
      <c r="N121" s="1467" t="str">
        <f t="shared" si="121"/>
        <v>1Q12R</v>
      </c>
      <c r="O121" s="1467" t="str">
        <f t="shared" si="121"/>
        <v>2Q12R</v>
      </c>
      <c r="P121" s="1467" t="str">
        <f t="shared" si="121"/>
        <v>3Q12R</v>
      </c>
      <c r="Q121" s="1467" t="str">
        <f t="shared" si="121"/>
        <v>4Q12R</v>
      </c>
      <c r="R121" s="1468" t="str">
        <f t="shared" si="121"/>
        <v>2012R</v>
      </c>
      <c r="S121" s="1467" t="str">
        <f t="shared" si="121"/>
        <v>1Q13R</v>
      </c>
      <c r="T121" s="1467" t="str">
        <f t="shared" si="121"/>
        <v>2Q13R</v>
      </c>
      <c r="U121" s="1467" t="str">
        <f t="shared" si="121"/>
        <v>3Q13R</v>
      </c>
      <c r="V121" s="1467" t="str">
        <f>+V1</f>
        <v>4Q13</v>
      </c>
      <c r="W121" s="1468" t="str">
        <f>+W1&amp;"R"</f>
        <v>2013R</v>
      </c>
      <c r="X121" s="1467" t="str">
        <f>+X1</f>
        <v>1Q14</v>
      </c>
      <c r="Y121" s="1467" t="str">
        <f>+Y1</f>
        <v>2Q14</v>
      </c>
      <c r="Z121" s="1467" t="str">
        <f>+Z1</f>
        <v>3Q14</v>
      </c>
      <c r="AA121" s="1467" t="str">
        <f>+AA1</f>
        <v>4Q14</v>
      </c>
      <c r="AB121" s="1277"/>
      <c r="AC121" s="1469"/>
      <c r="AD121" s="1469"/>
      <c r="AE121" s="1469"/>
      <c r="AF121" s="1277"/>
      <c r="AG121" s="1277"/>
      <c r="AH121" s="1469"/>
      <c r="AI121" s="1469"/>
      <c r="AJ121" s="1469"/>
      <c r="AK121" s="1469"/>
      <c r="AL121" s="1277"/>
      <c r="AM121" s="1469"/>
      <c r="AN121" s="1469"/>
      <c r="AO121" s="1469"/>
      <c r="AP121" s="1469"/>
      <c r="AQ121" s="1277"/>
      <c r="AR121" s="1469"/>
      <c r="AS121" s="1469"/>
      <c r="AT121" s="1469"/>
      <c r="AU121" s="1469"/>
      <c r="AV121" s="1277"/>
      <c r="AW121" s="1469"/>
      <c r="AX121" s="1469"/>
      <c r="AY121" s="1469"/>
      <c r="AZ121" s="1469"/>
      <c r="BA121" s="1277"/>
      <c r="BB121" s="1469"/>
      <c r="BC121" s="1469"/>
      <c r="BD121" s="1469"/>
      <c r="BE121" s="1469"/>
      <c r="BF121" s="1277"/>
      <c r="BG121" s="1469"/>
      <c r="BH121" s="1469"/>
      <c r="BI121" s="1469"/>
      <c r="BJ121" s="1469"/>
      <c r="BK121" s="1277"/>
      <c r="BL121" s="1277"/>
      <c r="BM121" s="1277"/>
      <c r="BN121" s="1277"/>
      <c r="BO121" s="1277"/>
      <c r="BP121" s="1277"/>
      <c r="BQ121" s="1277"/>
      <c r="BR121" s="1466"/>
      <c r="BS121" s="1278"/>
      <c r="BT121" s="1278"/>
      <c r="BU121" s="1278"/>
      <c r="BV121" s="1278"/>
      <c r="BW121" s="1278"/>
      <c r="BX121" s="1278"/>
      <c r="BY121" s="1278"/>
      <c r="BZ121" s="1278"/>
      <c r="CA121" s="1278"/>
      <c r="CB121" s="1278"/>
      <c r="CC121" s="1278"/>
      <c r="CD121" s="1278"/>
    </row>
    <row r="122" spans="1:82" ht="12.75" hidden="1" customHeight="1" outlineLevel="1" x14ac:dyDescent="0.2">
      <c r="A122" s="1425" t="s">
        <v>101</v>
      </c>
      <c r="B122" s="1277"/>
      <c r="C122" s="1277"/>
      <c r="D122" s="1277"/>
      <c r="E122" s="1277"/>
      <c r="F122" s="1277"/>
      <c r="G122" s="1277"/>
      <c r="H122" s="1277"/>
      <c r="I122" s="1277"/>
      <c r="J122" s="1277"/>
      <c r="K122" s="1277"/>
      <c r="L122" s="1277"/>
      <c r="M122" s="1280"/>
      <c r="N122" s="1277"/>
      <c r="O122" s="1277"/>
      <c r="P122" s="1277"/>
      <c r="Q122" s="1277"/>
      <c r="R122" s="1280"/>
      <c r="S122" s="1277"/>
      <c r="T122" s="1277"/>
      <c r="U122" s="1277"/>
      <c r="V122" s="1277"/>
      <c r="W122" s="1280"/>
      <c r="X122" s="1277"/>
      <c r="Y122" s="1277"/>
      <c r="Z122" s="1277"/>
      <c r="AA122" s="1277"/>
      <c r="AB122" s="1277"/>
      <c r="AC122" s="1278"/>
      <c r="AD122" s="1278"/>
      <c r="AE122" s="1278"/>
      <c r="AF122" s="1277"/>
      <c r="AG122" s="1277"/>
      <c r="AH122" s="1278"/>
      <c r="AI122" s="1278"/>
      <c r="AJ122" s="1278"/>
      <c r="AK122" s="1278"/>
      <c r="AL122" s="1277"/>
      <c r="AM122" s="1278"/>
      <c r="AN122" s="1278"/>
      <c r="AO122" s="1278"/>
      <c r="AP122" s="1278"/>
      <c r="AQ122" s="1277"/>
      <c r="AR122" s="1278"/>
      <c r="AS122" s="1278"/>
      <c r="AT122" s="1278"/>
      <c r="AU122" s="1278"/>
      <c r="AV122" s="1277"/>
      <c r="AW122" s="1278"/>
      <c r="AX122" s="1278"/>
      <c r="AY122" s="1278"/>
      <c r="AZ122" s="1278"/>
      <c r="BA122" s="1277"/>
      <c r="BB122" s="1278"/>
      <c r="BC122" s="1278"/>
      <c r="BD122" s="1278"/>
      <c r="BE122" s="1278"/>
      <c r="BF122" s="1277"/>
      <c r="BG122" s="1278"/>
      <c r="BH122" s="1278"/>
      <c r="BI122" s="1278"/>
      <c r="BJ122" s="1278"/>
      <c r="BK122" s="1277"/>
      <c r="BL122" s="1277"/>
      <c r="BM122" s="1277"/>
      <c r="BN122" s="1277"/>
      <c r="BO122" s="1277"/>
      <c r="BP122" s="1277"/>
      <c r="BQ122" s="1277"/>
      <c r="BR122" s="1425"/>
      <c r="BS122" s="1278"/>
      <c r="BT122" s="1278"/>
      <c r="BU122" s="1278"/>
      <c r="BV122" s="1278"/>
      <c r="BW122" s="1278"/>
      <c r="BX122" s="1278"/>
      <c r="BY122" s="1278"/>
      <c r="BZ122" s="1278"/>
      <c r="CA122" s="1278"/>
      <c r="CB122" s="1278"/>
      <c r="CC122" s="1278"/>
      <c r="CD122" s="1278"/>
    </row>
    <row r="123" spans="1:82" ht="12.75" hidden="1" customHeight="1" outlineLevel="1" x14ac:dyDescent="0.2">
      <c r="A123" s="1277" t="s">
        <v>102</v>
      </c>
      <c r="B123" s="1277"/>
      <c r="C123" s="1277"/>
      <c r="D123" s="1277"/>
      <c r="E123" s="1277"/>
      <c r="F123" s="1277"/>
      <c r="G123" s="1277"/>
      <c r="H123" s="1277"/>
      <c r="I123" s="1470">
        <f t="shared" ref="I123:AA123" si="122">+I16</f>
        <v>140.54300000000001</v>
      </c>
      <c r="J123" s="1470">
        <f t="shared" si="122"/>
        <v>140.53000000000003</v>
      </c>
      <c r="K123" s="1470">
        <f t="shared" si="122"/>
        <v>139.977</v>
      </c>
      <c r="L123" s="1470">
        <f t="shared" si="122"/>
        <v>142.31100000000001</v>
      </c>
      <c r="M123" s="1434">
        <f t="shared" si="122"/>
        <v>563.3610000000001</v>
      </c>
      <c r="N123" s="1470">
        <f t="shared" si="122"/>
        <v>144.96899999999999</v>
      </c>
      <c r="O123" s="1470">
        <f t="shared" si="122"/>
        <v>144.18899999999999</v>
      </c>
      <c r="P123" s="1470">
        <f t="shared" si="122"/>
        <v>143.86700000000002</v>
      </c>
      <c r="Q123" s="1470">
        <f t="shared" si="122"/>
        <v>146.48099999999999</v>
      </c>
      <c r="R123" s="1434">
        <f t="shared" si="122"/>
        <v>579.50600000000009</v>
      </c>
      <c r="S123" s="1470">
        <f t="shared" si="122"/>
        <v>152.613</v>
      </c>
      <c r="T123" s="1470">
        <f t="shared" si="122"/>
        <v>154.25900000000001</v>
      </c>
      <c r="U123" s="1470">
        <f t="shared" si="122"/>
        <v>155.05500000000001</v>
      </c>
      <c r="V123" s="1470">
        <f t="shared" si="122"/>
        <v>156.34899999999999</v>
      </c>
      <c r="W123" s="1434">
        <f t="shared" si="122"/>
        <v>618.27600000000007</v>
      </c>
      <c r="X123" s="1470">
        <f t="shared" si="122"/>
        <v>162.31299999999999</v>
      </c>
      <c r="Y123" s="1470">
        <f t="shared" si="122"/>
        <v>161.952</v>
      </c>
      <c r="Z123" s="1470">
        <f t="shared" si="122"/>
        <v>161.45400000000001</v>
      </c>
      <c r="AA123" s="1470">
        <f t="shared" si="122"/>
        <v>164.93299999999999</v>
      </c>
      <c r="AB123" s="1277"/>
      <c r="AC123" s="1470"/>
      <c r="AD123" s="1470"/>
      <c r="AE123" s="1470"/>
      <c r="AF123" s="1277"/>
      <c r="AG123" s="1277"/>
      <c r="AH123" s="1470"/>
      <c r="AI123" s="1470"/>
      <c r="AJ123" s="1470"/>
      <c r="AK123" s="1470"/>
      <c r="AL123" s="1277"/>
      <c r="AM123" s="1470"/>
      <c r="AN123" s="1470"/>
      <c r="AO123" s="1470"/>
      <c r="AP123" s="1470"/>
      <c r="AQ123" s="1277"/>
      <c r="AR123" s="1470"/>
      <c r="AS123" s="1470"/>
      <c r="AT123" s="1470"/>
      <c r="AU123" s="1470"/>
      <c r="AV123" s="1277"/>
      <c r="AW123" s="1470"/>
      <c r="AX123" s="1470"/>
      <c r="AY123" s="1470"/>
      <c r="AZ123" s="1470"/>
      <c r="BA123" s="1277"/>
      <c r="BB123" s="1470"/>
      <c r="BC123" s="1470"/>
      <c r="BD123" s="1470"/>
      <c r="BE123" s="1470"/>
      <c r="BF123" s="1277"/>
      <c r="BG123" s="1470"/>
      <c r="BH123" s="1470"/>
      <c r="BI123" s="1470"/>
      <c r="BJ123" s="1470"/>
      <c r="BK123" s="1277"/>
      <c r="BL123" s="1277"/>
      <c r="BM123" s="1277"/>
      <c r="BN123" s="1277"/>
      <c r="BO123" s="1277"/>
      <c r="BP123" s="1277"/>
      <c r="BQ123" s="1277"/>
      <c r="BR123" s="1277"/>
      <c r="BS123" s="1278"/>
      <c r="BT123" s="1278"/>
      <c r="BU123" s="1278"/>
      <c r="BV123" s="1278"/>
      <c r="BW123" s="1278"/>
      <c r="BX123" s="1278"/>
      <c r="BY123" s="1278"/>
      <c r="BZ123" s="1278"/>
      <c r="CA123" s="1278"/>
      <c r="CB123" s="1278"/>
      <c r="CC123" s="1278"/>
      <c r="CD123" s="1278"/>
    </row>
    <row r="124" spans="1:82" ht="12.75" hidden="1" customHeight="1" outlineLevel="1" x14ac:dyDescent="0.2">
      <c r="A124" s="1471" t="s">
        <v>411</v>
      </c>
      <c r="B124" s="1277"/>
      <c r="C124" s="1277"/>
      <c r="D124" s="1277"/>
      <c r="E124" s="1277"/>
      <c r="F124" s="1277"/>
      <c r="G124" s="1277"/>
      <c r="H124" s="1277"/>
      <c r="I124" s="1277"/>
      <c r="J124" s="1277"/>
      <c r="K124" s="1277"/>
      <c r="L124" s="1277"/>
      <c r="M124" s="1280"/>
      <c r="N124" s="1277"/>
      <c r="O124" s="1277"/>
      <c r="P124" s="1277"/>
      <c r="Q124" s="1277"/>
      <c r="R124" s="1280"/>
      <c r="S124" s="1277"/>
      <c r="T124" s="1277"/>
      <c r="U124" s="1277"/>
      <c r="V124" s="1277"/>
      <c r="W124" s="1280"/>
      <c r="X124" s="1277"/>
      <c r="Y124" s="1277"/>
      <c r="Z124" s="1277"/>
      <c r="AA124" s="1277"/>
      <c r="AB124" s="1277"/>
      <c r="AC124" s="1277"/>
      <c r="AD124" s="1277"/>
      <c r="AE124" s="1277"/>
      <c r="AF124" s="1277"/>
      <c r="AG124" s="1277"/>
      <c r="AH124" s="1277"/>
      <c r="AI124" s="1277"/>
      <c r="AJ124" s="1277"/>
      <c r="AK124" s="1277"/>
      <c r="AL124" s="1277"/>
      <c r="AM124" s="1277"/>
      <c r="AN124" s="1277"/>
      <c r="AO124" s="1277"/>
      <c r="AP124" s="1277"/>
      <c r="AQ124" s="1277"/>
      <c r="AR124" s="1277"/>
      <c r="AS124" s="1277"/>
      <c r="AT124" s="1277"/>
      <c r="AU124" s="1277"/>
      <c r="AV124" s="1277"/>
      <c r="AW124" s="1277"/>
      <c r="AX124" s="1277"/>
      <c r="AY124" s="1277"/>
      <c r="AZ124" s="1277"/>
      <c r="BA124" s="1277"/>
      <c r="BB124" s="1277"/>
      <c r="BC124" s="1277"/>
      <c r="BD124" s="1277"/>
      <c r="BE124" s="1277"/>
      <c r="BF124" s="1277"/>
      <c r="BG124" s="1277"/>
      <c r="BH124" s="1277"/>
      <c r="BI124" s="1277"/>
      <c r="BJ124" s="1277"/>
      <c r="BK124" s="1277"/>
      <c r="BL124" s="1277"/>
      <c r="BM124" s="1277"/>
      <c r="BN124" s="1277"/>
      <c r="BO124" s="1277"/>
      <c r="BP124" s="1277"/>
      <c r="BQ124" s="1277"/>
      <c r="BR124" s="1471"/>
      <c r="BS124" s="1278"/>
      <c r="BT124" s="1278"/>
      <c r="BU124" s="1278"/>
      <c r="BV124" s="1278"/>
      <c r="BW124" s="1278"/>
      <c r="BX124" s="1278"/>
      <c r="BY124" s="1278"/>
      <c r="BZ124" s="1278"/>
      <c r="CA124" s="1278"/>
      <c r="CB124" s="1278"/>
      <c r="CC124" s="1278"/>
      <c r="CD124" s="1278"/>
    </row>
    <row r="125" spans="1:82" ht="3.75" hidden="1" customHeight="1" outlineLevel="1" x14ac:dyDescent="0.2">
      <c r="A125" s="1471"/>
      <c r="B125" s="1277"/>
      <c r="C125" s="1277"/>
      <c r="D125" s="1277"/>
      <c r="E125" s="1277"/>
      <c r="F125" s="1277"/>
      <c r="G125" s="1277"/>
      <c r="H125" s="1277"/>
      <c r="I125" s="1277"/>
      <c r="J125" s="1277"/>
      <c r="K125" s="1277"/>
      <c r="L125" s="1277"/>
      <c r="M125" s="1280"/>
      <c r="N125" s="1277"/>
      <c r="O125" s="1277"/>
      <c r="P125" s="1277"/>
      <c r="Q125" s="1277"/>
      <c r="R125" s="1280"/>
      <c r="S125" s="1277"/>
      <c r="T125" s="1277"/>
      <c r="U125" s="1277"/>
      <c r="V125" s="1277"/>
      <c r="W125" s="1280"/>
      <c r="X125" s="1277"/>
      <c r="Y125" s="1277"/>
      <c r="Z125" s="1277"/>
      <c r="AA125" s="1277"/>
      <c r="AB125" s="1277"/>
      <c r="AC125" s="1277"/>
      <c r="AD125" s="1277"/>
      <c r="AE125" s="1277"/>
      <c r="AF125" s="1277"/>
      <c r="AG125" s="1277"/>
      <c r="AH125" s="1277"/>
      <c r="AI125" s="1277"/>
      <c r="AJ125" s="1277"/>
      <c r="AK125" s="1277"/>
      <c r="AL125" s="1277"/>
      <c r="AM125" s="1277"/>
      <c r="AN125" s="1277"/>
      <c r="AO125" s="1277"/>
      <c r="AP125" s="1277"/>
      <c r="AQ125" s="1277"/>
      <c r="AR125" s="1277"/>
      <c r="AS125" s="1277"/>
      <c r="AT125" s="1277"/>
      <c r="AU125" s="1277"/>
      <c r="AV125" s="1277"/>
      <c r="AW125" s="1277"/>
      <c r="AX125" s="1277"/>
      <c r="AY125" s="1277"/>
      <c r="AZ125" s="1277"/>
      <c r="BA125" s="1277"/>
      <c r="BB125" s="1277"/>
      <c r="BC125" s="1277"/>
      <c r="BD125" s="1277"/>
      <c r="BE125" s="1277"/>
      <c r="BF125" s="1277"/>
      <c r="BG125" s="1277"/>
      <c r="BH125" s="1277"/>
      <c r="BI125" s="1277"/>
      <c r="BJ125" s="1277"/>
      <c r="BK125" s="1277"/>
      <c r="BL125" s="1277"/>
      <c r="BM125" s="1277"/>
      <c r="BN125" s="1277"/>
      <c r="BO125" s="1277"/>
      <c r="BP125" s="1277"/>
      <c r="BQ125" s="1277"/>
      <c r="BR125" s="1471"/>
      <c r="BS125" s="1278"/>
      <c r="BT125" s="1278"/>
      <c r="BU125" s="1278"/>
      <c r="BV125" s="1278"/>
      <c r="BW125" s="1278"/>
      <c r="BX125" s="1278"/>
      <c r="BY125" s="1278"/>
      <c r="BZ125" s="1278"/>
      <c r="CA125" s="1278"/>
      <c r="CB125" s="1278"/>
      <c r="CC125" s="1278"/>
      <c r="CD125" s="1278"/>
    </row>
    <row r="126" spans="1:82" ht="12.75" hidden="1" customHeight="1" outlineLevel="1" x14ac:dyDescent="0.2">
      <c r="A126" s="1277" t="s">
        <v>412</v>
      </c>
      <c r="B126" s="1277"/>
      <c r="C126" s="1277"/>
      <c r="D126" s="1277"/>
      <c r="E126" s="1277"/>
      <c r="F126" s="1277"/>
      <c r="G126" s="1277"/>
      <c r="H126" s="1277"/>
      <c r="I126" s="1470">
        <f>+VA!Y251</f>
        <v>47.256999999999998</v>
      </c>
      <c r="J126" s="1470">
        <f>+VA!Z251</f>
        <v>49.052999999999997</v>
      </c>
      <c r="K126" s="1470">
        <f>+VA!AA251</f>
        <v>49.209000000000003</v>
      </c>
      <c r="L126" s="1470">
        <f>+VA!AB251</f>
        <v>48.147999999999996</v>
      </c>
      <c r="M126" s="1434">
        <f>+VA!AC251</f>
        <v>193.667</v>
      </c>
      <c r="N126" s="1470">
        <f>+VA!AD251</f>
        <v>45.432000000000002</v>
      </c>
      <c r="O126" s="1470">
        <f>+VA!AE251</f>
        <v>45.305</v>
      </c>
      <c r="P126" s="1470">
        <f>+VA!AF251</f>
        <v>45.04</v>
      </c>
      <c r="Q126" s="1470">
        <f>+VA!AG251</f>
        <v>46.65100000000001</v>
      </c>
      <c r="R126" s="1434">
        <f>+VA!AH251</f>
        <v>182.428</v>
      </c>
      <c r="S126" s="1470">
        <f>+VA!AI251</f>
        <v>46.816000000000003</v>
      </c>
      <c r="T126" s="1470">
        <f>+VA!AJ251</f>
        <v>48.459000000000003</v>
      </c>
      <c r="U126" s="1470">
        <f>+VA!AK251</f>
        <v>50.234000000000002</v>
      </c>
      <c r="V126" s="1470">
        <f>+VA!AL251</f>
        <v>49.035999999999973</v>
      </c>
      <c r="W126" s="1434">
        <f>+VA!AM251</f>
        <v>194.54499999999999</v>
      </c>
      <c r="X126" s="1470">
        <f>+VA!AN251</f>
        <v>49.914000000000001</v>
      </c>
      <c r="Y126" s="1470">
        <f>+VA!AO251</f>
        <v>52.447000000000003</v>
      </c>
      <c r="Z126" s="1470">
        <f>+VA!AP251</f>
        <v>50.814</v>
      </c>
      <c r="AA126" s="1470">
        <f>+VA!AQ251</f>
        <v>55.012</v>
      </c>
      <c r="AB126" s="1277"/>
      <c r="AC126" s="1470"/>
      <c r="AD126" s="1470"/>
      <c r="AE126" s="1470"/>
      <c r="AF126" s="1277"/>
      <c r="AG126" s="1277"/>
      <c r="AH126" s="1470"/>
      <c r="AI126" s="1470"/>
      <c r="AJ126" s="1470"/>
      <c r="AK126" s="1470"/>
      <c r="AL126" s="1277"/>
      <c r="AM126" s="1470"/>
      <c r="AN126" s="1470"/>
      <c r="AO126" s="1470"/>
      <c r="AP126" s="1470"/>
      <c r="AQ126" s="1277"/>
      <c r="AR126" s="1470"/>
      <c r="AS126" s="1470"/>
      <c r="AT126" s="1470"/>
      <c r="AU126" s="1470"/>
      <c r="AV126" s="1277"/>
      <c r="AW126" s="1470"/>
      <c r="AX126" s="1470"/>
      <c r="AY126" s="1470"/>
      <c r="AZ126" s="1470"/>
      <c r="BA126" s="1277"/>
      <c r="BB126" s="1470"/>
      <c r="BC126" s="1470"/>
      <c r="BD126" s="1470"/>
      <c r="BE126" s="1470"/>
      <c r="BF126" s="1277"/>
      <c r="BG126" s="1470"/>
      <c r="BH126" s="1470"/>
      <c r="BI126" s="1470"/>
      <c r="BJ126" s="1470"/>
      <c r="BK126" s="1277"/>
      <c r="BL126" s="1277"/>
      <c r="BM126" s="1277"/>
      <c r="BN126" s="1277"/>
      <c r="BO126" s="1277"/>
      <c r="BP126" s="1277"/>
      <c r="BQ126" s="1277"/>
      <c r="BR126" s="1277"/>
      <c r="BS126" s="1278"/>
      <c r="BT126" s="1278"/>
      <c r="BU126" s="1278"/>
      <c r="BV126" s="1278"/>
      <c r="BW126" s="1278"/>
      <c r="BX126" s="1278"/>
      <c r="BY126" s="1278"/>
      <c r="BZ126" s="1278"/>
      <c r="CA126" s="1278"/>
      <c r="CB126" s="1278"/>
      <c r="CC126" s="1278"/>
      <c r="CD126" s="1278"/>
    </row>
    <row r="127" spans="1:82" ht="12.75" hidden="1" customHeight="1" outlineLevel="1" x14ac:dyDescent="0.2">
      <c r="A127" s="1471" t="s">
        <v>217</v>
      </c>
      <c r="B127" s="1277"/>
      <c r="C127" s="1277"/>
      <c r="D127" s="1277"/>
      <c r="E127" s="1277"/>
      <c r="F127" s="1277"/>
      <c r="G127" s="1277"/>
      <c r="H127" s="1277"/>
      <c r="I127" s="1456">
        <f t="shared" ref="I127:W127" si="123">+I126/I123</f>
        <v>0.33624584646691758</v>
      </c>
      <c r="J127" s="1456">
        <f t="shared" si="123"/>
        <v>0.34905714082402323</v>
      </c>
      <c r="K127" s="1456">
        <f t="shared" si="123"/>
        <v>0.35155061188623848</v>
      </c>
      <c r="L127" s="1456">
        <f t="shared" si="123"/>
        <v>0.33832943342397981</v>
      </c>
      <c r="M127" s="1359">
        <f t="shared" si="123"/>
        <v>0.34377069055188408</v>
      </c>
      <c r="N127" s="1456">
        <f t="shared" si="123"/>
        <v>0.3133911387951907</v>
      </c>
      <c r="O127" s="1456">
        <f t="shared" si="123"/>
        <v>0.31420566062598398</v>
      </c>
      <c r="P127" s="1456">
        <f t="shared" si="123"/>
        <v>0.3130669298727296</v>
      </c>
      <c r="Q127" s="1456">
        <f t="shared" si="123"/>
        <v>0.31847816440357463</v>
      </c>
      <c r="R127" s="1359">
        <f t="shared" si="123"/>
        <v>0.31479915652296953</v>
      </c>
      <c r="S127" s="1456">
        <f t="shared" si="123"/>
        <v>0.30676285768578038</v>
      </c>
      <c r="T127" s="1456">
        <f t="shared" si="123"/>
        <v>0.31414050395762971</v>
      </c>
      <c r="U127" s="1456">
        <f t="shared" si="123"/>
        <v>0.32397536358066492</v>
      </c>
      <c r="V127" s="1456">
        <f t="shared" si="123"/>
        <v>0.31363168296567279</v>
      </c>
      <c r="W127" s="1359">
        <f t="shared" si="123"/>
        <v>0.31465720810770587</v>
      </c>
      <c r="X127" s="1456">
        <f>+X126/X123</f>
        <v>0.30751695797625578</v>
      </c>
      <c r="Y127" s="1456">
        <f>+Y126/Y123</f>
        <v>0.32384286702232762</v>
      </c>
      <c r="Z127" s="1456">
        <f>+Z126/Z123</f>
        <v>0.31472741461964399</v>
      </c>
      <c r="AA127" s="1456">
        <f>+AA126/AA123</f>
        <v>0.33354149866915661</v>
      </c>
      <c r="AB127" s="1277"/>
      <c r="AC127" s="1456"/>
      <c r="AD127" s="1456"/>
      <c r="AE127" s="1456"/>
      <c r="AF127" s="1277"/>
      <c r="AG127" s="1277"/>
      <c r="AH127" s="1456"/>
      <c r="AI127" s="1456"/>
      <c r="AJ127" s="1456"/>
      <c r="AK127" s="1456"/>
      <c r="AL127" s="1277"/>
      <c r="AM127" s="1456"/>
      <c r="AN127" s="1456"/>
      <c r="AO127" s="1456"/>
      <c r="AP127" s="1456"/>
      <c r="AQ127" s="1277"/>
      <c r="AR127" s="1456"/>
      <c r="AS127" s="1456"/>
      <c r="AT127" s="1456"/>
      <c r="AU127" s="1456"/>
      <c r="AV127" s="1277"/>
      <c r="AW127" s="1456"/>
      <c r="AX127" s="1456"/>
      <c r="AY127" s="1456"/>
      <c r="AZ127" s="1456"/>
      <c r="BA127" s="1277"/>
      <c r="BB127" s="1456"/>
      <c r="BC127" s="1456"/>
      <c r="BD127" s="1456"/>
      <c r="BE127" s="1456"/>
      <c r="BF127" s="1277"/>
      <c r="BG127" s="1456"/>
      <c r="BH127" s="1456"/>
      <c r="BI127" s="1456"/>
      <c r="BJ127" s="1456"/>
      <c r="BK127" s="1277"/>
      <c r="BL127" s="1277"/>
      <c r="BM127" s="1277"/>
      <c r="BN127" s="1277"/>
      <c r="BO127" s="1277"/>
      <c r="BP127" s="1277"/>
      <c r="BQ127" s="1277"/>
      <c r="BR127" s="1471"/>
      <c r="BS127" s="1278"/>
      <c r="BT127" s="1278"/>
      <c r="BU127" s="1278"/>
      <c r="BV127" s="1278"/>
      <c r="BW127" s="1278"/>
      <c r="BX127" s="1278"/>
      <c r="BY127" s="1278"/>
      <c r="BZ127" s="1278"/>
      <c r="CA127" s="1278"/>
      <c r="CB127" s="1278"/>
      <c r="CC127" s="1278"/>
      <c r="CD127" s="1278"/>
    </row>
    <row r="128" spans="1:82" ht="3.75" hidden="1" customHeight="1" outlineLevel="1" x14ac:dyDescent="0.2">
      <c r="A128" s="1471"/>
      <c r="B128" s="1277"/>
      <c r="C128" s="1277"/>
      <c r="D128" s="1277"/>
      <c r="E128" s="1277"/>
      <c r="F128" s="1277"/>
      <c r="G128" s="1277"/>
      <c r="H128" s="1277"/>
      <c r="I128" s="1456"/>
      <c r="J128" s="1456"/>
      <c r="K128" s="1456"/>
      <c r="L128" s="1456"/>
      <c r="M128" s="1359"/>
      <c r="N128" s="1456"/>
      <c r="O128" s="1456"/>
      <c r="P128" s="1456"/>
      <c r="Q128" s="1456"/>
      <c r="R128" s="1359"/>
      <c r="S128" s="1456"/>
      <c r="T128" s="1456"/>
      <c r="U128" s="1456"/>
      <c r="V128" s="1456"/>
      <c r="W128" s="1359"/>
      <c r="X128" s="1456"/>
      <c r="Y128" s="1456"/>
      <c r="Z128" s="1456"/>
      <c r="AA128" s="1456"/>
      <c r="AB128" s="1277"/>
      <c r="AC128" s="1456"/>
      <c r="AD128" s="1456"/>
      <c r="AE128" s="1456"/>
      <c r="AF128" s="1277"/>
      <c r="AG128" s="1277"/>
      <c r="AH128" s="1456"/>
      <c r="AI128" s="1456"/>
      <c r="AJ128" s="1456"/>
      <c r="AK128" s="1456"/>
      <c r="AL128" s="1277"/>
      <c r="AM128" s="1456"/>
      <c r="AN128" s="1456"/>
      <c r="AO128" s="1456"/>
      <c r="AP128" s="1456"/>
      <c r="AQ128" s="1277"/>
      <c r="AR128" s="1456"/>
      <c r="AS128" s="1456"/>
      <c r="AT128" s="1456"/>
      <c r="AU128" s="1456"/>
      <c r="AV128" s="1277"/>
      <c r="AW128" s="1456"/>
      <c r="AX128" s="1456"/>
      <c r="AY128" s="1456"/>
      <c r="AZ128" s="1456"/>
      <c r="BA128" s="1277"/>
      <c r="BB128" s="1456"/>
      <c r="BC128" s="1456"/>
      <c r="BD128" s="1456"/>
      <c r="BE128" s="1456"/>
      <c r="BF128" s="1277"/>
      <c r="BG128" s="1456"/>
      <c r="BH128" s="1456"/>
      <c r="BI128" s="1456"/>
      <c r="BJ128" s="1456"/>
      <c r="BK128" s="1277"/>
      <c r="BL128" s="1277"/>
      <c r="BM128" s="1277"/>
      <c r="BN128" s="1277"/>
      <c r="BO128" s="1277"/>
      <c r="BP128" s="1277"/>
      <c r="BQ128" s="1277"/>
      <c r="BR128" s="1471"/>
      <c r="BS128" s="1278"/>
      <c r="BT128" s="1278"/>
      <c r="BU128" s="1278"/>
      <c r="BV128" s="1278"/>
      <c r="BW128" s="1278"/>
      <c r="BX128" s="1278"/>
      <c r="BY128" s="1278"/>
      <c r="BZ128" s="1278"/>
      <c r="CA128" s="1278"/>
      <c r="CB128" s="1278"/>
      <c r="CC128" s="1278"/>
      <c r="CD128" s="1278"/>
    </row>
    <row r="129" spans="1:82" ht="12.75" hidden="1" customHeight="1" outlineLevel="1" x14ac:dyDescent="0.2">
      <c r="A129" s="1277" t="s">
        <v>413</v>
      </c>
      <c r="B129" s="1277"/>
      <c r="C129" s="1277"/>
      <c r="D129" s="1277"/>
      <c r="E129" s="1277"/>
      <c r="F129" s="1277"/>
      <c r="G129" s="1277"/>
      <c r="H129" s="1277"/>
      <c r="I129" s="1470">
        <f>+VA!Y257</f>
        <v>19.126999999999999</v>
      </c>
      <c r="J129" s="1470">
        <f>+VA!Z257</f>
        <v>23.344999999999999</v>
      </c>
      <c r="K129" s="1470">
        <f>+VA!AA257</f>
        <v>20.065000000000001</v>
      </c>
      <c r="L129" s="1470">
        <f>+VA!AB257</f>
        <v>20.994000000000014</v>
      </c>
      <c r="M129" s="1434">
        <f>+VA!AC257</f>
        <v>83.531000000000006</v>
      </c>
      <c r="N129" s="1470">
        <f>+VA!AD257</f>
        <v>19.602</v>
      </c>
      <c r="O129" s="1470">
        <f>+VA!AE257</f>
        <v>22.911000000000001</v>
      </c>
      <c r="P129" s="1470">
        <f>+VA!AF257</f>
        <v>19.736000000000001</v>
      </c>
      <c r="Q129" s="1470">
        <f>+VA!AG257</f>
        <v>18.696999999999989</v>
      </c>
      <c r="R129" s="1434">
        <f>+VA!AH257</f>
        <v>80.945999999999998</v>
      </c>
      <c r="S129" s="1470">
        <f>+VA!AI257</f>
        <v>19.573</v>
      </c>
      <c r="T129" s="1470">
        <f>+VA!AJ257</f>
        <v>19.603000000000002</v>
      </c>
      <c r="U129" s="1470">
        <f>+VA!AK257</f>
        <v>19.632000000000001</v>
      </c>
      <c r="V129" s="1470">
        <f>+VA!AL257</f>
        <v>18.61699999999999</v>
      </c>
      <c r="W129" s="1434">
        <f>+VA!AM257</f>
        <v>77.424999999999997</v>
      </c>
      <c r="X129" s="1470">
        <f>+VA!AN257</f>
        <v>19.082999999999998</v>
      </c>
      <c r="Y129" s="1470">
        <f>+VA!AO257</f>
        <v>18.449000000000002</v>
      </c>
      <c r="Z129" s="1470">
        <f>+VA!AP257</f>
        <v>17.559000000000001</v>
      </c>
      <c r="AA129" s="1470">
        <f>+VA!AQ257</f>
        <v>18.762</v>
      </c>
      <c r="AB129" s="1277"/>
      <c r="AC129" s="1470"/>
      <c r="AD129" s="1470"/>
      <c r="AE129" s="1470"/>
      <c r="AF129" s="1277"/>
      <c r="AG129" s="1277"/>
      <c r="AH129" s="1470"/>
      <c r="AI129" s="1470"/>
      <c r="AJ129" s="1470"/>
      <c r="AK129" s="1470"/>
      <c r="AL129" s="1277"/>
      <c r="AM129" s="1470"/>
      <c r="AN129" s="1470"/>
      <c r="AO129" s="1470"/>
      <c r="AP129" s="1470"/>
      <c r="AQ129" s="1277"/>
      <c r="AR129" s="1470"/>
      <c r="AS129" s="1470"/>
      <c r="AT129" s="1470"/>
      <c r="AU129" s="1470"/>
      <c r="AV129" s="1277"/>
      <c r="AW129" s="1470"/>
      <c r="AX129" s="1470"/>
      <c r="AY129" s="1470"/>
      <c r="AZ129" s="1470"/>
      <c r="BA129" s="1277"/>
      <c r="BB129" s="1470"/>
      <c r="BC129" s="1470"/>
      <c r="BD129" s="1470"/>
      <c r="BE129" s="1470"/>
      <c r="BF129" s="1277"/>
      <c r="BG129" s="1470"/>
      <c r="BH129" s="1470"/>
      <c r="BI129" s="1470"/>
      <c r="BJ129" s="1470"/>
      <c r="BK129" s="1277"/>
      <c r="BL129" s="1277"/>
      <c r="BM129" s="1277"/>
      <c r="BN129" s="1277"/>
      <c r="BO129" s="1277"/>
      <c r="BP129" s="1277"/>
      <c r="BQ129" s="1277"/>
      <c r="BR129" s="1277"/>
      <c r="BS129" s="1278"/>
      <c r="BT129" s="1278"/>
      <c r="BU129" s="1278"/>
      <c r="BV129" s="1278"/>
      <c r="BW129" s="1278"/>
      <c r="BX129" s="1278"/>
      <c r="BY129" s="1278"/>
      <c r="BZ129" s="1278"/>
      <c r="CA129" s="1278"/>
      <c r="CB129" s="1278"/>
      <c r="CC129" s="1278"/>
      <c r="CD129" s="1278"/>
    </row>
    <row r="130" spans="1:82" ht="12.75" hidden="1" customHeight="1" outlineLevel="1" x14ac:dyDescent="0.2">
      <c r="A130" s="1471" t="s">
        <v>217</v>
      </c>
      <c r="B130" s="1277"/>
      <c r="C130" s="1277"/>
      <c r="D130" s="1277"/>
      <c r="E130" s="1277"/>
      <c r="F130" s="1277"/>
      <c r="G130" s="1277"/>
      <c r="H130" s="1277"/>
      <c r="I130" s="1456">
        <f t="shared" ref="I130:W130" si="124">+I129/I123</f>
        <v>0.13609357990081325</v>
      </c>
      <c r="J130" s="1456">
        <f t="shared" si="124"/>
        <v>0.16612111292962353</v>
      </c>
      <c r="K130" s="1456">
        <f t="shared" si="124"/>
        <v>0.1433449781035456</v>
      </c>
      <c r="L130" s="1456">
        <f t="shared" si="124"/>
        <v>0.14752197651622159</v>
      </c>
      <c r="M130" s="1359">
        <f t="shared" si="124"/>
        <v>0.14827259962972231</v>
      </c>
      <c r="N130" s="1456">
        <f t="shared" si="124"/>
        <v>0.1352151149556112</v>
      </c>
      <c r="O130" s="1456">
        <f t="shared" si="124"/>
        <v>0.15889561617044298</v>
      </c>
      <c r="P130" s="1456">
        <f t="shared" si="124"/>
        <v>0.13718225861385863</v>
      </c>
      <c r="Q130" s="1456">
        <f t="shared" si="124"/>
        <v>0.12764112751824461</v>
      </c>
      <c r="R130" s="1359">
        <f t="shared" si="124"/>
        <v>0.13968103867777035</v>
      </c>
      <c r="S130" s="1456">
        <f t="shared" si="124"/>
        <v>0.12825250797769522</v>
      </c>
      <c r="T130" s="1456">
        <f t="shared" si="124"/>
        <v>0.12707848488580892</v>
      </c>
      <c r="U130" s="1456">
        <f t="shared" si="124"/>
        <v>0.12661313727387058</v>
      </c>
      <c r="V130" s="1456">
        <f t="shared" si="124"/>
        <v>0.11907335512219452</v>
      </c>
      <c r="W130" s="1359">
        <f t="shared" si="124"/>
        <v>0.12522724479035252</v>
      </c>
      <c r="X130" s="1456">
        <f>+X129/X123</f>
        <v>0.1175691411039165</v>
      </c>
      <c r="Y130" s="1456">
        <f>+Y129/Y123</f>
        <v>0.11391646907725747</v>
      </c>
      <c r="Z130" s="1456">
        <f>+Z129/Z123</f>
        <v>0.10875543498457765</v>
      </c>
      <c r="AA130" s="1456">
        <f>+AA129/AA123</f>
        <v>0.11375528244802435</v>
      </c>
      <c r="AB130" s="1277"/>
      <c r="AC130" s="1456"/>
      <c r="AD130" s="1456"/>
      <c r="AE130" s="1456"/>
      <c r="AF130" s="1277"/>
      <c r="AG130" s="1277"/>
      <c r="AH130" s="1456"/>
      <c r="AI130" s="1456"/>
      <c r="AJ130" s="1456"/>
      <c r="AK130" s="1456"/>
      <c r="AL130" s="1277"/>
      <c r="AM130" s="1456"/>
      <c r="AN130" s="1456"/>
      <c r="AO130" s="1456"/>
      <c r="AP130" s="1456"/>
      <c r="AQ130" s="1277"/>
      <c r="AR130" s="1456"/>
      <c r="AS130" s="1456"/>
      <c r="AT130" s="1456"/>
      <c r="AU130" s="1456"/>
      <c r="AV130" s="1277"/>
      <c r="AW130" s="1456"/>
      <c r="AX130" s="1456"/>
      <c r="AY130" s="1456"/>
      <c r="AZ130" s="1456"/>
      <c r="BA130" s="1277"/>
      <c r="BB130" s="1456"/>
      <c r="BC130" s="1456"/>
      <c r="BD130" s="1456"/>
      <c r="BE130" s="1456"/>
      <c r="BF130" s="1277"/>
      <c r="BG130" s="1456"/>
      <c r="BH130" s="1456"/>
      <c r="BI130" s="1456"/>
      <c r="BJ130" s="1456"/>
      <c r="BK130" s="1277"/>
      <c r="BL130" s="1277"/>
      <c r="BM130" s="1277"/>
      <c r="BN130" s="1277"/>
      <c r="BO130" s="1277"/>
      <c r="BP130" s="1277"/>
      <c r="BQ130" s="1277"/>
      <c r="BR130" s="1471"/>
      <c r="BS130" s="1278"/>
      <c r="BT130" s="1278"/>
      <c r="BU130" s="1278"/>
      <c r="BV130" s="1278"/>
      <c r="BW130" s="1278"/>
      <c r="BX130" s="1278"/>
      <c r="BY130" s="1278"/>
      <c r="BZ130" s="1278"/>
      <c r="CA130" s="1278"/>
      <c r="CB130" s="1278"/>
      <c r="CC130" s="1278"/>
      <c r="CD130" s="1278"/>
    </row>
    <row r="131" spans="1:82" ht="5.25" hidden="1" customHeight="1" outlineLevel="1" x14ac:dyDescent="0.2">
      <c r="A131" s="1277"/>
      <c r="B131" s="1277"/>
      <c r="C131" s="1277"/>
      <c r="D131" s="1277"/>
      <c r="E131" s="1277"/>
      <c r="F131" s="1277"/>
      <c r="G131" s="1277"/>
      <c r="H131" s="1277"/>
      <c r="I131" s="1277"/>
      <c r="J131" s="1277"/>
      <c r="K131" s="1277"/>
      <c r="L131" s="1277"/>
      <c r="M131" s="1280"/>
      <c r="N131" s="1277"/>
      <c r="O131" s="1277"/>
      <c r="P131" s="1277"/>
      <c r="Q131" s="1277"/>
      <c r="R131" s="1280"/>
      <c r="S131" s="1277"/>
      <c r="T131" s="1277"/>
      <c r="U131" s="1277"/>
      <c r="V131" s="1277"/>
      <c r="W131" s="1280"/>
      <c r="X131" s="1277"/>
      <c r="Y131" s="1277"/>
      <c r="Z131" s="1277"/>
      <c r="AA131" s="1277"/>
      <c r="AB131" s="1277"/>
      <c r="AC131" s="1277"/>
      <c r="AD131" s="1277"/>
      <c r="AE131" s="1277"/>
      <c r="AF131" s="1277"/>
      <c r="AG131" s="1277"/>
      <c r="AH131" s="1277"/>
      <c r="AI131" s="1277"/>
      <c r="AJ131" s="1277"/>
      <c r="AK131" s="1277"/>
      <c r="AL131" s="1277"/>
      <c r="AM131" s="1277"/>
      <c r="AN131" s="1277"/>
      <c r="AO131" s="1277"/>
      <c r="AP131" s="1277"/>
      <c r="AQ131" s="1277"/>
      <c r="AR131" s="1277"/>
      <c r="AS131" s="1277"/>
      <c r="AT131" s="1277"/>
      <c r="AU131" s="1277"/>
      <c r="AV131" s="1277"/>
      <c r="AW131" s="1277"/>
      <c r="AX131" s="1277"/>
      <c r="AY131" s="1277"/>
      <c r="AZ131" s="1277"/>
      <c r="BA131" s="1277"/>
      <c r="BB131" s="1277"/>
      <c r="BC131" s="1277"/>
      <c r="BD131" s="1277"/>
      <c r="BE131" s="1277"/>
      <c r="BF131" s="1277"/>
      <c r="BG131" s="1277"/>
      <c r="BH131" s="1277"/>
      <c r="BI131" s="1277"/>
      <c r="BJ131" s="1277"/>
      <c r="BK131" s="1277"/>
      <c r="BL131" s="1277"/>
      <c r="BM131" s="1277"/>
      <c r="BN131" s="1277"/>
      <c r="BO131" s="1277"/>
      <c r="BP131" s="1277"/>
      <c r="BQ131" s="1277"/>
      <c r="BR131" s="1277"/>
      <c r="BS131" s="1278"/>
      <c r="BT131" s="1278"/>
      <c r="BU131" s="1278"/>
      <c r="BV131" s="1278"/>
      <c r="BW131" s="1278"/>
      <c r="BX131" s="1278"/>
      <c r="BY131" s="1278"/>
      <c r="BZ131" s="1278"/>
      <c r="CA131" s="1278"/>
      <c r="CB131" s="1278"/>
      <c r="CC131" s="1278"/>
      <c r="CD131" s="1278"/>
    </row>
    <row r="132" spans="1:82" ht="12.75" hidden="1" customHeight="1" outlineLevel="1" x14ac:dyDescent="0.2">
      <c r="A132" s="1277" t="s">
        <v>62</v>
      </c>
      <c r="B132" s="1277"/>
      <c r="C132" s="1277"/>
      <c r="D132" s="1277"/>
      <c r="E132" s="1277"/>
      <c r="F132" s="1277"/>
      <c r="G132" s="1277"/>
      <c r="H132" s="1277"/>
      <c r="I132" s="1470">
        <f>+VA!Y265</f>
        <v>0</v>
      </c>
      <c r="J132" s="1470">
        <f>+VA!Z265</f>
        <v>0</v>
      </c>
      <c r="K132" s="1470">
        <f>+VA!AA265</f>
        <v>0</v>
      </c>
      <c r="L132" s="1470">
        <f>+VA!AB265</f>
        <v>0</v>
      </c>
      <c r="M132" s="1434">
        <f>+VA!AC265</f>
        <v>0</v>
      </c>
      <c r="N132" s="1470">
        <f>+VA!AD265</f>
        <v>-0.435</v>
      </c>
      <c r="O132" s="1470">
        <f>+VA!AE265</f>
        <v>-0.126</v>
      </c>
      <c r="P132" s="1470">
        <f>+VA!AF265</f>
        <v>0.502</v>
      </c>
      <c r="Q132" s="1470">
        <f>+VA!AG265</f>
        <v>-6.9000000000000061E-2</v>
      </c>
      <c r="R132" s="1434">
        <f>+VA!AH265</f>
        <v>-0.128</v>
      </c>
      <c r="S132" s="1470">
        <f>+VA!AI265</f>
        <v>0.14499999999999999</v>
      </c>
      <c r="T132" s="1470">
        <f>+VA!AJ265</f>
        <v>-0.13700000000000001</v>
      </c>
      <c r="U132" s="1470">
        <f>+VA!AK265</f>
        <v>-0.22800000000000001</v>
      </c>
      <c r="V132" s="1470">
        <f>+VA!AL265</f>
        <v>0.84499999999999997</v>
      </c>
      <c r="W132" s="1434">
        <f>+VA!AM265</f>
        <v>0.625</v>
      </c>
      <c r="X132" s="1470">
        <f>+VA!AN265</f>
        <v>-8.9999999999999993E-3</v>
      </c>
      <c r="Y132" s="1470">
        <f>+VA!AO265</f>
        <v>-0.2</v>
      </c>
      <c r="Z132" s="1470">
        <f>+VA!AP265</f>
        <v>0.28499999999999998</v>
      </c>
      <c r="AA132" s="1470">
        <f>+VA!AQ265</f>
        <v>-0.23399999999999996</v>
      </c>
      <c r="AB132" s="1277"/>
      <c r="AC132" s="1470"/>
      <c r="AD132" s="1470"/>
      <c r="AE132" s="1470"/>
      <c r="AF132" s="1277"/>
      <c r="AG132" s="1277"/>
      <c r="AH132" s="1470"/>
      <c r="AI132" s="1470"/>
      <c r="AJ132" s="1470"/>
      <c r="AK132" s="1470"/>
      <c r="AL132" s="1277"/>
      <c r="AM132" s="1470"/>
      <c r="AN132" s="1470"/>
      <c r="AO132" s="1470"/>
      <c r="AP132" s="1470"/>
      <c r="AQ132" s="1277"/>
      <c r="AR132" s="1470"/>
      <c r="AS132" s="1470"/>
      <c r="AT132" s="1470"/>
      <c r="AU132" s="1470"/>
      <c r="AV132" s="1277"/>
      <c r="AW132" s="1470"/>
      <c r="AX132" s="1470"/>
      <c r="AY132" s="1470"/>
      <c r="AZ132" s="1470"/>
      <c r="BA132" s="1277"/>
      <c r="BB132" s="1470"/>
      <c r="BC132" s="1470"/>
      <c r="BD132" s="1470"/>
      <c r="BE132" s="1470"/>
      <c r="BF132" s="1277"/>
      <c r="BG132" s="1470"/>
      <c r="BH132" s="1470"/>
      <c r="BI132" s="1470"/>
      <c r="BJ132" s="1470"/>
      <c r="BK132" s="1277"/>
      <c r="BL132" s="1277"/>
      <c r="BM132" s="1277"/>
      <c r="BN132" s="1277"/>
      <c r="BO132" s="1277"/>
      <c r="BP132" s="1277"/>
      <c r="BQ132" s="1277"/>
      <c r="BR132" s="1277"/>
      <c r="BS132" s="1278"/>
      <c r="BT132" s="1278"/>
      <c r="BU132" s="1278"/>
      <c r="BV132" s="1278"/>
      <c r="BW132" s="1278"/>
      <c r="BX132" s="1278"/>
      <c r="BY132" s="1278"/>
      <c r="BZ132" s="1278"/>
      <c r="CA132" s="1278"/>
      <c r="CB132" s="1278"/>
      <c r="CC132" s="1278"/>
      <c r="CD132" s="1278"/>
    </row>
    <row r="133" spans="1:82" ht="3" hidden="1" customHeight="1" outlineLevel="1" x14ac:dyDescent="0.2">
      <c r="A133" s="1277"/>
      <c r="B133" s="1277"/>
      <c r="C133" s="1277"/>
      <c r="D133" s="1277"/>
      <c r="E133" s="1277"/>
      <c r="F133" s="1277"/>
      <c r="G133" s="1277"/>
      <c r="H133" s="1277"/>
      <c r="I133" s="1277"/>
      <c r="J133" s="1277"/>
      <c r="K133" s="1277"/>
      <c r="L133" s="1277"/>
      <c r="M133" s="1280"/>
      <c r="N133" s="1277"/>
      <c r="O133" s="1277"/>
      <c r="P133" s="1277"/>
      <c r="Q133" s="1277"/>
      <c r="R133" s="1280"/>
      <c r="S133" s="1277"/>
      <c r="T133" s="1277"/>
      <c r="U133" s="1277"/>
      <c r="V133" s="1277"/>
      <c r="W133" s="1280"/>
      <c r="X133" s="1277"/>
      <c r="Y133" s="1277"/>
      <c r="Z133" s="1277"/>
      <c r="AA133" s="1277"/>
      <c r="AB133" s="1277"/>
      <c r="AC133" s="1277"/>
      <c r="AD133" s="1277"/>
      <c r="AE133" s="1277"/>
      <c r="AF133" s="1277"/>
      <c r="AG133" s="1277"/>
      <c r="AH133" s="1277"/>
      <c r="AI133" s="1277"/>
      <c r="AJ133" s="1277"/>
      <c r="AK133" s="1277"/>
      <c r="AL133" s="1277"/>
      <c r="AM133" s="1277"/>
      <c r="AN133" s="1277"/>
      <c r="AO133" s="1277"/>
      <c r="AP133" s="1277"/>
      <c r="AQ133" s="1277"/>
      <c r="AR133" s="1277"/>
      <c r="AS133" s="1277"/>
      <c r="AT133" s="1277"/>
      <c r="AU133" s="1277"/>
      <c r="AV133" s="1277"/>
      <c r="AW133" s="1277"/>
      <c r="AX133" s="1277"/>
      <c r="AY133" s="1277"/>
      <c r="AZ133" s="1277"/>
      <c r="BA133" s="1277"/>
      <c r="BB133" s="1277"/>
      <c r="BC133" s="1277"/>
      <c r="BD133" s="1277"/>
      <c r="BE133" s="1277"/>
      <c r="BF133" s="1277"/>
      <c r="BG133" s="1277"/>
      <c r="BH133" s="1277"/>
      <c r="BI133" s="1277"/>
      <c r="BJ133" s="1277"/>
      <c r="BK133" s="1277"/>
      <c r="BL133" s="1277"/>
      <c r="BM133" s="1277"/>
      <c r="BN133" s="1277"/>
      <c r="BO133" s="1277"/>
      <c r="BP133" s="1277"/>
      <c r="BQ133" s="1277"/>
      <c r="BR133" s="1277"/>
      <c r="BS133" s="1278"/>
      <c r="BT133" s="1278"/>
      <c r="BU133" s="1278"/>
      <c r="BV133" s="1278"/>
      <c r="BW133" s="1278"/>
      <c r="BX133" s="1278"/>
      <c r="BY133" s="1278"/>
      <c r="BZ133" s="1278"/>
      <c r="CA133" s="1278"/>
      <c r="CB133" s="1278"/>
      <c r="CC133" s="1278"/>
      <c r="CD133" s="1278"/>
    </row>
    <row r="134" spans="1:82" ht="12.75" hidden="1" customHeight="1" outlineLevel="1" x14ac:dyDescent="0.2">
      <c r="A134" s="1277" t="s">
        <v>64</v>
      </c>
      <c r="B134" s="1277"/>
      <c r="C134" s="1277"/>
      <c r="D134" s="1277"/>
      <c r="E134" s="1277"/>
      <c r="F134" s="1277"/>
      <c r="G134" s="1277"/>
      <c r="H134" s="1277"/>
      <c r="I134" s="1470">
        <f t="shared" ref="I134:W134" si="125">+I123-I126-I129-I132</f>
        <v>74.159000000000006</v>
      </c>
      <c r="J134" s="1470">
        <f t="shared" si="125"/>
        <v>68.132000000000033</v>
      </c>
      <c r="K134" s="1470">
        <f t="shared" si="125"/>
        <v>70.703000000000003</v>
      </c>
      <c r="L134" s="1470">
        <f t="shared" si="125"/>
        <v>73.168999999999997</v>
      </c>
      <c r="M134" s="1434">
        <f t="shared" si="125"/>
        <v>286.16300000000007</v>
      </c>
      <c r="N134" s="1470">
        <f t="shared" si="125"/>
        <v>80.36999999999999</v>
      </c>
      <c r="O134" s="1470">
        <f t="shared" si="125"/>
        <v>76.09899999999999</v>
      </c>
      <c r="P134" s="1470">
        <f t="shared" si="125"/>
        <v>78.589000000000027</v>
      </c>
      <c r="Q134" s="1470">
        <f t="shared" si="125"/>
        <v>81.201999999999998</v>
      </c>
      <c r="R134" s="1434">
        <f t="shared" si="125"/>
        <v>316.26000000000005</v>
      </c>
      <c r="S134" s="1470">
        <f t="shared" si="125"/>
        <v>86.078999999999994</v>
      </c>
      <c r="T134" s="1470">
        <f t="shared" si="125"/>
        <v>86.334000000000003</v>
      </c>
      <c r="U134" s="1470">
        <f t="shared" si="125"/>
        <v>85.416999999999987</v>
      </c>
      <c r="V134" s="1470">
        <f t="shared" si="125"/>
        <v>87.851000000000028</v>
      </c>
      <c r="W134" s="1434">
        <f t="shared" si="125"/>
        <v>345.6810000000001</v>
      </c>
      <c r="X134" s="1470">
        <f>+X123-X126-X129-X132</f>
        <v>93.324999999999989</v>
      </c>
      <c r="Y134" s="1470">
        <f>+Y123-Y126-Y129-Y132</f>
        <v>91.256</v>
      </c>
      <c r="Z134" s="1470">
        <f>+Z123-Z126-Z129-Z132</f>
        <v>92.796000000000021</v>
      </c>
      <c r="AA134" s="1470">
        <f>+AA123-AA126-AA129-AA132</f>
        <v>91.392999999999986</v>
      </c>
      <c r="AB134" s="1277"/>
      <c r="AC134" s="1470"/>
      <c r="AD134" s="1470"/>
      <c r="AE134" s="1470"/>
      <c r="AF134" s="1277"/>
      <c r="AG134" s="1277"/>
      <c r="AH134" s="1470"/>
      <c r="AI134" s="1470"/>
      <c r="AJ134" s="1470"/>
      <c r="AK134" s="1470"/>
      <c r="AL134" s="1277"/>
      <c r="AM134" s="1470"/>
      <c r="AN134" s="1470"/>
      <c r="AO134" s="1470"/>
      <c r="AP134" s="1470"/>
      <c r="AQ134" s="1277"/>
      <c r="AR134" s="1470"/>
      <c r="AS134" s="1470"/>
      <c r="AT134" s="1470"/>
      <c r="AU134" s="1470"/>
      <c r="AV134" s="1277"/>
      <c r="AW134" s="1470"/>
      <c r="AX134" s="1470"/>
      <c r="AY134" s="1470"/>
      <c r="AZ134" s="1470"/>
      <c r="BA134" s="1277"/>
      <c r="BB134" s="1470"/>
      <c r="BC134" s="1470"/>
      <c r="BD134" s="1470"/>
      <c r="BE134" s="1470"/>
      <c r="BF134" s="1277"/>
      <c r="BG134" s="1470"/>
      <c r="BH134" s="1470"/>
      <c r="BI134" s="1470"/>
      <c r="BJ134" s="1470"/>
      <c r="BK134" s="1277"/>
      <c r="BL134" s="1277"/>
      <c r="BM134" s="1277"/>
      <c r="BN134" s="1277"/>
      <c r="BO134" s="1277"/>
      <c r="BP134" s="1277"/>
      <c r="BQ134" s="1277"/>
      <c r="BR134" s="1277"/>
      <c r="BS134" s="1278"/>
      <c r="BT134" s="1278"/>
      <c r="BU134" s="1278"/>
      <c r="BV134" s="1278"/>
      <c r="BW134" s="1278"/>
      <c r="BX134" s="1278"/>
      <c r="BY134" s="1278"/>
      <c r="BZ134" s="1278"/>
      <c r="CA134" s="1278"/>
      <c r="CB134" s="1278"/>
      <c r="CC134" s="1278"/>
      <c r="CD134" s="1278"/>
    </row>
    <row r="135" spans="1:82" ht="12.75" hidden="1" customHeight="1" outlineLevel="1" x14ac:dyDescent="0.2">
      <c r="A135" s="1471" t="s">
        <v>65</v>
      </c>
      <c r="B135" s="1277"/>
      <c r="C135" s="1277"/>
      <c r="D135" s="1277"/>
      <c r="E135" s="1277"/>
      <c r="F135" s="1277"/>
      <c r="G135" s="1277"/>
      <c r="H135" s="1277"/>
      <c r="I135" s="1456">
        <f t="shared" ref="I135:W135" si="126">+I134/I123</f>
        <v>0.52766057363226915</v>
      </c>
      <c r="J135" s="1456">
        <f t="shared" si="126"/>
        <v>0.48482174624635321</v>
      </c>
      <c r="K135" s="1456">
        <f t="shared" si="126"/>
        <v>0.505104410010216</v>
      </c>
      <c r="L135" s="1456">
        <f t="shared" si="126"/>
        <v>0.51414859005979852</v>
      </c>
      <c r="M135" s="1359">
        <f t="shared" si="126"/>
        <v>0.50795670981839358</v>
      </c>
      <c r="N135" s="1456">
        <f t="shared" si="126"/>
        <v>0.55439438776566019</v>
      </c>
      <c r="O135" s="1456">
        <f t="shared" si="126"/>
        <v>0.52777257627142149</v>
      </c>
      <c r="P135" s="1456">
        <f t="shared" si="126"/>
        <v>0.54626147761474153</v>
      </c>
      <c r="Q135" s="1456">
        <f t="shared" si="126"/>
        <v>0.55435175893119248</v>
      </c>
      <c r="R135" s="1359">
        <f t="shared" si="126"/>
        <v>0.54574068258137098</v>
      </c>
      <c r="S135" s="1456">
        <f t="shared" si="126"/>
        <v>0.56403451868451571</v>
      </c>
      <c r="T135" s="1456">
        <f t="shared" si="126"/>
        <v>0.55966912789529299</v>
      </c>
      <c r="U135" s="1456">
        <f t="shared" si="126"/>
        <v>0.55088194511624899</v>
      </c>
      <c r="V135" s="1456">
        <f t="shared" si="126"/>
        <v>0.56189038625127141</v>
      </c>
      <c r="W135" s="1359">
        <f t="shared" si="126"/>
        <v>0.55910467170001754</v>
      </c>
      <c r="X135" s="1456">
        <f>+X134/X123</f>
        <v>0.57496934934355226</v>
      </c>
      <c r="Y135" s="1456">
        <f>+Y134/Y123</f>
        <v>0.56347559770796285</v>
      </c>
      <c r="Z135" s="1456">
        <f>+Z134/Z123</f>
        <v>0.57475194172953292</v>
      </c>
      <c r="AA135" s="1456">
        <f>+AA134/AA123</f>
        <v>0.5541219768027017</v>
      </c>
      <c r="AB135" s="1277"/>
      <c r="AC135" s="1456"/>
      <c r="AD135" s="1456"/>
      <c r="AE135" s="1456"/>
      <c r="AF135" s="1277"/>
      <c r="AG135" s="1277"/>
      <c r="AH135" s="1456"/>
      <c r="AI135" s="1456"/>
      <c r="AJ135" s="1456"/>
      <c r="AK135" s="1456"/>
      <c r="AL135" s="1277"/>
      <c r="AM135" s="1456"/>
      <c r="AN135" s="1456"/>
      <c r="AO135" s="1456"/>
      <c r="AP135" s="1456"/>
      <c r="AQ135" s="1277"/>
      <c r="AR135" s="1456"/>
      <c r="AS135" s="1456"/>
      <c r="AT135" s="1456"/>
      <c r="AU135" s="1456"/>
      <c r="AV135" s="1277"/>
      <c r="AW135" s="1456"/>
      <c r="AX135" s="1456"/>
      <c r="AY135" s="1456"/>
      <c r="AZ135" s="1456"/>
      <c r="BA135" s="1277"/>
      <c r="BB135" s="1456"/>
      <c r="BC135" s="1456"/>
      <c r="BD135" s="1456"/>
      <c r="BE135" s="1456"/>
      <c r="BF135" s="1277"/>
      <c r="BG135" s="1456"/>
      <c r="BH135" s="1456"/>
      <c r="BI135" s="1456"/>
      <c r="BJ135" s="1456"/>
      <c r="BK135" s="1277"/>
      <c r="BL135" s="1277"/>
      <c r="BM135" s="1277"/>
      <c r="BN135" s="1277"/>
      <c r="BO135" s="1277"/>
      <c r="BP135" s="1277"/>
      <c r="BQ135" s="1277"/>
      <c r="BR135" s="1471"/>
      <c r="BS135" s="1278"/>
      <c r="BT135" s="1278"/>
      <c r="BU135" s="1278"/>
      <c r="BV135" s="1278"/>
      <c r="BW135" s="1278"/>
      <c r="BX135" s="1278"/>
      <c r="BY135" s="1278"/>
      <c r="BZ135" s="1278"/>
      <c r="CA135" s="1278"/>
      <c r="CB135" s="1278"/>
      <c r="CC135" s="1278"/>
      <c r="CD135" s="1278"/>
    </row>
    <row r="136" spans="1:82" ht="12.75" hidden="1" customHeight="1" outlineLevel="1" x14ac:dyDescent="0.2">
      <c r="A136" s="1277"/>
      <c r="B136" s="1277"/>
      <c r="C136" s="1277"/>
      <c r="D136" s="1277"/>
      <c r="E136" s="1277"/>
      <c r="F136" s="1277"/>
      <c r="G136" s="1277"/>
      <c r="H136" s="1277"/>
      <c r="I136" s="1277"/>
      <c r="J136" s="1277"/>
      <c r="K136" s="1277"/>
      <c r="L136" s="1277"/>
      <c r="M136" s="1280"/>
      <c r="N136" s="1277"/>
      <c r="O136" s="1277"/>
      <c r="P136" s="1277"/>
      <c r="Q136" s="1277"/>
      <c r="R136" s="1280"/>
      <c r="S136" s="1277"/>
      <c r="T136" s="1277"/>
      <c r="U136" s="1277"/>
      <c r="V136" s="1277"/>
      <c r="W136" s="1280"/>
      <c r="X136" s="1277"/>
      <c r="Y136" s="1277"/>
      <c r="Z136" s="1277"/>
      <c r="AA136" s="1277"/>
      <c r="AB136" s="1277"/>
      <c r="AC136" s="1277"/>
      <c r="AD136" s="1277"/>
      <c r="AE136" s="1277"/>
      <c r="AF136" s="1277"/>
      <c r="AG136" s="1277"/>
      <c r="AH136" s="1277"/>
      <c r="AI136" s="1277"/>
      <c r="AJ136" s="1277"/>
      <c r="AK136" s="1277"/>
      <c r="AL136" s="1277"/>
      <c r="AM136" s="1277"/>
      <c r="AN136" s="1277"/>
      <c r="AO136" s="1277"/>
      <c r="AP136" s="1277"/>
      <c r="AQ136" s="1277"/>
      <c r="AR136" s="1277"/>
      <c r="AS136" s="1277"/>
      <c r="AT136" s="1277"/>
      <c r="AU136" s="1277"/>
      <c r="AV136" s="1277"/>
      <c r="AW136" s="1277"/>
      <c r="AX136" s="1277"/>
      <c r="AY136" s="1277"/>
      <c r="AZ136" s="1277"/>
      <c r="BA136" s="1277"/>
      <c r="BB136" s="1277"/>
      <c r="BC136" s="1277"/>
      <c r="BD136" s="1277"/>
      <c r="BE136" s="1277"/>
      <c r="BF136" s="1277"/>
      <c r="BG136" s="1277"/>
      <c r="BH136" s="1277"/>
      <c r="BI136" s="1277"/>
      <c r="BJ136" s="1277"/>
      <c r="BK136" s="1277"/>
      <c r="BL136" s="1277"/>
      <c r="BM136" s="1277"/>
      <c r="BN136" s="1277"/>
      <c r="BO136" s="1277"/>
      <c r="BP136" s="1277"/>
      <c r="BQ136" s="1277"/>
      <c r="BR136" s="1277"/>
      <c r="BS136" s="1278"/>
      <c r="BT136" s="1278"/>
      <c r="BU136" s="1278"/>
      <c r="BV136" s="1278"/>
      <c r="BW136" s="1278"/>
      <c r="BX136" s="1278"/>
      <c r="BY136" s="1278"/>
      <c r="BZ136" s="1278"/>
      <c r="CA136" s="1278"/>
      <c r="CB136" s="1278"/>
      <c r="CC136" s="1278"/>
      <c r="CD136" s="1278"/>
    </row>
    <row r="137" spans="1:82" ht="12.75" hidden="1" customHeight="1" outlineLevel="1" x14ac:dyDescent="0.2">
      <c r="A137" s="1425" t="s">
        <v>414</v>
      </c>
      <c r="B137" s="1277"/>
      <c r="C137" s="1277"/>
      <c r="D137" s="1277"/>
      <c r="E137" s="1277"/>
      <c r="F137" s="1277"/>
      <c r="G137" s="1277"/>
      <c r="H137" s="1277"/>
      <c r="I137" s="1277"/>
      <c r="J137" s="1277"/>
      <c r="K137" s="1277"/>
      <c r="L137" s="1277"/>
      <c r="M137" s="1280"/>
      <c r="N137" s="1277"/>
      <c r="O137" s="1277"/>
      <c r="P137" s="1277"/>
      <c r="Q137" s="1277"/>
      <c r="R137" s="1280"/>
      <c r="S137" s="1277"/>
      <c r="T137" s="1277"/>
      <c r="U137" s="1277"/>
      <c r="V137" s="1277"/>
      <c r="W137" s="1280"/>
      <c r="X137" s="1277"/>
      <c r="Y137" s="1277"/>
      <c r="Z137" s="1277"/>
      <c r="AA137" s="1277"/>
      <c r="AB137" s="1277"/>
      <c r="AC137" s="1277"/>
      <c r="AD137" s="1277"/>
      <c r="AE137" s="1277"/>
      <c r="AF137" s="1277"/>
      <c r="AG137" s="1277"/>
      <c r="AH137" s="1277"/>
      <c r="AI137" s="1277"/>
      <c r="AJ137" s="1277"/>
      <c r="AK137" s="1277"/>
      <c r="AL137" s="1277"/>
      <c r="AM137" s="1277"/>
      <c r="AN137" s="1277"/>
      <c r="AO137" s="1277"/>
      <c r="AP137" s="1277"/>
      <c r="AQ137" s="1277"/>
      <c r="AR137" s="1277"/>
      <c r="AS137" s="1277"/>
      <c r="AT137" s="1277"/>
      <c r="AU137" s="1277"/>
      <c r="AV137" s="1277"/>
      <c r="AW137" s="1277"/>
      <c r="AX137" s="1277"/>
      <c r="AY137" s="1277"/>
      <c r="AZ137" s="1277"/>
      <c r="BA137" s="1277"/>
      <c r="BB137" s="1277"/>
      <c r="BC137" s="1277"/>
      <c r="BD137" s="1277"/>
      <c r="BE137" s="1277"/>
      <c r="BF137" s="1277"/>
      <c r="BG137" s="1277"/>
      <c r="BH137" s="1277"/>
      <c r="BI137" s="1277"/>
      <c r="BJ137" s="1277"/>
      <c r="BK137" s="1277"/>
      <c r="BL137" s="1277"/>
      <c r="BM137" s="1277"/>
      <c r="BN137" s="1277"/>
      <c r="BO137" s="1277"/>
      <c r="BP137" s="1277"/>
      <c r="BQ137" s="1277"/>
      <c r="BR137" s="1425"/>
      <c r="BS137" s="1278"/>
      <c r="BT137" s="1278"/>
      <c r="BU137" s="1278"/>
      <c r="BV137" s="1278"/>
      <c r="BW137" s="1278"/>
      <c r="BX137" s="1278"/>
      <c r="BY137" s="1278"/>
      <c r="BZ137" s="1278"/>
      <c r="CA137" s="1278"/>
      <c r="CB137" s="1278"/>
      <c r="CC137" s="1278"/>
      <c r="CD137" s="1278"/>
    </row>
    <row r="138" spans="1:82" ht="12.75" hidden="1" customHeight="1" outlineLevel="1" x14ac:dyDescent="0.2">
      <c r="A138" s="1277" t="s">
        <v>102</v>
      </c>
      <c r="B138" s="1277"/>
      <c r="C138" s="1277"/>
      <c r="D138" s="1277"/>
      <c r="E138" s="1277"/>
      <c r="F138" s="1277"/>
      <c r="G138" s="1277"/>
      <c r="H138" s="1277"/>
      <c r="I138" s="1470">
        <f t="shared" ref="I138:U138" si="127">+I76-I41</f>
        <v>140.87299999999999</v>
      </c>
      <c r="J138" s="1470">
        <f t="shared" si="127"/>
        <v>152.26900000000003</v>
      </c>
      <c r="K138" s="1470">
        <f t="shared" si="127"/>
        <v>166.915505</v>
      </c>
      <c r="L138" s="1470">
        <f t="shared" si="127"/>
        <v>179.04249499999992</v>
      </c>
      <c r="M138" s="1434">
        <f t="shared" si="127"/>
        <v>639.1</v>
      </c>
      <c r="N138" s="1470">
        <f t="shared" si="127"/>
        <v>168.5</v>
      </c>
      <c r="O138" s="1470">
        <f t="shared" si="127"/>
        <v>194.9</v>
      </c>
      <c r="P138" s="1470">
        <f t="shared" si="127"/>
        <v>222.9</v>
      </c>
      <c r="Q138" s="1470">
        <f t="shared" si="127"/>
        <v>242</v>
      </c>
      <c r="R138" s="1434">
        <f t="shared" si="127"/>
        <v>828.30000000000018</v>
      </c>
      <c r="S138" s="1470">
        <f t="shared" si="127"/>
        <v>197.47400000000002</v>
      </c>
      <c r="T138" s="1470">
        <f t="shared" si="127"/>
        <v>205.14599999999996</v>
      </c>
      <c r="U138" s="1470">
        <f t="shared" si="127"/>
        <v>226.12286499999993</v>
      </c>
      <c r="V138" s="1470">
        <f>+V76</f>
        <v>260.37400000000002</v>
      </c>
      <c r="W138" s="1434">
        <f>SUM(S138:V138)</f>
        <v>889.11686499999996</v>
      </c>
      <c r="X138" s="1470">
        <f>+X76-X41</f>
        <v>247.32999999999998</v>
      </c>
      <c r="Y138" s="1470">
        <f>+Y76-Y41</f>
        <v>261.60199999999998</v>
      </c>
      <c r="Z138" s="1470">
        <f>+Z76-Z41</f>
        <v>287.21100000000001</v>
      </c>
      <c r="AA138" s="1470">
        <f>+AA76-AA41</f>
        <v>299.93099999999998</v>
      </c>
      <c r="AB138" s="1277"/>
      <c r="AC138" s="1470"/>
      <c r="AD138" s="1470"/>
      <c r="AE138" s="1470"/>
      <c r="AF138" s="1277"/>
      <c r="AG138" s="1277"/>
      <c r="AH138" s="1470"/>
      <c r="AI138" s="1470"/>
      <c r="AJ138" s="1470"/>
      <c r="AK138" s="1470"/>
      <c r="AL138" s="1277"/>
      <c r="AM138" s="1470"/>
      <c r="AN138" s="1470"/>
      <c r="AO138" s="1470"/>
      <c r="AP138" s="1470"/>
      <c r="AQ138" s="1277"/>
      <c r="AR138" s="1470"/>
      <c r="AS138" s="1470"/>
      <c r="AT138" s="1470"/>
      <c r="AU138" s="1470"/>
      <c r="AV138" s="1277"/>
      <c r="AW138" s="1470"/>
      <c r="AX138" s="1470"/>
      <c r="AY138" s="1470"/>
      <c r="AZ138" s="1470"/>
      <c r="BA138" s="1277"/>
      <c r="BB138" s="1470"/>
      <c r="BC138" s="1470"/>
      <c r="BD138" s="1470"/>
      <c r="BE138" s="1470"/>
      <c r="BF138" s="1277"/>
      <c r="BG138" s="1470"/>
      <c r="BH138" s="1470"/>
      <c r="BI138" s="1470"/>
      <c r="BJ138" s="1470"/>
      <c r="BK138" s="1277"/>
      <c r="BL138" s="1277"/>
      <c r="BM138" s="1277"/>
      <c r="BN138" s="1277"/>
      <c r="BO138" s="1277"/>
      <c r="BP138" s="1277"/>
      <c r="BQ138" s="1277"/>
      <c r="BR138" s="1277"/>
      <c r="BS138" s="1278"/>
      <c r="BT138" s="1278"/>
      <c r="BU138" s="1278"/>
      <c r="BV138" s="1278"/>
      <c r="BW138" s="1278"/>
      <c r="BX138" s="1278"/>
      <c r="BY138" s="1278"/>
      <c r="BZ138" s="1278"/>
      <c r="CA138" s="1278"/>
      <c r="CB138" s="1278"/>
      <c r="CC138" s="1278"/>
      <c r="CD138" s="1278"/>
    </row>
    <row r="139" spans="1:82" ht="12.75" hidden="1" customHeight="1" outlineLevel="1" x14ac:dyDescent="0.2">
      <c r="A139" s="1471" t="s">
        <v>411</v>
      </c>
      <c r="B139" s="1277"/>
      <c r="C139" s="1277"/>
      <c r="D139" s="1277"/>
      <c r="E139" s="1277"/>
      <c r="F139" s="1277"/>
      <c r="G139" s="1277"/>
      <c r="H139" s="1277"/>
      <c r="I139" s="1277"/>
      <c r="J139" s="1277"/>
      <c r="K139" s="1277"/>
      <c r="L139" s="1277"/>
      <c r="M139" s="1280"/>
      <c r="N139" s="1277"/>
      <c r="O139" s="1277"/>
      <c r="P139" s="1277"/>
      <c r="Q139" s="1277"/>
      <c r="R139" s="1280"/>
      <c r="S139" s="1277"/>
      <c r="T139" s="1277"/>
      <c r="U139" s="1277"/>
      <c r="V139" s="1277"/>
      <c r="W139" s="1280"/>
      <c r="X139" s="1277"/>
      <c r="Y139" s="1277"/>
      <c r="Z139" s="1277"/>
      <c r="AA139" s="1277"/>
      <c r="AB139" s="1277"/>
      <c r="AC139" s="1277"/>
      <c r="AD139" s="1277"/>
      <c r="AE139" s="1277"/>
      <c r="AF139" s="1277"/>
      <c r="AG139" s="1277"/>
      <c r="AH139" s="1277"/>
      <c r="AI139" s="1277"/>
      <c r="AJ139" s="1277"/>
      <c r="AK139" s="1277"/>
      <c r="AL139" s="1277"/>
      <c r="AM139" s="1277"/>
      <c r="AN139" s="1277"/>
      <c r="AO139" s="1277"/>
      <c r="AP139" s="1277"/>
      <c r="AQ139" s="1277"/>
      <c r="AR139" s="1277"/>
      <c r="AS139" s="1277"/>
      <c r="AT139" s="1277"/>
      <c r="AU139" s="1277"/>
      <c r="AV139" s="1277"/>
      <c r="AW139" s="1277"/>
      <c r="AX139" s="1277"/>
      <c r="AY139" s="1277"/>
      <c r="AZ139" s="1277"/>
      <c r="BA139" s="1277"/>
      <c r="BB139" s="1277"/>
      <c r="BC139" s="1277"/>
      <c r="BD139" s="1277"/>
      <c r="BE139" s="1277"/>
      <c r="BF139" s="1277"/>
      <c r="BG139" s="1277"/>
      <c r="BH139" s="1277"/>
      <c r="BI139" s="1277"/>
      <c r="BJ139" s="1277"/>
      <c r="BK139" s="1277"/>
      <c r="BL139" s="1277"/>
      <c r="BM139" s="1277"/>
      <c r="BN139" s="1277"/>
      <c r="BO139" s="1277"/>
      <c r="BP139" s="1277"/>
      <c r="BQ139" s="1277"/>
      <c r="BR139" s="1471"/>
      <c r="BS139" s="1278"/>
      <c r="BT139" s="1278"/>
      <c r="BU139" s="1278"/>
      <c r="BV139" s="1278"/>
      <c r="BW139" s="1278"/>
      <c r="BX139" s="1278"/>
      <c r="BY139" s="1278"/>
      <c r="BZ139" s="1278"/>
      <c r="CA139" s="1278"/>
      <c r="CB139" s="1278"/>
      <c r="CC139" s="1278"/>
      <c r="CD139" s="1278"/>
    </row>
    <row r="140" spans="1:82" ht="5.25" hidden="1" customHeight="1" outlineLevel="1" x14ac:dyDescent="0.2">
      <c r="A140" s="1471"/>
      <c r="B140" s="1277"/>
      <c r="C140" s="1277"/>
      <c r="D140" s="1277"/>
      <c r="E140" s="1277"/>
      <c r="F140" s="1277"/>
      <c r="G140" s="1277"/>
      <c r="H140" s="1277"/>
      <c r="I140" s="1277"/>
      <c r="J140" s="1277"/>
      <c r="K140" s="1277"/>
      <c r="L140" s="1277"/>
      <c r="M140" s="1280"/>
      <c r="N140" s="1277"/>
      <c r="O140" s="1277"/>
      <c r="P140" s="1277"/>
      <c r="Q140" s="1277"/>
      <c r="R140" s="1280"/>
      <c r="S140" s="1277"/>
      <c r="T140" s="1277"/>
      <c r="U140" s="1277"/>
      <c r="V140" s="1277"/>
      <c r="W140" s="1280"/>
      <c r="X140" s="1277"/>
      <c r="Y140" s="1277"/>
      <c r="Z140" s="1277"/>
      <c r="AA140" s="1277"/>
      <c r="AB140" s="1277"/>
      <c r="AC140" s="1277"/>
      <c r="AD140" s="1277"/>
      <c r="AE140" s="1277"/>
      <c r="AF140" s="1277"/>
      <c r="AG140" s="1277"/>
      <c r="AH140" s="1277"/>
      <c r="AI140" s="1277"/>
      <c r="AJ140" s="1277"/>
      <c r="AK140" s="1277"/>
      <c r="AL140" s="1277"/>
      <c r="AM140" s="1277"/>
      <c r="AN140" s="1277"/>
      <c r="AO140" s="1277"/>
      <c r="AP140" s="1277"/>
      <c r="AQ140" s="1277"/>
      <c r="AR140" s="1277"/>
      <c r="AS140" s="1277"/>
      <c r="AT140" s="1277"/>
      <c r="AU140" s="1277"/>
      <c r="AV140" s="1277"/>
      <c r="AW140" s="1277"/>
      <c r="AX140" s="1277"/>
      <c r="AY140" s="1277"/>
      <c r="AZ140" s="1277"/>
      <c r="BA140" s="1277"/>
      <c r="BB140" s="1277"/>
      <c r="BC140" s="1277"/>
      <c r="BD140" s="1277"/>
      <c r="BE140" s="1277"/>
      <c r="BF140" s="1277"/>
      <c r="BG140" s="1277"/>
      <c r="BH140" s="1277"/>
      <c r="BI140" s="1277"/>
      <c r="BJ140" s="1277"/>
      <c r="BK140" s="1277"/>
      <c r="BL140" s="1277"/>
      <c r="BM140" s="1277"/>
      <c r="BN140" s="1277"/>
      <c r="BO140" s="1277"/>
      <c r="BP140" s="1277"/>
      <c r="BQ140" s="1277"/>
      <c r="BR140" s="1471"/>
      <c r="BS140" s="1278"/>
      <c r="BT140" s="1278"/>
      <c r="BU140" s="1278"/>
      <c r="BV140" s="1278"/>
      <c r="BW140" s="1278"/>
      <c r="BX140" s="1278"/>
      <c r="BY140" s="1278"/>
      <c r="BZ140" s="1278"/>
      <c r="CA140" s="1278"/>
      <c r="CB140" s="1278"/>
      <c r="CC140" s="1278"/>
      <c r="CD140" s="1278"/>
    </row>
    <row r="141" spans="1:82" ht="12.75" hidden="1" customHeight="1" outlineLevel="1" x14ac:dyDescent="0.2">
      <c r="A141" s="1277" t="s">
        <v>412</v>
      </c>
      <c r="B141" s="1277"/>
      <c r="C141" s="1277"/>
      <c r="D141" s="1277"/>
      <c r="E141" s="1277"/>
      <c r="F141" s="1277"/>
      <c r="G141" s="1277"/>
      <c r="H141" s="1277"/>
      <c r="I141" s="1472">
        <f>+VA!Y317-(VA!$AC317-Revenue_end_mkt!M141)/4</f>
        <v>55.77450000000001</v>
      </c>
      <c r="J141" s="1472">
        <f>+VA!Z317-(VA!$AC317-Revenue_end_mkt!$M141)/4</f>
        <v>60.607500000000009</v>
      </c>
      <c r="K141" s="1472">
        <f>+VA!AA317-(VA!$AC317-Revenue_end_mkt!$M141)/4</f>
        <v>66.885500000000008</v>
      </c>
      <c r="L141" s="1472">
        <f>+VA!AB317-(VA!$AC317-Revenue_end_mkt!$M141)/4</f>
        <v>70.702499999999986</v>
      </c>
      <c r="M141" s="1473">
        <v>253.97</v>
      </c>
      <c r="N141" s="1472">
        <f>+VA!AD317-(VA!$AH317-Revenue_end_mkt!$R141)/4</f>
        <v>65.281499999999994</v>
      </c>
      <c r="O141" s="1472">
        <f>+VA!AE317-(VA!$AH317-Revenue_end_mkt!$R141)/4</f>
        <v>79.152500000000003</v>
      </c>
      <c r="P141" s="1472">
        <f>+VA!AF317-(VA!$AH317-Revenue_end_mkt!$R141)/4</f>
        <v>89.092500000000001</v>
      </c>
      <c r="Q141" s="1472">
        <f>+VA!AG317-(VA!$AH317-Revenue_end_mkt!$R141)/4</f>
        <v>100.7535</v>
      </c>
      <c r="R141" s="1473">
        <v>334.28</v>
      </c>
      <c r="S141" s="1472">
        <f>+VA!AI317-(VA!$AM317-Revenue_end_mkt!$W141)/3</f>
        <v>96.799666666666681</v>
      </c>
      <c r="T141" s="1472">
        <f>+VA!AJ317-(VA!$AM317-Revenue_end_mkt!$W141)/3</f>
        <v>103.95266666666667</v>
      </c>
      <c r="U141" s="1472">
        <f>+VA!AK317-(VA!$AM317-Revenue_end_mkt!$W141)/3</f>
        <v>106.05566666666668</v>
      </c>
      <c r="V141" s="1472">
        <f>+VA!AL317</f>
        <v>121.12000000000003</v>
      </c>
      <c r="W141" s="1473">
        <v>427.928</v>
      </c>
      <c r="X141" s="1472">
        <f>+VA!AN317-(VA!$AM317-Revenue_end_mkt!$W141)/3</f>
        <v>119.74266666666668</v>
      </c>
      <c r="Y141" s="1472">
        <f>+VA!AO317</f>
        <v>120.023</v>
      </c>
      <c r="Z141" s="1472">
        <f>+VA!AP317</f>
        <v>130.059</v>
      </c>
      <c r="AA141" s="1472">
        <f>+VA!AQ317</f>
        <v>138.57</v>
      </c>
      <c r="AB141" s="1277"/>
      <c r="AC141" s="1472"/>
      <c r="AD141" s="1472"/>
      <c r="AE141" s="1472"/>
      <c r="AF141" s="1277"/>
      <c r="AG141" s="1277"/>
      <c r="AH141" s="1472"/>
      <c r="AI141" s="1472"/>
      <c r="AJ141" s="1472"/>
      <c r="AK141" s="1472"/>
      <c r="AL141" s="1277"/>
      <c r="AM141" s="1472"/>
      <c r="AN141" s="1472"/>
      <c r="AO141" s="1472"/>
      <c r="AP141" s="1472"/>
      <c r="AQ141" s="1277"/>
      <c r="AR141" s="1472"/>
      <c r="AS141" s="1472"/>
      <c r="AT141" s="1472"/>
      <c r="AU141" s="1472"/>
      <c r="AV141" s="1277"/>
      <c r="AW141" s="1472"/>
      <c r="AX141" s="1472"/>
      <c r="AY141" s="1472"/>
      <c r="AZ141" s="1472"/>
      <c r="BA141" s="1277"/>
      <c r="BB141" s="1472"/>
      <c r="BC141" s="1472"/>
      <c r="BD141" s="1472"/>
      <c r="BE141" s="1472"/>
      <c r="BF141" s="1277"/>
      <c r="BG141" s="1472"/>
      <c r="BH141" s="1472"/>
      <c r="BI141" s="1472"/>
      <c r="BJ141" s="1472"/>
      <c r="BK141" s="1277"/>
      <c r="BL141" s="1277"/>
      <c r="BM141" s="1277"/>
      <c r="BN141" s="1277"/>
      <c r="BO141" s="1277"/>
      <c r="BP141" s="1277"/>
      <c r="BQ141" s="1277"/>
      <c r="BR141" s="1277"/>
      <c r="BS141" s="1278"/>
      <c r="BT141" s="1278"/>
      <c r="BU141" s="1278"/>
      <c r="BV141" s="1278"/>
      <c r="BW141" s="1278"/>
      <c r="BX141" s="1278"/>
      <c r="BY141" s="1278"/>
      <c r="BZ141" s="1278"/>
      <c r="CA141" s="1278"/>
      <c r="CB141" s="1278"/>
      <c r="CC141" s="1278"/>
      <c r="CD141" s="1278"/>
    </row>
    <row r="142" spans="1:82" ht="12.75" hidden="1" customHeight="1" outlineLevel="1" x14ac:dyDescent="0.2">
      <c r="A142" s="1471" t="s">
        <v>217</v>
      </c>
      <c r="B142" s="1277"/>
      <c r="C142" s="1277"/>
      <c r="D142" s="1277"/>
      <c r="E142" s="1277"/>
      <c r="F142" s="1277"/>
      <c r="G142" s="1277"/>
      <c r="H142" s="1277"/>
      <c r="I142" s="1465">
        <f t="shared" ref="I142:Q142" si="128">+I141/I138</f>
        <v>0.39592043897695095</v>
      </c>
      <c r="J142" s="1465">
        <f t="shared" si="128"/>
        <v>0.3980291457880461</v>
      </c>
      <c r="K142" s="1465">
        <f t="shared" si="128"/>
        <v>0.40071472090025434</v>
      </c>
      <c r="L142" s="1465">
        <f t="shared" si="128"/>
        <v>0.39489228520860381</v>
      </c>
      <c r="M142" s="1281">
        <f t="shared" si="128"/>
        <v>0.39738695039899857</v>
      </c>
      <c r="N142" s="1465">
        <f t="shared" si="128"/>
        <v>0.38742729970326406</v>
      </c>
      <c r="O142" s="1465">
        <f t="shared" si="128"/>
        <v>0.40611852231913803</v>
      </c>
      <c r="P142" s="1465">
        <f t="shared" si="128"/>
        <v>0.39969717362045759</v>
      </c>
      <c r="Q142" s="1465">
        <f t="shared" si="128"/>
        <v>0.41633677685950415</v>
      </c>
      <c r="R142" s="1281"/>
      <c r="S142" s="1465">
        <f>+S141/S138</f>
        <v>0.49018942578094671</v>
      </c>
      <c r="T142" s="1465">
        <f>+T141/T138</f>
        <v>0.50672529158095547</v>
      </c>
      <c r="U142" s="1465">
        <f>+U141/U138</f>
        <v>0.46901787957916913</v>
      </c>
      <c r="V142" s="1465">
        <f>+V141/V138</f>
        <v>0.4651770146020725</v>
      </c>
      <c r="W142" s="1281"/>
      <c r="X142" s="1465">
        <f>+X141/X138</f>
        <v>0.48414129570479397</v>
      </c>
      <c r="Y142" s="1465">
        <f>+Y141/Y138</f>
        <v>0.4588000091742418</v>
      </c>
      <c r="Z142" s="1465">
        <f>+Z141/Z138</f>
        <v>0.45283432737604057</v>
      </c>
      <c r="AA142" s="1465">
        <f>+AA141/AA138</f>
        <v>0.46200626144013124</v>
      </c>
      <c r="AB142" s="1277"/>
      <c r="AC142" s="1465"/>
      <c r="AD142" s="1465"/>
      <c r="AE142" s="1465"/>
      <c r="AF142" s="1277"/>
      <c r="AG142" s="1277"/>
      <c r="AH142" s="1465"/>
      <c r="AI142" s="1465"/>
      <c r="AJ142" s="1465"/>
      <c r="AK142" s="1465"/>
      <c r="AL142" s="1277"/>
      <c r="AM142" s="1465"/>
      <c r="AN142" s="1465"/>
      <c r="AO142" s="1465"/>
      <c r="AP142" s="1465"/>
      <c r="AQ142" s="1277"/>
      <c r="AR142" s="1465"/>
      <c r="AS142" s="1465"/>
      <c r="AT142" s="1465"/>
      <c r="AU142" s="1465"/>
      <c r="AV142" s="1277"/>
      <c r="AW142" s="1465"/>
      <c r="AX142" s="1465"/>
      <c r="AY142" s="1465"/>
      <c r="AZ142" s="1465"/>
      <c r="BA142" s="1277"/>
      <c r="BB142" s="1465"/>
      <c r="BC142" s="1465"/>
      <c r="BD142" s="1465"/>
      <c r="BE142" s="1465"/>
      <c r="BF142" s="1277"/>
      <c r="BG142" s="1465"/>
      <c r="BH142" s="1465"/>
      <c r="BI142" s="1465"/>
      <c r="BJ142" s="1465"/>
      <c r="BK142" s="1277"/>
      <c r="BL142" s="1277"/>
      <c r="BM142" s="1277"/>
      <c r="BN142" s="1277"/>
      <c r="BO142" s="1277"/>
      <c r="BP142" s="1277"/>
      <c r="BQ142" s="1277"/>
      <c r="BR142" s="1471"/>
      <c r="BS142" s="1278"/>
      <c r="BT142" s="1278"/>
      <c r="BU142" s="1278"/>
      <c r="BV142" s="1278"/>
      <c r="BW142" s="1278"/>
      <c r="BX142" s="1278"/>
      <c r="BY142" s="1278"/>
      <c r="BZ142" s="1278"/>
      <c r="CA142" s="1278"/>
      <c r="CB142" s="1278"/>
      <c r="CC142" s="1278"/>
      <c r="CD142" s="1278"/>
    </row>
    <row r="143" spans="1:82" ht="5.25" hidden="1" customHeight="1" outlineLevel="1" x14ac:dyDescent="0.2">
      <c r="A143" s="1471"/>
      <c r="B143" s="1277"/>
      <c r="C143" s="1277"/>
      <c r="D143" s="1277"/>
      <c r="E143" s="1277"/>
      <c r="F143" s="1277"/>
      <c r="G143" s="1277"/>
      <c r="H143" s="1277"/>
      <c r="I143" s="1277"/>
      <c r="J143" s="1277"/>
      <c r="K143" s="1277"/>
      <c r="L143" s="1277"/>
      <c r="M143" s="1280"/>
      <c r="N143" s="1277"/>
      <c r="O143" s="1277"/>
      <c r="P143" s="1277"/>
      <c r="Q143" s="1277"/>
      <c r="R143" s="1280"/>
      <c r="S143" s="1277"/>
      <c r="T143" s="1277"/>
      <c r="U143" s="1277"/>
      <c r="V143" s="1277"/>
      <c r="W143" s="1280"/>
      <c r="X143" s="1277"/>
      <c r="Y143" s="1277"/>
      <c r="Z143" s="1277"/>
      <c r="AA143" s="1277"/>
      <c r="AB143" s="1277"/>
      <c r="AC143" s="1277"/>
      <c r="AD143" s="1277"/>
      <c r="AE143" s="1277"/>
      <c r="AF143" s="1277"/>
      <c r="AG143" s="1277"/>
      <c r="AH143" s="1277"/>
      <c r="AI143" s="1277"/>
      <c r="AJ143" s="1277"/>
      <c r="AK143" s="1277"/>
      <c r="AL143" s="1277"/>
      <c r="AM143" s="1277"/>
      <c r="AN143" s="1277"/>
      <c r="AO143" s="1277"/>
      <c r="AP143" s="1277"/>
      <c r="AQ143" s="1277"/>
      <c r="AR143" s="1277"/>
      <c r="AS143" s="1277"/>
      <c r="AT143" s="1277"/>
      <c r="AU143" s="1277"/>
      <c r="AV143" s="1277"/>
      <c r="AW143" s="1277"/>
      <c r="AX143" s="1277"/>
      <c r="AY143" s="1277"/>
      <c r="AZ143" s="1277"/>
      <c r="BA143" s="1277"/>
      <c r="BB143" s="1277"/>
      <c r="BC143" s="1277"/>
      <c r="BD143" s="1277"/>
      <c r="BE143" s="1277"/>
      <c r="BF143" s="1277"/>
      <c r="BG143" s="1277"/>
      <c r="BH143" s="1277"/>
      <c r="BI143" s="1277"/>
      <c r="BJ143" s="1277"/>
      <c r="BK143" s="1277"/>
      <c r="BL143" s="1277"/>
      <c r="BM143" s="1277"/>
      <c r="BN143" s="1277"/>
      <c r="BO143" s="1277"/>
      <c r="BP143" s="1277"/>
      <c r="BQ143" s="1277"/>
      <c r="BR143" s="1471"/>
      <c r="BS143" s="1278"/>
      <c r="BT143" s="1278"/>
      <c r="BU143" s="1278"/>
      <c r="BV143" s="1278"/>
      <c r="BW143" s="1278"/>
      <c r="BX143" s="1278"/>
      <c r="BY143" s="1278"/>
      <c r="BZ143" s="1278"/>
      <c r="CA143" s="1278"/>
      <c r="CB143" s="1278"/>
      <c r="CC143" s="1278"/>
      <c r="CD143" s="1278"/>
    </row>
    <row r="144" spans="1:82" ht="12.75" hidden="1" customHeight="1" outlineLevel="1" x14ac:dyDescent="0.2">
      <c r="A144" s="1277" t="s">
        <v>413</v>
      </c>
      <c r="B144" s="1277"/>
      <c r="C144" s="1277"/>
      <c r="D144" s="1277"/>
      <c r="E144" s="1277"/>
      <c r="F144" s="1277"/>
      <c r="G144" s="1277"/>
      <c r="H144" s="1277"/>
      <c r="I144" s="1472">
        <f>+VA!Y323-(VA!$AC323-Revenue_end_mkt!$M144)/4</f>
        <v>27.941500000000001</v>
      </c>
      <c r="J144" s="1472">
        <f>+VA!Z323-(VA!$AC323-Revenue_end_mkt!$M144)/4</f>
        <v>30.3765</v>
      </c>
      <c r="K144" s="1472">
        <f>+VA!AA323-(VA!$AC323-Revenue_end_mkt!$M144)/4</f>
        <v>29.2225</v>
      </c>
      <c r="L144" s="1472">
        <f>+VA!AB323-(VA!$AC323-Revenue_end_mkt!$M144)/4</f>
        <v>29.647500000000008</v>
      </c>
      <c r="M144" s="1473">
        <v>117.188</v>
      </c>
      <c r="N144" s="1472">
        <f>+VA!AD323-(VA!$AH323-Revenue_end_mkt!$R144)/4-71.4+71.7</f>
        <v>31.85425</v>
      </c>
      <c r="O144" s="1472">
        <f>+VA!AE323-(VA!$AH323-Revenue_end_mkt!$R144)/4-80.14+79</f>
        <v>35.599249999999998</v>
      </c>
      <c r="P144" s="1472">
        <f>+VA!AF323-(VA!$AH323-Revenue_end_mkt!$R144)/4-97.9+97.7</f>
        <v>35.948249999999994</v>
      </c>
      <c r="Q144" s="1472">
        <f>+R144-SUM(N144:P144)</f>
        <v>35.720250000000021</v>
      </c>
      <c r="R144" s="1473">
        <v>139.12200000000001</v>
      </c>
      <c r="S144" s="1472">
        <f>+VA!AI323-(VA!$AM323-Revenue_end_mkt!$W144)/3-90.4+90.9</f>
        <v>37.248999999999995</v>
      </c>
      <c r="T144" s="1472">
        <f>+VA!AJ323-(VA!$AM323-Revenue_end_mkt!$W144)/3-93.6+92.2</f>
        <v>37.195</v>
      </c>
      <c r="U144" s="1472">
        <f>+VA!AK323-(VA!$AM323-Revenue_end_mkt!$W144)/3-113.7+114.6</f>
        <v>38.050999999999988</v>
      </c>
      <c r="V144" s="1472">
        <f>+VA!AL323</f>
        <v>39.062000000000012</v>
      </c>
      <c r="W144" s="1473">
        <v>151.55699999999999</v>
      </c>
      <c r="X144" s="1472">
        <f>+VA!AN323-(VA!$AM323-Revenue_end_mkt!$W144)/3-90.4+90.9</f>
        <v>38.550999999999995</v>
      </c>
      <c r="Y144" s="1472">
        <f>+VA!AO323</f>
        <v>38.625</v>
      </c>
      <c r="Z144" s="1472">
        <f>+VA!AP323</f>
        <v>38.604999999999997</v>
      </c>
      <c r="AA144" s="1472">
        <f>+VA!AQ323</f>
        <v>38.171999999999997</v>
      </c>
      <c r="AB144" s="1277"/>
      <c r="AC144" s="1472"/>
      <c r="AD144" s="1472"/>
      <c r="AE144" s="1472"/>
      <c r="AF144" s="1277"/>
      <c r="AG144" s="1277"/>
      <c r="AH144" s="1472"/>
      <c r="AI144" s="1472"/>
      <c r="AJ144" s="1472"/>
      <c r="AK144" s="1472"/>
      <c r="AL144" s="1277"/>
      <c r="AM144" s="1472"/>
      <c r="AN144" s="1472"/>
      <c r="AO144" s="1472"/>
      <c r="AP144" s="1472"/>
      <c r="AQ144" s="1277"/>
      <c r="AR144" s="1472"/>
      <c r="AS144" s="1472"/>
      <c r="AT144" s="1472"/>
      <c r="AU144" s="1472"/>
      <c r="AV144" s="1277"/>
      <c r="AW144" s="1472"/>
      <c r="AX144" s="1472"/>
      <c r="AY144" s="1472"/>
      <c r="AZ144" s="1472"/>
      <c r="BA144" s="1277"/>
      <c r="BB144" s="1472"/>
      <c r="BC144" s="1472"/>
      <c r="BD144" s="1472"/>
      <c r="BE144" s="1472"/>
      <c r="BF144" s="1277"/>
      <c r="BG144" s="1472"/>
      <c r="BH144" s="1472"/>
      <c r="BI144" s="1472"/>
      <c r="BJ144" s="1472"/>
      <c r="BK144" s="1277"/>
      <c r="BL144" s="1277"/>
      <c r="BM144" s="1277"/>
      <c r="BN144" s="1277"/>
      <c r="BO144" s="1277"/>
      <c r="BP144" s="1277"/>
      <c r="BQ144" s="1277"/>
      <c r="BR144" s="1277"/>
      <c r="BS144" s="1278"/>
      <c r="BT144" s="1278"/>
      <c r="BU144" s="1278"/>
      <c r="BV144" s="1278"/>
      <c r="BW144" s="1278"/>
      <c r="BX144" s="1278"/>
      <c r="BY144" s="1278"/>
      <c r="BZ144" s="1278"/>
      <c r="CA144" s="1278"/>
      <c r="CB144" s="1278"/>
      <c r="CC144" s="1278"/>
      <c r="CD144" s="1278"/>
    </row>
    <row r="145" spans="1:82" ht="12.75" hidden="1" customHeight="1" outlineLevel="1" x14ac:dyDescent="0.2">
      <c r="A145" s="1471" t="s">
        <v>217</v>
      </c>
      <c r="B145" s="1277"/>
      <c r="C145" s="1277"/>
      <c r="D145" s="1277"/>
      <c r="E145" s="1277"/>
      <c r="F145" s="1277"/>
      <c r="G145" s="1277"/>
      <c r="H145" s="1277"/>
      <c r="I145" s="1465">
        <f>+I144/I138</f>
        <v>0.19834531812341616</v>
      </c>
      <c r="J145" s="1465">
        <f t="shared" ref="J145:W145" si="129">+J144/J138</f>
        <v>0.19949234578279226</v>
      </c>
      <c r="K145" s="1465">
        <f t="shared" si="129"/>
        <v>0.17507360984828821</v>
      </c>
      <c r="L145" s="1465">
        <f t="shared" si="129"/>
        <v>0.16558918037865827</v>
      </c>
      <c r="M145" s="1281">
        <f t="shared" si="129"/>
        <v>0.18336410577374432</v>
      </c>
      <c r="N145" s="1465">
        <f>+N144/N138</f>
        <v>0.18904599406528191</v>
      </c>
      <c r="O145" s="1465">
        <f t="shared" si="129"/>
        <v>0.18265392508978961</v>
      </c>
      <c r="P145" s="1465">
        <f t="shared" si="129"/>
        <v>0.16127523553162851</v>
      </c>
      <c r="Q145" s="1465">
        <f t="shared" si="129"/>
        <v>0.1476043388429753</v>
      </c>
      <c r="R145" s="1281">
        <f t="shared" si="129"/>
        <v>0.16796088373777615</v>
      </c>
      <c r="S145" s="1465">
        <f>+S144/S138</f>
        <v>0.18862736360229698</v>
      </c>
      <c r="T145" s="1465">
        <f t="shared" si="129"/>
        <v>0.18130989636649025</v>
      </c>
      <c r="U145" s="1465">
        <f t="shared" si="129"/>
        <v>0.16827577343847999</v>
      </c>
      <c r="V145" s="1465">
        <f t="shared" si="129"/>
        <v>0.15002265971256734</v>
      </c>
      <c r="W145" s="1281">
        <f t="shared" si="129"/>
        <v>0.17045790712787795</v>
      </c>
      <c r="X145" s="1465">
        <f>+X144/X138</f>
        <v>0.15586867747543767</v>
      </c>
      <c r="Y145" s="1465">
        <f>+Y144/Y138</f>
        <v>0.14764795376182141</v>
      </c>
      <c r="Z145" s="1465">
        <f>+Z144/Z138</f>
        <v>0.13441337553227417</v>
      </c>
      <c r="AA145" s="1465">
        <f>+AA144/AA138</f>
        <v>0.12726927193254448</v>
      </c>
      <c r="AB145" s="1277"/>
      <c r="AC145" s="1465"/>
      <c r="AD145" s="1465"/>
      <c r="AE145" s="1465"/>
      <c r="AF145" s="1277"/>
      <c r="AG145" s="1277"/>
      <c r="AH145" s="1465"/>
      <c r="AI145" s="1465"/>
      <c r="AJ145" s="1465"/>
      <c r="AK145" s="1465"/>
      <c r="AL145" s="1277"/>
      <c r="AM145" s="1465"/>
      <c r="AN145" s="1465"/>
      <c r="AO145" s="1465"/>
      <c r="AP145" s="1465"/>
      <c r="AQ145" s="1277"/>
      <c r="AR145" s="1465"/>
      <c r="AS145" s="1465"/>
      <c r="AT145" s="1465"/>
      <c r="AU145" s="1465"/>
      <c r="AV145" s="1277"/>
      <c r="AW145" s="1465"/>
      <c r="AX145" s="1465"/>
      <c r="AY145" s="1465"/>
      <c r="AZ145" s="1465"/>
      <c r="BA145" s="1277"/>
      <c r="BB145" s="1465"/>
      <c r="BC145" s="1465"/>
      <c r="BD145" s="1465"/>
      <c r="BE145" s="1465"/>
      <c r="BF145" s="1277"/>
      <c r="BG145" s="1465"/>
      <c r="BH145" s="1465"/>
      <c r="BI145" s="1465"/>
      <c r="BJ145" s="1465"/>
      <c r="BK145" s="1277"/>
      <c r="BL145" s="1277"/>
      <c r="BM145" s="1277"/>
      <c r="BN145" s="1277"/>
      <c r="BO145" s="1277"/>
      <c r="BP145" s="1277"/>
      <c r="BQ145" s="1277"/>
      <c r="BR145" s="1471"/>
      <c r="BS145" s="1278"/>
      <c r="BT145" s="1278"/>
      <c r="BU145" s="1278"/>
      <c r="BV145" s="1278"/>
      <c r="BW145" s="1278"/>
      <c r="BX145" s="1278"/>
      <c r="BY145" s="1278"/>
      <c r="BZ145" s="1278"/>
      <c r="CA145" s="1278"/>
      <c r="CB145" s="1278"/>
      <c r="CC145" s="1278"/>
      <c r="CD145" s="1278"/>
    </row>
    <row r="146" spans="1:82" ht="5.25" hidden="1" customHeight="1" outlineLevel="1" x14ac:dyDescent="0.2">
      <c r="A146" s="1277"/>
      <c r="B146" s="1277"/>
      <c r="C146" s="1277"/>
      <c r="D146" s="1277"/>
      <c r="E146" s="1277"/>
      <c r="F146" s="1277"/>
      <c r="G146" s="1277"/>
      <c r="H146" s="1277"/>
      <c r="I146" s="1277"/>
      <c r="J146" s="1277"/>
      <c r="K146" s="1277"/>
      <c r="L146" s="1277"/>
      <c r="M146" s="1280"/>
      <c r="N146" s="1277"/>
      <c r="O146" s="1277"/>
      <c r="P146" s="1277"/>
      <c r="Q146" s="1277"/>
      <c r="R146" s="1280"/>
      <c r="S146" s="1277"/>
      <c r="T146" s="1277"/>
      <c r="U146" s="1277"/>
      <c r="V146" s="1277"/>
      <c r="W146" s="1280"/>
      <c r="X146" s="1277"/>
      <c r="Y146" s="1277"/>
      <c r="Z146" s="1277"/>
      <c r="AA146" s="1277"/>
      <c r="AB146" s="1277"/>
      <c r="AC146" s="1277"/>
      <c r="AD146" s="1277"/>
      <c r="AE146" s="1277"/>
      <c r="AF146" s="1277"/>
      <c r="AG146" s="1277"/>
      <c r="AH146" s="1277"/>
      <c r="AI146" s="1277"/>
      <c r="AJ146" s="1277"/>
      <c r="AK146" s="1277"/>
      <c r="AL146" s="1277"/>
      <c r="AM146" s="1277"/>
      <c r="AN146" s="1277"/>
      <c r="AO146" s="1277"/>
      <c r="AP146" s="1277"/>
      <c r="AQ146" s="1277"/>
      <c r="AR146" s="1277"/>
      <c r="AS146" s="1277"/>
      <c r="AT146" s="1277"/>
      <c r="AU146" s="1277"/>
      <c r="AV146" s="1277"/>
      <c r="AW146" s="1277"/>
      <c r="AX146" s="1277"/>
      <c r="AY146" s="1277"/>
      <c r="AZ146" s="1277"/>
      <c r="BA146" s="1277"/>
      <c r="BB146" s="1277"/>
      <c r="BC146" s="1277"/>
      <c r="BD146" s="1277"/>
      <c r="BE146" s="1277"/>
      <c r="BF146" s="1277"/>
      <c r="BG146" s="1277"/>
      <c r="BH146" s="1277"/>
      <c r="BI146" s="1277"/>
      <c r="BJ146" s="1277"/>
      <c r="BK146" s="1277"/>
      <c r="BL146" s="1277"/>
      <c r="BM146" s="1277"/>
      <c r="BN146" s="1277"/>
      <c r="BO146" s="1277"/>
      <c r="BP146" s="1277"/>
      <c r="BQ146" s="1277"/>
      <c r="BR146" s="1277"/>
      <c r="BS146" s="1278"/>
      <c r="BT146" s="1278"/>
      <c r="BU146" s="1278"/>
      <c r="BV146" s="1278"/>
      <c r="BW146" s="1278"/>
      <c r="BX146" s="1278"/>
      <c r="BY146" s="1278"/>
      <c r="BZ146" s="1278"/>
      <c r="CA146" s="1278"/>
      <c r="CB146" s="1278"/>
      <c r="CC146" s="1278"/>
      <c r="CD146" s="1278"/>
    </row>
    <row r="147" spans="1:82" ht="12.75" hidden="1" customHeight="1" outlineLevel="1" x14ac:dyDescent="0.2">
      <c r="A147" s="1277" t="s">
        <v>64</v>
      </c>
      <c r="B147" s="1277"/>
      <c r="C147" s="1277"/>
      <c r="D147" s="1277"/>
      <c r="E147" s="1277"/>
      <c r="F147" s="1277"/>
      <c r="G147" s="1277"/>
      <c r="H147" s="1277"/>
      <c r="I147" s="1472">
        <f>+I138-I141-I144</f>
        <v>57.156999999999968</v>
      </c>
      <c r="J147" s="1472">
        <f t="shared" ref="J147:W147" si="130">+J138-J141-J144</f>
        <v>61.285000000000018</v>
      </c>
      <c r="K147" s="1472">
        <f t="shared" si="130"/>
        <v>70.807504999999992</v>
      </c>
      <c r="L147" s="1472">
        <f t="shared" si="130"/>
        <v>78.692494999999923</v>
      </c>
      <c r="M147" s="1473">
        <f t="shared" si="130"/>
        <v>267.94200000000001</v>
      </c>
      <c r="N147" s="1472">
        <f t="shared" si="130"/>
        <v>71.364249999999998</v>
      </c>
      <c r="O147" s="1472">
        <f t="shared" si="130"/>
        <v>80.148250000000004</v>
      </c>
      <c r="P147" s="1472">
        <f t="shared" si="130"/>
        <v>97.859250000000003</v>
      </c>
      <c r="Q147" s="1472">
        <f t="shared" si="130"/>
        <v>105.52624999999998</v>
      </c>
      <c r="R147" s="1473">
        <f t="shared" si="130"/>
        <v>354.8980000000002</v>
      </c>
      <c r="S147" s="1472">
        <f t="shared" si="130"/>
        <v>63.425333333333342</v>
      </c>
      <c r="T147" s="1472">
        <f t="shared" si="130"/>
        <v>63.998333333333285</v>
      </c>
      <c r="U147" s="1472">
        <f t="shared" si="130"/>
        <v>82.016198333333264</v>
      </c>
      <c r="V147" s="1472">
        <f t="shared" si="130"/>
        <v>100.19199999999998</v>
      </c>
      <c r="W147" s="1473">
        <f t="shared" si="130"/>
        <v>309.63186499999995</v>
      </c>
      <c r="X147" s="1472">
        <f>+X138-X141-X144</f>
        <v>89.036333333333317</v>
      </c>
      <c r="Y147" s="1472">
        <f>+Y138-Y141-Y144</f>
        <v>102.95399999999998</v>
      </c>
      <c r="Z147" s="1472">
        <f>+Z138-Z141-Z144</f>
        <v>118.54700000000003</v>
      </c>
      <c r="AA147" s="1472">
        <f>+AA138-AA141-AA144</f>
        <v>123.18899999999999</v>
      </c>
      <c r="AB147" s="1277"/>
      <c r="AC147" s="1472"/>
      <c r="AD147" s="1472"/>
      <c r="AE147" s="1472"/>
      <c r="AF147" s="1277"/>
      <c r="AG147" s="1277"/>
      <c r="AH147" s="1472"/>
      <c r="AI147" s="1472"/>
      <c r="AJ147" s="1472"/>
      <c r="AK147" s="1472"/>
      <c r="AL147" s="1277"/>
      <c r="AM147" s="1472"/>
      <c r="AN147" s="1472"/>
      <c r="AO147" s="1472"/>
      <c r="AP147" s="1472"/>
      <c r="AQ147" s="1277"/>
      <c r="AR147" s="1472"/>
      <c r="AS147" s="1472"/>
      <c r="AT147" s="1472"/>
      <c r="AU147" s="1472"/>
      <c r="AV147" s="1277"/>
      <c r="AW147" s="1472"/>
      <c r="AX147" s="1472"/>
      <c r="AY147" s="1472"/>
      <c r="AZ147" s="1472"/>
      <c r="BA147" s="1277"/>
      <c r="BB147" s="1472"/>
      <c r="BC147" s="1472"/>
      <c r="BD147" s="1472"/>
      <c r="BE147" s="1472"/>
      <c r="BF147" s="1277"/>
      <c r="BG147" s="1472"/>
      <c r="BH147" s="1472"/>
      <c r="BI147" s="1472"/>
      <c r="BJ147" s="1472"/>
      <c r="BK147" s="1277"/>
      <c r="BL147" s="1277"/>
      <c r="BM147" s="1277"/>
      <c r="BN147" s="1277"/>
      <c r="BO147" s="1277"/>
      <c r="BP147" s="1277"/>
      <c r="BQ147" s="1277"/>
      <c r="BR147" s="1277"/>
      <c r="BS147" s="1278"/>
      <c r="BT147" s="1278"/>
      <c r="BU147" s="1278"/>
      <c r="BV147" s="1278"/>
      <c r="BW147" s="1278"/>
      <c r="BX147" s="1278"/>
      <c r="BY147" s="1278"/>
      <c r="BZ147" s="1278"/>
      <c r="CA147" s="1278"/>
      <c r="CB147" s="1278"/>
      <c r="CC147" s="1278"/>
      <c r="CD147" s="1278"/>
    </row>
    <row r="148" spans="1:82" ht="12.75" hidden="1" customHeight="1" outlineLevel="1" x14ac:dyDescent="0.2">
      <c r="A148" s="1277" t="s">
        <v>65</v>
      </c>
      <c r="B148" s="1277"/>
      <c r="C148" s="1277"/>
      <c r="D148" s="1277"/>
      <c r="E148" s="1277"/>
      <c r="F148" s="1277"/>
      <c r="G148" s="1277"/>
      <c r="H148" s="1277"/>
      <c r="I148" s="1456">
        <f>+I147/I138</f>
        <v>0.40573424289963278</v>
      </c>
      <c r="J148" s="1456">
        <f t="shared" ref="J148:W148" si="131">+J147/J138</f>
        <v>0.40247850842916155</v>
      </c>
      <c r="K148" s="1456">
        <f t="shared" si="131"/>
        <v>0.42421166925145748</v>
      </c>
      <c r="L148" s="1456">
        <f t="shared" si="131"/>
        <v>0.43951853441273792</v>
      </c>
      <c r="M148" s="1359">
        <f t="shared" si="131"/>
        <v>0.41924894382725708</v>
      </c>
      <c r="N148" s="1456">
        <f t="shared" si="131"/>
        <v>0.423526706231454</v>
      </c>
      <c r="O148" s="1456">
        <f t="shared" si="131"/>
        <v>0.41122755259107235</v>
      </c>
      <c r="P148" s="1456">
        <f t="shared" si="131"/>
        <v>0.43902759084791387</v>
      </c>
      <c r="Q148" s="1456">
        <f t="shared" si="131"/>
        <v>0.43605888429752054</v>
      </c>
      <c r="R148" s="1359">
        <f t="shared" si="131"/>
        <v>0.42846553181214547</v>
      </c>
      <c r="S148" s="1456">
        <f t="shared" si="131"/>
        <v>0.32118321061675631</v>
      </c>
      <c r="T148" s="1456">
        <f t="shared" si="131"/>
        <v>0.31196481205255427</v>
      </c>
      <c r="U148" s="1456">
        <f t="shared" si="131"/>
        <v>0.36270634698235088</v>
      </c>
      <c r="V148" s="1456">
        <f t="shared" si="131"/>
        <v>0.38480032568536016</v>
      </c>
      <c r="W148" s="1359">
        <f t="shared" si="131"/>
        <v>0.34824653224860375</v>
      </c>
      <c r="X148" s="1456">
        <f>+X147/X138</f>
        <v>0.35999002681976844</v>
      </c>
      <c r="Y148" s="1456">
        <f>+Y147/Y138</f>
        <v>0.39355203706393677</v>
      </c>
      <c r="Z148" s="1456">
        <f>+Z147/Z138</f>
        <v>0.41275229709168526</v>
      </c>
      <c r="AA148" s="1456">
        <f>+AA147/AA138</f>
        <v>0.41072446662732426</v>
      </c>
      <c r="AB148" s="1277"/>
      <c r="AC148" s="1456"/>
      <c r="AD148" s="1456"/>
      <c r="AE148" s="1456"/>
      <c r="AF148" s="1277"/>
      <c r="AG148" s="1277"/>
      <c r="AH148" s="1456"/>
      <c r="AI148" s="1456"/>
      <c r="AJ148" s="1456"/>
      <c r="AK148" s="1456"/>
      <c r="AL148" s="1277"/>
      <c r="AM148" s="1456"/>
      <c r="AN148" s="1456"/>
      <c r="AO148" s="1456"/>
      <c r="AP148" s="1456"/>
      <c r="AQ148" s="1277"/>
      <c r="AR148" s="1456"/>
      <c r="AS148" s="1456"/>
      <c r="AT148" s="1456"/>
      <c r="AU148" s="1456"/>
      <c r="AV148" s="1277"/>
      <c r="AW148" s="1456"/>
      <c r="AX148" s="1456"/>
      <c r="AY148" s="1456"/>
      <c r="AZ148" s="1456"/>
      <c r="BA148" s="1277"/>
      <c r="BB148" s="1456"/>
      <c r="BC148" s="1456"/>
      <c r="BD148" s="1456"/>
      <c r="BE148" s="1456"/>
      <c r="BF148" s="1277"/>
      <c r="BG148" s="1456"/>
      <c r="BH148" s="1456"/>
      <c r="BI148" s="1456"/>
      <c r="BJ148" s="1456"/>
      <c r="BK148" s="1277"/>
      <c r="BL148" s="1277"/>
      <c r="BM148" s="1277"/>
      <c r="BN148" s="1277"/>
      <c r="BO148" s="1277"/>
      <c r="BP148" s="1277"/>
      <c r="BQ148" s="1277"/>
      <c r="BR148" s="1277"/>
      <c r="BS148" s="1278"/>
      <c r="BT148" s="1278"/>
      <c r="BU148" s="1278"/>
      <c r="BV148" s="1278"/>
      <c r="BW148" s="1278"/>
      <c r="BX148" s="1278"/>
      <c r="BY148" s="1278"/>
      <c r="BZ148" s="1278"/>
      <c r="CA148" s="1278"/>
      <c r="CB148" s="1278"/>
      <c r="CC148" s="1278"/>
      <c r="CD148" s="1278"/>
    </row>
    <row r="149" spans="1:82" collapsed="1" x14ac:dyDescent="0.2">
      <c r="A149" s="1277"/>
      <c r="B149" s="1277"/>
      <c r="C149" s="1277"/>
      <c r="D149" s="1277"/>
      <c r="E149" s="1277"/>
      <c r="F149" s="1277"/>
      <c r="G149" s="1277"/>
      <c r="H149" s="1277"/>
      <c r="I149" s="1277"/>
      <c r="J149" s="1277"/>
      <c r="K149" s="1277"/>
      <c r="L149" s="1277"/>
      <c r="M149" s="1277"/>
      <c r="N149" s="1277"/>
      <c r="O149" s="1277"/>
      <c r="P149" s="1277"/>
      <c r="Q149" s="1277"/>
      <c r="R149" s="1277"/>
      <c r="S149" s="1277"/>
      <c r="T149" s="1277"/>
      <c r="U149" s="1277"/>
      <c r="V149" s="1277"/>
      <c r="W149" s="1277"/>
      <c r="X149" s="1277"/>
      <c r="Y149" s="1277"/>
      <c r="Z149" s="1277"/>
      <c r="AA149" s="1277"/>
      <c r="AB149" s="1277"/>
      <c r="AC149" s="1277"/>
      <c r="AD149" s="1277"/>
      <c r="AE149" s="1277"/>
      <c r="AF149" s="1277"/>
      <c r="AG149" s="1277"/>
      <c r="AH149" s="1277"/>
      <c r="AI149" s="1277"/>
      <c r="AJ149" s="1277"/>
      <c r="AK149" s="1277"/>
      <c r="AL149" s="1277"/>
      <c r="AM149" s="1277"/>
      <c r="AN149" s="1277"/>
      <c r="AO149" s="1277"/>
      <c r="AP149" s="1277"/>
      <c r="AQ149" s="1277"/>
      <c r="AR149" s="1277"/>
      <c r="AS149" s="1277"/>
      <c r="AT149" s="1277"/>
      <c r="AU149" s="1277"/>
      <c r="AV149" s="1277"/>
      <c r="AW149" s="1277"/>
      <c r="AX149" s="1277"/>
      <c r="AY149" s="1277"/>
      <c r="AZ149" s="1277"/>
      <c r="BA149" s="1277"/>
      <c r="BB149" s="1277"/>
      <c r="BC149" s="1277"/>
      <c r="BD149" s="1277"/>
      <c r="BE149" s="1277"/>
      <c r="BF149" s="1277"/>
      <c r="BG149" s="1277"/>
      <c r="BH149" s="1277"/>
      <c r="BI149" s="1277"/>
      <c r="BJ149" s="1277"/>
      <c r="BK149" s="1277"/>
      <c r="BL149" s="1277"/>
      <c r="BM149" s="1277"/>
      <c r="BN149" s="1277"/>
      <c r="BO149" s="1277"/>
      <c r="BP149" s="1277"/>
      <c r="BQ149" s="1277"/>
      <c r="BR149" s="1277"/>
      <c r="BS149" s="1278"/>
      <c r="BT149" s="1278"/>
      <c r="BU149" s="1278"/>
      <c r="BV149" s="1278"/>
      <c r="BW149" s="1278"/>
      <c r="BX149" s="1278"/>
      <c r="BY149" s="1278"/>
      <c r="BZ149" s="1278"/>
      <c r="CA149" s="1278"/>
      <c r="CB149" s="1278"/>
      <c r="CC149" s="1278"/>
      <c r="CD149" s="1278"/>
    </row>
    <row r="150" spans="1:82" ht="12.75" hidden="1" customHeight="1" outlineLevel="1" x14ac:dyDescent="0.2">
      <c r="A150" s="1277"/>
      <c r="B150" s="1277"/>
      <c r="C150" s="1277"/>
      <c r="D150" s="1277"/>
      <c r="E150" s="1277"/>
      <c r="F150" s="1277"/>
      <c r="G150" s="1277"/>
      <c r="H150" s="1277"/>
      <c r="I150" s="1277"/>
      <c r="J150" s="1277"/>
      <c r="K150" s="1277"/>
      <c r="L150" s="1277"/>
      <c r="M150" s="1277"/>
      <c r="N150" s="1277"/>
      <c r="O150" s="1277"/>
      <c r="P150" s="1277"/>
      <c r="Q150" s="1277"/>
      <c r="R150" s="1277"/>
      <c r="S150" s="1277"/>
      <c r="T150" s="1277"/>
      <c r="U150" s="1277"/>
      <c r="V150" s="1277"/>
      <c r="W150" s="1277"/>
      <c r="X150" s="1277"/>
      <c r="Y150" s="1277"/>
      <c r="Z150" s="1277"/>
      <c r="AA150" s="1277"/>
      <c r="AB150" s="1277"/>
      <c r="AC150" s="1277"/>
      <c r="AD150" s="1277"/>
      <c r="AE150" s="1277"/>
      <c r="AF150" s="1277"/>
      <c r="AG150" s="1277"/>
      <c r="AH150" s="1277"/>
      <c r="AI150" s="1277"/>
      <c r="AJ150" s="1277"/>
      <c r="AK150" s="1277"/>
      <c r="AL150" s="1277"/>
      <c r="AM150" s="1277"/>
      <c r="AN150" s="1277"/>
      <c r="AO150" s="1277"/>
      <c r="AP150" s="1277"/>
      <c r="AQ150" s="1277"/>
      <c r="AR150" s="1277"/>
      <c r="AS150" s="1277"/>
      <c r="AT150" s="1277"/>
      <c r="AU150" s="1277"/>
      <c r="AV150" s="1277"/>
      <c r="AW150" s="1277"/>
      <c r="AX150" s="1277"/>
      <c r="AY150" s="1277"/>
      <c r="AZ150" s="1277"/>
      <c r="BA150" s="1277"/>
      <c r="BB150" s="1277"/>
      <c r="BC150" s="1277"/>
      <c r="BD150" s="1277"/>
      <c r="BE150" s="1277"/>
      <c r="BF150" s="1277"/>
      <c r="BG150" s="1277"/>
      <c r="BH150" s="1277"/>
      <c r="BI150" s="1277"/>
      <c r="BJ150" s="1277"/>
      <c r="BK150" s="1277"/>
      <c r="BL150" s="1277"/>
      <c r="BM150" s="1277"/>
      <c r="BN150" s="1277"/>
      <c r="BO150" s="1277"/>
      <c r="BP150" s="1277"/>
      <c r="BQ150" s="1277"/>
      <c r="BR150" s="1277"/>
      <c r="BS150" s="1278"/>
      <c r="BT150" s="1278"/>
      <c r="BU150" s="1278"/>
      <c r="BV150" s="1278"/>
      <c r="BW150" s="1278"/>
      <c r="BX150" s="1278"/>
      <c r="BY150" s="1278"/>
      <c r="BZ150" s="1278"/>
      <c r="CA150" s="1278"/>
      <c r="CB150" s="1278"/>
      <c r="CC150" s="1278"/>
      <c r="CD150" s="1278"/>
    </row>
    <row r="151" spans="1:82" ht="12.75" hidden="1" customHeight="1" outlineLevel="1" x14ac:dyDescent="0.2">
      <c r="A151" s="1474"/>
      <c r="B151" s="1475">
        <f t="shared" ref="B151:AQ151" si="132">B1</f>
        <v>2008</v>
      </c>
      <c r="C151" s="1475">
        <f t="shared" si="132"/>
        <v>2009</v>
      </c>
      <c r="D151" s="1476" t="str">
        <f t="shared" si="132"/>
        <v>1Q10</v>
      </c>
      <c r="E151" s="1476" t="str">
        <f t="shared" si="132"/>
        <v>2Q10</v>
      </c>
      <c r="F151" s="1476" t="str">
        <f t="shared" si="132"/>
        <v>3Q10</v>
      </c>
      <c r="G151" s="1476" t="str">
        <f t="shared" si="132"/>
        <v>4Q10</v>
      </c>
      <c r="H151" s="1475">
        <f t="shared" si="132"/>
        <v>2010</v>
      </c>
      <c r="I151" s="1477" t="str">
        <f t="shared" si="132"/>
        <v>1Q11</v>
      </c>
      <c r="J151" s="1477" t="str">
        <f t="shared" si="132"/>
        <v>2Q11</v>
      </c>
      <c r="K151" s="1477" t="str">
        <f t="shared" si="132"/>
        <v>3Q11</v>
      </c>
      <c r="L151" s="1477" t="str">
        <f t="shared" si="132"/>
        <v>4Q11</v>
      </c>
      <c r="M151" s="1478">
        <f t="shared" si="132"/>
        <v>2011</v>
      </c>
      <c r="N151" s="1477" t="str">
        <f t="shared" si="132"/>
        <v>1Q12</v>
      </c>
      <c r="O151" s="1477" t="str">
        <f t="shared" si="132"/>
        <v>2Q12</v>
      </c>
      <c r="P151" s="1477" t="str">
        <f t="shared" si="132"/>
        <v>3Q12</v>
      </c>
      <c r="Q151" s="1477" t="str">
        <f t="shared" si="132"/>
        <v>4Q12</v>
      </c>
      <c r="R151" s="1478">
        <f t="shared" si="132"/>
        <v>2012</v>
      </c>
      <c r="S151" s="1477" t="str">
        <f t="shared" si="132"/>
        <v>1Q13</v>
      </c>
      <c r="T151" s="1477" t="str">
        <f t="shared" si="132"/>
        <v>2Q13</v>
      </c>
      <c r="U151" s="1477" t="str">
        <f t="shared" si="132"/>
        <v>3Q13</v>
      </c>
      <c r="V151" s="1477" t="str">
        <f t="shared" si="132"/>
        <v>4Q13</v>
      </c>
      <c r="W151" s="1475">
        <f t="shared" si="132"/>
        <v>2013</v>
      </c>
      <c r="X151" s="1476" t="str">
        <f t="shared" si="132"/>
        <v>1Q14</v>
      </c>
      <c r="Y151" s="1476" t="str">
        <f t="shared" si="132"/>
        <v>2Q14</v>
      </c>
      <c r="Z151" s="1476" t="str">
        <f t="shared" si="132"/>
        <v>3Q14</v>
      </c>
      <c r="AA151" s="1476" t="str">
        <f t="shared" si="132"/>
        <v>4Q14</v>
      </c>
      <c r="AB151" s="1475">
        <f t="shared" si="132"/>
        <v>2014</v>
      </c>
      <c r="AC151" s="1476" t="str">
        <f t="shared" si="132"/>
        <v>1Q15</v>
      </c>
      <c r="AD151" s="1476" t="str">
        <f t="shared" si="132"/>
        <v>2Q15</v>
      </c>
      <c r="AE151" s="1476" t="str">
        <f t="shared" si="132"/>
        <v>3Q15</v>
      </c>
      <c r="AF151" s="1476" t="str">
        <f t="shared" si="132"/>
        <v>4Q15</v>
      </c>
      <c r="AG151" s="1475">
        <f t="shared" si="132"/>
        <v>2015</v>
      </c>
      <c r="AH151" s="1476" t="str">
        <f t="shared" si="132"/>
        <v>1Q16</v>
      </c>
      <c r="AI151" s="1476" t="str">
        <f t="shared" si="132"/>
        <v>2Q16</v>
      </c>
      <c r="AJ151" s="1476" t="str">
        <f t="shared" si="132"/>
        <v>3Q16</v>
      </c>
      <c r="AK151" s="1476" t="str">
        <f t="shared" si="132"/>
        <v>4Q16</v>
      </c>
      <c r="AL151" s="1475">
        <f t="shared" si="132"/>
        <v>2016</v>
      </c>
      <c r="AM151" s="1476" t="str">
        <f t="shared" si="132"/>
        <v>1Q17</v>
      </c>
      <c r="AN151" s="1476" t="str">
        <f t="shared" si="132"/>
        <v>2Q17</v>
      </c>
      <c r="AO151" s="1476" t="str">
        <f t="shared" si="132"/>
        <v>3Q17</v>
      </c>
      <c r="AP151" s="1476" t="str">
        <f t="shared" si="132"/>
        <v>4Q17</v>
      </c>
      <c r="AQ151" s="1475">
        <f t="shared" si="132"/>
        <v>2017</v>
      </c>
      <c r="AR151" s="1476" t="str">
        <f t="shared" ref="AR151:BK151" si="133">AR1</f>
        <v>1Q18E</v>
      </c>
      <c r="AS151" s="1476" t="str">
        <f t="shared" si="133"/>
        <v>2Q18E</v>
      </c>
      <c r="AT151" s="1476" t="str">
        <f t="shared" si="133"/>
        <v>3Q18E</v>
      </c>
      <c r="AU151" s="1476" t="str">
        <f t="shared" si="133"/>
        <v>4Q18E</v>
      </c>
      <c r="AV151" s="1475" t="str">
        <f t="shared" si="133"/>
        <v>2018E</v>
      </c>
      <c r="AW151" s="1476" t="str">
        <f t="shared" si="133"/>
        <v>1Q19E</v>
      </c>
      <c r="AX151" s="1476" t="str">
        <f t="shared" si="133"/>
        <v>2Q19E</v>
      </c>
      <c r="AY151" s="1476" t="str">
        <f t="shared" si="133"/>
        <v>3Q19E</v>
      </c>
      <c r="AZ151" s="1476" t="str">
        <f t="shared" si="133"/>
        <v>4Q19E</v>
      </c>
      <c r="BA151" s="1475" t="str">
        <f t="shared" si="133"/>
        <v>2019E</v>
      </c>
      <c r="BB151" s="1476" t="str">
        <f t="shared" si="133"/>
        <v>1Q20E</v>
      </c>
      <c r="BC151" s="1476" t="str">
        <f t="shared" si="133"/>
        <v>2Q20E</v>
      </c>
      <c r="BD151" s="1476" t="str">
        <f t="shared" si="133"/>
        <v>3Q20E</v>
      </c>
      <c r="BE151" s="1476" t="str">
        <f t="shared" si="133"/>
        <v>4Q20E</v>
      </c>
      <c r="BF151" s="1475" t="str">
        <f t="shared" si="133"/>
        <v>2020E</v>
      </c>
      <c r="BG151" s="1476" t="str">
        <f t="shared" si="133"/>
        <v>1Q21E</v>
      </c>
      <c r="BH151" s="1476" t="str">
        <f t="shared" si="133"/>
        <v>2Q21E</v>
      </c>
      <c r="BI151" s="1476" t="str">
        <f t="shared" si="133"/>
        <v>3Q21E</v>
      </c>
      <c r="BJ151" s="1476" t="str">
        <f t="shared" si="133"/>
        <v>4Q21E</v>
      </c>
      <c r="BK151" s="1475" t="str">
        <f t="shared" si="133"/>
        <v>2021E</v>
      </c>
      <c r="BL151" s="1479"/>
      <c r="BM151" s="1479"/>
      <c r="BN151" s="1479"/>
      <c r="BO151" s="1479"/>
      <c r="BP151" s="1479"/>
      <c r="BQ151" s="1479"/>
      <c r="BR151" s="1479"/>
      <c r="BS151" s="1476"/>
      <c r="BT151" s="1476"/>
      <c r="BU151" s="1476"/>
      <c r="BV151" s="1476"/>
      <c r="BW151" s="1476"/>
      <c r="BX151" s="1476"/>
      <c r="BY151" s="1476"/>
      <c r="BZ151" s="1476"/>
      <c r="CA151" s="1476"/>
      <c r="CB151" s="1476"/>
      <c r="CC151" s="1476"/>
      <c r="CD151" s="1476"/>
    </row>
    <row r="152" spans="1:82" ht="12.75" hidden="1" customHeight="1" outlineLevel="1" x14ac:dyDescent="0.2">
      <c r="A152" s="1284" t="s">
        <v>101</v>
      </c>
      <c r="B152" s="1278"/>
      <c r="C152" s="1280"/>
      <c r="D152" s="1278"/>
      <c r="E152" s="1278"/>
      <c r="F152" s="1278"/>
      <c r="G152" s="1278"/>
      <c r="H152" s="1280"/>
      <c r="I152" s="1480">
        <f t="shared" ref="I152:V152" si="134">I16</f>
        <v>140.54300000000001</v>
      </c>
      <c r="J152" s="1480">
        <f t="shared" si="134"/>
        <v>140.53000000000003</v>
      </c>
      <c r="K152" s="1480">
        <f t="shared" si="134"/>
        <v>139.977</v>
      </c>
      <c r="L152" s="1480">
        <f t="shared" si="134"/>
        <v>142.31100000000001</v>
      </c>
      <c r="M152" s="1481">
        <f t="shared" si="134"/>
        <v>563.3610000000001</v>
      </c>
      <c r="N152" s="1480">
        <f t="shared" si="134"/>
        <v>144.96899999999999</v>
      </c>
      <c r="O152" s="1480">
        <f t="shared" si="134"/>
        <v>144.18899999999999</v>
      </c>
      <c r="P152" s="1480">
        <f t="shared" si="134"/>
        <v>143.86700000000002</v>
      </c>
      <c r="Q152" s="1480">
        <f t="shared" si="134"/>
        <v>146.48099999999999</v>
      </c>
      <c r="R152" s="1481">
        <f t="shared" si="134"/>
        <v>579.50600000000009</v>
      </c>
      <c r="S152" s="1480">
        <f t="shared" si="134"/>
        <v>152.613</v>
      </c>
      <c r="T152" s="1480">
        <f t="shared" si="134"/>
        <v>154.25900000000001</v>
      </c>
      <c r="U152" s="1480">
        <f t="shared" si="134"/>
        <v>155.05500000000001</v>
      </c>
      <c r="V152" s="1480">
        <f t="shared" si="134"/>
        <v>156.34899999999999</v>
      </c>
      <c r="W152" s="1280"/>
      <c r="X152" s="1480">
        <f>X16</f>
        <v>162.31299999999999</v>
      </c>
      <c r="Y152" s="1480">
        <f>Y16</f>
        <v>161.952</v>
      </c>
      <c r="Z152" s="1480">
        <f>Z16</f>
        <v>161.45400000000001</v>
      </c>
      <c r="AA152" s="1480">
        <f>AA16</f>
        <v>164.93299999999999</v>
      </c>
      <c r="AB152" s="1280"/>
      <c r="AC152" s="1480"/>
      <c r="AD152" s="1480"/>
      <c r="AE152" s="1480"/>
      <c r="AF152" s="1278"/>
      <c r="AG152" s="1280"/>
      <c r="AH152" s="1480"/>
      <c r="AI152" s="1480"/>
      <c r="AJ152" s="1480"/>
      <c r="AK152" s="1480"/>
      <c r="AL152" s="1280"/>
      <c r="AM152" s="1480"/>
      <c r="AN152" s="1480"/>
      <c r="AO152" s="1480"/>
      <c r="AP152" s="1480"/>
      <c r="AQ152" s="1280"/>
      <c r="AR152" s="1480"/>
      <c r="AS152" s="1480"/>
      <c r="AT152" s="1480"/>
      <c r="AU152" s="1480"/>
      <c r="AV152" s="1280"/>
      <c r="AW152" s="1480"/>
      <c r="AX152" s="1480"/>
      <c r="AY152" s="1480"/>
      <c r="AZ152" s="1480"/>
      <c r="BA152" s="1280"/>
      <c r="BB152" s="1480"/>
      <c r="BC152" s="1480"/>
      <c r="BD152" s="1480"/>
      <c r="BE152" s="1480"/>
      <c r="BF152" s="1280"/>
      <c r="BG152" s="1480"/>
      <c r="BH152" s="1480"/>
      <c r="BI152" s="1480"/>
      <c r="BJ152" s="1480"/>
      <c r="BK152" s="1280"/>
      <c r="BL152" s="1277"/>
      <c r="BM152" s="1277"/>
      <c r="BN152" s="1277"/>
      <c r="BO152" s="1277"/>
      <c r="BP152" s="1277"/>
      <c r="BQ152" s="1277"/>
      <c r="BR152" s="1286"/>
      <c r="BS152" s="1278"/>
      <c r="BT152" s="1278"/>
      <c r="BU152" s="1278"/>
      <c r="BV152" s="1278"/>
      <c r="BW152" s="1278"/>
      <c r="BX152" s="1278"/>
      <c r="BY152" s="1278"/>
      <c r="BZ152" s="1278"/>
      <c r="CA152" s="1278"/>
      <c r="CB152" s="1278"/>
      <c r="CC152" s="1278"/>
      <c r="CD152" s="1278"/>
    </row>
    <row r="153" spans="1:82" ht="12.75" hidden="1" customHeight="1" outlineLevel="1" x14ac:dyDescent="0.2">
      <c r="A153" s="1280" t="s">
        <v>415</v>
      </c>
      <c r="B153" s="1482"/>
      <c r="C153" s="1483"/>
      <c r="D153" s="1482"/>
      <c r="E153" s="1482"/>
      <c r="F153" s="1482"/>
      <c r="G153" s="1482"/>
      <c r="H153" s="1483"/>
      <c r="I153" s="1482"/>
      <c r="J153" s="1482"/>
      <c r="K153" s="1482"/>
      <c r="L153" s="1482"/>
      <c r="M153" s="1484"/>
      <c r="N153" s="1203">
        <f t="shared" ref="N153:T153" si="135">N152-(I16*(1+N21))</f>
        <v>-2.882236000000006</v>
      </c>
      <c r="O153" s="1203">
        <f t="shared" si="135"/>
        <v>-3.2269700000000228</v>
      </c>
      <c r="P153" s="1203">
        <f t="shared" si="135"/>
        <v>-2.9688729999999737</v>
      </c>
      <c r="Q153" s="1203">
        <f t="shared" si="135"/>
        <v>-2.9455500000000256</v>
      </c>
      <c r="R153" s="1484">
        <f t="shared" si="135"/>
        <v>-12</v>
      </c>
      <c r="S153" s="1203">
        <f t="shared" si="135"/>
        <v>-3.9356999999995423E-2</v>
      </c>
      <c r="T153" s="1203">
        <f t="shared" si="135"/>
        <v>0</v>
      </c>
      <c r="U153" s="1203">
        <f>(P16*(1+U17))-(P16*(1+U21))</f>
        <v>-3.3626000000026579E-2</v>
      </c>
      <c r="V153" s="1203">
        <f>(Q16*(1+V17))-(Q16*(1+V21))</f>
        <v>0</v>
      </c>
      <c r="W153" s="1483"/>
      <c r="X153" s="1203">
        <f>X152-(S16*(1+X21))</f>
        <v>0</v>
      </c>
      <c r="Y153" s="1203">
        <f>Y152-(T16*(1+Y21))</f>
        <v>0</v>
      </c>
      <c r="Z153" s="1203">
        <f>Z152-(U16*(1+Z21))</f>
        <v>0</v>
      </c>
      <c r="AA153" s="1203">
        <f>AA152-(V16*(1+AA21))</f>
        <v>0</v>
      </c>
      <c r="AB153" s="1280"/>
      <c r="AC153" s="1203"/>
      <c r="AD153" s="1203"/>
      <c r="AE153" s="1203"/>
      <c r="AF153" s="1278"/>
      <c r="AG153" s="1280"/>
      <c r="AH153" s="1203"/>
      <c r="AI153" s="1203"/>
      <c r="AJ153" s="1203"/>
      <c r="AK153" s="1203"/>
      <c r="AL153" s="1280"/>
      <c r="AM153" s="1203"/>
      <c r="AN153" s="1203"/>
      <c r="AO153" s="1203"/>
      <c r="AP153" s="1203"/>
      <c r="AQ153" s="1280"/>
      <c r="AR153" s="1203"/>
      <c r="AS153" s="1203"/>
      <c r="AT153" s="1203"/>
      <c r="AU153" s="1203"/>
      <c r="AV153" s="1280"/>
      <c r="AW153" s="1203"/>
      <c r="AX153" s="1203"/>
      <c r="AY153" s="1203"/>
      <c r="AZ153" s="1203"/>
      <c r="BA153" s="1280"/>
      <c r="BB153" s="1203"/>
      <c r="BC153" s="1203"/>
      <c r="BD153" s="1203"/>
      <c r="BE153" s="1203"/>
      <c r="BF153" s="1280"/>
      <c r="BG153" s="1203"/>
      <c r="BH153" s="1203"/>
      <c r="BI153" s="1203"/>
      <c r="BJ153" s="1203"/>
      <c r="BK153" s="1280"/>
      <c r="BL153" s="1277"/>
      <c r="BM153" s="1277"/>
      <c r="BN153" s="1277"/>
      <c r="BO153" s="1277"/>
      <c r="BP153" s="1277"/>
      <c r="BQ153" s="1277"/>
      <c r="BR153" s="1278"/>
      <c r="BS153" s="1278"/>
      <c r="BT153" s="1278"/>
      <c r="BU153" s="1278"/>
      <c r="BV153" s="1278"/>
      <c r="BW153" s="1278"/>
      <c r="BX153" s="1278"/>
      <c r="BY153" s="1278"/>
      <c r="BZ153" s="1278"/>
      <c r="CA153" s="1278"/>
      <c r="CB153" s="1278"/>
      <c r="CC153" s="1278"/>
      <c r="CD153" s="1278"/>
    </row>
    <row r="154" spans="1:82" ht="12.75" hidden="1" customHeight="1" outlineLevel="1" x14ac:dyDescent="0.2">
      <c r="A154" s="1280"/>
      <c r="B154" s="1482"/>
      <c r="C154" s="1483"/>
      <c r="D154" s="1482"/>
      <c r="E154" s="1482"/>
      <c r="F154" s="1482"/>
      <c r="G154" s="1482"/>
      <c r="H154" s="1483"/>
      <c r="I154" s="1482"/>
      <c r="J154" s="1482"/>
      <c r="K154" s="1482"/>
      <c r="L154" s="1482"/>
      <c r="M154" s="1483"/>
      <c r="N154" s="1203"/>
      <c r="O154" s="1203"/>
      <c r="P154" s="1203"/>
      <c r="Q154" s="1203"/>
      <c r="R154" s="1484"/>
      <c r="S154" s="1203"/>
      <c r="T154" s="1203"/>
      <c r="U154" s="1482"/>
      <c r="V154" s="1482"/>
      <c r="W154" s="1483"/>
      <c r="X154" s="1203"/>
      <c r="Y154" s="1203"/>
      <c r="Z154" s="1203"/>
      <c r="AA154" s="1203"/>
      <c r="AB154" s="1280"/>
      <c r="AC154" s="1203"/>
      <c r="AD154" s="1203"/>
      <c r="AE154" s="1203"/>
      <c r="AF154" s="1278"/>
      <c r="AG154" s="1280"/>
      <c r="AH154" s="1203"/>
      <c r="AI154" s="1203"/>
      <c r="AJ154" s="1203"/>
      <c r="AK154" s="1203"/>
      <c r="AL154" s="1280"/>
      <c r="AM154" s="1203"/>
      <c r="AN154" s="1203"/>
      <c r="AO154" s="1203"/>
      <c r="AP154" s="1203"/>
      <c r="AQ154" s="1280"/>
      <c r="AR154" s="1203"/>
      <c r="AS154" s="1203"/>
      <c r="AT154" s="1203"/>
      <c r="AU154" s="1203"/>
      <c r="AV154" s="1280"/>
      <c r="AW154" s="1203"/>
      <c r="AX154" s="1203"/>
      <c r="AY154" s="1203"/>
      <c r="AZ154" s="1203"/>
      <c r="BA154" s="1280"/>
      <c r="BB154" s="1203"/>
      <c r="BC154" s="1203"/>
      <c r="BD154" s="1203"/>
      <c r="BE154" s="1203"/>
      <c r="BF154" s="1280"/>
      <c r="BG154" s="1203"/>
      <c r="BH154" s="1203"/>
      <c r="BI154" s="1203"/>
      <c r="BJ154" s="1203"/>
      <c r="BK154" s="1280"/>
      <c r="BL154" s="1277"/>
      <c r="BM154" s="1277"/>
      <c r="BN154" s="1277"/>
      <c r="BO154" s="1277"/>
      <c r="BP154" s="1277"/>
      <c r="BQ154" s="1277"/>
      <c r="BR154" s="1278"/>
      <c r="BS154" s="1278"/>
      <c r="BT154" s="1278"/>
      <c r="BU154" s="1278"/>
      <c r="BV154" s="1278"/>
      <c r="BW154" s="1278"/>
      <c r="BX154" s="1278"/>
      <c r="BY154" s="1278"/>
      <c r="BZ154" s="1278"/>
      <c r="CA154" s="1278"/>
      <c r="CB154" s="1278"/>
      <c r="CC154" s="1278"/>
      <c r="CD154" s="1278"/>
    </row>
    <row r="155" spans="1:82" ht="12.75" hidden="1" customHeight="1" outlineLevel="1" x14ac:dyDescent="0.2">
      <c r="A155" s="1284" t="s">
        <v>106</v>
      </c>
      <c r="B155" s="1482"/>
      <c r="C155" s="1483"/>
      <c r="D155" s="1482"/>
      <c r="E155" s="1482"/>
      <c r="F155" s="1482"/>
      <c r="G155" s="1482"/>
      <c r="H155" s="1483"/>
      <c r="I155" s="1482"/>
      <c r="J155" s="1482"/>
      <c r="K155" s="1482"/>
      <c r="L155" s="1482"/>
      <c r="M155" s="1483"/>
      <c r="N155" s="1482"/>
      <c r="O155" s="1482"/>
      <c r="P155" s="1482"/>
      <c r="Q155" s="1482"/>
      <c r="R155" s="1483"/>
      <c r="S155" s="1482"/>
      <c r="T155" s="1482"/>
      <c r="U155" s="1482"/>
      <c r="V155" s="1482"/>
      <c r="W155" s="1483"/>
      <c r="X155" s="1482"/>
      <c r="Y155" s="1482"/>
      <c r="Z155" s="1482"/>
      <c r="AA155" s="1482"/>
      <c r="AB155" s="1280"/>
      <c r="AC155" s="1482"/>
      <c r="AD155" s="1482"/>
      <c r="AE155" s="1482"/>
      <c r="AF155" s="1278"/>
      <c r="AG155" s="1280"/>
      <c r="AH155" s="1482"/>
      <c r="AI155" s="1482"/>
      <c r="AJ155" s="1482"/>
      <c r="AK155" s="1482"/>
      <c r="AL155" s="1280"/>
      <c r="AM155" s="1482"/>
      <c r="AN155" s="1482"/>
      <c r="AO155" s="1482"/>
      <c r="AP155" s="1482"/>
      <c r="AQ155" s="1280"/>
      <c r="AR155" s="1482"/>
      <c r="AS155" s="1482"/>
      <c r="AT155" s="1482"/>
      <c r="AU155" s="1482"/>
      <c r="AV155" s="1280"/>
      <c r="AW155" s="1482"/>
      <c r="AX155" s="1482"/>
      <c r="AY155" s="1482"/>
      <c r="AZ155" s="1482"/>
      <c r="BA155" s="1280"/>
      <c r="BB155" s="1482"/>
      <c r="BC155" s="1482"/>
      <c r="BD155" s="1482"/>
      <c r="BE155" s="1482"/>
      <c r="BF155" s="1280"/>
      <c r="BG155" s="1482"/>
      <c r="BH155" s="1482"/>
      <c r="BI155" s="1482"/>
      <c r="BJ155" s="1482"/>
      <c r="BK155" s="1280"/>
      <c r="BL155" s="1277"/>
      <c r="BM155" s="1277"/>
      <c r="BN155" s="1277"/>
      <c r="BO155" s="1277"/>
      <c r="BP155" s="1277"/>
      <c r="BQ155" s="1277"/>
      <c r="BR155" s="1286"/>
      <c r="BS155" s="1278"/>
      <c r="BT155" s="1278"/>
      <c r="BU155" s="1278"/>
      <c r="BV155" s="1278"/>
      <c r="BW155" s="1278"/>
      <c r="BX155" s="1278"/>
      <c r="BY155" s="1278"/>
      <c r="BZ155" s="1278"/>
      <c r="CA155" s="1278"/>
      <c r="CB155" s="1278"/>
      <c r="CC155" s="1278"/>
      <c r="CD155" s="1278"/>
    </row>
    <row r="156" spans="1:82" ht="12.75" hidden="1" customHeight="1" outlineLevel="1" x14ac:dyDescent="0.2">
      <c r="A156" s="1280" t="s">
        <v>342</v>
      </c>
      <c r="B156" s="1482"/>
      <c r="C156" s="1483"/>
      <c r="D156" s="1482"/>
      <c r="E156" s="1482"/>
      <c r="F156" s="1482"/>
      <c r="G156" s="1482"/>
      <c r="H156" s="1483"/>
      <c r="I156" s="1485">
        <f t="shared" ref="I156:V156" si="136">I24</f>
        <v>105.3</v>
      </c>
      <c r="J156" s="1485">
        <f t="shared" si="136"/>
        <v>112.334</v>
      </c>
      <c r="K156" s="1485">
        <f t="shared" si="136"/>
        <v>116.28100000000001</v>
      </c>
      <c r="L156" s="1485">
        <f t="shared" si="136"/>
        <v>117.301</v>
      </c>
      <c r="M156" s="1486">
        <f t="shared" si="136"/>
        <v>451.21600000000001</v>
      </c>
      <c r="N156" s="1485">
        <f t="shared" si="136"/>
        <v>116.336</v>
      </c>
      <c r="O156" s="1485">
        <f t="shared" si="136"/>
        <v>122.21</v>
      </c>
      <c r="P156" s="1485">
        <f t="shared" si="136"/>
        <v>126.301</v>
      </c>
      <c r="Q156" s="1485">
        <f t="shared" si="136"/>
        <v>128.60900000000001</v>
      </c>
      <c r="R156" s="1486">
        <f t="shared" si="136"/>
        <v>493.45600000000002</v>
      </c>
      <c r="S156" s="1485">
        <f t="shared" si="136"/>
        <v>126.54900000000001</v>
      </c>
      <c r="T156" s="1485">
        <f t="shared" si="136"/>
        <v>133.785</v>
      </c>
      <c r="U156" s="1485">
        <f t="shared" si="136"/>
        <v>140.77099999999999</v>
      </c>
      <c r="V156" s="1485">
        <f t="shared" si="136"/>
        <v>138.04499999999999</v>
      </c>
      <c r="W156" s="1483"/>
      <c r="X156" s="1485">
        <f>X24</f>
        <v>141.43</v>
      </c>
      <c r="Y156" s="1485">
        <f>Y24</f>
        <v>152.83099999999999</v>
      </c>
      <c r="Z156" s="1485">
        <f>Z24</f>
        <v>149.49600000000001</v>
      </c>
      <c r="AA156" s="1485">
        <f>AA24</f>
        <v>155</v>
      </c>
      <c r="AB156" s="1280"/>
      <c r="AC156" s="1485"/>
      <c r="AD156" s="1485"/>
      <c r="AE156" s="1485"/>
      <c r="AF156" s="1278"/>
      <c r="AG156" s="1280"/>
      <c r="AH156" s="1485"/>
      <c r="AI156" s="1485"/>
      <c r="AJ156" s="1485"/>
      <c r="AK156" s="1485"/>
      <c r="AL156" s="1280"/>
      <c r="AM156" s="1485"/>
      <c r="AN156" s="1485"/>
      <c r="AO156" s="1485"/>
      <c r="AP156" s="1485"/>
      <c r="AQ156" s="1280"/>
      <c r="AR156" s="1485"/>
      <c r="AS156" s="1485"/>
      <c r="AT156" s="1485"/>
      <c r="AU156" s="1485"/>
      <c r="AV156" s="1280"/>
      <c r="AW156" s="1485"/>
      <c r="AX156" s="1485"/>
      <c r="AY156" s="1485"/>
      <c r="AZ156" s="1485"/>
      <c r="BA156" s="1280"/>
      <c r="BB156" s="1485"/>
      <c r="BC156" s="1485"/>
      <c r="BD156" s="1485"/>
      <c r="BE156" s="1485"/>
      <c r="BF156" s="1280"/>
      <c r="BG156" s="1485"/>
      <c r="BH156" s="1485"/>
      <c r="BI156" s="1485"/>
      <c r="BJ156" s="1485"/>
      <c r="BK156" s="1280"/>
      <c r="BL156" s="1277"/>
      <c r="BM156" s="1277"/>
      <c r="BN156" s="1277"/>
      <c r="BO156" s="1277"/>
      <c r="BP156" s="1277"/>
      <c r="BQ156" s="1277"/>
      <c r="BR156" s="1278"/>
      <c r="BS156" s="1278"/>
      <c r="BT156" s="1278"/>
      <c r="BU156" s="1278"/>
      <c r="BV156" s="1278"/>
      <c r="BW156" s="1278"/>
      <c r="BX156" s="1278"/>
      <c r="BY156" s="1278"/>
      <c r="BZ156" s="1278"/>
      <c r="CA156" s="1278"/>
      <c r="CB156" s="1278"/>
      <c r="CC156" s="1278"/>
      <c r="CD156" s="1278"/>
    </row>
    <row r="157" spans="1:82" ht="12.75" hidden="1" customHeight="1" outlineLevel="1" x14ac:dyDescent="0.2">
      <c r="A157" s="1280" t="s">
        <v>415</v>
      </c>
      <c r="B157" s="1278"/>
      <c r="C157" s="1280"/>
      <c r="D157" s="1278"/>
      <c r="E157" s="1278"/>
      <c r="F157" s="1278"/>
      <c r="G157" s="1278"/>
      <c r="H157" s="1280"/>
      <c r="I157" s="1278"/>
      <c r="J157" s="1278"/>
      <c r="K157" s="1278"/>
      <c r="L157" s="1278"/>
      <c r="M157" s="1280"/>
      <c r="N157" s="1203">
        <f t="shared" ref="N157:V157" si="137">N156-(I24*(1+N29))</f>
        <v>0</v>
      </c>
      <c r="O157" s="1203">
        <f t="shared" si="137"/>
        <v>0</v>
      </c>
      <c r="P157" s="1203">
        <f t="shared" si="137"/>
        <v>0.36867700000000525</v>
      </c>
      <c r="Q157" s="1203">
        <f t="shared" si="137"/>
        <v>0.39900700000001166</v>
      </c>
      <c r="R157" s="1484">
        <f t="shared" si="137"/>
        <v>0.64671618835939171</v>
      </c>
      <c r="S157" s="1203">
        <f t="shared" si="137"/>
        <v>0.55711200000001782</v>
      </c>
      <c r="T157" s="1203">
        <f t="shared" si="137"/>
        <v>0.69831000000002064</v>
      </c>
      <c r="U157" s="1203">
        <f t="shared" si="137"/>
        <v>-5.4615000000012515E-2</v>
      </c>
      <c r="V157" s="1203">
        <f t="shared" si="137"/>
        <v>0</v>
      </c>
      <c r="W157" s="1280"/>
      <c r="X157" s="1203">
        <f>X156-(S24*(1+X29))</f>
        <v>0</v>
      </c>
      <c r="Y157" s="1203">
        <f>Y156-(T24*(1+Y29))</f>
        <v>0</v>
      </c>
      <c r="Z157" s="1203">
        <f>Z156-(U24*(1+Z29))</f>
        <v>0</v>
      </c>
      <c r="AA157" s="1203">
        <f>AA156-(V24*(1+AA29))</f>
        <v>0</v>
      </c>
      <c r="AB157" s="1280"/>
      <c r="AC157" s="1203"/>
      <c r="AD157" s="1203"/>
      <c r="AE157" s="1203"/>
      <c r="AF157" s="1321"/>
      <c r="AG157" s="1280"/>
      <c r="AH157" s="1203"/>
      <c r="AI157" s="1203"/>
      <c r="AJ157" s="1203"/>
      <c r="AK157" s="1203"/>
      <c r="AL157" s="1280"/>
      <c r="AM157" s="1203"/>
      <c r="AN157" s="1203"/>
      <c r="AO157" s="1203"/>
      <c r="AP157" s="1203"/>
      <c r="AQ157" s="1280"/>
      <c r="AR157" s="1203"/>
      <c r="AS157" s="1203"/>
      <c r="AT157" s="1203"/>
      <c r="AU157" s="1203"/>
      <c r="AV157" s="1280"/>
      <c r="AW157" s="1203"/>
      <c r="AX157" s="1203"/>
      <c r="AY157" s="1203"/>
      <c r="AZ157" s="1203"/>
      <c r="BA157" s="1280"/>
      <c r="BB157" s="1203"/>
      <c r="BC157" s="1203"/>
      <c r="BD157" s="1203"/>
      <c r="BE157" s="1203"/>
      <c r="BF157" s="1280"/>
      <c r="BG157" s="1203"/>
      <c r="BH157" s="1203"/>
      <c r="BI157" s="1203"/>
      <c r="BJ157" s="1203"/>
      <c r="BK157" s="1280"/>
      <c r="BL157" s="1277"/>
      <c r="BM157" s="1277"/>
      <c r="BN157" s="1277"/>
      <c r="BO157" s="1277"/>
      <c r="BP157" s="1277"/>
      <c r="BQ157" s="1277"/>
      <c r="BR157" s="1278"/>
      <c r="BS157" s="1278"/>
      <c r="BT157" s="1278"/>
      <c r="BU157" s="1278"/>
      <c r="BV157" s="1278"/>
      <c r="BW157" s="1278"/>
      <c r="BX157" s="1278"/>
      <c r="BY157" s="1278"/>
      <c r="BZ157" s="1278"/>
      <c r="CA157" s="1278"/>
      <c r="CB157" s="1278"/>
      <c r="CC157" s="1278"/>
      <c r="CD157" s="1278"/>
    </row>
    <row r="158" spans="1:82" ht="4.5" hidden="1" customHeight="1" outlineLevel="1" x14ac:dyDescent="0.2">
      <c r="A158" s="729"/>
      <c r="B158" s="1278"/>
      <c r="C158" s="1280"/>
      <c r="D158" s="1278"/>
      <c r="E158" s="1278"/>
      <c r="F158" s="1278"/>
      <c r="G158" s="1278"/>
      <c r="H158" s="1280"/>
      <c r="I158" s="1278"/>
      <c r="J158" s="1278"/>
      <c r="K158" s="1278"/>
      <c r="L158" s="1278"/>
      <c r="M158" s="1280"/>
      <c r="N158" s="1321"/>
      <c r="O158" s="1321"/>
      <c r="P158" s="1321"/>
      <c r="Q158" s="1321"/>
      <c r="R158" s="1320"/>
      <c r="S158" s="1230"/>
      <c r="T158" s="1230"/>
      <c r="U158" s="1230"/>
      <c r="V158" s="1230"/>
      <c r="W158" s="1280"/>
      <c r="X158" s="1230"/>
      <c r="Y158" s="1230"/>
      <c r="Z158" s="1230"/>
      <c r="AA158" s="1230"/>
      <c r="AB158" s="1280"/>
      <c r="AC158" s="1230"/>
      <c r="AD158" s="1230"/>
      <c r="AE158" s="1230"/>
      <c r="AF158" s="1230"/>
      <c r="AG158" s="1280"/>
      <c r="AH158" s="1230"/>
      <c r="AI158" s="1230"/>
      <c r="AJ158" s="1230"/>
      <c r="AK158" s="1230"/>
      <c r="AL158" s="1280"/>
      <c r="AM158" s="1230"/>
      <c r="AN158" s="1230"/>
      <c r="AO158" s="1230"/>
      <c r="AP158" s="1230"/>
      <c r="AQ158" s="1280"/>
      <c r="AR158" s="1230"/>
      <c r="AS158" s="1230"/>
      <c r="AT158" s="1230"/>
      <c r="AU158" s="1230"/>
      <c r="AV158" s="1280"/>
      <c r="AW158" s="1230"/>
      <c r="AX158" s="1230"/>
      <c r="AY158" s="1230"/>
      <c r="AZ158" s="1230"/>
      <c r="BA158" s="1280"/>
      <c r="BB158" s="1230"/>
      <c r="BC158" s="1230"/>
      <c r="BD158" s="1230"/>
      <c r="BE158" s="1230"/>
      <c r="BF158" s="1280"/>
      <c r="BG158" s="1230"/>
      <c r="BH158" s="1230"/>
      <c r="BI158" s="1230"/>
      <c r="BJ158" s="1230"/>
      <c r="BK158" s="1280"/>
      <c r="BL158" s="1277"/>
      <c r="BM158" s="1277"/>
      <c r="BN158" s="1277"/>
      <c r="BO158" s="1277"/>
      <c r="BP158" s="1277"/>
      <c r="BQ158" s="1277"/>
      <c r="BR158" s="1294"/>
      <c r="BS158" s="1278"/>
      <c r="BT158" s="1278"/>
      <c r="BU158" s="1278"/>
      <c r="BV158" s="1278"/>
      <c r="BW158" s="1278"/>
      <c r="BX158" s="1278"/>
      <c r="BY158" s="1278"/>
      <c r="BZ158" s="1278"/>
      <c r="CA158" s="1278"/>
      <c r="CB158" s="1278"/>
      <c r="CC158" s="1278"/>
      <c r="CD158" s="1278"/>
    </row>
    <row r="159" spans="1:82" ht="12.75" hidden="1" customHeight="1" outlineLevel="1" x14ac:dyDescent="0.2">
      <c r="A159" s="1280" t="s">
        <v>344</v>
      </c>
      <c r="B159" s="1278"/>
      <c r="C159" s="1280"/>
      <c r="D159" s="1278"/>
      <c r="E159" s="1278"/>
      <c r="F159" s="1278"/>
      <c r="G159" s="1278"/>
      <c r="H159" s="1280"/>
      <c r="I159" s="1485">
        <f t="shared" ref="I159:V159" si="138">I31</f>
        <v>32.695999999999998</v>
      </c>
      <c r="J159" s="1485">
        <f t="shared" si="138"/>
        <v>35.643000000000001</v>
      </c>
      <c r="K159" s="1485">
        <f t="shared" si="138"/>
        <v>34.271999999999998</v>
      </c>
      <c r="L159" s="1485">
        <f t="shared" si="138"/>
        <v>32.091000000000001</v>
      </c>
      <c r="M159" s="1486">
        <f t="shared" si="138"/>
        <v>134.702</v>
      </c>
      <c r="N159" s="1485">
        <f t="shared" si="138"/>
        <v>34.274999999999999</v>
      </c>
      <c r="O159" s="1485">
        <f t="shared" si="138"/>
        <v>35.298999999999999</v>
      </c>
      <c r="P159" s="1485">
        <f t="shared" si="138"/>
        <v>37.96</v>
      </c>
      <c r="Q159" s="1485">
        <f t="shared" si="138"/>
        <v>45.505000000000003</v>
      </c>
      <c r="R159" s="1486">
        <f t="shared" si="138"/>
        <v>153.03899999999999</v>
      </c>
      <c r="S159" s="1485">
        <f t="shared" si="138"/>
        <v>17.282</v>
      </c>
      <c r="T159" s="1485">
        <f t="shared" si="138"/>
        <v>19.574999999999999</v>
      </c>
      <c r="U159" s="1485">
        <f t="shared" si="138"/>
        <v>21.379000000000001</v>
      </c>
      <c r="V159" s="1485">
        <f t="shared" si="138"/>
        <v>22.888000000000002</v>
      </c>
      <c r="W159" s="1280"/>
      <c r="X159" s="1485">
        <f>X31</f>
        <v>21.015999999999998</v>
      </c>
      <c r="Y159" s="1485">
        <f>Y31</f>
        <v>21.837</v>
      </c>
      <c r="Z159" s="1485">
        <f>Z31</f>
        <v>25.257999999999999</v>
      </c>
      <c r="AA159" s="1485">
        <f>AA31</f>
        <v>28.652000000000001</v>
      </c>
      <c r="AB159" s="1280"/>
      <c r="AC159" s="1485"/>
      <c r="AD159" s="1485"/>
      <c r="AE159" s="1485"/>
      <c r="AF159" s="1321"/>
      <c r="AG159" s="1280"/>
      <c r="AH159" s="1485"/>
      <c r="AI159" s="1485"/>
      <c r="AJ159" s="1485"/>
      <c r="AK159" s="1485"/>
      <c r="AL159" s="1280"/>
      <c r="AM159" s="1485"/>
      <c r="AN159" s="1485"/>
      <c r="AO159" s="1485"/>
      <c r="AP159" s="1485"/>
      <c r="AQ159" s="1280"/>
      <c r="AR159" s="1485"/>
      <c r="AS159" s="1485"/>
      <c r="AT159" s="1485"/>
      <c r="AU159" s="1485"/>
      <c r="AV159" s="1280"/>
      <c r="AW159" s="1485"/>
      <c r="AX159" s="1485"/>
      <c r="AY159" s="1485"/>
      <c r="AZ159" s="1485"/>
      <c r="BA159" s="1280"/>
      <c r="BB159" s="1485"/>
      <c r="BC159" s="1485"/>
      <c r="BD159" s="1485"/>
      <c r="BE159" s="1485"/>
      <c r="BF159" s="1280"/>
      <c r="BG159" s="1485"/>
      <c r="BH159" s="1485"/>
      <c r="BI159" s="1485"/>
      <c r="BJ159" s="1485"/>
      <c r="BK159" s="1280"/>
      <c r="BL159" s="1277"/>
      <c r="BM159" s="1277"/>
      <c r="BN159" s="1277"/>
      <c r="BO159" s="1277"/>
      <c r="BP159" s="1277"/>
      <c r="BQ159" s="1277"/>
      <c r="BR159" s="1278"/>
      <c r="BS159" s="1278"/>
      <c r="BT159" s="1278"/>
      <c r="BU159" s="1278"/>
      <c r="BV159" s="1278"/>
      <c r="BW159" s="1278"/>
      <c r="BX159" s="1278"/>
      <c r="BY159" s="1278"/>
      <c r="BZ159" s="1278"/>
      <c r="CA159" s="1278"/>
      <c r="CB159" s="1278"/>
      <c r="CC159" s="1278"/>
      <c r="CD159" s="1278"/>
    </row>
    <row r="160" spans="1:82" ht="12.75" hidden="1" customHeight="1" outlineLevel="1" x14ac:dyDescent="0.2">
      <c r="A160" s="1280" t="s">
        <v>415</v>
      </c>
      <c r="B160" s="1278"/>
      <c r="C160" s="1280"/>
      <c r="D160" s="1278"/>
      <c r="E160" s="1278"/>
      <c r="F160" s="1278"/>
      <c r="G160" s="1278"/>
      <c r="H160" s="1280"/>
      <c r="I160" s="1278"/>
      <c r="J160" s="1278"/>
      <c r="K160" s="1278"/>
      <c r="L160" s="1278"/>
      <c r="M160" s="1280"/>
      <c r="N160" s="1203">
        <f t="shared" ref="N160:V160" si="139">N159-(I31*(1+N36))</f>
        <v>2.9195360000000008</v>
      </c>
      <c r="O160" s="1203">
        <f t="shared" si="139"/>
        <v>3.1846570000000014</v>
      </c>
      <c r="P160" s="1203">
        <f t="shared" si="139"/>
        <v>7.7663680000000035</v>
      </c>
      <c r="Q160" s="1203">
        <f t="shared" si="139"/>
        <v>19.703835999999999</v>
      </c>
      <c r="R160" s="1484">
        <f t="shared" si="139"/>
        <v>33.558325999999994</v>
      </c>
      <c r="S160" s="1203">
        <f t="shared" si="139"/>
        <v>-10.446474999999996</v>
      </c>
      <c r="T160" s="1203">
        <f t="shared" si="139"/>
        <v>-12.582389000000003</v>
      </c>
      <c r="U160" s="1203">
        <f t="shared" si="139"/>
        <v>-10.279639999999997</v>
      </c>
      <c r="V160" s="1203">
        <f t="shared" si="139"/>
        <v>-35.194608473802234</v>
      </c>
      <c r="W160" s="1280"/>
      <c r="X160" s="1203">
        <f>X159-(S31*(1+X36))</f>
        <v>0</v>
      </c>
      <c r="Y160" s="1203">
        <f>Y159-(T31*(1+Y36))</f>
        <v>0</v>
      </c>
      <c r="Z160" s="1203">
        <f>Z159-(U31*(1+Z36))</f>
        <v>0</v>
      </c>
      <c r="AA160" s="1203">
        <f>AA159-(V31*(1+AA36))</f>
        <v>0</v>
      </c>
      <c r="AB160" s="1280"/>
      <c r="AC160" s="1203"/>
      <c r="AD160" s="1199"/>
      <c r="AE160" s="1203"/>
      <c r="AF160" s="1203"/>
      <c r="AG160" s="1319"/>
      <c r="AH160" s="1203"/>
      <c r="AI160" s="1203"/>
      <c r="AJ160" s="1203"/>
      <c r="AK160" s="1203"/>
      <c r="AL160" s="1319"/>
      <c r="AM160" s="1203"/>
      <c r="AN160" s="1203"/>
      <c r="AO160" s="1203"/>
      <c r="AP160" s="1203"/>
      <c r="AQ160" s="1319"/>
      <c r="AR160" s="1203"/>
      <c r="AS160" s="1203"/>
      <c r="AT160" s="1203"/>
      <c r="AU160" s="1203"/>
      <c r="AV160" s="1319"/>
      <c r="AW160" s="1203"/>
      <c r="AX160" s="1203"/>
      <c r="AY160" s="1203"/>
      <c r="AZ160" s="1203"/>
      <c r="BA160" s="1319"/>
      <c r="BB160" s="1203"/>
      <c r="BC160" s="1203"/>
      <c r="BD160" s="1203"/>
      <c r="BE160" s="1203"/>
      <c r="BF160" s="1319"/>
      <c r="BG160" s="1203"/>
      <c r="BH160" s="1203"/>
      <c r="BI160" s="1203"/>
      <c r="BJ160" s="1203"/>
      <c r="BK160" s="1319"/>
      <c r="BL160" s="1277"/>
      <c r="BM160" s="1277"/>
      <c r="BN160" s="1277"/>
      <c r="BO160" s="1277"/>
      <c r="BP160" s="1277"/>
      <c r="BQ160" s="1277"/>
      <c r="BR160" s="1278"/>
      <c r="BS160" s="1278"/>
      <c r="BT160" s="1278"/>
      <c r="BU160" s="1278"/>
      <c r="BV160" s="1278"/>
      <c r="BW160" s="1278"/>
      <c r="BX160" s="1278"/>
      <c r="BY160" s="1278"/>
      <c r="BZ160" s="1278"/>
      <c r="CA160" s="1278"/>
      <c r="CB160" s="1278"/>
      <c r="CC160" s="1278"/>
      <c r="CD160" s="1278"/>
    </row>
    <row r="161" spans="1:82" ht="4.5" hidden="1" customHeight="1" outlineLevel="1" x14ac:dyDescent="0.2">
      <c r="A161" s="729"/>
      <c r="B161" s="1278"/>
      <c r="C161" s="1280"/>
      <c r="D161" s="1278"/>
      <c r="E161" s="1278"/>
      <c r="F161" s="1278"/>
      <c r="G161" s="1278"/>
      <c r="H161" s="1280"/>
      <c r="I161" s="1278"/>
      <c r="J161" s="1278"/>
      <c r="K161" s="1278"/>
      <c r="L161" s="1278"/>
      <c r="M161" s="1280"/>
      <c r="N161" s="1327"/>
      <c r="O161" s="1327"/>
      <c r="P161" s="1327"/>
      <c r="Q161" s="1327"/>
      <c r="R161" s="1319"/>
      <c r="S161" s="1327"/>
      <c r="T161" s="1327"/>
      <c r="U161" s="1327"/>
      <c r="V161" s="1327"/>
      <c r="W161" s="1280"/>
      <c r="X161" s="1327"/>
      <c r="Y161" s="1327"/>
      <c r="Z161" s="1327"/>
      <c r="AA161" s="1327"/>
      <c r="AB161" s="1280"/>
      <c r="AC161" s="1327"/>
      <c r="AD161" s="1327"/>
      <c r="AE161" s="1327"/>
      <c r="AF161" s="1327"/>
      <c r="AG161" s="1280"/>
      <c r="AH161" s="1327"/>
      <c r="AI161" s="1327"/>
      <c r="AJ161" s="1327"/>
      <c r="AK161" s="1327"/>
      <c r="AL161" s="1280"/>
      <c r="AM161" s="1327"/>
      <c r="AN161" s="1327"/>
      <c r="AO161" s="1327"/>
      <c r="AP161" s="1327"/>
      <c r="AQ161" s="1280"/>
      <c r="AR161" s="1327"/>
      <c r="AS161" s="1327"/>
      <c r="AT161" s="1327"/>
      <c r="AU161" s="1327"/>
      <c r="AV161" s="1280"/>
      <c r="AW161" s="1327"/>
      <c r="AX161" s="1327"/>
      <c r="AY161" s="1327"/>
      <c r="AZ161" s="1327"/>
      <c r="BA161" s="1280"/>
      <c r="BB161" s="1327"/>
      <c r="BC161" s="1327"/>
      <c r="BD161" s="1327"/>
      <c r="BE161" s="1327"/>
      <c r="BF161" s="1280"/>
      <c r="BG161" s="1327"/>
      <c r="BH161" s="1327"/>
      <c r="BI161" s="1327"/>
      <c r="BJ161" s="1327"/>
      <c r="BK161" s="1280"/>
      <c r="BL161" s="1277"/>
      <c r="BM161" s="1277"/>
      <c r="BN161" s="1277"/>
      <c r="BO161" s="1277"/>
      <c r="BP161" s="1277"/>
      <c r="BQ161" s="1277"/>
      <c r="BR161" s="1294"/>
      <c r="BS161" s="1278"/>
      <c r="BT161" s="1278"/>
      <c r="BU161" s="1278"/>
      <c r="BV161" s="1278"/>
      <c r="BW161" s="1278"/>
      <c r="BX161" s="1278"/>
      <c r="BY161" s="1278"/>
      <c r="BZ161" s="1278"/>
      <c r="CA161" s="1278"/>
      <c r="CB161" s="1278"/>
      <c r="CC161" s="1278"/>
      <c r="CD161" s="1278"/>
    </row>
    <row r="162" spans="1:82" ht="12.75" hidden="1" customHeight="1" outlineLevel="1" x14ac:dyDescent="0.2">
      <c r="A162" s="1280" t="s">
        <v>345</v>
      </c>
      <c r="B162" s="1278"/>
      <c r="C162" s="1280"/>
      <c r="D162" s="1278"/>
      <c r="E162" s="1278"/>
      <c r="F162" s="1278"/>
      <c r="G162" s="1278"/>
      <c r="H162" s="1280"/>
      <c r="I162" s="1485">
        <f t="shared" ref="I162:V162" si="140">I46</f>
        <v>15.617000000000001</v>
      </c>
      <c r="J162" s="1485">
        <f t="shared" si="140"/>
        <v>19.321999999999999</v>
      </c>
      <c r="K162" s="1485">
        <f t="shared" si="140"/>
        <v>30.277000000000001</v>
      </c>
      <c r="L162" s="1485">
        <f t="shared" si="140"/>
        <v>38.506</v>
      </c>
      <c r="M162" s="1486">
        <f t="shared" si="140"/>
        <v>103.72200000000001</v>
      </c>
      <c r="N162" s="1485">
        <f t="shared" si="140"/>
        <v>30.448</v>
      </c>
      <c r="O162" s="1485">
        <f t="shared" si="140"/>
        <v>50.381</v>
      </c>
      <c r="P162" s="1485">
        <f t="shared" si="140"/>
        <v>69.323999999999998</v>
      </c>
      <c r="Q162" s="1485">
        <f t="shared" si="140"/>
        <v>72.802000000000007</v>
      </c>
      <c r="R162" s="1486">
        <f t="shared" si="140"/>
        <v>222.95500000000004</v>
      </c>
      <c r="S162" s="1485">
        <f t="shared" si="140"/>
        <v>59.048999999999999</v>
      </c>
      <c r="T162" s="1485">
        <f t="shared" si="140"/>
        <v>61.087000000000003</v>
      </c>
      <c r="U162" s="1485">
        <f t="shared" si="140"/>
        <v>73.611999999999995</v>
      </c>
      <c r="V162" s="1485">
        <f t="shared" si="140"/>
        <v>77.790000000000006</v>
      </c>
      <c r="W162" s="1280"/>
      <c r="X162" s="1485">
        <f>X46</f>
        <v>63.896000000000001</v>
      </c>
      <c r="Y162" s="1485">
        <f>Y46</f>
        <v>65.091999999999999</v>
      </c>
      <c r="Z162" s="1485">
        <f>Z46</f>
        <v>91.9</v>
      </c>
      <c r="AA162" s="1485">
        <f>AA46</f>
        <v>94.74</v>
      </c>
      <c r="AB162" s="1280"/>
      <c r="AC162" s="1485"/>
      <c r="AD162" s="1327"/>
      <c r="AE162" s="1485"/>
      <c r="AF162" s="1327"/>
      <c r="AG162" s="1280"/>
      <c r="AH162" s="1485"/>
      <c r="AI162" s="1485"/>
      <c r="AJ162" s="1485"/>
      <c r="AK162" s="1485"/>
      <c r="AL162" s="1280"/>
      <c r="AM162" s="1485"/>
      <c r="AN162" s="1485"/>
      <c r="AO162" s="1485"/>
      <c r="AP162" s="1485"/>
      <c r="AQ162" s="1280"/>
      <c r="AR162" s="1485"/>
      <c r="AS162" s="1485"/>
      <c r="AT162" s="1485"/>
      <c r="AU162" s="1485"/>
      <c r="AV162" s="1280"/>
      <c r="AW162" s="1485"/>
      <c r="AX162" s="1485"/>
      <c r="AY162" s="1485"/>
      <c r="AZ162" s="1485"/>
      <c r="BA162" s="1280"/>
      <c r="BB162" s="1485"/>
      <c r="BC162" s="1485"/>
      <c r="BD162" s="1485"/>
      <c r="BE162" s="1485"/>
      <c r="BF162" s="1280"/>
      <c r="BG162" s="1485"/>
      <c r="BH162" s="1485"/>
      <c r="BI162" s="1485"/>
      <c r="BJ162" s="1485"/>
      <c r="BK162" s="1280"/>
      <c r="BL162" s="1277"/>
      <c r="BM162" s="1277"/>
      <c r="BN162" s="1277"/>
      <c r="BO162" s="1277"/>
      <c r="BP162" s="1277"/>
      <c r="BQ162" s="1277"/>
      <c r="BR162" s="1278"/>
      <c r="BS162" s="1278"/>
      <c r="BT162" s="1278"/>
      <c r="BU162" s="1278"/>
      <c r="BV162" s="1278"/>
      <c r="BW162" s="1278"/>
      <c r="BX162" s="1278"/>
      <c r="BY162" s="1278"/>
      <c r="BZ162" s="1278"/>
      <c r="CA162" s="1278"/>
      <c r="CB162" s="1278"/>
      <c r="CC162" s="1278"/>
      <c r="CD162" s="1278"/>
    </row>
    <row r="163" spans="1:82" ht="12.75" hidden="1" customHeight="1" outlineLevel="1" x14ac:dyDescent="0.2">
      <c r="A163" s="1280" t="s">
        <v>415</v>
      </c>
      <c r="B163" s="1278"/>
      <c r="C163" s="1280"/>
      <c r="D163" s="1278"/>
      <c r="E163" s="1278"/>
      <c r="F163" s="1278"/>
      <c r="G163" s="1278"/>
      <c r="H163" s="1280"/>
      <c r="I163" s="1278"/>
      <c r="J163" s="1278"/>
      <c r="K163" s="1278"/>
      <c r="L163" s="1278"/>
      <c r="M163" s="1280"/>
      <c r="N163" s="1203">
        <f t="shared" ref="N163:V163" si="141">N162-(I46*(1+N51))</f>
        <v>9.6930070000000015</v>
      </c>
      <c r="O163" s="1203">
        <f t="shared" si="141"/>
        <v>23.967826000000002</v>
      </c>
      <c r="P163" s="1203">
        <f t="shared" si="141"/>
        <v>24.695701999999997</v>
      </c>
      <c r="Q163" s="1203">
        <f t="shared" si="141"/>
        <v>23.321790000000007</v>
      </c>
      <c r="R163" s="1484">
        <f t="shared" si="141"/>
        <v>81.504122500000022</v>
      </c>
      <c r="S163" s="1203">
        <f t="shared" si="141"/>
        <v>16.726279999999996</v>
      </c>
      <c r="T163" s="1203">
        <f t="shared" si="141"/>
        <v>-2.515300000000309E-2</v>
      </c>
      <c r="U163" s="1203">
        <f t="shared" si="141"/>
        <v>-1.0088000000010311E-2</v>
      </c>
      <c r="V163" s="1203">
        <f t="shared" si="141"/>
        <v>0</v>
      </c>
      <c r="W163" s="1280"/>
      <c r="X163" s="1203">
        <f>X162-(S46*(1+X51))</f>
        <v>0</v>
      </c>
      <c r="Y163" s="1203">
        <f>Y162-(T46*(1+Y51))</f>
        <v>0</v>
      </c>
      <c r="Z163" s="1203">
        <f>Z162-(U46*(1+Z51))</f>
        <v>0</v>
      </c>
      <c r="AA163" s="1203">
        <f>AA162-(V46*(1+AA51))</f>
        <v>0</v>
      </c>
      <c r="AB163" s="1280"/>
      <c r="AC163" s="1203"/>
      <c r="AD163" s="1199"/>
      <c r="AE163" s="1203"/>
      <c r="AF163" s="1327"/>
      <c r="AG163" s="1280"/>
      <c r="AH163" s="1203"/>
      <c r="AI163" s="1203"/>
      <c r="AJ163" s="1203"/>
      <c r="AK163" s="1203"/>
      <c r="AL163" s="1280"/>
      <c r="AM163" s="1203"/>
      <c r="AN163" s="1203"/>
      <c r="AO163" s="1203"/>
      <c r="AP163" s="1203"/>
      <c r="AQ163" s="1280"/>
      <c r="AR163" s="1203"/>
      <c r="AS163" s="1203"/>
      <c r="AT163" s="1203"/>
      <c r="AU163" s="1203"/>
      <c r="AV163" s="1280"/>
      <c r="AW163" s="1203"/>
      <c r="AX163" s="1203"/>
      <c r="AY163" s="1203"/>
      <c r="AZ163" s="1203"/>
      <c r="BA163" s="1280"/>
      <c r="BB163" s="1203"/>
      <c r="BC163" s="1203"/>
      <c r="BD163" s="1203"/>
      <c r="BE163" s="1203"/>
      <c r="BF163" s="1280"/>
      <c r="BG163" s="1203"/>
      <c r="BH163" s="1203"/>
      <c r="BI163" s="1203"/>
      <c r="BJ163" s="1203"/>
      <c r="BK163" s="1280"/>
      <c r="BL163" s="1277"/>
      <c r="BM163" s="1277"/>
      <c r="BN163" s="1277"/>
      <c r="BO163" s="1277"/>
      <c r="BP163" s="1277"/>
      <c r="BQ163" s="1277"/>
      <c r="BR163" s="1278"/>
      <c r="BS163" s="1278"/>
      <c r="BT163" s="1278"/>
      <c r="BU163" s="1278"/>
      <c r="BV163" s="1278"/>
      <c r="BW163" s="1278"/>
      <c r="BX163" s="1278"/>
      <c r="BY163" s="1278"/>
      <c r="BZ163" s="1278"/>
      <c r="CA163" s="1278"/>
      <c r="CB163" s="1278"/>
      <c r="CC163" s="1278"/>
      <c r="CD163" s="1278"/>
    </row>
    <row r="164" spans="1:82" ht="4.5" hidden="1" customHeight="1" outlineLevel="1" x14ac:dyDescent="0.2">
      <c r="A164" s="729"/>
      <c r="B164" s="1278"/>
      <c r="C164" s="1280"/>
      <c r="D164" s="1278"/>
      <c r="E164" s="1278"/>
      <c r="F164" s="1278"/>
      <c r="G164" s="1278"/>
      <c r="H164" s="1280"/>
      <c r="I164" s="1278"/>
      <c r="J164" s="1278"/>
      <c r="K164" s="1278"/>
      <c r="L164" s="1278"/>
      <c r="M164" s="1280"/>
      <c r="N164" s="1327"/>
      <c r="O164" s="1327"/>
      <c r="P164" s="1327"/>
      <c r="Q164" s="1327"/>
      <c r="R164" s="1319"/>
      <c r="S164" s="1327"/>
      <c r="T164" s="1327"/>
      <c r="U164" s="1327"/>
      <c r="V164" s="1327"/>
      <c r="W164" s="1280"/>
      <c r="X164" s="1327"/>
      <c r="Y164" s="1327"/>
      <c r="Z164" s="1327"/>
      <c r="AA164" s="1327"/>
      <c r="AB164" s="1280"/>
      <c r="AC164" s="1327"/>
      <c r="AD164" s="1327"/>
      <c r="AE164" s="1327"/>
      <c r="AF164" s="1327"/>
      <c r="AG164" s="1280"/>
      <c r="AH164" s="1327"/>
      <c r="AI164" s="1327"/>
      <c r="AJ164" s="1327"/>
      <c r="AK164" s="1327"/>
      <c r="AL164" s="1280"/>
      <c r="AM164" s="1327"/>
      <c r="AN164" s="1327"/>
      <c r="AO164" s="1327"/>
      <c r="AP164" s="1327"/>
      <c r="AQ164" s="1280"/>
      <c r="AR164" s="1327"/>
      <c r="AS164" s="1327"/>
      <c r="AT164" s="1327"/>
      <c r="AU164" s="1327"/>
      <c r="AV164" s="1280"/>
      <c r="AW164" s="1327"/>
      <c r="AX164" s="1327"/>
      <c r="AY164" s="1327"/>
      <c r="AZ164" s="1327"/>
      <c r="BA164" s="1280"/>
      <c r="BB164" s="1327"/>
      <c r="BC164" s="1327"/>
      <c r="BD164" s="1327"/>
      <c r="BE164" s="1327"/>
      <c r="BF164" s="1280"/>
      <c r="BG164" s="1327"/>
      <c r="BH164" s="1327"/>
      <c r="BI164" s="1327"/>
      <c r="BJ164" s="1327"/>
      <c r="BK164" s="1280"/>
      <c r="BL164" s="1277"/>
      <c r="BM164" s="1277"/>
      <c r="BN164" s="1277"/>
      <c r="BO164" s="1277"/>
      <c r="BP164" s="1277"/>
      <c r="BQ164" s="1277"/>
      <c r="BR164" s="1294"/>
      <c r="BS164" s="1278"/>
      <c r="BT164" s="1278"/>
      <c r="BU164" s="1278"/>
      <c r="BV164" s="1278"/>
      <c r="BW164" s="1278"/>
      <c r="BX164" s="1278"/>
      <c r="BY164" s="1278"/>
      <c r="BZ164" s="1278"/>
      <c r="CA164" s="1278"/>
      <c r="CB164" s="1278"/>
      <c r="CC164" s="1278"/>
      <c r="CD164" s="1278"/>
    </row>
    <row r="165" spans="1:82" ht="12.75" hidden="1" customHeight="1" outlineLevel="1" x14ac:dyDescent="0.2">
      <c r="A165" s="1280" t="s">
        <v>346</v>
      </c>
      <c r="B165" s="1278"/>
      <c r="C165" s="1280"/>
      <c r="D165" s="1278"/>
      <c r="E165" s="1278"/>
      <c r="F165" s="1278"/>
      <c r="G165" s="1278"/>
      <c r="H165" s="1280"/>
      <c r="I165" s="1485">
        <f t="shared" ref="I165:V165" si="142">I61</f>
        <v>18.713000000000001</v>
      </c>
      <c r="J165" s="1485">
        <f t="shared" si="142"/>
        <v>19.451000000000001</v>
      </c>
      <c r="K165" s="1485">
        <f t="shared" si="142"/>
        <v>19.291</v>
      </c>
      <c r="L165" s="1485">
        <f t="shared" si="142"/>
        <v>21.384</v>
      </c>
      <c r="M165" s="1486">
        <f t="shared" si="142"/>
        <v>78.838999999999999</v>
      </c>
      <c r="N165" s="1485">
        <f t="shared" si="142"/>
        <v>20.472999999999999</v>
      </c>
      <c r="O165" s="1485">
        <f t="shared" si="142"/>
        <v>21.146999999999998</v>
      </c>
      <c r="P165" s="1485">
        <f t="shared" si="142"/>
        <v>21.411000000000001</v>
      </c>
      <c r="Q165" s="1485">
        <f t="shared" si="142"/>
        <v>22.332999999999998</v>
      </c>
      <c r="R165" s="1486">
        <f t="shared" si="142"/>
        <v>85.364000000000004</v>
      </c>
      <c r="S165" s="1485">
        <f t="shared" si="142"/>
        <v>21.204000000000001</v>
      </c>
      <c r="T165" s="1485">
        <f t="shared" si="142"/>
        <v>21.66</v>
      </c>
      <c r="U165" s="1485">
        <f t="shared" si="142"/>
        <v>21.11</v>
      </c>
      <c r="V165" s="1485">
        <f t="shared" si="142"/>
        <v>21.651</v>
      </c>
      <c r="W165" s="1280"/>
      <c r="X165" s="1485">
        <f>X61</f>
        <v>20.988</v>
      </c>
      <c r="Y165" s="1485">
        <f>Y61</f>
        <v>21.841999999999999</v>
      </c>
      <c r="Z165" s="1485">
        <f>Z61</f>
        <v>20.556999999999999</v>
      </c>
      <c r="AA165" s="1485">
        <f>AA61</f>
        <v>21.539000000000001</v>
      </c>
      <c r="AB165" s="1280"/>
      <c r="AC165" s="1485"/>
      <c r="AD165" s="1327"/>
      <c r="AE165" s="1485"/>
      <c r="AF165" s="1327"/>
      <c r="AG165" s="1280"/>
      <c r="AH165" s="1485"/>
      <c r="AI165" s="1485"/>
      <c r="AJ165" s="1485"/>
      <c r="AK165" s="1485"/>
      <c r="AL165" s="1280"/>
      <c r="AM165" s="1485"/>
      <c r="AN165" s="1485"/>
      <c r="AO165" s="1485"/>
      <c r="AP165" s="1485"/>
      <c r="AQ165" s="1280"/>
      <c r="AR165" s="1485"/>
      <c r="AS165" s="1485"/>
      <c r="AT165" s="1485"/>
      <c r="AU165" s="1485"/>
      <c r="AV165" s="1280"/>
      <c r="AW165" s="1485"/>
      <c r="AX165" s="1485"/>
      <c r="AY165" s="1485"/>
      <c r="AZ165" s="1485"/>
      <c r="BA165" s="1280"/>
      <c r="BB165" s="1485"/>
      <c r="BC165" s="1485"/>
      <c r="BD165" s="1485"/>
      <c r="BE165" s="1485"/>
      <c r="BF165" s="1280"/>
      <c r="BG165" s="1485"/>
      <c r="BH165" s="1485"/>
      <c r="BI165" s="1485"/>
      <c r="BJ165" s="1485"/>
      <c r="BK165" s="1280"/>
      <c r="BL165" s="1277"/>
      <c r="BM165" s="1277"/>
      <c r="BN165" s="1277"/>
      <c r="BO165" s="1277"/>
      <c r="BP165" s="1277"/>
      <c r="BQ165" s="1277"/>
      <c r="BR165" s="1278"/>
      <c r="BS165" s="1278"/>
      <c r="BT165" s="1278"/>
      <c r="BU165" s="1278"/>
      <c r="BV165" s="1278"/>
      <c r="BW165" s="1278"/>
      <c r="BX165" s="1278"/>
      <c r="BY165" s="1278"/>
      <c r="BZ165" s="1278"/>
      <c r="CA165" s="1278"/>
      <c r="CB165" s="1278"/>
      <c r="CC165" s="1278"/>
      <c r="CD165" s="1278"/>
    </row>
    <row r="166" spans="1:82" ht="12.75" hidden="1" customHeight="1" outlineLevel="1" x14ac:dyDescent="0.2">
      <c r="A166" s="1280" t="s">
        <v>415</v>
      </c>
      <c r="B166" s="1278"/>
      <c r="C166" s="1280"/>
      <c r="D166" s="1278"/>
      <c r="E166" s="1278"/>
      <c r="F166" s="1278"/>
      <c r="G166" s="1278"/>
      <c r="H166" s="1280"/>
      <c r="I166" s="1203">
        <f>I165-(D61*(1+I66))</f>
        <v>11.362580000000001</v>
      </c>
      <c r="J166" s="1203">
        <f>J165-(E61*(1+J66))</f>
        <v>11.663461999999999</v>
      </c>
      <c r="K166" s="1203">
        <f>K165-(F61*(1+K66))</f>
        <v>12.186084000000001</v>
      </c>
      <c r="L166" s="1203">
        <f>L165-(G61*(1+L66))</f>
        <v>12.393192000000001</v>
      </c>
      <c r="M166" s="1319">
        <f>SUM(I166:L166)</f>
        <v>47.605317999999997</v>
      </c>
      <c r="N166" s="1203">
        <f t="shared" ref="N166:V166" si="143">N165-(I61*(1+N66))</f>
        <v>9.7799999999637066E-4</v>
      </c>
      <c r="O166" s="1203">
        <f t="shared" si="143"/>
        <v>0</v>
      </c>
      <c r="P166" s="1203">
        <f t="shared" si="143"/>
        <v>-2.0100000000020657E-3</v>
      </c>
      <c r="Q166" s="1203">
        <f t="shared" si="143"/>
        <v>0</v>
      </c>
      <c r="R166" s="1484">
        <f t="shared" si="143"/>
        <v>-8.9048809117770134E-2</v>
      </c>
      <c r="S166" s="1203">
        <f t="shared" si="143"/>
        <v>-6.0280000000005884E-3</v>
      </c>
      <c r="T166" s="1203">
        <f t="shared" si="143"/>
        <v>5.4720000000010316E-3</v>
      </c>
      <c r="U166" s="1203">
        <f t="shared" si="143"/>
        <v>-1.2460000000018567E-3</v>
      </c>
      <c r="V166" s="1203">
        <f t="shared" si="143"/>
        <v>0</v>
      </c>
      <c r="W166" s="1280"/>
      <c r="X166" s="1203">
        <f>X165-(S61*(1+X66))</f>
        <v>0</v>
      </c>
      <c r="Y166" s="1203">
        <f>Y165-(T61*(1+Y66))</f>
        <v>0</v>
      </c>
      <c r="Z166" s="1203">
        <f>Z165-(U61*(1+Z66))</f>
        <v>0</v>
      </c>
      <c r="AA166" s="1203">
        <f>AA165-(V61*(1+AA66))</f>
        <v>0</v>
      </c>
      <c r="AB166" s="1280"/>
      <c r="AC166" s="1487">
        <f>AC76-X76-38.6</f>
        <v>2.5249999999999986</v>
      </c>
      <c r="AD166" s="1203">
        <v>44.6</v>
      </c>
      <c r="AE166" s="1203">
        <f>AE68+2.5</f>
        <v>87.5</v>
      </c>
      <c r="AF166" s="1203">
        <f>AF68+2.5</f>
        <v>85.993156333333332</v>
      </c>
      <c r="AG166" s="1319">
        <f>SUM(AC166:AF166)</f>
        <v>220.61815633333333</v>
      </c>
      <c r="AH166" s="1203">
        <f>AH68+(51/5)*(1/4)</f>
        <v>89.6</v>
      </c>
      <c r="AI166" s="1203">
        <f>AI68*(48/90)+(51/5)*(1/4)</f>
        <v>51.218074666666666</v>
      </c>
      <c r="AJ166" s="1203">
        <f>(51/5)*(1/4)</f>
        <v>2.5499999999999998</v>
      </c>
      <c r="AK166" s="1203">
        <f>(51/5)*(1/4)*(1/2)</f>
        <v>1.2749999999999999</v>
      </c>
      <c r="AL166" s="1319">
        <f>SUM(AH166:AK166)</f>
        <v>144.64307466666668</v>
      </c>
      <c r="AM166" s="1203"/>
      <c r="AN166" s="1203"/>
      <c r="AO166" s="1203"/>
      <c r="AP166" s="1203"/>
      <c r="AQ166" s="1319"/>
      <c r="AR166" s="1203"/>
      <c r="AS166" s="1203"/>
      <c r="AT166" s="1203"/>
      <c r="AU166" s="1203"/>
      <c r="AV166" s="1319"/>
      <c r="AW166" s="1203"/>
      <c r="AX166" s="1203"/>
      <c r="AY166" s="1203"/>
      <c r="AZ166" s="1203"/>
      <c r="BA166" s="1319"/>
      <c r="BB166" s="1203"/>
      <c r="BC166" s="1203"/>
      <c r="BD166" s="1203"/>
      <c r="BE166" s="1203"/>
      <c r="BF166" s="1319"/>
      <c r="BG166" s="1203"/>
      <c r="BH166" s="1203"/>
      <c r="BI166" s="1203"/>
      <c r="BJ166" s="1203"/>
      <c r="BK166" s="1319"/>
      <c r="BL166" s="1277"/>
      <c r="BM166" s="1277"/>
      <c r="BN166" s="1277"/>
      <c r="BO166" s="1277"/>
      <c r="BP166" s="1277"/>
      <c r="BQ166" s="1277"/>
      <c r="BR166" s="1278"/>
      <c r="BS166" s="1278"/>
      <c r="BT166" s="1278"/>
      <c r="BU166" s="1278"/>
      <c r="BV166" s="1278"/>
      <c r="BW166" s="1278"/>
      <c r="BX166" s="1278"/>
      <c r="BY166" s="1278"/>
      <c r="BZ166" s="1278"/>
      <c r="CA166" s="1278"/>
      <c r="CB166" s="1278"/>
      <c r="CC166" s="1278"/>
      <c r="CD166" s="1278"/>
    </row>
    <row r="167" spans="1:82" ht="4.5" hidden="1" customHeight="1" outlineLevel="1" x14ac:dyDescent="0.2">
      <c r="A167" s="729"/>
      <c r="B167" s="1278"/>
      <c r="C167" s="1280"/>
      <c r="D167" s="1278"/>
      <c r="E167" s="1278"/>
      <c r="F167" s="1278"/>
      <c r="G167" s="1278"/>
      <c r="H167" s="1280"/>
      <c r="I167" s="1278"/>
      <c r="J167" s="1278"/>
      <c r="K167" s="1278"/>
      <c r="L167" s="1278"/>
      <c r="M167" s="1280"/>
      <c r="N167" s="1327"/>
      <c r="O167" s="1327"/>
      <c r="P167" s="1327"/>
      <c r="Q167" s="1327"/>
      <c r="R167" s="1319"/>
      <c r="S167" s="1230"/>
      <c r="T167" s="1230"/>
      <c r="U167" s="1230"/>
      <c r="V167" s="1230"/>
      <c r="W167" s="1280"/>
      <c r="X167" s="1230"/>
      <c r="Y167" s="1230"/>
      <c r="Z167" s="1230"/>
      <c r="AA167" s="1230"/>
      <c r="AB167" s="1280"/>
      <c r="AC167" s="1230"/>
      <c r="AD167" s="1230"/>
      <c r="AE167" s="1230"/>
      <c r="AF167" s="1230"/>
      <c r="AG167" s="1280"/>
      <c r="AH167" s="1230"/>
      <c r="AI167" s="1230"/>
      <c r="AJ167" s="1230"/>
      <c r="AK167" s="1230"/>
      <c r="AL167" s="1280"/>
      <c r="AM167" s="1230"/>
      <c r="AN167" s="1230"/>
      <c r="AO167" s="1230"/>
      <c r="AP167" s="1230"/>
      <c r="AQ167" s="1280"/>
      <c r="AR167" s="1230"/>
      <c r="AS167" s="1230"/>
      <c r="AT167" s="1230"/>
      <c r="AU167" s="1230"/>
      <c r="AV167" s="1280"/>
      <c r="AW167" s="1230"/>
      <c r="AX167" s="1230"/>
      <c r="AY167" s="1230"/>
      <c r="AZ167" s="1230"/>
      <c r="BA167" s="1280"/>
      <c r="BB167" s="1230"/>
      <c r="BC167" s="1230"/>
      <c r="BD167" s="1230"/>
      <c r="BE167" s="1230"/>
      <c r="BF167" s="1280"/>
      <c r="BG167" s="1230"/>
      <c r="BH167" s="1230"/>
      <c r="BI167" s="1230"/>
      <c r="BJ167" s="1230"/>
      <c r="BK167" s="1280"/>
      <c r="BL167" s="1277"/>
      <c r="BM167" s="1277"/>
      <c r="BN167" s="1277"/>
      <c r="BO167" s="1277"/>
      <c r="BP167" s="1277"/>
      <c r="BQ167" s="1277"/>
      <c r="BR167" s="1294"/>
      <c r="BS167" s="1278"/>
      <c r="BT167" s="1278"/>
      <c r="BU167" s="1278"/>
      <c r="BV167" s="1278"/>
      <c r="BW167" s="1278"/>
      <c r="BX167" s="1278"/>
      <c r="BY167" s="1278"/>
      <c r="BZ167" s="1278"/>
      <c r="CA167" s="1278"/>
      <c r="CB167" s="1278"/>
      <c r="CC167" s="1278"/>
      <c r="CD167" s="1278"/>
    </row>
    <row r="168" spans="1:82" ht="12.75" hidden="1" customHeight="1" outlineLevel="1" x14ac:dyDescent="0.2">
      <c r="A168" s="1280" t="s">
        <v>401</v>
      </c>
      <c r="B168" s="1278"/>
      <c r="C168" s="1280"/>
      <c r="D168" s="1278"/>
      <c r="E168" s="1278"/>
      <c r="F168" s="1278"/>
      <c r="G168" s="1278"/>
      <c r="H168" s="1280"/>
      <c r="I168" s="1278"/>
      <c r="J168" s="1278"/>
      <c r="K168" s="1278"/>
      <c r="L168" s="1278"/>
      <c r="M168" s="1280"/>
      <c r="N168" s="1327"/>
      <c r="O168" s="1327"/>
      <c r="P168" s="1327"/>
      <c r="Q168" s="1327"/>
      <c r="R168" s="1319"/>
      <c r="S168" s="1230"/>
      <c r="T168" s="1230"/>
      <c r="U168" s="1230"/>
      <c r="V168" s="1230"/>
      <c r="W168" s="1280"/>
      <c r="X168" s="1230"/>
      <c r="Y168" s="1230"/>
      <c r="Z168" s="1230"/>
      <c r="AA168" s="1230"/>
      <c r="AB168" s="1280"/>
      <c r="AC168" s="1230"/>
      <c r="AD168" s="1230"/>
      <c r="AE168" s="1230"/>
      <c r="AF168" s="1230"/>
      <c r="AG168" s="1280"/>
      <c r="AH168" s="1230"/>
      <c r="AI168" s="1230"/>
      <c r="AJ168" s="1230"/>
      <c r="AK168" s="1230"/>
      <c r="AL168" s="1280"/>
      <c r="AM168" s="1230"/>
      <c r="AN168" s="1230"/>
      <c r="AO168" s="1230"/>
      <c r="AP168" s="1230"/>
      <c r="AQ168" s="1280"/>
      <c r="AR168" s="1230"/>
      <c r="AS168" s="1230"/>
      <c r="AT168" s="1230"/>
      <c r="AU168" s="1230"/>
      <c r="AV168" s="1280"/>
      <c r="AW168" s="1230"/>
      <c r="AX168" s="1230"/>
      <c r="AY168" s="1230"/>
      <c r="AZ168" s="1230"/>
      <c r="BA168" s="1280"/>
      <c r="BB168" s="1230"/>
      <c r="BC168" s="1230"/>
      <c r="BD168" s="1230"/>
      <c r="BE168" s="1230"/>
      <c r="BF168" s="1280"/>
      <c r="BG168" s="1230"/>
      <c r="BH168" s="1230"/>
      <c r="BI168" s="1230"/>
      <c r="BJ168" s="1230"/>
      <c r="BK168" s="1280"/>
      <c r="BL168" s="1277"/>
      <c r="BM168" s="1277"/>
      <c r="BN168" s="1277"/>
      <c r="BO168" s="1277"/>
      <c r="BP168" s="1277"/>
      <c r="BQ168" s="1277"/>
      <c r="BR168" s="1294"/>
      <c r="BS168" s="1278"/>
      <c r="BT168" s="1278"/>
      <c r="BU168" s="1278"/>
      <c r="BV168" s="1278"/>
      <c r="BW168" s="1278"/>
      <c r="BX168" s="1278"/>
      <c r="BY168" s="1278"/>
      <c r="BZ168" s="1278"/>
      <c r="CA168" s="1278"/>
      <c r="CB168" s="1278"/>
      <c r="CC168" s="1278"/>
      <c r="CD168" s="1278"/>
    </row>
    <row r="169" spans="1:82" ht="12.75" hidden="1" customHeight="1" outlineLevel="1" x14ac:dyDescent="0.2">
      <c r="A169" s="1280" t="s">
        <v>415</v>
      </c>
      <c r="B169" s="1278"/>
      <c r="C169" s="1280"/>
      <c r="D169" s="1278"/>
      <c r="E169" s="1278"/>
      <c r="F169" s="1278"/>
      <c r="G169" s="1278"/>
      <c r="H169" s="1280"/>
      <c r="I169" s="1278"/>
      <c r="J169" s="1278"/>
      <c r="K169" s="1278"/>
      <c r="L169" s="1278"/>
      <c r="M169" s="1280"/>
      <c r="N169" s="1327"/>
      <c r="O169" s="1327"/>
      <c r="P169" s="1327"/>
      <c r="Q169" s="1327"/>
      <c r="R169" s="1319"/>
      <c r="S169" s="1230"/>
      <c r="T169" s="1230"/>
      <c r="U169" s="1230"/>
      <c r="V169" s="1230"/>
      <c r="W169" s="1280"/>
      <c r="X169" s="1230"/>
      <c r="Y169" s="1230"/>
      <c r="Z169" s="1230"/>
      <c r="AA169" s="1230"/>
      <c r="AB169" s="1280"/>
      <c r="AC169" s="1230"/>
      <c r="AD169" s="1199"/>
      <c r="AE169" s="1199"/>
      <c r="AF169" s="1199"/>
      <c r="AG169" s="1319"/>
      <c r="AK169" s="1199"/>
      <c r="AL169" s="1319">
        <f>SUM(AH169:AK169)</f>
        <v>0</v>
      </c>
      <c r="AO169" s="1199"/>
      <c r="AP169" s="1199"/>
      <c r="AQ169" s="1319"/>
      <c r="AV169" s="1319"/>
      <c r="BA169" s="1319"/>
      <c r="BF169" s="1319"/>
      <c r="BK169" s="1319"/>
      <c r="BL169" s="1277"/>
      <c r="BM169" s="1277"/>
      <c r="BN169" s="1277"/>
      <c r="BO169" s="1277"/>
      <c r="BP169" s="1277"/>
      <c r="BQ169" s="1277"/>
      <c r="BR169" s="1294"/>
      <c r="BS169" s="1278"/>
      <c r="BT169" s="1278"/>
      <c r="BU169" s="1278"/>
      <c r="BV169" s="1278"/>
      <c r="BW169" s="1278"/>
      <c r="BX169" s="1278"/>
      <c r="BY169" s="1278"/>
      <c r="BZ169" s="1278"/>
      <c r="CA169" s="1278"/>
      <c r="CB169" s="1278"/>
      <c r="CC169" s="1278"/>
      <c r="CD169" s="1278"/>
    </row>
    <row r="170" spans="1:82" ht="12.75" hidden="1" customHeight="1" outlineLevel="1" x14ac:dyDescent="0.2">
      <c r="A170" s="729"/>
      <c r="B170" s="1278"/>
      <c r="C170" s="1280"/>
      <c r="D170" s="1278"/>
      <c r="E170" s="1278"/>
      <c r="F170" s="1278"/>
      <c r="G170" s="1278"/>
      <c r="H170" s="1280"/>
      <c r="I170" s="1278"/>
      <c r="J170" s="1278"/>
      <c r="K170" s="1278"/>
      <c r="L170" s="1278"/>
      <c r="M170" s="1280"/>
      <c r="N170" s="1327"/>
      <c r="O170" s="1327"/>
      <c r="P170" s="1327"/>
      <c r="Q170" s="1327"/>
      <c r="R170" s="1319"/>
      <c r="S170" s="1230"/>
      <c r="T170" s="1230"/>
      <c r="U170" s="1230"/>
      <c r="V170" s="1230"/>
      <c r="W170" s="1280"/>
      <c r="X170" s="1230"/>
      <c r="Y170" s="1230"/>
      <c r="Z170" s="1230"/>
      <c r="AA170" s="1230"/>
      <c r="AB170" s="1280"/>
      <c r="AC170" s="1230"/>
      <c r="AD170" s="1230"/>
      <c r="AE170" s="1230"/>
      <c r="AF170" s="1230"/>
      <c r="AG170" s="1280"/>
      <c r="AH170" s="1230"/>
      <c r="AI170" s="1230"/>
      <c r="AJ170" s="1230"/>
      <c r="AK170" s="1230"/>
      <c r="AL170" s="1280"/>
      <c r="AM170" s="1230"/>
      <c r="AN170" s="1230"/>
      <c r="AO170" s="1230"/>
      <c r="AP170" s="1230"/>
      <c r="AQ170" s="1280"/>
      <c r="AR170" s="1230"/>
      <c r="AS170" s="1230"/>
      <c r="AT170" s="1230"/>
      <c r="AU170" s="1230"/>
      <c r="AV170" s="1280"/>
      <c r="AW170" s="1230"/>
      <c r="AX170" s="1230"/>
      <c r="AY170" s="1230"/>
      <c r="AZ170" s="1230"/>
      <c r="BA170" s="1280"/>
      <c r="BB170" s="1230"/>
      <c r="BC170" s="1230"/>
      <c r="BD170" s="1230"/>
      <c r="BE170" s="1230"/>
      <c r="BF170" s="1280"/>
      <c r="BG170" s="1230"/>
      <c r="BH170" s="1230"/>
      <c r="BI170" s="1230"/>
      <c r="BJ170" s="1230"/>
      <c r="BK170" s="1280"/>
      <c r="BL170" s="1277"/>
      <c r="BM170" s="1277"/>
      <c r="BN170" s="1277"/>
      <c r="BO170" s="1277"/>
      <c r="BP170" s="1277"/>
      <c r="BQ170" s="1277"/>
      <c r="BR170" s="1294"/>
      <c r="BS170" s="1278"/>
      <c r="BT170" s="1278"/>
      <c r="BU170" s="1278"/>
      <c r="BV170" s="1278"/>
      <c r="BW170" s="1278"/>
      <c r="BX170" s="1278"/>
      <c r="BY170" s="1278"/>
      <c r="BZ170" s="1278"/>
      <c r="CA170" s="1278"/>
      <c r="CB170" s="1278"/>
      <c r="CC170" s="1278"/>
      <c r="CD170" s="1278"/>
    </row>
    <row r="171" spans="1:82" ht="12.75" hidden="1" customHeight="1" outlineLevel="1" x14ac:dyDescent="0.2">
      <c r="A171" s="1284" t="s">
        <v>347</v>
      </c>
      <c r="B171" s="1278"/>
      <c r="C171" s="1280"/>
      <c r="D171" s="1278"/>
      <c r="E171" s="1278"/>
      <c r="F171" s="1278"/>
      <c r="G171" s="1278"/>
      <c r="H171" s="1280"/>
      <c r="I171" s="1485">
        <f t="shared" ref="I171:V171" si="144">I76</f>
        <v>172.32599999999996</v>
      </c>
      <c r="J171" s="1485">
        <f t="shared" si="144"/>
        <v>186.75</v>
      </c>
      <c r="K171" s="1485">
        <f t="shared" si="144"/>
        <v>200.12099999999998</v>
      </c>
      <c r="L171" s="1485">
        <f t="shared" si="144"/>
        <v>209.28199999999998</v>
      </c>
      <c r="M171" s="1486">
        <f t="shared" si="144"/>
        <v>768.47900000000004</v>
      </c>
      <c r="N171" s="1485">
        <f t="shared" si="144"/>
        <v>201.53199999999998</v>
      </c>
      <c r="O171" s="1485">
        <f t="shared" si="144"/>
        <v>229.03699999999998</v>
      </c>
      <c r="P171" s="1485">
        <f t="shared" si="144"/>
        <v>254.99599999999998</v>
      </c>
      <c r="Q171" s="1485">
        <f t="shared" si="144"/>
        <v>269.24900000000002</v>
      </c>
      <c r="R171" s="1486">
        <f t="shared" si="144"/>
        <v>954.81400000000008</v>
      </c>
      <c r="S171" s="1485">
        <f t="shared" si="144"/>
        <v>224.08400000000003</v>
      </c>
      <c r="T171" s="1485">
        <f t="shared" si="144"/>
        <v>236.107</v>
      </c>
      <c r="U171" s="1485">
        <f t="shared" si="144"/>
        <v>256.87199999999996</v>
      </c>
      <c r="V171" s="1485">
        <f t="shared" si="144"/>
        <v>260.37400000000002</v>
      </c>
      <c r="W171" s="1280"/>
      <c r="X171" s="1485">
        <f>X76</f>
        <v>247.32999999999998</v>
      </c>
      <c r="Y171" s="1485">
        <f>Y76</f>
        <v>261.60199999999998</v>
      </c>
      <c r="Z171" s="1485">
        <f>Z76</f>
        <v>287.21100000000001</v>
      </c>
      <c r="AA171" s="1485">
        <f>AA76</f>
        <v>299.93099999999998</v>
      </c>
      <c r="AB171" s="1280"/>
      <c r="AC171" s="1485"/>
      <c r="AD171" s="1485"/>
      <c r="AE171" s="1485"/>
      <c r="AF171" s="1327"/>
      <c r="AG171" s="1280"/>
      <c r="AH171" s="1485"/>
      <c r="AI171" s="1485"/>
      <c r="AJ171" s="1485"/>
      <c r="AK171" s="1485"/>
      <c r="AL171" s="1280"/>
      <c r="AM171" s="1485"/>
      <c r="AN171" s="1485"/>
      <c r="AO171" s="1485"/>
      <c r="AP171" s="1485"/>
      <c r="AQ171" s="1280"/>
      <c r="AR171" s="1485"/>
      <c r="AS171" s="1485"/>
      <c r="AT171" s="1485"/>
      <c r="AU171" s="1485"/>
      <c r="AV171" s="1280"/>
      <c r="AW171" s="1485"/>
      <c r="AX171" s="1485"/>
      <c r="AY171" s="1485"/>
      <c r="AZ171" s="1485"/>
      <c r="BA171" s="1280"/>
      <c r="BB171" s="1485"/>
      <c r="BC171" s="1485"/>
      <c r="BD171" s="1485"/>
      <c r="BE171" s="1485"/>
      <c r="BF171" s="1280"/>
      <c r="BG171" s="1485"/>
      <c r="BH171" s="1485"/>
      <c r="BI171" s="1485"/>
      <c r="BJ171" s="1485"/>
      <c r="BK171" s="1280"/>
      <c r="BL171" s="1277"/>
      <c r="BM171" s="1277"/>
      <c r="BN171" s="1277"/>
      <c r="BO171" s="1277"/>
      <c r="BP171" s="1277"/>
      <c r="BQ171" s="1277"/>
      <c r="BR171" s="1286"/>
      <c r="BS171" s="1278"/>
      <c r="BT171" s="1278"/>
      <c r="BU171" s="1278"/>
      <c r="BV171" s="1278"/>
      <c r="BW171" s="1278"/>
      <c r="BX171" s="1278"/>
      <c r="BY171" s="1278"/>
      <c r="BZ171" s="1278"/>
      <c r="CA171" s="1278"/>
      <c r="CB171" s="1278"/>
      <c r="CC171" s="1278"/>
      <c r="CD171" s="1278"/>
    </row>
    <row r="172" spans="1:82" ht="12.75" hidden="1" customHeight="1" outlineLevel="1" x14ac:dyDescent="0.2">
      <c r="A172" s="1280" t="s">
        <v>415</v>
      </c>
      <c r="B172" s="1278"/>
      <c r="C172" s="1280"/>
      <c r="D172" s="1278"/>
      <c r="E172" s="1278"/>
      <c r="F172" s="1278"/>
      <c r="G172" s="1278"/>
      <c r="H172" s="1280"/>
      <c r="I172" s="1278"/>
      <c r="J172" s="1278"/>
      <c r="K172" s="1278"/>
      <c r="L172" s="1278"/>
      <c r="M172" s="1280"/>
      <c r="N172" s="1203">
        <f t="shared" ref="N172:V172" si="145">N171-(I76*(1+N78))</f>
        <v>12.662704000000019</v>
      </c>
      <c r="O172" s="1203">
        <f t="shared" si="145"/>
        <v>28.093999999999966</v>
      </c>
      <c r="P172" s="1203">
        <f t="shared" si="145"/>
        <v>32.861689999999982</v>
      </c>
      <c r="Q172" s="1203">
        <f t="shared" si="145"/>
        <v>43.433722000000046</v>
      </c>
      <c r="R172" s="1484">
        <f t="shared" si="145"/>
        <v>116.97977025000012</v>
      </c>
      <c r="S172" s="1203">
        <f t="shared" si="145"/>
        <v>6.8325040000000286</v>
      </c>
      <c r="T172" s="1203">
        <f t="shared" si="145"/>
        <v>-11.940070999999961</v>
      </c>
      <c r="U172" s="1203">
        <f t="shared" si="145"/>
        <v>-11.383792000000028</v>
      </c>
      <c r="V172" s="1203">
        <f t="shared" si="145"/>
        <v>-29.337924000000044</v>
      </c>
      <c r="W172" s="1280"/>
      <c r="X172" s="1203">
        <f>X171-(S76*(1+X78))</f>
        <v>0</v>
      </c>
      <c r="Y172" s="1203">
        <f>Y171-(T76*(1+Y78))</f>
        <v>0</v>
      </c>
      <c r="Z172" s="1203">
        <f>Z171-(U76*(1+Z78))</f>
        <v>0</v>
      </c>
      <c r="AA172" s="1203">
        <f>AA171-(V76*(1+AA78))</f>
        <v>0</v>
      </c>
      <c r="AB172" s="1280"/>
      <c r="AC172" s="1203"/>
      <c r="AD172" s="1203"/>
      <c r="AE172" s="1203"/>
      <c r="AF172" s="1278"/>
      <c r="AG172" s="1280"/>
      <c r="AH172" s="1203"/>
      <c r="AI172" s="1203"/>
      <c r="AJ172" s="1203"/>
      <c r="AK172" s="1203"/>
      <c r="AL172" s="1280"/>
      <c r="AM172" s="1203"/>
      <c r="AN172" s="1203"/>
      <c r="AO172" s="1203"/>
      <c r="AP172" s="1203"/>
      <c r="AQ172" s="1280"/>
      <c r="AR172" s="1203"/>
      <c r="AS172" s="1203"/>
      <c r="AT172" s="1203"/>
      <c r="AU172" s="1203"/>
      <c r="AV172" s="1280"/>
      <c r="AW172" s="1203"/>
      <c r="AX172" s="1203"/>
      <c r="AY172" s="1203"/>
      <c r="AZ172" s="1203"/>
      <c r="BA172" s="1280"/>
      <c r="BB172" s="1203"/>
      <c r="BC172" s="1203"/>
      <c r="BD172" s="1203"/>
      <c r="BE172" s="1203"/>
      <c r="BF172" s="1280"/>
      <c r="BG172" s="1203"/>
      <c r="BH172" s="1203"/>
      <c r="BI172" s="1203"/>
      <c r="BJ172" s="1203"/>
      <c r="BK172" s="1280"/>
      <c r="BL172" s="1277"/>
      <c r="BM172" s="1277"/>
      <c r="BN172" s="1277"/>
      <c r="BO172" s="1277"/>
      <c r="BP172" s="1277"/>
      <c r="BQ172" s="1277"/>
      <c r="BR172" s="1278"/>
      <c r="BS172" s="1278"/>
      <c r="BT172" s="1278"/>
      <c r="BU172" s="1278"/>
      <c r="BV172" s="1278"/>
      <c r="BW172" s="1278"/>
      <c r="BX172" s="1278"/>
      <c r="BY172" s="1278"/>
      <c r="BZ172" s="1278"/>
      <c r="CA172" s="1278"/>
      <c r="CB172" s="1278"/>
      <c r="CC172" s="1278"/>
      <c r="CD172" s="1278"/>
    </row>
    <row r="173" spans="1:82" ht="4.5" hidden="1" customHeight="1" outlineLevel="1" x14ac:dyDescent="0.2">
      <c r="A173" s="1330"/>
      <c r="B173" s="1278"/>
      <c r="C173" s="1280"/>
      <c r="D173" s="1278"/>
      <c r="E173" s="1278"/>
      <c r="F173" s="1278"/>
      <c r="G173" s="1278"/>
      <c r="H173" s="1280"/>
      <c r="I173" s="1278"/>
      <c r="J173" s="1278"/>
      <c r="K173" s="1278"/>
      <c r="L173" s="1278"/>
      <c r="M173" s="1280"/>
      <c r="N173" s="1278"/>
      <c r="O173" s="1278"/>
      <c r="P173" s="1278"/>
      <c r="Q173" s="1278"/>
      <c r="R173" s="1280"/>
      <c r="S173" s="1278"/>
      <c r="T173" s="1278"/>
      <c r="U173" s="1278"/>
      <c r="V173" s="1278"/>
      <c r="W173" s="1280"/>
      <c r="X173" s="1278"/>
      <c r="Y173" s="1278"/>
      <c r="Z173" s="1278"/>
      <c r="AA173" s="1278"/>
      <c r="AB173" s="1280"/>
      <c r="AC173" s="1278"/>
      <c r="AD173" s="1278"/>
      <c r="AE173" s="1278"/>
      <c r="AF173" s="1278"/>
      <c r="AG173" s="1280"/>
      <c r="AH173" s="1278"/>
      <c r="AI173" s="1278"/>
      <c r="AJ173" s="1278"/>
      <c r="AK173" s="1278"/>
      <c r="AL173" s="1280"/>
      <c r="AM173" s="1278"/>
      <c r="AN173" s="1278"/>
      <c r="AO173" s="1278"/>
      <c r="AP173" s="1278"/>
      <c r="AQ173" s="1280"/>
      <c r="AR173" s="1278"/>
      <c r="AS173" s="1278"/>
      <c r="AT173" s="1278"/>
      <c r="AU173" s="1278"/>
      <c r="AV173" s="1280"/>
      <c r="AW173" s="1278"/>
      <c r="AX173" s="1278"/>
      <c r="AY173" s="1278"/>
      <c r="AZ173" s="1278"/>
      <c r="BA173" s="1280"/>
      <c r="BB173" s="1278"/>
      <c r="BC173" s="1278"/>
      <c r="BD173" s="1278"/>
      <c r="BE173" s="1278"/>
      <c r="BF173" s="1280"/>
      <c r="BG173" s="1278"/>
      <c r="BH173" s="1278"/>
      <c r="BI173" s="1278"/>
      <c r="BJ173" s="1278"/>
      <c r="BK173" s="1280"/>
      <c r="BL173" s="1277"/>
      <c r="BM173" s="1277"/>
      <c r="BN173" s="1277"/>
      <c r="BO173" s="1277"/>
      <c r="BP173" s="1277"/>
      <c r="BQ173" s="1277"/>
      <c r="BR173" s="1331"/>
      <c r="BS173" s="1278"/>
      <c r="BT173" s="1278"/>
      <c r="BU173" s="1278"/>
      <c r="BV173" s="1278"/>
      <c r="BW173" s="1278"/>
      <c r="BX173" s="1278"/>
      <c r="BY173" s="1278"/>
      <c r="BZ173" s="1278"/>
      <c r="CA173" s="1278"/>
      <c r="CB173" s="1278"/>
      <c r="CC173" s="1278"/>
      <c r="CD173" s="1278"/>
    </row>
    <row r="174" spans="1:82" ht="12.75" hidden="1" customHeight="1" outlineLevel="1" x14ac:dyDescent="0.2">
      <c r="A174" s="1284" t="s">
        <v>50</v>
      </c>
      <c r="B174" s="1278"/>
      <c r="C174" s="1280"/>
      <c r="D174" s="1278"/>
      <c r="E174" s="1278"/>
      <c r="F174" s="1278"/>
      <c r="G174" s="1278"/>
      <c r="H174" s="1280"/>
      <c r="I174" s="1485">
        <f t="shared" ref="I174:V174" si="146">I86</f>
        <v>312.86899999999997</v>
      </c>
      <c r="J174" s="1485">
        <f t="shared" si="146"/>
        <v>327.28000000000003</v>
      </c>
      <c r="K174" s="1485">
        <f t="shared" si="146"/>
        <v>340.09799999999996</v>
      </c>
      <c r="L174" s="1485">
        <f t="shared" si="146"/>
        <v>351.59299999999996</v>
      </c>
      <c r="M174" s="1486">
        <f t="shared" si="146"/>
        <v>1331.8400000000001</v>
      </c>
      <c r="N174" s="1485">
        <f t="shared" si="146"/>
        <v>346.50099999999998</v>
      </c>
      <c r="O174" s="1485">
        <f t="shared" si="146"/>
        <v>373.226</v>
      </c>
      <c r="P174" s="1485">
        <f t="shared" si="146"/>
        <v>398.863</v>
      </c>
      <c r="Q174" s="1485">
        <f t="shared" si="146"/>
        <v>415.73</v>
      </c>
      <c r="R174" s="1486">
        <f t="shared" si="146"/>
        <v>1534.3200000000002</v>
      </c>
      <c r="S174" s="1485">
        <f t="shared" si="146"/>
        <v>376.697</v>
      </c>
      <c r="T174" s="1485">
        <f t="shared" si="146"/>
        <v>390.36599999999999</v>
      </c>
      <c r="U174" s="1485">
        <f t="shared" si="146"/>
        <v>411.92699999999996</v>
      </c>
      <c r="V174" s="1485">
        <f t="shared" si="146"/>
        <v>416.72300000000001</v>
      </c>
      <c r="W174" s="1280"/>
      <c r="X174" s="1485">
        <f>X86</f>
        <v>409.64299999999997</v>
      </c>
      <c r="Y174" s="1485">
        <f>Y86</f>
        <v>423.55399999999997</v>
      </c>
      <c r="Z174" s="1485">
        <f>Z86</f>
        <v>448.66500000000002</v>
      </c>
      <c r="AA174" s="1485">
        <f>AA86</f>
        <v>464.86399999999998</v>
      </c>
      <c r="AB174" s="1280"/>
      <c r="AC174" s="1485"/>
      <c r="AD174" s="1485"/>
      <c r="AE174" s="1485"/>
      <c r="AF174" s="1278"/>
      <c r="AG174" s="1280"/>
      <c r="AH174" s="1485"/>
      <c r="AI174" s="1485"/>
      <c r="AJ174" s="1485"/>
      <c r="AK174" s="1485"/>
      <c r="AL174" s="1280"/>
      <c r="AM174" s="1485"/>
      <c r="AN174" s="1485"/>
      <c r="AO174" s="1485"/>
      <c r="AP174" s="1485"/>
      <c r="AQ174" s="1280"/>
      <c r="AR174" s="1485"/>
      <c r="AS174" s="1485"/>
      <c r="AT174" s="1485"/>
      <c r="AU174" s="1485"/>
      <c r="AV174" s="1280"/>
      <c r="AW174" s="1485"/>
      <c r="AX174" s="1485"/>
      <c r="AY174" s="1485"/>
      <c r="AZ174" s="1485"/>
      <c r="BA174" s="1280"/>
      <c r="BB174" s="1485"/>
      <c r="BC174" s="1485"/>
      <c r="BD174" s="1485"/>
      <c r="BE174" s="1485"/>
      <c r="BF174" s="1280"/>
      <c r="BG174" s="1485"/>
      <c r="BH174" s="1485"/>
      <c r="BI174" s="1485"/>
      <c r="BJ174" s="1485"/>
      <c r="BK174" s="1280"/>
      <c r="BL174" s="1277"/>
      <c r="BM174" s="1277"/>
      <c r="BN174" s="1277"/>
      <c r="BO174" s="1277"/>
      <c r="BP174" s="1277"/>
      <c r="BQ174" s="1277"/>
      <c r="BR174" s="1286"/>
      <c r="BS174" s="1278"/>
      <c r="BT174" s="1278"/>
      <c r="BU174" s="1278"/>
      <c r="BV174" s="1278"/>
      <c r="BW174" s="1278"/>
      <c r="BX174" s="1278"/>
      <c r="BY174" s="1278"/>
      <c r="BZ174" s="1278"/>
      <c r="CA174" s="1278"/>
      <c r="CB174" s="1278"/>
      <c r="CC174" s="1278"/>
      <c r="CD174" s="1278"/>
    </row>
    <row r="175" spans="1:82" ht="12.75" hidden="1" customHeight="1" outlineLevel="1" x14ac:dyDescent="0.2">
      <c r="A175" s="1280" t="s">
        <v>415</v>
      </c>
      <c r="B175" s="1278"/>
      <c r="C175" s="1280"/>
      <c r="D175" s="1278"/>
      <c r="E175" s="1278"/>
      <c r="F175" s="1278"/>
      <c r="G175" s="1278"/>
      <c r="H175" s="1280"/>
      <c r="I175" s="1278"/>
      <c r="J175" s="1278"/>
      <c r="K175" s="1278"/>
      <c r="L175" s="1278"/>
      <c r="M175" s="1280"/>
      <c r="N175" s="1203">
        <f t="shared" ref="N175:V175" si="147">N174-(I86*(1+N88))</f>
        <v>9.5410870000000045</v>
      </c>
      <c r="O175" s="1203">
        <f t="shared" si="147"/>
        <v>25.000079999999969</v>
      </c>
      <c r="P175" s="1203">
        <f t="shared" si="147"/>
        <v>29.856670000000065</v>
      </c>
      <c r="Q175" s="1203">
        <f t="shared" si="147"/>
        <v>40.580269000000101</v>
      </c>
      <c r="R175" s="1484">
        <f t="shared" si="147"/>
        <v>105.25567999999998</v>
      </c>
      <c r="S175" s="1203">
        <f t="shared" si="147"/>
        <v>6.6339320000000157</v>
      </c>
      <c r="T175" s="1203">
        <f t="shared" si="147"/>
        <v>-11.971628000000067</v>
      </c>
      <c r="U175" s="1203">
        <f t="shared" si="147"/>
        <v>-11.266642999999988</v>
      </c>
      <c r="V175" s="1203">
        <f t="shared" si="147"/>
        <v>-29.355289999999968</v>
      </c>
      <c r="W175" s="1280"/>
      <c r="X175" s="1203">
        <f>X174-(S86*(1+X88))</f>
        <v>0</v>
      </c>
      <c r="Y175" s="1203">
        <f>Y174-(T86*(1+Y88))</f>
        <v>0</v>
      </c>
      <c r="Z175" s="1203">
        <f>Z174-(U86*(1+Z88))</f>
        <v>0</v>
      </c>
      <c r="AA175" s="1203">
        <f>AA174-(V86*(1+AA88))</f>
        <v>0.63457799999991948</v>
      </c>
      <c r="AB175" s="1280"/>
      <c r="AC175" s="1203">
        <f>SUM(AC166+AC160+AC157+AC163+AC153)</f>
        <v>2.5249999999999986</v>
      </c>
      <c r="AD175" s="1203">
        <f>SUM(AD166+AD160+AD157+AD163+AD153+AD169)</f>
        <v>44.6</v>
      </c>
      <c r="AE175" s="1203">
        <f>SUM(AE166+AE160+AE157+AE163+AE153+AE169)</f>
        <v>87.5</v>
      </c>
      <c r="AF175" s="1203">
        <f>SUM(AF166+AF160+AF157+AF163+AF153+AF169)</f>
        <v>85.993156333333332</v>
      </c>
      <c r="AG175" s="1319">
        <f>SUM(AC175:AF175)</f>
        <v>220.61815633333333</v>
      </c>
      <c r="AH175" s="1203">
        <f>SUM(AH166+AH160+AH157+AH163+AH153+AH169)</f>
        <v>89.6</v>
      </c>
      <c r="AI175" s="1203">
        <f>SUM(AI166+AI160+AI157+AI163+AI153+AI169)</f>
        <v>51.218074666666666</v>
      </c>
      <c r="AJ175" s="1203">
        <f>SUM(AJ166+AJ160+AJ157+AJ163+AJ153+AJ169)</f>
        <v>2.5499999999999998</v>
      </c>
      <c r="AK175" s="1203">
        <f>SUM(AK166+AK160+AK157+AK163+AK153+AK169)</f>
        <v>1.2749999999999999</v>
      </c>
      <c r="AL175" s="1319">
        <f>SUM(AH175:AK175)</f>
        <v>144.64307466666668</v>
      </c>
      <c r="AM175" s="1203"/>
      <c r="AN175" s="1203"/>
      <c r="AO175" s="1203"/>
      <c r="AP175" s="1203"/>
      <c r="AQ175" s="1319"/>
      <c r="AR175" s="1203"/>
      <c r="AS175" s="1203"/>
      <c r="AT175" s="1203"/>
      <c r="AU175" s="1203"/>
      <c r="AV175" s="1319"/>
      <c r="AW175" s="1203"/>
      <c r="AX175" s="1203"/>
      <c r="AY175" s="1203"/>
      <c r="AZ175" s="1203"/>
      <c r="BA175" s="1319"/>
      <c r="BB175" s="1203"/>
      <c r="BC175" s="1203"/>
      <c r="BD175" s="1203"/>
      <c r="BE175" s="1203"/>
      <c r="BF175" s="1319"/>
      <c r="BG175" s="1203"/>
      <c r="BH175" s="1203"/>
      <c r="BI175" s="1203"/>
      <c r="BJ175" s="1203"/>
      <c r="BK175" s="1319"/>
      <c r="BL175" s="1277"/>
      <c r="BM175" s="1277"/>
      <c r="BN175" s="1277"/>
      <c r="BO175" s="1277"/>
      <c r="BP175" s="1277"/>
      <c r="BQ175" s="1277"/>
      <c r="BR175" s="1278"/>
      <c r="BS175" s="1278"/>
      <c r="BT175" s="1278"/>
      <c r="BU175" s="1278"/>
      <c r="BV175" s="1278"/>
      <c r="BW175" s="1278"/>
      <c r="BX175" s="1278"/>
      <c r="BY175" s="1278"/>
      <c r="BZ175" s="1278"/>
      <c r="CA175" s="1278"/>
      <c r="CB175" s="1278"/>
      <c r="CC175" s="1278"/>
      <c r="CD175" s="1278"/>
    </row>
    <row r="176" spans="1:82" collapsed="1" x14ac:dyDescent="0.2">
      <c r="A176" s="1280"/>
      <c r="B176" s="1278"/>
      <c r="C176" s="1280"/>
      <c r="D176" s="1278"/>
      <c r="E176" s="1278"/>
      <c r="F176" s="1278"/>
      <c r="G176" s="1278"/>
      <c r="H176" s="1280"/>
      <c r="I176" s="1278"/>
      <c r="J176" s="1278"/>
      <c r="K176" s="1278"/>
      <c r="L176" s="1278"/>
      <c r="M176" s="1280"/>
      <c r="N176" s="1203"/>
      <c r="O176" s="1203"/>
      <c r="P176" s="1203"/>
      <c r="Q176" s="1203"/>
      <c r="R176" s="1484"/>
      <c r="S176" s="1203"/>
      <c r="T176" s="1203"/>
      <c r="U176" s="1203"/>
      <c r="V176" s="1203"/>
      <c r="W176" s="1280"/>
      <c r="X176" s="1203"/>
      <c r="Y176" s="1203"/>
      <c r="Z176" s="1203"/>
      <c r="AA176" s="1278"/>
      <c r="AB176" s="1278"/>
      <c r="AC176" s="1203"/>
      <c r="AD176" s="1203"/>
      <c r="AE176" s="1203"/>
      <c r="AF176" s="1278"/>
      <c r="AG176" s="1278"/>
      <c r="AH176" s="1203"/>
      <c r="AI176" s="1203"/>
      <c r="AJ176" s="1203"/>
      <c r="AK176" s="1203"/>
      <c r="AL176" s="1278"/>
      <c r="AM176" s="1203"/>
      <c r="AN176" s="1203"/>
      <c r="AO176" s="1203"/>
      <c r="AP176" s="1203"/>
      <c r="AQ176" s="1278"/>
      <c r="AR176" s="1203"/>
      <c r="AS176" s="1203"/>
      <c r="AT176" s="1203"/>
      <c r="AU176" s="1203"/>
      <c r="AV176" s="1278"/>
      <c r="AW176" s="1203"/>
      <c r="AX176" s="1203"/>
      <c r="AY176" s="1203"/>
      <c r="AZ176" s="1203"/>
      <c r="BA176" s="1278"/>
      <c r="BB176" s="1203"/>
      <c r="BC176" s="1203"/>
      <c r="BD176" s="1203"/>
      <c r="BE176" s="1203"/>
      <c r="BF176" s="1278"/>
      <c r="BG176" s="1203"/>
      <c r="BH176" s="1203"/>
      <c r="BI176" s="1203"/>
      <c r="BJ176" s="1203"/>
      <c r="BK176" s="1278"/>
      <c r="BL176" s="1277"/>
      <c r="BM176" s="1277"/>
      <c r="BN176" s="1277"/>
      <c r="BO176" s="1277"/>
      <c r="BP176" s="1277"/>
      <c r="BQ176" s="1277"/>
      <c r="BR176" s="1278"/>
      <c r="BS176" s="1278"/>
      <c r="BT176" s="1278"/>
      <c r="BU176" s="1278"/>
      <c r="BV176" s="1278"/>
      <c r="BW176" s="1278"/>
      <c r="BX176" s="1278"/>
      <c r="BY176" s="1278"/>
      <c r="BZ176" s="1278"/>
      <c r="CA176" s="1278"/>
      <c r="CB176" s="1278"/>
      <c r="CC176" s="1278"/>
      <c r="CD176" s="1278"/>
    </row>
    <row r="177" spans="1:82" ht="12.75" hidden="1" customHeight="1" outlineLevel="1" x14ac:dyDescent="0.2">
      <c r="A177" s="1488" t="s">
        <v>416</v>
      </c>
      <c r="B177" s="1489"/>
      <c r="C177" s="1279"/>
      <c r="D177" s="1489"/>
      <c r="E177" s="1489"/>
      <c r="F177" s="1489"/>
      <c r="G177" s="1489"/>
      <c r="H177" s="1279"/>
      <c r="I177" s="1489"/>
      <c r="J177" s="1489"/>
      <c r="K177" s="1489"/>
      <c r="L177" s="1489"/>
      <c r="M177" s="1279"/>
      <c r="N177" s="1262"/>
      <c r="O177" s="1262"/>
      <c r="P177" s="1262"/>
      <c r="Q177" s="1262"/>
      <c r="R177" s="1490"/>
      <c r="S177" s="1262"/>
      <c r="T177" s="1262"/>
      <c r="U177" s="1262"/>
      <c r="V177" s="1262"/>
      <c r="W177" s="1279"/>
      <c r="X177" s="1262"/>
      <c r="Y177" s="1262"/>
      <c r="Z177" s="1262"/>
      <c r="AA177" s="1489"/>
      <c r="AB177" s="1280"/>
      <c r="AC177" s="1262"/>
      <c r="AD177" s="1262"/>
      <c r="AE177" s="1262"/>
      <c r="AF177" s="1489"/>
      <c r="AG177" s="1280"/>
      <c r="AH177" s="1262"/>
      <c r="AI177" s="1262"/>
      <c r="AJ177" s="1262"/>
      <c r="AK177" s="1262"/>
      <c r="AL177" s="1280"/>
      <c r="AM177" s="1262"/>
      <c r="AN177" s="1262"/>
      <c r="AO177" s="1262"/>
      <c r="AP177" s="1262"/>
      <c r="AQ177" s="1280"/>
      <c r="AR177" s="1262"/>
      <c r="AS177" s="1262"/>
      <c r="AT177" s="1262"/>
      <c r="AU177" s="1262"/>
      <c r="AV177" s="1280"/>
      <c r="AW177" s="1262"/>
      <c r="AX177" s="1262"/>
      <c r="AY177" s="1262"/>
      <c r="AZ177" s="1262"/>
      <c r="BA177" s="1280"/>
      <c r="BB177" s="1262"/>
      <c r="BC177" s="1262"/>
      <c r="BD177" s="1262"/>
      <c r="BE177" s="1262"/>
      <c r="BF177" s="1280"/>
      <c r="BG177" s="1262"/>
      <c r="BH177" s="1262"/>
      <c r="BI177" s="1262"/>
      <c r="BJ177" s="1262"/>
      <c r="BK177" s="1280"/>
      <c r="BL177" s="1277"/>
      <c r="BM177" s="1277"/>
      <c r="BN177" s="1277"/>
      <c r="BO177" s="1277"/>
      <c r="BP177" s="1277"/>
      <c r="BQ177" s="1277"/>
      <c r="BR177" s="1491"/>
      <c r="BS177" s="1489"/>
      <c r="BT177" s="1489"/>
      <c r="BU177" s="1489"/>
      <c r="BV177" s="1489"/>
      <c r="BW177" s="1489"/>
      <c r="BX177" s="1489"/>
      <c r="BY177" s="1489"/>
      <c r="BZ177" s="1489"/>
      <c r="CA177" s="1489"/>
      <c r="CB177" s="1489"/>
      <c r="CC177" s="1489"/>
      <c r="CD177" s="1489"/>
    </row>
    <row r="178" spans="1:82" ht="12.75" hidden="1" customHeight="1" outlineLevel="1" x14ac:dyDescent="0.2">
      <c r="A178" s="1284" t="s">
        <v>101</v>
      </c>
      <c r="B178" s="1482"/>
      <c r="C178" s="1483"/>
      <c r="D178" s="1482"/>
      <c r="E178" s="1482"/>
      <c r="F178" s="1482"/>
      <c r="G178" s="1482"/>
      <c r="H178" s="1483"/>
      <c r="I178" s="1482"/>
      <c r="J178" s="1482"/>
      <c r="K178" s="1482"/>
      <c r="L178" s="1482"/>
      <c r="M178" s="1483"/>
      <c r="N178" s="1230">
        <f>N17-N21</f>
        <v>-2.0507858804778629E-2</v>
      </c>
      <c r="O178" s="1230">
        <f>O17-O21</f>
        <v>-2.296285490642587E-2</v>
      </c>
      <c r="P178" s="1230">
        <f>P17-P21</f>
        <v>-2.1209720168313309E-2</v>
      </c>
      <c r="Q178" s="1230">
        <f>Q17-Q21</f>
        <v>-2.0697978371313666E-2</v>
      </c>
      <c r="R178" s="1322"/>
      <c r="S178" s="1230">
        <f>S17-S21</f>
        <v>-2.7148562796181636E-4</v>
      </c>
      <c r="T178" s="1230">
        <f>T17-T21</f>
        <v>0</v>
      </c>
      <c r="U178" s="1230">
        <f>U17-U21</f>
        <v>-2.3372976429618386E-4</v>
      </c>
      <c r="V178" s="1230">
        <f>V17-V21</f>
        <v>0</v>
      </c>
      <c r="W178" s="1483"/>
      <c r="X178" s="1230">
        <f>X17-X21</f>
        <v>0</v>
      </c>
      <c r="Y178" s="1230">
        <f>Y17-Y21</f>
        <v>0</v>
      </c>
      <c r="Z178" s="1230">
        <f>Z17-Z21</f>
        <v>0</v>
      </c>
      <c r="AA178" s="1321"/>
      <c r="AB178" s="1280"/>
      <c r="AC178" s="1230"/>
      <c r="AD178" s="1230"/>
      <c r="AE178" s="1230"/>
      <c r="AF178" s="1321"/>
      <c r="AG178" s="1280"/>
      <c r="AH178" s="1230"/>
      <c r="AI178" s="1230"/>
      <c r="AJ178" s="1230"/>
      <c r="AK178" s="1230"/>
      <c r="AL178" s="1280"/>
      <c r="AM178" s="1230"/>
      <c r="AN178" s="1230"/>
      <c r="AO178" s="1230"/>
      <c r="AP178" s="1230"/>
      <c r="AQ178" s="1280"/>
      <c r="AR178" s="1230"/>
      <c r="AS178" s="1230"/>
      <c r="AT178" s="1230"/>
      <c r="AU178" s="1230"/>
      <c r="AV178" s="1280"/>
      <c r="AW178" s="1230"/>
      <c r="AX178" s="1230"/>
      <c r="AY178" s="1230"/>
      <c r="AZ178" s="1230"/>
      <c r="BA178" s="1280"/>
      <c r="BB178" s="1230"/>
      <c r="BC178" s="1230"/>
      <c r="BD178" s="1230"/>
      <c r="BE178" s="1230"/>
      <c r="BF178" s="1280"/>
      <c r="BG178" s="1230"/>
      <c r="BH178" s="1230"/>
      <c r="BI178" s="1230"/>
      <c r="BJ178" s="1230"/>
      <c r="BK178" s="1280"/>
      <c r="BL178" s="1277"/>
      <c r="BM178" s="1277"/>
      <c r="BN178" s="1277"/>
      <c r="BO178" s="1277"/>
      <c r="BP178" s="1277"/>
      <c r="BQ178" s="1277"/>
      <c r="BR178" s="1286"/>
      <c r="BS178" s="1278"/>
      <c r="BT178" s="1278"/>
      <c r="BU178" s="1278"/>
      <c r="BV178" s="1278"/>
      <c r="BW178" s="1278"/>
      <c r="BX178" s="1278"/>
      <c r="BY178" s="1278"/>
      <c r="BZ178" s="1278"/>
      <c r="CA178" s="1278"/>
      <c r="CB178" s="1278"/>
      <c r="CC178" s="1278"/>
      <c r="CD178" s="1278"/>
    </row>
    <row r="179" spans="1:82" ht="12.75" hidden="1" customHeight="1" outlineLevel="1" x14ac:dyDescent="0.2">
      <c r="A179" s="1280"/>
      <c r="B179" s="1278"/>
      <c r="C179" s="1280"/>
      <c r="D179" s="1278"/>
      <c r="E179" s="1278"/>
      <c r="F179" s="1278"/>
      <c r="G179" s="1278"/>
      <c r="H179" s="1280"/>
      <c r="I179" s="1278"/>
      <c r="J179" s="1278"/>
      <c r="K179" s="1278"/>
      <c r="L179" s="1278"/>
      <c r="M179" s="1280"/>
      <c r="N179" s="1203"/>
      <c r="O179" s="1203"/>
      <c r="P179" s="1203"/>
      <c r="Q179" s="1203"/>
      <c r="R179" s="1484"/>
      <c r="S179" s="1203"/>
      <c r="T179" s="1203"/>
      <c r="U179" s="1203"/>
      <c r="V179" s="1203"/>
      <c r="W179" s="1280"/>
      <c r="X179" s="1203"/>
      <c r="Y179" s="1203"/>
      <c r="Z179" s="1203"/>
      <c r="AA179" s="1278"/>
      <c r="AB179" s="1280"/>
      <c r="AC179" s="1203"/>
      <c r="AD179" s="1203"/>
      <c r="AE179" s="1203"/>
      <c r="AF179" s="1278"/>
      <c r="AG179" s="1280"/>
      <c r="AH179" s="1203"/>
      <c r="AI179" s="1203"/>
      <c r="AJ179" s="1203"/>
      <c r="AK179" s="1203"/>
      <c r="AL179" s="1280"/>
      <c r="AM179" s="1203"/>
      <c r="AN179" s="1203"/>
      <c r="AO179" s="1203"/>
      <c r="AP179" s="1203"/>
      <c r="AQ179" s="1280"/>
      <c r="AR179" s="1203"/>
      <c r="AS179" s="1203"/>
      <c r="AT179" s="1203"/>
      <c r="AU179" s="1203"/>
      <c r="AV179" s="1280"/>
      <c r="AW179" s="1203"/>
      <c r="AX179" s="1203"/>
      <c r="AY179" s="1203"/>
      <c r="AZ179" s="1203"/>
      <c r="BA179" s="1280"/>
      <c r="BB179" s="1203"/>
      <c r="BC179" s="1203"/>
      <c r="BD179" s="1203"/>
      <c r="BE179" s="1203"/>
      <c r="BF179" s="1280"/>
      <c r="BG179" s="1203"/>
      <c r="BH179" s="1203"/>
      <c r="BI179" s="1203"/>
      <c r="BJ179" s="1203"/>
      <c r="BK179" s="1280"/>
      <c r="BL179" s="1277"/>
      <c r="BM179" s="1277"/>
      <c r="BN179" s="1277"/>
      <c r="BO179" s="1277"/>
      <c r="BP179" s="1277"/>
      <c r="BQ179" s="1277"/>
      <c r="BR179" s="1278"/>
      <c r="BS179" s="1278"/>
      <c r="BT179" s="1278"/>
      <c r="BU179" s="1278"/>
      <c r="BV179" s="1278"/>
      <c r="BW179" s="1278"/>
      <c r="BX179" s="1278"/>
      <c r="BY179" s="1278"/>
      <c r="BZ179" s="1278"/>
      <c r="CA179" s="1278"/>
      <c r="CB179" s="1278"/>
      <c r="CC179" s="1278"/>
      <c r="CD179" s="1278"/>
    </row>
    <row r="180" spans="1:82" ht="12.75" hidden="1" customHeight="1" outlineLevel="1" x14ac:dyDescent="0.2">
      <c r="A180" s="1280" t="s">
        <v>106</v>
      </c>
      <c r="B180" s="1278"/>
      <c r="C180" s="1280"/>
      <c r="D180" s="1278"/>
      <c r="E180" s="1278"/>
      <c r="F180" s="1278"/>
      <c r="G180" s="1278"/>
      <c r="H180" s="1280"/>
      <c r="I180" s="1278"/>
      <c r="J180" s="1278"/>
      <c r="K180" s="1278"/>
      <c r="L180" s="1278"/>
      <c r="M180" s="1280"/>
      <c r="N180" s="1203"/>
      <c r="O180" s="1203"/>
      <c r="P180" s="1203"/>
      <c r="Q180" s="1203"/>
      <c r="R180" s="1484"/>
      <c r="S180" s="1203"/>
      <c r="T180" s="1203"/>
      <c r="U180" s="1203"/>
      <c r="V180" s="1203"/>
      <c r="W180" s="1280"/>
      <c r="X180" s="1203"/>
      <c r="Y180" s="1203"/>
      <c r="Z180" s="1203"/>
      <c r="AA180" s="1278"/>
      <c r="AB180" s="1280"/>
      <c r="AC180" s="1203"/>
      <c r="AD180" s="1203"/>
      <c r="AE180" s="1203"/>
      <c r="AF180" s="1278"/>
      <c r="AG180" s="1280"/>
      <c r="AH180" s="1203"/>
      <c r="AI180" s="1203"/>
      <c r="AJ180" s="1203"/>
      <c r="AK180" s="1203"/>
      <c r="AL180" s="1280"/>
      <c r="AM180" s="1203"/>
      <c r="AN180" s="1203"/>
      <c r="AO180" s="1203"/>
      <c r="AP180" s="1203"/>
      <c r="AQ180" s="1280"/>
      <c r="AR180" s="1203"/>
      <c r="AS180" s="1203"/>
      <c r="AT180" s="1203"/>
      <c r="AU180" s="1203"/>
      <c r="AV180" s="1280"/>
      <c r="AW180" s="1203"/>
      <c r="AX180" s="1203"/>
      <c r="AY180" s="1203"/>
      <c r="AZ180" s="1203"/>
      <c r="BA180" s="1280"/>
      <c r="BB180" s="1203"/>
      <c r="BC180" s="1203"/>
      <c r="BD180" s="1203"/>
      <c r="BE180" s="1203"/>
      <c r="BF180" s="1280"/>
      <c r="BG180" s="1203"/>
      <c r="BH180" s="1203"/>
      <c r="BI180" s="1203"/>
      <c r="BJ180" s="1203"/>
      <c r="BK180" s="1280"/>
      <c r="BL180" s="1277"/>
      <c r="BM180" s="1277"/>
      <c r="BN180" s="1277"/>
      <c r="BO180" s="1277"/>
      <c r="BP180" s="1277"/>
      <c r="BQ180" s="1277"/>
      <c r="BR180" s="1278"/>
      <c r="BS180" s="1278"/>
      <c r="BT180" s="1278"/>
      <c r="BU180" s="1278"/>
      <c r="BV180" s="1278"/>
      <c r="BW180" s="1278"/>
      <c r="BX180" s="1278"/>
      <c r="BY180" s="1278"/>
      <c r="BZ180" s="1278"/>
      <c r="CA180" s="1278"/>
      <c r="CB180" s="1278"/>
      <c r="CC180" s="1278"/>
      <c r="CD180" s="1278"/>
    </row>
    <row r="181" spans="1:82" ht="12.75" hidden="1" customHeight="1" outlineLevel="1" x14ac:dyDescent="0.2">
      <c r="A181" s="1280" t="s">
        <v>342</v>
      </c>
      <c r="B181" s="1278"/>
      <c r="C181" s="1280"/>
      <c r="D181" s="1278"/>
      <c r="E181" s="1278"/>
      <c r="F181" s="1278"/>
      <c r="G181" s="1278"/>
      <c r="H181" s="1280"/>
      <c r="I181" s="1278"/>
      <c r="J181" s="1278"/>
      <c r="K181" s="1278"/>
      <c r="L181" s="1278"/>
      <c r="M181" s="1280"/>
      <c r="N181" s="1230">
        <f>N25-N29</f>
        <v>0</v>
      </c>
      <c r="O181" s="1230">
        <f>O25-O29</f>
        <v>0</v>
      </c>
      <c r="P181" s="1230">
        <f>P25-P29</f>
        <v>3.1705695685450702E-3</v>
      </c>
      <c r="Q181" s="1230">
        <f>Q25-Q29</f>
        <v>3.4015652040477462E-3</v>
      </c>
      <c r="R181" s="1322"/>
      <c r="S181" s="1230">
        <f>S25-S29</f>
        <v>4.7888185944162248E-3</v>
      </c>
      <c r="T181" s="1230">
        <f>T25-T29</f>
        <v>5.7140168562310467E-3</v>
      </c>
      <c r="U181" s="1230">
        <f>U25-U29</f>
        <v>-4.3241937910233619E-4</v>
      </c>
      <c r="V181" s="1230">
        <f>V25-V29</f>
        <v>0</v>
      </c>
      <c r="W181" s="1280"/>
      <c r="X181" s="1230">
        <f>X25-X29</f>
        <v>0</v>
      </c>
      <c r="Y181" s="1230">
        <f>Y25-Y29</f>
        <v>0</v>
      </c>
      <c r="Z181" s="1230">
        <f>Z25-Z29</f>
        <v>0</v>
      </c>
      <c r="AA181" s="1278"/>
      <c r="AB181" s="1280"/>
      <c r="AC181" s="1230"/>
      <c r="AD181" s="1230"/>
      <c r="AE181" s="1230"/>
      <c r="AF181" s="1278"/>
      <c r="AG181" s="1280"/>
      <c r="AH181" s="1230"/>
      <c r="AI181" s="1230"/>
      <c r="AJ181" s="1230"/>
      <c r="AK181" s="1230"/>
      <c r="AL181" s="1280"/>
      <c r="AM181" s="1230"/>
      <c r="AN181" s="1230"/>
      <c r="AO181" s="1230"/>
      <c r="AP181" s="1230"/>
      <c r="AQ181" s="1280"/>
      <c r="AR181" s="1230"/>
      <c r="AS181" s="1230"/>
      <c r="AT181" s="1230"/>
      <c r="AU181" s="1230"/>
      <c r="AV181" s="1280"/>
      <c r="AW181" s="1230"/>
      <c r="AX181" s="1230"/>
      <c r="AY181" s="1230"/>
      <c r="AZ181" s="1230"/>
      <c r="BA181" s="1280"/>
      <c r="BB181" s="1230"/>
      <c r="BC181" s="1230"/>
      <c r="BD181" s="1230"/>
      <c r="BE181" s="1230"/>
      <c r="BF181" s="1280"/>
      <c r="BG181" s="1230"/>
      <c r="BH181" s="1230"/>
      <c r="BI181" s="1230"/>
      <c r="BJ181" s="1230"/>
      <c r="BK181" s="1280"/>
      <c r="BL181" s="1277"/>
      <c r="BM181" s="1277"/>
      <c r="BN181" s="1277"/>
      <c r="BO181" s="1277"/>
      <c r="BP181" s="1277"/>
      <c r="BQ181" s="1277"/>
      <c r="BR181" s="1278"/>
      <c r="BS181" s="1278"/>
      <c r="BT181" s="1278"/>
      <c r="BU181" s="1278"/>
      <c r="BV181" s="1278"/>
      <c r="BW181" s="1278"/>
      <c r="BX181" s="1278"/>
      <c r="BY181" s="1278"/>
      <c r="BZ181" s="1278"/>
      <c r="CA181" s="1278"/>
      <c r="CB181" s="1278"/>
      <c r="CC181" s="1278"/>
      <c r="CD181" s="1278"/>
    </row>
    <row r="182" spans="1:82" ht="12.75" hidden="1" customHeight="1" outlineLevel="1" x14ac:dyDescent="0.2">
      <c r="A182" s="1280" t="s">
        <v>344</v>
      </c>
      <c r="B182" s="1278"/>
      <c r="C182" s="1280"/>
      <c r="D182" s="1278"/>
      <c r="E182" s="1278"/>
      <c r="F182" s="1278"/>
      <c r="G182" s="1278"/>
      <c r="H182" s="1280"/>
      <c r="I182" s="1278"/>
      <c r="J182" s="1278"/>
      <c r="K182" s="1278"/>
      <c r="L182" s="1278"/>
      <c r="M182" s="1280"/>
      <c r="N182" s="1230">
        <f>N32-N36</f>
        <v>8.9293369219476476E-2</v>
      </c>
      <c r="O182" s="1230">
        <f>O32-O36</f>
        <v>8.9348736077210084E-2</v>
      </c>
      <c r="P182" s="1230">
        <f>P32-P36</f>
        <v>0.22660971055088708</v>
      </c>
      <c r="Q182" s="1230">
        <f>Q32-Q36</f>
        <v>0.61399881586737703</v>
      </c>
      <c r="R182" s="1322"/>
      <c r="S182" s="1230">
        <f>S32-S36</f>
        <v>-0.30478409919766586</v>
      </c>
      <c r="T182" s="1230">
        <f>T32-T36</f>
        <v>-0.35645171251310237</v>
      </c>
      <c r="U182" s="1230">
        <f>U32-U36</f>
        <v>-0.27080189673340349</v>
      </c>
      <c r="V182" s="1230">
        <f>V32-V36</f>
        <v>-2.267577897331674E-2</v>
      </c>
      <c r="W182" s="1280"/>
      <c r="X182" s="1230">
        <f>X32-X36</f>
        <v>0</v>
      </c>
      <c r="Y182" s="1230">
        <f>Y32-Y36</f>
        <v>0</v>
      </c>
      <c r="Z182" s="1230">
        <f>Z32-Z36</f>
        <v>0</v>
      </c>
      <c r="AA182" s="1278"/>
      <c r="AB182" s="1280"/>
      <c r="AC182" s="1230"/>
      <c r="AD182" s="1230"/>
      <c r="AE182" s="1230"/>
      <c r="AF182" s="1278"/>
      <c r="AG182" s="1280"/>
      <c r="AH182" s="1230"/>
      <c r="AI182" s="1230"/>
      <c r="AJ182" s="1230"/>
      <c r="AK182" s="1230"/>
      <c r="AL182" s="1280"/>
      <c r="AM182" s="1230"/>
      <c r="AN182" s="1230"/>
      <c r="AO182" s="1230"/>
      <c r="AP182" s="1230"/>
      <c r="AQ182" s="1280"/>
      <c r="AR182" s="1230"/>
      <c r="AS182" s="1230"/>
      <c r="AT182" s="1230"/>
      <c r="AU182" s="1230"/>
      <c r="AV182" s="1280"/>
      <c r="AW182" s="1230"/>
      <c r="AX182" s="1230"/>
      <c r="AY182" s="1230"/>
      <c r="AZ182" s="1230"/>
      <c r="BA182" s="1280"/>
      <c r="BB182" s="1230"/>
      <c r="BC182" s="1230"/>
      <c r="BD182" s="1230"/>
      <c r="BE182" s="1230"/>
      <c r="BF182" s="1280"/>
      <c r="BG182" s="1230"/>
      <c r="BH182" s="1230"/>
      <c r="BI182" s="1230"/>
      <c r="BJ182" s="1230"/>
      <c r="BK182" s="1280"/>
      <c r="BL182" s="1277"/>
      <c r="BM182" s="1277"/>
      <c r="BN182" s="1277"/>
      <c r="BO182" s="1277"/>
      <c r="BP182" s="1277"/>
      <c r="BQ182" s="1277"/>
      <c r="BR182" s="1278"/>
      <c r="BS182" s="1278"/>
      <c r="BT182" s="1278"/>
      <c r="BU182" s="1278"/>
      <c r="BV182" s="1278"/>
      <c r="BW182" s="1278"/>
      <c r="BX182" s="1278"/>
      <c r="BY182" s="1278"/>
      <c r="BZ182" s="1278"/>
      <c r="CA182" s="1278"/>
      <c r="CB182" s="1278"/>
      <c r="CC182" s="1278"/>
      <c r="CD182" s="1278"/>
    </row>
    <row r="183" spans="1:82" ht="12.75" hidden="1" customHeight="1" outlineLevel="1" x14ac:dyDescent="0.2">
      <c r="A183" s="1333" t="s">
        <v>381</v>
      </c>
      <c r="B183" s="1278"/>
      <c r="C183" s="1280"/>
      <c r="D183" s="1278"/>
      <c r="E183" s="1278"/>
      <c r="F183" s="1278"/>
      <c r="G183" s="1278"/>
      <c r="H183" s="1280"/>
      <c r="I183" s="1278"/>
      <c r="J183" s="1278"/>
      <c r="K183" s="1278"/>
      <c r="L183" s="1278"/>
      <c r="M183" s="1280"/>
      <c r="N183" s="1203"/>
      <c r="O183" s="1203"/>
      <c r="P183" s="1203"/>
      <c r="Q183" s="1203"/>
      <c r="R183" s="1484"/>
      <c r="S183" s="1203"/>
      <c r="T183" s="1203"/>
      <c r="U183" s="1203"/>
      <c r="V183" s="1203"/>
      <c r="W183" s="1280"/>
      <c r="X183" s="1203"/>
      <c r="Y183" s="1203"/>
      <c r="Z183" s="1203"/>
      <c r="AA183" s="1278"/>
      <c r="AB183" s="1280"/>
      <c r="AC183" s="1203"/>
      <c r="AD183" s="1203"/>
      <c r="AE183" s="1203"/>
      <c r="AF183" s="1278"/>
      <c r="AG183" s="1280"/>
      <c r="AH183" s="1203"/>
      <c r="AI183" s="1203"/>
      <c r="AJ183" s="1203"/>
      <c r="AK183" s="1203"/>
      <c r="AL183" s="1280"/>
      <c r="AM183" s="1203"/>
      <c r="AN183" s="1203"/>
      <c r="AO183" s="1203"/>
      <c r="AP183" s="1203"/>
      <c r="AQ183" s="1280"/>
      <c r="AR183" s="1203"/>
      <c r="AS183" s="1203"/>
      <c r="AT183" s="1203"/>
      <c r="AU183" s="1203"/>
      <c r="AV183" s="1280"/>
      <c r="AW183" s="1203"/>
      <c r="AX183" s="1203"/>
      <c r="AY183" s="1203"/>
      <c r="AZ183" s="1203"/>
      <c r="BA183" s="1280"/>
      <c r="BB183" s="1203"/>
      <c r="BC183" s="1203"/>
      <c r="BD183" s="1203"/>
      <c r="BE183" s="1203"/>
      <c r="BF183" s="1280"/>
      <c r="BG183" s="1203"/>
      <c r="BH183" s="1203"/>
      <c r="BI183" s="1203"/>
      <c r="BJ183" s="1203"/>
      <c r="BK183" s="1280"/>
      <c r="BL183" s="1277"/>
      <c r="BM183" s="1277"/>
      <c r="BN183" s="1277"/>
      <c r="BO183" s="1277"/>
      <c r="BP183" s="1277"/>
      <c r="BQ183" s="1277"/>
      <c r="BR183" s="1335"/>
      <c r="BS183" s="1278"/>
      <c r="BT183" s="1278"/>
      <c r="BU183" s="1278"/>
      <c r="BV183" s="1278"/>
      <c r="BW183" s="1278"/>
      <c r="BX183" s="1278"/>
      <c r="BY183" s="1278"/>
      <c r="BZ183" s="1278"/>
      <c r="CA183" s="1278"/>
      <c r="CB183" s="1278"/>
      <c r="CC183" s="1278"/>
      <c r="CD183" s="1278"/>
    </row>
    <row r="184" spans="1:82" ht="12.75" hidden="1" customHeight="1" outlineLevel="1" x14ac:dyDescent="0.2">
      <c r="A184" s="1333" t="s">
        <v>385</v>
      </c>
      <c r="B184" s="1278"/>
      <c r="C184" s="1280"/>
      <c r="D184" s="1278"/>
      <c r="E184" s="1278"/>
      <c r="F184" s="1278"/>
      <c r="G184" s="1278"/>
      <c r="H184" s="1280"/>
      <c r="I184" s="1278"/>
      <c r="J184" s="1278"/>
      <c r="K184" s="1278"/>
      <c r="L184" s="1278"/>
      <c r="M184" s="1280"/>
      <c r="N184" s="1203"/>
      <c r="O184" s="1203"/>
      <c r="P184" s="1203"/>
      <c r="Q184" s="1203"/>
      <c r="R184" s="1484"/>
      <c r="S184" s="1203"/>
      <c r="T184" s="1203"/>
      <c r="U184" s="1203"/>
      <c r="V184" s="1203"/>
      <c r="W184" s="1280"/>
      <c r="X184" s="1203"/>
      <c r="Y184" s="1203"/>
      <c r="Z184" s="1203"/>
      <c r="AA184" s="1278"/>
      <c r="AB184" s="1280"/>
      <c r="AC184" s="1203"/>
      <c r="AD184" s="1203"/>
      <c r="AE184" s="1203"/>
      <c r="AF184" s="1278"/>
      <c r="AG184" s="1280"/>
      <c r="AH184" s="1203"/>
      <c r="AI184" s="1203"/>
      <c r="AJ184" s="1203"/>
      <c r="AK184" s="1203"/>
      <c r="AL184" s="1280"/>
      <c r="AM184" s="1203"/>
      <c r="AN184" s="1203"/>
      <c r="AO184" s="1203"/>
      <c r="AP184" s="1203"/>
      <c r="AQ184" s="1280"/>
      <c r="AR184" s="1203"/>
      <c r="AS184" s="1203"/>
      <c r="AT184" s="1203"/>
      <c r="AU184" s="1203"/>
      <c r="AV184" s="1280"/>
      <c r="AW184" s="1203"/>
      <c r="AX184" s="1203"/>
      <c r="AY184" s="1203"/>
      <c r="AZ184" s="1203"/>
      <c r="BA184" s="1280"/>
      <c r="BB184" s="1203"/>
      <c r="BC184" s="1203"/>
      <c r="BD184" s="1203"/>
      <c r="BE184" s="1203"/>
      <c r="BF184" s="1280"/>
      <c r="BG184" s="1203"/>
      <c r="BH184" s="1203"/>
      <c r="BI184" s="1203"/>
      <c r="BJ184" s="1203"/>
      <c r="BK184" s="1280"/>
      <c r="BL184" s="1277"/>
      <c r="BM184" s="1277"/>
      <c r="BN184" s="1277"/>
      <c r="BO184" s="1277"/>
      <c r="BP184" s="1277"/>
      <c r="BQ184" s="1277"/>
      <c r="BR184" s="1335"/>
      <c r="BS184" s="1278"/>
      <c r="BT184" s="1278"/>
      <c r="BU184" s="1278"/>
      <c r="BV184" s="1278"/>
      <c r="BW184" s="1278"/>
      <c r="BX184" s="1278"/>
      <c r="BY184" s="1278"/>
      <c r="BZ184" s="1278"/>
      <c r="CA184" s="1278"/>
      <c r="CB184" s="1278"/>
      <c r="CC184" s="1278"/>
      <c r="CD184" s="1278"/>
    </row>
    <row r="185" spans="1:82" ht="12.75" hidden="1" customHeight="1" outlineLevel="1" x14ac:dyDescent="0.2">
      <c r="A185" s="1280" t="s">
        <v>345</v>
      </c>
      <c r="B185" s="1278"/>
      <c r="C185" s="1280"/>
      <c r="D185" s="1278"/>
      <c r="E185" s="1278"/>
      <c r="F185" s="1278"/>
      <c r="G185" s="1278"/>
      <c r="H185" s="1280"/>
      <c r="I185" s="1278"/>
      <c r="J185" s="1278"/>
      <c r="K185" s="1278"/>
      <c r="L185" s="1278"/>
      <c r="M185" s="1280"/>
      <c r="N185" s="1230">
        <f>N47-N51</f>
        <v>0.62067023115835296</v>
      </c>
      <c r="O185" s="1230">
        <f>O47-O51</f>
        <v>1.2404422937584103</v>
      </c>
      <c r="P185" s="1230">
        <f>P47-P51</f>
        <v>0.81565881692373732</v>
      </c>
      <c r="Q185" s="1230">
        <f>Q47-Q51</f>
        <v>0.60566638965356079</v>
      </c>
      <c r="R185" s="1322"/>
      <c r="S185" s="1230">
        <f>S47-S51</f>
        <v>0.54933920126116653</v>
      </c>
      <c r="T185" s="1230">
        <f>T47-T51</f>
        <v>-4.992556717810237E-4</v>
      </c>
      <c r="U185" s="1230">
        <f>U47-U51</f>
        <v>-1.4551958917546903E-4</v>
      </c>
      <c r="V185" s="1230">
        <f>V47-V51</f>
        <v>0</v>
      </c>
      <c r="W185" s="1280"/>
      <c r="X185" s="1230">
        <f>X47-X51</f>
        <v>0</v>
      </c>
      <c r="Y185" s="1230">
        <f>Y47-Y51</f>
        <v>0</v>
      </c>
      <c r="Z185" s="1230">
        <f>Z47-Z51</f>
        <v>0</v>
      </c>
      <c r="AA185" s="1278"/>
      <c r="AB185" s="1280"/>
      <c r="AC185" s="1230"/>
      <c r="AD185" s="1230"/>
      <c r="AE185" s="1230"/>
      <c r="AF185" s="1278"/>
      <c r="AG185" s="1280"/>
      <c r="AH185" s="1230"/>
      <c r="AI185" s="1230"/>
      <c r="AJ185" s="1230"/>
      <c r="AK185" s="1230"/>
      <c r="AL185" s="1280"/>
      <c r="AM185" s="1230"/>
      <c r="AN185" s="1230"/>
      <c r="AO185" s="1230"/>
      <c r="AP185" s="1230"/>
      <c r="AQ185" s="1280"/>
      <c r="AR185" s="1230"/>
      <c r="AS185" s="1230"/>
      <c r="AT185" s="1230"/>
      <c r="AU185" s="1230"/>
      <c r="AV185" s="1280"/>
      <c r="AW185" s="1230"/>
      <c r="AX185" s="1230"/>
      <c r="AY185" s="1230"/>
      <c r="AZ185" s="1230"/>
      <c r="BA185" s="1280"/>
      <c r="BB185" s="1230"/>
      <c r="BC185" s="1230"/>
      <c r="BD185" s="1230"/>
      <c r="BE185" s="1230"/>
      <c r="BF185" s="1280"/>
      <c r="BG185" s="1230"/>
      <c r="BH185" s="1230"/>
      <c r="BI185" s="1230"/>
      <c r="BJ185" s="1230"/>
      <c r="BK185" s="1280"/>
      <c r="BL185" s="1277"/>
      <c r="BM185" s="1277"/>
      <c r="BN185" s="1277"/>
      <c r="BO185" s="1277"/>
      <c r="BP185" s="1277"/>
      <c r="BQ185" s="1277"/>
      <c r="BR185" s="1278"/>
      <c r="BS185" s="1278"/>
      <c r="BT185" s="1278"/>
      <c r="BU185" s="1278"/>
      <c r="BV185" s="1278"/>
      <c r="BW185" s="1278"/>
      <c r="BX185" s="1278"/>
      <c r="BY185" s="1278"/>
      <c r="BZ185" s="1278"/>
      <c r="CA185" s="1278"/>
      <c r="CB185" s="1278"/>
      <c r="CC185" s="1278"/>
      <c r="CD185" s="1278"/>
    </row>
    <row r="186" spans="1:82" ht="12.75" hidden="1" customHeight="1" outlineLevel="1" x14ac:dyDescent="0.2">
      <c r="A186" s="1280" t="s">
        <v>346</v>
      </c>
      <c r="B186" s="1278"/>
      <c r="C186" s="1280"/>
      <c r="D186" s="1278"/>
      <c r="E186" s="1278"/>
      <c r="F186" s="1278"/>
      <c r="G186" s="1278"/>
      <c r="H186" s="1280"/>
      <c r="I186" s="1278"/>
      <c r="J186" s="1278"/>
      <c r="K186" s="1278"/>
      <c r="L186" s="1278"/>
      <c r="M186" s="1280"/>
      <c r="N186" s="1230">
        <f>N62-N66</f>
        <v>5.2263132581525928E-5</v>
      </c>
      <c r="O186" s="1230">
        <f>O62-O66</f>
        <v>0</v>
      </c>
      <c r="P186" s="1230">
        <f>P62-P66</f>
        <v>-1.0419366543969188E-4</v>
      </c>
      <c r="Q186" s="1230">
        <f>Q62-Q66</f>
        <v>0</v>
      </c>
      <c r="R186" s="1322"/>
      <c r="S186" s="1230">
        <f>S62-S66</f>
        <v>-2.9443657500124315E-4</v>
      </c>
      <c r="T186" s="1230">
        <f>T62-T66</f>
        <v>2.5876010781680087E-4</v>
      </c>
      <c r="U186" s="1230">
        <f>U62-U66</f>
        <v>-5.8194386063371503E-5</v>
      </c>
      <c r="V186" s="1230">
        <f>V62-V66</f>
        <v>0</v>
      </c>
      <c r="W186" s="1280"/>
      <c r="X186" s="1230">
        <f>X62-X66</f>
        <v>0</v>
      </c>
      <c r="Y186" s="1230">
        <f>Y62-Y66</f>
        <v>0</v>
      </c>
      <c r="Z186" s="1230">
        <f>Z62-Z66</f>
        <v>0</v>
      </c>
      <c r="AA186" s="1278"/>
      <c r="AB186" s="1280"/>
      <c r="AC186" s="1230"/>
      <c r="AD186" s="1230"/>
      <c r="AE186" s="1230"/>
      <c r="AF186" s="1278"/>
      <c r="AG186" s="1280"/>
      <c r="AH186" s="1230"/>
      <c r="AI186" s="1230"/>
      <c r="AJ186" s="1230"/>
      <c r="AK186" s="1230"/>
      <c r="AL186" s="1280"/>
      <c r="AM186" s="1230"/>
      <c r="AN186" s="1230"/>
      <c r="AO186" s="1230"/>
      <c r="AP186" s="1230"/>
      <c r="AQ186" s="1280"/>
      <c r="AR186" s="1230"/>
      <c r="AS186" s="1230"/>
      <c r="AT186" s="1230"/>
      <c r="AU186" s="1230"/>
      <c r="AV186" s="1280"/>
      <c r="AW186" s="1230"/>
      <c r="AX186" s="1230"/>
      <c r="AY186" s="1230"/>
      <c r="AZ186" s="1230"/>
      <c r="BA186" s="1280"/>
      <c r="BB186" s="1230"/>
      <c r="BC186" s="1230"/>
      <c r="BD186" s="1230"/>
      <c r="BE186" s="1230"/>
      <c r="BF186" s="1280"/>
      <c r="BG186" s="1230"/>
      <c r="BH186" s="1230"/>
      <c r="BI186" s="1230"/>
      <c r="BJ186" s="1230"/>
      <c r="BK186" s="1280"/>
      <c r="BL186" s="1277"/>
      <c r="BM186" s="1277"/>
      <c r="BN186" s="1277"/>
      <c r="BO186" s="1277"/>
      <c r="BP186" s="1277"/>
      <c r="BQ186" s="1277"/>
      <c r="BR186" s="1278"/>
      <c r="BS186" s="1278"/>
      <c r="BT186" s="1278"/>
      <c r="BU186" s="1278"/>
      <c r="BV186" s="1278"/>
      <c r="BW186" s="1278"/>
      <c r="BX186" s="1278"/>
      <c r="BY186" s="1278"/>
      <c r="BZ186" s="1278"/>
      <c r="CA186" s="1278"/>
      <c r="CB186" s="1278"/>
      <c r="CC186" s="1278"/>
      <c r="CD186" s="1278"/>
    </row>
    <row r="187" spans="1:82" ht="12.75" hidden="1" customHeight="1" outlineLevel="1" x14ac:dyDescent="0.2">
      <c r="A187" s="1284" t="s">
        <v>347</v>
      </c>
      <c r="B187" s="1278"/>
      <c r="C187" s="1280"/>
      <c r="D187" s="1278"/>
      <c r="E187" s="1278"/>
      <c r="F187" s="1278"/>
      <c r="G187" s="1278"/>
      <c r="H187" s="1280"/>
      <c r="I187" s="1278"/>
      <c r="J187" s="1278"/>
      <c r="K187" s="1278"/>
      <c r="L187" s="1278"/>
      <c r="M187" s="1280"/>
      <c r="N187" s="1230">
        <f>N77-N78</f>
        <v>7.3481099776006115E-2</v>
      </c>
      <c r="O187" s="1230">
        <f>O77-O78</f>
        <v>0.15043641231593036</v>
      </c>
      <c r="P187" s="1230">
        <f>P77-P78</f>
        <v>0.16420910349238704</v>
      </c>
      <c r="Q187" s="1230">
        <f>Q77-Q78</f>
        <v>0.20753682590953842</v>
      </c>
      <c r="R187" s="1322"/>
      <c r="S187" s="1230">
        <f>S77-S78</f>
        <v>3.3902824365361697E-2</v>
      </c>
      <c r="T187" s="1230">
        <f>T77-T78</f>
        <v>-5.2131625021284697E-2</v>
      </c>
      <c r="U187" s="1230">
        <f>U77-U78</f>
        <v>-4.4643021851323357E-2</v>
      </c>
      <c r="V187" s="1230">
        <f>V77-V78</f>
        <v>-0.10896205371236294</v>
      </c>
      <c r="W187" s="1280"/>
      <c r="X187" s="1230">
        <f>X77-X78</f>
        <v>0</v>
      </c>
      <c r="Y187" s="1230">
        <f>Y77-Y78</f>
        <v>0</v>
      </c>
      <c r="Z187" s="1230">
        <f>Z77-Z78</f>
        <v>0</v>
      </c>
      <c r="AA187" s="1278"/>
      <c r="AB187" s="1280"/>
      <c r="AC187" s="1230"/>
      <c r="AD187" s="1230"/>
      <c r="AE187" s="1230"/>
      <c r="AF187" s="1278"/>
      <c r="AG187" s="1280"/>
      <c r="AH187" s="1230"/>
      <c r="AI187" s="1230"/>
      <c r="AJ187" s="1230"/>
      <c r="AK187" s="1230"/>
      <c r="AL187" s="1280"/>
      <c r="AM187" s="1230"/>
      <c r="AN187" s="1230"/>
      <c r="AO187" s="1230"/>
      <c r="AP187" s="1230"/>
      <c r="AQ187" s="1280"/>
      <c r="AR187" s="1230"/>
      <c r="AS187" s="1230"/>
      <c r="AT187" s="1230"/>
      <c r="AU187" s="1230"/>
      <c r="AV187" s="1280"/>
      <c r="AW187" s="1230"/>
      <c r="AX187" s="1230"/>
      <c r="AY187" s="1230"/>
      <c r="AZ187" s="1230"/>
      <c r="BA187" s="1280"/>
      <c r="BB187" s="1230"/>
      <c r="BC187" s="1230"/>
      <c r="BD187" s="1230"/>
      <c r="BE187" s="1230"/>
      <c r="BF187" s="1280"/>
      <c r="BG187" s="1230"/>
      <c r="BH187" s="1230"/>
      <c r="BI187" s="1230"/>
      <c r="BJ187" s="1230"/>
      <c r="BK187" s="1280"/>
      <c r="BL187" s="1277"/>
      <c r="BM187" s="1277"/>
      <c r="BN187" s="1277"/>
      <c r="BO187" s="1277"/>
      <c r="BP187" s="1277"/>
      <c r="BQ187" s="1277"/>
      <c r="BR187" s="1286"/>
      <c r="BS187" s="1278"/>
      <c r="BT187" s="1278"/>
      <c r="BU187" s="1278"/>
      <c r="BV187" s="1278"/>
      <c r="BW187" s="1278"/>
      <c r="BX187" s="1278"/>
      <c r="BY187" s="1278"/>
      <c r="BZ187" s="1278"/>
      <c r="CA187" s="1278"/>
      <c r="CB187" s="1278"/>
      <c r="CC187" s="1278"/>
      <c r="CD187" s="1278"/>
    </row>
    <row r="188" spans="1:82" ht="12.75" hidden="1" customHeight="1" outlineLevel="1" x14ac:dyDescent="0.2">
      <c r="A188" s="1284"/>
      <c r="B188" s="1278"/>
      <c r="C188" s="1280"/>
      <c r="D188" s="1278"/>
      <c r="E188" s="1278"/>
      <c r="F188" s="1278"/>
      <c r="G188" s="1278"/>
      <c r="H188" s="1280"/>
      <c r="I188" s="1278"/>
      <c r="J188" s="1278"/>
      <c r="K188" s="1278"/>
      <c r="L188" s="1278"/>
      <c r="M188" s="1280"/>
      <c r="N188" s="1203"/>
      <c r="O188" s="1203"/>
      <c r="P188" s="1203"/>
      <c r="Q188" s="1203"/>
      <c r="R188" s="1484"/>
      <c r="S188" s="1203"/>
      <c r="T188" s="1203"/>
      <c r="U188" s="1203"/>
      <c r="V188" s="1203"/>
      <c r="W188" s="1280"/>
      <c r="X188" s="1203"/>
      <c r="Y188" s="1203"/>
      <c r="Z188" s="1203"/>
      <c r="AA188" s="1278"/>
      <c r="AB188" s="1280"/>
      <c r="AC188" s="1203"/>
      <c r="AD188" s="1203"/>
      <c r="AE188" s="1203"/>
      <c r="AF188" s="1278"/>
      <c r="AG188" s="1280"/>
      <c r="AH188" s="1203"/>
      <c r="AI188" s="1203"/>
      <c r="AJ188" s="1203"/>
      <c r="AK188" s="1203"/>
      <c r="AL188" s="1280"/>
      <c r="AM188" s="1203"/>
      <c r="AN188" s="1203"/>
      <c r="AO188" s="1203"/>
      <c r="AP188" s="1203"/>
      <c r="AQ188" s="1280"/>
      <c r="AR188" s="1203"/>
      <c r="AS188" s="1203"/>
      <c r="AT188" s="1203"/>
      <c r="AU188" s="1203"/>
      <c r="AV188" s="1280"/>
      <c r="AW188" s="1203"/>
      <c r="AX188" s="1203"/>
      <c r="AY188" s="1203"/>
      <c r="AZ188" s="1203"/>
      <c r="BA188" s="1280"/>
      <c r="BB188" s="1203"/>
      <c r="BC188" s="1203"/>
      <c r="BD188" s="1203"/>
      <c r="BE188" s="1203"/>
      <c r="BF188" s="1280"/>
      <c r="BG188" s="1203"/>
      <c r="BH188" s="1203"/>
      <c r="BI188" s="1203"/>
      <c r="BJ188" s="1203"/>
      <c r="BK188" s="1280"/>
      <c r="BL188" s="1277"/>
      <c r="BM188" s="1277"/>
      <c r="BN188" s="1277"/>
      <c r="BO188" s="1277"/>
      <c r="BP188" s="1277"/>
      <c r="BQ188" s="1277"/>
      <c r="BR188" s="1286"/>
      <c r="BS188" s="1278"/>
      <c r="BT188" s="1278"/>
      <c r="BU188" s="1278"/>
      <c r="BV188" s="1278"/>
      <c r="BW188" s="1278"/>
      <c r="BX188" s="1278"/>
      <c r="BY188" s="1278"/>
      <c r="BZ188" s="1278"/>
      <c r="CA188" s="1278"/>
      <c r="CB188" s="1278"/>
      <c r="CC188" s="1278"/>
      <c r="CD188" s="1278"/>
    </row>
    <row r="189" spans="1:82" ht="12.75" hidden="1" customHeight="1" outlineLevel="1" x14ac:dyDescent="0.2">
      <c r="A189" s="1492" t="s">
        <v>50</v>
      </c>
      <c r="B189" s="1459"/>
      <c r="C189" s="1458"/>
      <c r="D189" s="1459"/>
      <c r="E189" s="1459"/>
      <c r="F189" s="1459"/>
      <c r="G189" s="1459"/>
      <c r="H189" s="1458"/>
      <c r="I189" s="1459"/>
      <c r="J189" s="1459"/>
      <c r="K189" s="1459"/>
      <c r="L189" s="1459"/>
      <c r="M189" s="1458"/>
      <c r="N189" s="1449">
        <f>N87-N88</f>
        <v>3.0495469349791818E-2</v>
      </c>
      <c r="O189" s="1449">
        <f>O87-O88</f>
        <v>7.638743583475921E-2</v>
      </c>
      <c r="P189" s="1449">
        <f>P87-P88</f>
        <v>8.7788431569724115E-2</v>
      </c>
      <c r="Q189" s="1449">
        <f>Q87-Q88</f>
        <v>0.11541830753172005</v>
      </c>
      <c r="R189" s="1448"/>
      <c r="S189" s="1449">
        <f>S87-S88</f>
        <v>0.13370415575383837</v>
      </c>
      <c r="T189" s="1449">
        <f>T87-T88</f>
        <v>7.3219886224560174E-2</v>
      </c>
      <c r="U189" s="1449">
        <f>U87-U88</f>
        <v>6.2129943533632825E-2</v>
      </c>
      <c r="V189" s="1449">
        <f>V87-V88</f>
        <v>-3.0146390685774349E-4</v>
      </c>
      <c r="W189" s="1458"/>
      <c r="X189" s="1449">
        <f>X87-X88</f>
        <v>0</v>
      </c>
      <c r="Y189" s="1449">
        <f>Y87-Y88</f>
        <v>0</v>
      </c>
      <c r="Z189" s="1449">
        <f>Z87-Z88</f>
        <v>0</v>
      </c>
      <c r="AA189" s="1459"/>
      <c r="AB189" s="1458"/>
      <c r="AC189" s="1449"/>
      <c r="AD189" s="1449"/>
      <c r="AE189" s="1449"/>
      <c r="AF189" s="1459"/>
      <c r="AG189" s="1458"/>
      <c r="AH189" s="1449"/>
      <c r="AI189" s="1449"/>
      <c r="AJ189" s="1449"/>
      <c r="AK189" s="1449"/>
      <c r="AL189" s="1458"/>
      <c r="AM189" s="1449"/>
      <c r="AN189" s="1449"/>
      <c r="AO189" s="1449"/>
      <c r="AP189" s="1449"/>
      <c r="AQ189" s="1458"/>
      <c r="AR189" s="1449"/>
      <c r="AS189" s="1449"/>
      <c r="AT189" s="1449"/>
      <c r="AU189" s="1449"/>
      <c r="AV189" s="1458"/>
      <c r="AW189" s="1449"/>
      <c r="AX189" s="1449"/>
      <c r="AY189" s="1449"/>
      <c r="AZ189" s="1449"/>
      <c r="BA189" s="1458"/>
      <c r="BB189" s="1449"/>
      <c r="BC189" s="1449"/>
      <c r="BD189" s="1449"/>
      <c r="BE189" s="1449"/>
      <c r="BF189" s="1458"/>
      <c r="BG189" s="1449"/>
      <c r="BH189" s="1449"/>
      <c r="BI189" s="1449"/>
      <c r="BJ189" s="1449"/>
      <c r="BK189" s="1458"/>
      <c r="BL189" s="1277"/>
      <c r="BM189" s="1277"/>
      <c r="BN189" s="1277"/>
      <c r="BO189" s="1277"/>
      <c r="BP189" s="1277"/>
      <c r="BQ189" s="1277"/>
      <c r="BR189" s="1286"/>
      <c r="BS189" s="1459"/>
      <c r="BT189" s="1459"/>
      <c r="BU189" s="1459"/>
      <c r="BV189" s="1459"/>
      <c r="BW189" s="1459"/>
      <c r="BX189" s="1459"/>
      <c r="BY189" s="1459"/>
      <c r="BZ189" s="1459"/>
      <c r="CA189" s="1459"/>
      <c r="CB189" s="1459"/>
      <c r="CC189" s="1459"/>
      <c r="CD189" s="1459"/>
    </row>
    <row r="190" spans="1:82" ht="12.75" hidden="1" customHeight="1" outlineLevel="1" x14ac:dyDescent="0.2">
      <c r="A190" s="1277"/>
      <c r="B190" s="1277"/>
      <c r="C190" s="1277"/>
      <c r="D190" s="1277"/>
      <c r="E190" s="1277"/>
      <c r="F190" s="1277"/>
      <c r="G190" s="1277"/>
      <c r="H190" s="1277"/>
      <c r="I190" s="1277"/>
      <c r="J190" s="1277"/>
      <c r="K190" s="1277"/>
      <c r="L190" s="1277"/>
      <c r="M190" s="1277"/>
      <c r="N190" s="1277"/>
      <c r="O190" s="1277"/>
      <c r="P190" s="1277"/>
      <c r="Q190" s="1277"/>
      <c r="R190" s="1277"/>
      <c r="S190" s="1277"/>
      <c r="T190" s="1277"/>
      <c r="U190" s="1277"/>
      <c r="V190" s="1277"/>
      <c r="W190" s="1277"/>
      <c r="X190" s="1277"/>
      <c r="Y190" s="1277"/>
      <c r="Z190" s="1277"/>
      <c r="AA190" s="1277"/>
      <c r="AB190" s="1277"/>
      <c r="AC190" s="1277"/>
      <c r="AD190" s="1277"/>
      <c r="AE190" s="1277"/>
      <c r="AF190" s="1277"/>
      <c r="AG190" s="1277"/>
      <c r="AH190" s="1277"/>
      <c r="AI190" s="1277"/>
      <c r="AJ190" s="1277"/>
      <c r="AK190" s="1277"/>
      <c r="AL190" s="1277"/>
      <c r="AM190" s="1277"/>
      <c r="AN190" s="1277"/>
      <c r="AO190" s="1277"/>
      <c r="AP190" s="1277"/>
      <c r="AQ190" s="1277"/>
      <c r="AR190" s="1277"/>
      <c r="AS190" s="1277"/>
      <c r="AT190" s="1277"/>
      <c r="AU190" s="1277"/>
      <c r="AV190" s="1277"/>
      <c r="AW190" s="1277"/>
      <c r="AX190" s="1277"/>
      <c r="AY190" s="1277"/>
      <c r="AZ190" s="1277"/>
      <c r="BA190" s="1277"/>
      <c r="BB190" s="1277"/>
      <c r="BC190" s="1277"/>
      <c r="BD190" s="1277"/>
      <c r="BE190" s="1277"/>
      <c r="BF190" s="1277"/>
      <c r="BG190" s="1277"/>
      <c r="BH190" s="1277"/>
      <c r="BI190" s="1277"/>
      <c r="BJ190" s="1277"/>
      <c r="BK190" s="1277"/>
      <c r="BL190" s="1277"/>
      <c r="BM190" s="1277"/>
      <c r="BN190" s="1277"/>
      <c r="BO190" s="1277"/>
      <c r="BP190" s="1277"/>
      <c r="BQ190" s="1277"/>
      <c r="BR190" s="1277"/>
      <c r="BS190" s="1278"/>
      <c r="BT190" s="1278"/>
      <c r="BU190" s="1278"/>
      <c r="BV190" s="1278"/>
      <c r="BW190" s="1278"/>
      <c r="BX190" s="1278"/>
      <c r="BY190" s="1278"/>
      <c r="BZ190" s="1278"/>
      <c r="CA190" s="1278"/>
      <c r="CB190" s="1278"/>
      <c r="CC190" s="1278"/>
      <c r="CD190" s="1278"/>
    </row>
    <row r="191" spans="1:82" ht="12.75" hidden="1" customHeight="1" outlineLevel="1" x14ac:dyDescent="0.2">
      <c r="A191" s="1493" t="s">
        <v>417</v>
      </c>
      <c r="B191" s="1277"/>
      <c r="C191" s="1425" t="s">
        <v>418</v>
      </c>
      <c r="D191" s="1277"/>
      <c r="E191" s="1277"/>
      <c r="F191" s="1277"/>
      <c r="G191" s="1277"/>
      <c r="H191" s="1277"/>
      <c r="I191" s="1277"/>
      <c r="J191" s="1277"/>
      <c r="K191" s="1277"/>
      <c r="L191" s="1277"/>
      <c r="M191" s="1277"/>
      <c r="N191" s="1277"/>
      <c r="O191" s="1277"/>
      <c r="P191" s="1277"/>
      <c r="Q191" s="1277"/>
      <c r="R191" s="1277"/>
      <c r="S191" s="1277"/>
      <c r="T191" s="1277"/>
      <c r="U191" s="1277"/>
      <c r="V191" s="1277"/>
      <c r="W191" s="1277"/>
      <c r="X191" s="1277"/>
      <c r="Y191" s="1277"/>
      <c r="Z191" s="1277"/>
      <c r="AA191" s="1277"/>
      <c r="AB191" s="1277"/>
      <c r="AC191" s="1277"/>
      <c r="AD191" s="1277"/>
      <c r="AE191" s="1277"/>
      <c r="AF191" s="1277"/>
      <c r="AG191" s="1277"/>
      <c r="AH191" s="1277"/>
      <c r="AI191" s="1277"/>
      <c r="AJ191" s="1277"/>
      <c r="AK191" s="1277"/>
      <c r="AL191" s="1277"/>
      <c r="AM191" s="1277"/>
      <c r="AN191" s="1277"/>
      <c r="AO191" s="1277"/>
      <c r="AP191" s="1277"/>
      <c r="AQ191" s="1277"/>
      <c r="AR191" s="1277"/>
      <c r="AS191" s="1277"/>
      <c r="AT191" s="1277"/>
      <c r="AU191" s="1277"/>
      <c r="AV191" s="1277"/>
      <c r="AW191" s="1277"/>
      <c r="AX191" s="1277"/>
      <c r="AY191" s="1277"/>
      <c r="AZ191" s="1277"/>
      <c r="BA191" s="1277"/>
      <c r="BB191" s="1277"/>
      <c r="BC191" s="1277"/>
      <c r="BD191" s="1277"/>
      <c r="BE191" s="1277"/>
      <c r="BF191" s="1277"/>
      <c r="BG191" s="1277"/>
      <c r="BH191" s="1277"/>
      <c r="BI191" s="1277"/>
      <c r="BJ191" s="1277"/>
      <c r="BK191" s="1277"/>
      <c r="BL191" s="1277"/>
      <c r="BM191" s="1277"/>
      <c r="BN191" s="1277"/>
      <c r="BO191" s="1277"/>
      <c r="BP191" s="1277"/>
      <c r="BQ191" s="1277"/>
      <c r="BR191" s="1493"/>
      <c r="BS191" s="1278"/>
      <c r="BT191" s="1278"/>
      <c r="BU191" s="1278"/>
      <c r="BV191" s="1278"/>
      <c r="BW191" s="1278"/>
      <c r="BX191" s="1278"/>
      <c r="BY191" s="1278"/>
      <c r="BZ191" s="1278"/>
      <c r="CA191" s="1278"/>
      <c r="CB191" s="1278"/>
      <c r="CC191" s="1278"/>
      <c r="CD191" s="1278"/>
    </row>
    <row r="192" spans="1:82" ht="12.75" hidden="1" customHeight="1" outlineLevel="1" x14ac:dyDescent="0.2">
      <c r="A192" s="1494" t="s">
        <v>419</v>
      </c>
      <c r="B192" s="1277"/>
      <c r="C192" s="1495">
        <v>27</v>
      </c>
      <c r="D192" s="1496"/>
      <c r="E192" s="1496"/>
      <c r="F192" s="1496"/>
      <c r="G192" s="1496"/>
      <c r="H192" s="1496"/>
      <c r="I192" s="1496"/>
      <c r="J192" s="1497"/>
      <c r="K192" s="1497"/>
      <c r="L192" s="1497"/>
      <c r="M192" s="1497"/>
      <c r="N192" s="1497"/>
      <c r="O192" s="1497"/>
      <c r="P192" s="1497"/>
      <c r="Q192" s="1497" t="s">
        <v>420</v>
      </c>
      <c r="R192" s="1496"/>
      <c r="S192" s="1497" t="s">
        <v>420</v>
      </c>
      <c r="T192" s="1497" t="s">
        <v>420</v>
      </c>
      <c r="U192" s="1497" t="s">
        <v>420</v>
      </c>
      <c r="V192" s="1497" t="s">
        <v>420</v>
      </c>
      <c r="W192" s="1277"/>
      <c r="X192" s="1277"/>
      <c r="Y192" s="1277"/>
      <c r="Z192" s="1277"/>
      <c r="AA192" s="1277"/>
      <c r="AB192" s="1277"/>
      <c r="AC192" s="1277"/>
      <c r="AD192" s="1277"/>
      <c r="AE192" s="1277"/>
      <c r="AF192" s="1277"/>
      <c r="AG192" s="1277"/>
      <c r="AH192" s="1277"/>
      <c r="AI192" s="1277"/>
      <c r="AJ192" s="1277"/>
      <c r="AK192" s="1277"/>
      <c r="AL192" s="1277"/>
      <c r="AM192" s="1277"/>
      <c r="AN192" s="1277"/>
      <c r="AO192" s="1277"/>
      <c r="AP192" s="1277"/>
      <c r="AQ192" s="1277"/>
      <c r="AR192" s="1277"/>
      <c r="AS192" s="1277"/>
      <c r="AT192" s="1277"/>
      <c r="AU192" s="1277"/>
      <c r="AV192" s="1277"/>
      <c r="AW192" s="1277"/>
      <c r="AX192" s="1277"/>
      <c r="AY192" s="1277"/>
      <c r="AZ192" s="1277"/>
      <c r="BA192" s="1277"/>
      <c r="BB192" s="1277"/>
      <c r="BC192" s="1277"/>
      <c r="BD192" s="1277"/>
      <c r="BE192" s="1277"/>
      <c r="BF192" s="1277"/>
      <c r="BG192" s="1277"/>
      <c r="BH192" s="1277"/>
      <c r="BI192" s="1277"/>
      <c r="BJ192" s="1277"/>
      <c r="BK192" s="1277"/>
      <c r="BL192" s="1277"/>
      <c r="BM192" s="1277"/>
      <c r="BN192" s="1277"/>
      <c r="BO192" s="1277"/>
      <c r="BP192" s="1277"/>
      <c r="BQ192" s="1277"/>
      <c r="BR192" s="1494"/>
      <c r="BS192" s="1278"/>
      <c r="BT192" s="1278"/>
      <c r="BU192" s="1278"/>
      <c r="BV192" s="1278"/>
      <c r="BW192" s="1278"/>
      <c r="BX192" s="1278"/>
      <c r="BY192" s="1278"/>
      <c r="BZ192" s="1278"/>
      <c r="CA192" s="1278"/>
      <c r="CB192" s="1278"/>
      <c r="CC192" s="1278"/>
      <c r="CD192" s="1278"/>
    </row>
    <row r="193" spans="1:82" ht="12.75" hidden="1" customHeight="1" outlineLevel="1" x14ac:dyDescent="0.2">
      <c r="A193" s="1494" t="s">
        <v>421</v>
      </c>
      <c r="B193" s="1277"/>
      <c r="C193" s="1495">
        <v>425</v>
      </c>
      <c r="D193" s="1496"/>
      <c r="E193" s="1496"/>
      <c r="F193" s="1496"/>
      <c r="G193" s="1496"/>
      <c r="H193" s="1496"/>
      <c r="I193" s="1496"/>
      <c r="J193" s="1497"/>
      <c r="K193" s="1497"/>
      <c r="L193" s="1497"/>
      <c r="M193" s="1497"/>
      <c r="N193" s="1497"/>
      <c r="O193" s="1497"/>
      <c r="P193" s="1497" t="s">
        <v>420</v>
      </c>
      <c r="Q193" s="1497" t="s">
        <v>420</v>
      </c>
      <c r="R193" s="1496"/>
      <c r="S193" s="1497" t="s">
        <v>420</v>
      </c>
      <c r="T193" s="1496" t="s">
        <v>420</v>
      </c>
      <c r="U193" s="1496" t="s">
        <v>420</v>
      </c>
      <c r="V193" s="1496"/>
      <c r="W193" s="1277"/>
      <c r="X193" s="1277"/>
      <c r="Y193" s="1277"/>
      <c r="Z193" s="1277"/>
      <c r="AA193" s="1277"/>
      <c r="AB193" s="1277"/>
      <c r="AC193" s="1277"/>
      <c r="AD193" s="1277"/>
      <c r="AE193" s="1277"/>
      <c r="AF193" s="1277"/>
      <c r="AG193" s="1277"/>
      <c r="AH193" s="1277"/>
      <c r="AI193" s="1277"/>
      <c r="AJ193" s="1277"/>
      <c r="AK193" s="1277"/>
      <c r="AL193" s="1277"/>
      <c r="AM193" s="1277"/>
      <c r="AN193" s="1277"/>
      <c r="AO193" s="1277"/>
      <c r="AP193" s="1277"/>
      <c r="AQ193" s="1277"/>
      <c r="AR193" s="1277"/>
      <c r="AS193" s="1277"/>
      <c r="AT193" s="1277"/>
      <c r="AU193" s="1277"/>
      <c r="AV193" s="1277"/>
      <c r="AW193" s="1277"/>
      <c r="AX193" s="1277"/>
      <c r="AY193" s="1277"/>
      <c r="AZ193" s="1277"/>
      <c r="BA193" s="1277"/>
      <c r="BB193" s="1277"/>
      <c r="BC193" s="1277"/>
      <c r="BD193" s="1277"/>
      <c r="BE193" s="1277"/>
      <c r="BF193" s="1277"/>
      <c r="BG193" s="1277"/>
      <c r="BH193" s="1277"/>
      <c r="BI193" s="1277"/>
      <c r="BJ193" s="1277"/>
      <c r="BK193" s="1277"/>
      <c r="BL193" s="1277"/>
      <c r="BM193" s="1277"/>
      <c r="BN193" s="1277"/>
      <c r="BO193" s="1277"/>
      <c r="BP193" s="1277"/>
      <c r="BQ193" s="1277"/>
      <c r="BR193" s="1494"/>
      <c r="BS193" s="1278"/>
      <c r="BT193" s="1278"/>
      <c r="BU193" s="1278"/>
      <c r="BV193" s="1278"/>
      <c r="BW193" s="1278"/>
      <c r="BX193" s="1278"/>
      <c r="BY193" s="1278"/>
      <c r="BZ193" s="1278"/>
      <c r="CA193" s="1278"/>
      <c r="CB193" s="1278"/>
      <c r="CC193" s="1278"/>
      <c r="CD193" s="1278"/>
    </row>
    <row r="194" spans="1:82" ht="12.75" hidden="1" customHeight="1" outlineLevel="1" x14ac:dyDescent="0.2">
      <c r="A194" s="1494" t="s">
        <v>422</v>
      </c>
      <c r="B194" s="1277"/>
      <c r="C194" s="1495">
        <v>27</v>
      </c>
      <c r="D194" s="1496"/>
      <c r="E194" s="1496"/>
      <c r="F194" s="1496"/>
      <c r="G194" s="1496"/>
      <c r="H194" s="1496"/>
      <c r="I194" s="1496"/>
      <c r="J194" s="1497"/>
      <c r="K194" s="1497"/>
      <c r="L194" s="1497"/>
      <c r="M194" s="1497"/>
      <c r="N194" s="1497"/>
      <c r="O194" s="1497" t="s">
        <v>420</v>
      </c>
      <c r="P194" s="1497" t="s">
        <v>420</v>
      </c>
      <c r="Q194" s="1497" t="s">
        <v>420</v>
      </c>
      <c r="R194" s="1496"/>
      <c r="S194" s="1497" t="s">
        <v>420</v>
      </c>
      <c r="T194" s="1496" t="s">
        <v>420</v>
      </c>
      <c r="U194" s="1496"/>
      <c r="V194" s="1496"/>
      <c r="W194" s="1277"/>
      <c r="X194" s="1277"/>
      <c r="Y194" s="1277"/>
      <c r="Z194" s="1277"/>
      <c r="AA194" s="1277"/>
      <c r="AB194" s="1277"/>
      <c r="AC194" s="1277"/>
      <c r="AD194" s="1277"/>
      <c r="AE194" s="1277"/>
      <c r="AF194" s="1277"/>
      <c r="AG194" s="1277"/>
      <c r="AH194" s="1277"/>
      <c r="AI194" s="1277"/>
      <c r="AJ194" s="1277"/>
      <c r="AK194" s="1277"/>
      <c r="AL194" s="1277"/>
      <c r="AM194" s="1277"/>
      <c r="AN194" s="1277"/>
      <c r="AO194" s="1277"/>
      <c r="AP194" s="1277"/>
      <c r="AQ194" s="1277"/>
      <c r="AR194" s="1277"/>
      <c r="AS194" s="1277"/>
      <c r="AT194" s="1277"/>
      <c r="AU194" s="1277"/>
      <c r="AV194" s="1277"/>
      <c r="AW194" s="1277"/>
      <c r="AX194" s="1277"/>
      <c r="AY194" s="1277"/>
      <c r="AZ194" s="1277"/>
      <c r="BA194" s="1277"/>
      <c r="BB194" s="1277"/>
      <c r="BC194" s="1277"/>
      <c r="BD194" s="1277"/>
      <c r="BE194" s="1277"/>
      <c r="BF194" s="1277"/>
      <c r="BG194" s="1277"/>
      <c r="BH194" s="1277"/>
      <c r="BI194" s="1277"/>
      <c r="BJ194" s="1277"/>
      <c r="BK194" s="1277"/>
      <c r="BL194" s="1277"/>
      <c r="BM194" s="1277"/>
      <c r="BN194" s="1277"/>
      <c r="BO194" s="1277"/>
      <c r="BP194" s="1277"/>
      <c r="BQ194" s="1277"/>
      <c r="BR194" s="1494"/>
      <c r="BS194" s="1278"/>
      <c r="BT194" s="1278"/>
      <c r="BU194" s="1278"/>
      <c r="BV194" s="1278"/>
      <c r="BW194" s="1278"/>
      <c r="BX194" s="1278"/>
      <c r="BY194" s="1278"/>
      <c r="BZ194" s="1278"/>
      <c r="CA194" s="1278"/>
      <c r="CB194" s="1278"/>
      <c r="CC194" s="1278"/>
      <c r="CD194" s="1278"/>
    </row>
    <row r="195" spans="1:82" ht="12.75" hidden="1" customHeight="1" outlineLevel="1" x14ac:dyDescent="0.2">
      <c r="A195" s="1494" t="s">
        <v>423</v>
      </c>
      <c r="B195" s="1277"/>
      <c r="C195" s="1495">
        <v>349</v>
      </c>
      <c r="D195" s="1496"/>
      <c r="E195" s="1496"/>
      <c r="F195" s="1496"/>
      <c r="G195" s="1496"/>
      <c r="H195" s="1496"/>
      <c r="I195" s="1496"/>
      <c r="J195" s="1497"/>
      <c r="K195" s="1497"/>
      <c r="L195" s="1497"/>
      <c r="M195" s="1497"/>
      <c r="N195" s="1497" t="s">
        <v>420</v>
      </c>
      <c r="O195" s="1497" t="s">
        <v>420</v>
      </c>
      <c r="P195" s="1497" t="s">
        <v>420</v>
      </c>
      <c r="Q195" s="1497" t="s">
        <v>420</v>
      </c>
      <c r="R195" s="1496"/>
      <c r="S195" s="1497" t="s">
        <v>420</v>
      </c>
      <c r="T195" s="1496"/>
      <c r="U195" s="1496"/>
      <c r="V195" s="1496"/>
      <c r="W195" s="1277"/>
      <c r="X195" s="1277"/>
      <c r="Y195" s="1277"/>
      <c r="Z195" s="1277"/>
      <c r="AA195" s="1277"/>
      <c r="AB195" s="1277"/>
      <c r="AC195" s="1277"/>
      <c r="AD195" s="1277"/>
      <c r="AE195" s="1277"/>
      <c r="AF195" s="1277"/>
      <c r="AG195" s="1277"/>
      <c r="AH195" s="1277"/>
      <c r="AI195" s="1277"/>
      <c r="AJ195" s="1277"/>
      <c r="AK195" s="1277"/>
      <c r="AL195" s="1277"/>
      <c r="AM195" s="1277"/>
      <c r="AN195" s="1277"/>
      <c r="AO195" s="1277"/>
      <c r="AP195" s="1277"/>
      <c r="AQ195" s="1277"/>
      <c r="AR195" s="1277"/>
      <c r="AS195" s="1277"/>
      <c r="AT195" s="1277"/>
      <c r="AU195" s="1277"/>
      <c r="AV195" s="1277"/>
      <c r="AW195" s="1277"/>
      <c r="AX195" s="1277"/>
      <c r="AY195" s="1277"/>
      <c r="AZ195" s="1277"/>
      <c r="BA195" s="1277"/>
      <c r="BB195" s="1277"/>
      <c r="BC195" s="1277"/>
      <c r="BD195" s="1277"/>
      <c r="BE195" s="1277"/>
      <c r="BF195" s="1277"/>
      <c r="BG195" s="1277"/>
      <c r="BH195" s="1277"/>
      <c r="BI195" s="1277"/>
      <c r="BJ195" s="1277"/>
      <c r="BK195" s="1277"/>
      <c r="BL195" s="1277"/>
      <c r="BM195" s="1277"/>
      <c r="BN195" s="1277"/>
      <c r="BO195" s="1277"/>
      <c r="BP195" s="1277"/>
      <c r="BQ195" s="1277"/>
      <c r="BR195" s="1494"/>
      <c r="BS195" s="1278"/>
      <c r="BT195" s="1278"/>
      <c r="BU195" s="1278"/>
      <c r="BV195" s="1278"/>
      <c r="BW195" s="1278"/>
      <c r="BX195" s="1278"/>
      <c r="BY195" s="1278"/>
      <c r="BZ195" s="1278"/>
      <c r="CA195" s="1278"/>
      <c r="CB195" s="1278"/>
      <c r="CC195" s="1278"/>
      <c r="CD195" s="1278"/>
    </row>
    <row r="196" spans="1:82" ht="12.75" hidden="1" customHeight="1" outlineLevel="1" x14ac:dyDescent="0.2">
      <c r="A196" s="1498" t="s">
        <v>424</v>
      </c>
      <c r="B196" s="1277"/>
      <c r="C196" s="1495">
        <v>59</v>
      </c>
      <c r="D196" s="1496"/>
      <c r="E196" s="1496"/>
      <c r="F196" s="1496"/>
      <c r="G196" s="1496"/>
      <c r="H196" s="1496"/>
      <c r="I196" s="1496"/>
      <c r="J196" s="1497" t="s">
        <v>420</v>
      </c>
      <c r="K196" s="1497" t="s">
        <v>420</v>
      </c>
      <c r="L196" s="1497" t="s">
        <v>420</v>
      </c>
      <c r="M196" s="1497"/>
      <c r="N196" s="1497" t="s">
        <v>420</v>
      </c>
      <c r="O196" s="1497" t="s">
        <v>420</v>
      </c>
      <c r="P196" s="1497"/>
      <c r="Q196" s="1497"/>
      <c r="R196" s="1496"/>
      <c r="S196" s="1496"/>
      <c r="T196" s="1496"/>
      <c r="U196" s="1496"/>
      <c r="V196" s="1496"/>
      <c r="W196" s="1277"/>
      <c r="X196" s="1277"/>
      <c r="Y196" s="1277"/>
      <c r="Z196" s="1277"/>
      <c r="AA196" s="1277"/>
      <c r="AB196" s="1277"/>
      <c r="AC196" s="1277"/>
      <c r="AD196" s="1277"/>
      <c r="AE196" s="1277"/>
      <c r="AF196" s="1277"/>
      <c r="AG196" s="1277"/>
      <c r="AH196" s="1277"/>
      <c r="AI196" s="1277"/>
      <c r="AJ196" s="1277"/>
      <c r="AK196" s="1277"/>
      <c r="AL196" s="1277"/>
      <c r="AM196" s="1277"/>
      <c r="AN196" s="1277"/>
      <c r="AO196" s="1277"/>
      <c r="AP196" s="1277"/>
      <c r="AQ196" s="1277"/>
      <c r="AR196" s="1277"/>
      <c r="AS196" s="1277"/>
      <c r="AT196" s="1277"/>
      <c r="AU196" s="1277"/>
      <c r="AV196" s="1277"/>
      <c r="AW196" s="1277"/>
      <c r="AX196" s="1277"/>
      <c r="AY196" s="1277"/>
      <c r="AZ196" s="1277"/>
      <c r="BA196" s="1277"/>
      <c r="BB196" s="1277"/>
      <c r="BC196" s="1277"/>
      <c r="BD196" s="1277"/>
      <c r="BE196" s="1277"/>
      <c r="BF196" s="1277"/>
      <c r="BG196" s="1277"/>
      <c r="BH196" s="1277"/>
      <c r="BI196" s="1277"/>
      <c r="BJ196" s="1277"/>
      <c r="BK196" s="1277"/>
      <c r="BL196" s="1277"/>
      <c r="BM196" s="1277"/>
      <c r="BN196" s="1277"/>
      <c r="BO196" s="1277"/>
      <c r="BP196" s="1277"/>
      <c r="BQ196" s="1277"/>
      <c r="BR196" s="1498"/>
      <c r="BS196" s="1278"/>
      <c r="BT196" s="1278"/>
      <c r="BU196" s="1278"/>
      <c r="BV196" s="1278"/>
      <c r="BW196" s="1278"/>
      <c r="BX196" s="1278"/>
      <c r="BY196" s="1278"/>
      <c r="BZ196" s="1278"/>
      <c r="CA196" s="1278"/>
      <c r="CB196" s="1278"/>
      <c r="CC196" s="1278"/>
      <c r="CD196" s="1278"/>
    </row>
    <row r="197" spans="1:82" ht="12.75" hidden="1" customHeight="1" outlineLevel="1" x14ac:dyDescent="0.2">
      <c r="A197" s="1498" t="s">
        <v>425</v>
      </c>
      <c r="B197" s="1277"/>
      <c r="C197" s="1495">
        <v>82</v>
      </c>
      <c r="D197" s="1496"/>
      <c r="E197" s="1496"/>
      <c r="F197" s="1496"/>
      <c r="G197" s="1496"/>
      <c r="H197" s="1496"/>
      <c r="I197" s="1496"/>
      <c r="J197" s="1496" t="s">
        <v>420</v>
      </c>
      <c r="K197" s="1496" t="s">
        <v>420</v>
      </c>
      <c r="L197" s="1496" t="s">
        <v>420</v>
      </c>
      <c r="M197" s="1496"/>
      <c r="N197" s="1496" t="s">
        <v>420</v>
      </c>
      <c r="O197" s="1496" t="s">
        <v>420</v>
      </c>
      <c r="P197" s="1496"/>
      <c r="Q197" s="1496"/>
      <c r="R197" s="1496"/>
      <c r="S197" s="1496"/>
      <c r="T197" s="1496"/>
      <c r="U197" s="1496"/>
      <c r="V197" s="1496"/>
      <c r="W197" s="1277"/>
      <c r="X197" s="1277"/>
      <c r="Y197" s="1277"/>
      <c r="Z197" s="1277"/>
      <c r="AA197" s="1277"/>
      <c r="AB197" s="1277"/>
      <c r="AC197" s="1277"/>
      <c r="AD197" s="1277"/>
      <c r="AE197" s="1277"/>
      <c r="AF197" s="1277"/>
      <c r="AG197" s="1277"/>
      <c r="AH197" s="1277"/>
      <c r="AI197" s="1277"/>
      <c r="AJ197" s="1277"/>
      <c r="AK197" s="1277"/>
      <c r="AL197" s="1277"/>
      <c r="AM197" s="1277"/>
      <c r="AN197" s="1277"/>
      <c r="AO197" s="1277"/>
      <c r="AP197" s="1277"/>
      <c r="AQ197" s="1277"/>
      <c r="AR197" s="1277"/>
      <c r="AS197" s="1277"/>
      <c r="AT197" s="1277"/>
      <c r="AU197" s="1277"/>
      <c r="AV197" s="1277"/>
      <c r="AW197" s="1277"/>
      <c r="AX197" s="1277"/>
      <c r="AY197" s="1277"/>
      <c r="AZ197" s="1277"/>
      <c r="BA197" s="1277"/>
      <c r="BB197" s="1277"/>
      <c r="BC197" s="1277"/>
      <c r="BD197" s="1277"/>
      <c r="BE197" s="1277"/>
      <c r="BF197" s="1277"/>
      <c r="BG197" s="1277"/>
      <c r="BH197" s="1277"/>
      <c r="BI197" s="1277"/>
      <c r="BJ197" s="1277"/>
      <c r="BK197" s="1277"/>
      <c r="BL197" s="1277"/>
      <c r="BM197" s="1277"/>
      <c r="BN197" s="1277"/>
      <c r="BO197" s="1277"/>
      <c r="BP197" s="1277"/>
      <c r="BQ197" s="1277"/>
      <c r="BR197" s="1498"/>
      <c r="BS197" s="1278"/>
      <c r="BT197" s="1278"/>
      <c r="BU197" s="1278"/>
      <c r="BV197" s="1278"/>
      <c r="BW197" s="1278"/>
      <c r="BX197" s="1278"/>
      <c r="BY197" s="1278"/>
      <c r="BZ197" s="1278"/>
      <c r="CA197" s="1278"/>
      <c r="CB197" s="1278"/>
      <c r="CC197" s="1278"/>
      <c r="CD197" s="1278"/>
    </row>
    <row r="198" spans="1:82" ht="12.75" hidden="1" customHeight="1" outlineLevel="1" x14ac:dyDescent="0.2">
      <c r="A198" s="1494" t="s">
        <v>426</v>
      </c>
      <c r="B198" s="1277"/>
      <c r="C198" s="1495">
        <v>107</v>
      </c>
      <c r="D198" s="1496"/>
      <c r="E198" s="1496"/>
      <c r="F198" s="1496"/>
      <c r="G198" s="1496">
        <v>107</v>
      </c>
      <c r="H198" s="1496"/>
      <c r="I198" s="1496" t="s">
        <v>420</v>
      </c>
      <c r="J198" s="1496" t="s">
        <v>420</v>
      </c>
      <c r="K198" s="1496" t="s">
        <v>420</v>
      </c>
      <c r="L198" s="1496" t="s">
        <v>420</v>
      </c>
      <c r="M198" s="1496"/>
      <c r="N198" s="1496"/>
      <c r="O198" s="1496"/>
      <c r="P198" s="1496"/>
      <c r="Q198" s="1496"/>
      <c r="R198" s="1496"/>
      <c r="S198" s="1496"/>
      <c r="T198" s="1496"/>
      <c r="U198" s="1496"/>
      <c r="V198" s="1496"/>
      <c r="W198" s="1277"/>
      <c r="X198" s="1277"/>
      <c r="Y198" s="1277"/>
      <c r="Z198" s="1277"/>
      <c r="AA198" s="1277"/>
      <c r="AB198" s="1277"/>
      <c r="AC198" s="1277"/>
      <c r="AD198" s="1277"/>
      <c r="AE198" s="1277"/>
      <c r="AF198" s="1277"/>
      <c r="AG198" s="1277"/>
      <c r="AH198" s="1277"/>
      <c r="AI198" s="1277"/>
      <c r="AJ198" s="1277"/>
      <c r="AK198" s="1277"/>
      <c r="AL198" s="1277"/>
      <c r="AM198" s="1277"/>
      <c r="AN198" s="1277"/>
      <c r="AO198" s="1277"/>
      <c r="AP198" s="1277"/>
      <c r="AQ198" s="1277"/>
      <c r="AR198" s="1277"/>
      <c r="AS198" s="1277"/>
      <c r="AT198" s="1277"/>
      <c r="AU198" s="1277"/>
      <c r="AV198" s="1277"/>
      <c r="AW198" s="1277"/>
      <c r="AX198" s="1277"/>
      <c r="AY198" s="1277"/>
      <c r="AZ198" s="1277"/>
      <c r="BA198" s="1277"/>
      <c r="BB198" s="1277"/>
      <c r="BC198" s="1277"/>
      <c r="BD198" s="1277"/>
      <c r="BE198" s="1277"/>
      <c r="BF198" s="1277"/>
      <c r="BG198" s="1277"/>
      <c r="BH198" s="1277"/>
      <c r="BI198" s="1277"/>
      <c r="BJ198" s="1277"/>
      <c r="BK198" s="1277"/>
      <c r="BL198" s="1277"/>
      <c r="BM198" s="1277"/>
      <c r="BN198" s="1277"/>
      <c r="BO198" s="1277"/>
      <c r="BP198" s="1277"/>
      <c r="BQ198" s="1277"/>
      <c r="BR198" s="1494"/>
      <c r="BS198" s="1278"/>
      <c r="BT198" s="1278"/>
      <c r="BU198" s="1278"/>
      <c r="BV198" s="1278"/>
      <c r="BW198" s="1278"/>
      <c r="BX198" s="1278"/>
      <c r="BY198" s="1278"/>
      <c r="BZ198" s="1278"/>
      <c r="CA198" s="1278"/>
      <c r="CB198" s="1278"/>
      <c r="CC198" s="1278"/>
      <c r="CD198" s="1278"/>
    </row>
    <row r="199" spans="1:82" ht="12.75" hidden="1" customHeight="1" outlineLevel="1" x14ac:dyDescent="0.2">
      <c r="A199" s="1494" t="s">
        <v>427</v>
      </c>
      <c r="B199" s="1277"/>
      <c r="C199" s="1495">
        <v>90</v>
      </c>
      <c r="D199" s="1496"/>
      <c r="E199" s="1496"/>
      <c r="F199" s="1496"/>
      <c r="G199" s="1496">
        <v>90</v>
      </c>
      <c r="H199" s="1496"/>
      <c r="I199" s="1496" t="s">
        <v>420</v>
      </c>
      <c r="J199" s="1496" t="s">
        <v>420</v>
      </c>
      <c r="K199" s="1496" t="s">
        <v>420</v>
      </c>
      <c r="L199" s="1496" t="s">
        <v>420</v>
      </c>
      <c r="M199" s="1496"/>
      <c r="N199" s="1496"/>
      <c r="O199" s="1496"/>
      <c r="P199" s="1496"/>
      <c r="Q199" s="1496"/>
      <c r="R199" s="1496"/>
      <c r="S199" s="1496"/>
      <c r="T199" s="1496"/>
      <c r="U199" s="1496"/>
      <c r="V199" s="1496"/>
      <c r="W199" s="1277"/>
      <c r="X199" s="1277"/>
      <c r="Y199" s="1277"/>
      <c r="Z199" s="1277"/>
      <c r="AA199" s="1277"/>
      <c r="AB199" s="1277"/>
      <c r="AC199" s="1277"/>
      <c r="AD199" s="1277"/>
      <c r="AE199" s="1277"/>
      <c r="AF199" s="1277"/>
      <c r="AG199" s="1277"/>
      <c r="AH199" s="1277"/>
      <c r="AI199" s="1277"/>
      <c r="AJ199" s="1277"/>
      <c r="AK199" s="1277"/>
      <c r="AL199" s="1277"/>
      <c r="AM199" s="1277"/>
      <c r="AN199" s="1277"/>
      <c r="AO199" s="1277"/>
      <c r="AP199" s="1277"/>
      <c r="AQ199" s="1277"/>
      <c r="AR199" s="1277"/>
      <c r="AS199" s="1277"/>
      <c r="AT199" s="1277"/>
      <c r="AU199" s="1277"/>
      <c r="AV199" s="1277"/>
      <c r="AW199" s="1277"/>
      <c r="AX199" s="1277"/>
      <c r="AY199" s="1277"/>
      <c r="AZ199" s="1277"/>
      <c r="BA199" s="1277"/>
      <c r="BB199" s="1277"/>
      <c r="BC199" s="1277"/>
      <c r="BD199" s="1277"/>
      <c r="BE199" s="1277"/>
      <c r="BF199" s="1277"/>
      <c r="BG199" s="1277"/>
      <c r="BH199" s="1277"/>
      <c r="BI199" s="1277"/>
      <c r="BJ199" s="1277"/>
      <c r="BK199" s="1277"/>
      <c r="BL199" s="1277"/>
      <c r="BM199" s="1277"/>
      <c r="BN199" s="1277"/>
      <c r="BO199" s="1277"/>
      <c r="BP199" s="1277"/>
      <c r="BQ199" s="1277"/>
      <c r="BR199" s="1494"/>
      <c r="BS199" s="1278"/>
      <c r="BT199" s="1278"/>
      <c r="BU199" s="1278"/>
      <c r="BV199" s="1278"/>
      <c r="BW199" s="1278"/>
      <c r="BX199" s="1278"/>
      <c r="BY199" s="1278"/>
      <c r="BZ199" s="1278"/>
      <c r="CA199" s="1278"/>
      <c r="CB199" s="1278"/>
      <c r="CC199" s="1278"/>
      <c r="CD199" s="1278"/>
    </row>
    <row r="200" spans="1:82" ht="12.75" hidden="1" customHeight="1" outlineLevel="1" x14ac:dyDescent="0.2">
      <c r="A200" s="1494" t="s">
        <v>428</v>
      </c>
      <c r="B200" s="1277"/>
      <c r="C200" s="1495">
        <v>27</v>
      </c>
      <c r="D200" s="1496">
        <v>8</v>
      </c>
      <c r="E200" s="1496" t="s">
        <v>420</v>
      </c>
      <c r="F200" s="1496" t="s">
        <v>420</v>
      </c>
      <c r="G200" s="1496" t="s">
        <v>420</v>
      </c>
      <c r="H200" s="1496"/>
      <c r="I200" s="1496" t="s">
        <v>420</v>
      </c>
      <c r="J200" s="1496"/>
      <c r="K200" s="1496"/>
      <c r="L200" s="1496"/>
      <c r="M200" s="1496"/>
      <c r="N200" s="1496"/>
      <c r="O200" s="1496"/>
      <c r="P200" s="1496"/>
      <c r="Q200" s="1496"/>
      <c r="R200" s="1496"/>
      <c r="S200" s="1496"/>
      <c r="T200" s="1496"/>
      <c r="U200" s="1496"/>
      <c r="V200" s="1496"/>
      <c r="W200" s="1277"/>
      <c r="X200" s="1277"/>
      <c r="Y200" s="1277"/>
      <c r="Z200" s="1277"/>
      <c r="AA200" s="1277"/>
      <c r="AB200" s="1277"/>
      <c r="AC200" s="1277"/>
      <c r="AD200" s="1277"/>
      <c r="AE200" s="1277"/>
      <c r="AF200" s="1277"/>
      <c r="AG200" s="1277"/>
      <c r="AH200" s="1277"/>
      <c r="AI200" s="1277"/>
      <c r="AJ200" s="1277"/>
      <c r="AK200" s="1277"/>
      <c r="AL200" s="1277"/>
      <c r="AM200" s="1277"/>
      <c r="AN200" s="1277"/>
      <c r="AO200" s="1277"/>
      <c r="AP200" s="1277"/>
      <c r="AQ200" s="1277"/>
      <c r="AR200" s="1277"/>
      <c r="AS200" s="1277"/>
      <c r="AT200" s="1277"/>
      <c r="AU200" s="1277"/>
      <c r="AV200" s="1277"/>
      <c r="AW200" s="1277"/>
      <c r="AX200" s="1277"/>
      <c r="AY200" s="1277"/>
      <c r="AZ200" s="1277"/>
      <c r="BA200" s="1277"/>
      <c r="BB200" s="1277"/>
      <c r="BC200" s="1277"/>
      <c r="BD200" s="1277"/>
      <c r="BE200" s="1277"/>
      <c r="BF200" s="1277"/>
      <c r="BG200" s="1277"/>
      <c r="BH200" s="1277"/>
      <c r="BI200" s="1277"/>
      <c r="BJ200" s="1277"/>
      <c r="BK200" s="1277"/>
      <c r="BL200" s="1277"/>
      <c r="BM200" s="1277"/>
      <c r="BN200" s="1277"/>
      <c r="BO200" s="1277"/>
      <c r="BP200" s="1277"/>
      <c r="BQ200" s="1277"/>
      <c r="BR200" s="1494"/>
      <c r="BS200" s="1278"/>
      <c r="BT200" s="1278"/>
      <c r="BU200" s="1278"/>
      <c r="BV200" s="1278"/>
      <c r="BW200" s="1278"/>
      <c r="BX200" s="1278"/>
      <c r="BY200" s="1278"/>
      <c r="BZ200" s="1278"/>
      <c r="CA200" s="1278"/>
      <c r="CB200" s="1278"/>
      <c r="CC200" s="1278"/>
      <c r="CD200" s="1278"/>
    </row>
    <row r="201" spans="1:82" ht="12.75" hidden="1" customHeight="1" outlineLevel="1" x14ac:dyDescent="0.2">
      <c r="A201" s="939"/>
      <c r="B201" s="1277"/>
      <c r="C201" s="1277"/>
      <c r="D201" s="1277"/>
      <c r="E201" s="1277"/>
      <c r="F201" s="1277"/>
      <c r="G201" s="1277"/>
      <c r="H201" s="1277"/>
      <c r="I201" s="1425" t="s">
        <v>429</v>
      </c>
      <c r="J201" s="1277"/>
      <c r="K201" s="1277"/>
      <c r="L201" s="1277"/>
      <c r="M201" s="1277"/>
      <c r="N201" s="1277"/>
      <c r="O201" s="1277"/>
      <c r="P201" s="1277"/>
      <c r="Q201" s="1277"/>
      <c r="R201" s="1277"/>
      <c r="S201" s="1277"/>
      <c r="T201" s="1277"/>
      <c r="U201" s="1277"/>
      <c r="V201" s="1277"/>
      <c r="W201" s="1277"/>
      <c r="X201" s="1277"/>
      <c r="Y201" s="1277"/>
      <c r="Z201" s="1277"/>
      <c r="AA201" s="1277"/>
      <c r="AB201" s="1277"/>
      <c r="AC201" s="1277"/>
      <c r="AD201" s="1277"/>
      <c r="AE201" s="1277"/>
      <c r="AF201" s="1277"/>
      <c r="AG201" s="1277"/>
      <c r="AH201" s="1277"/>
      <c r="AI201" s="1277"/>
      <c r="AJ201" s="1277"/>
      <c r="AK201" s="1277"/>
      <c r="AL201" s="1277"/>
      <c r="AM201" s="1277"/>
      <c r="AN201" s="1277"/>
      <c r="AO201" s="1277"/>
      <c r="AP201" s="1277"/>
      <c r="AQ201" s="1277"/>
      <c r="AR201" s="1277"/>
      <c r="AS201" s="1277"/>
      <c r="AT201" s="1277"/>
      <c r="AU201" s="1277"/>
      <c r="AV201" s="1277"/>
      <c r="AW201" s="1277"/>
      <c r="AX201" s="1277"/>
      <c r="AY201" s="1277"/>
      <c r="AZ201" s="1277"/>
      <c r="BA201" s="1277"/>
      <c r="BB201" s="1277"/>
      <c r="BC201" s="1277"/>
      <c r="BD201" s="1277"/>
      <c r="BE201" s="1277"/>
      <c r="BF201" s="1277"/>
      <c r="BG201" s="1277"/>
      <c r="BH201" s="1277"/>
      <c r="BI201" s="1277"/>
      <c r="BJ201" s="1277"/>
      <c r="BK201" s="1277"/>
      <c r="BL201" s="1277"/>
      <c r="BM201" s="1277"/>
      <c r="BN201" s="1277"/>
      <c r="BO201" s="1277"/>
      <c r="BP201" s="1277"/>
      <c r="BQ201" s="1277"/>
      <c r="BR201" s="1494"/>
      <c r="BS201" s="1278"/>
      <c r="BT201" s="1278"/>
      <c r="BU201" s="1278"/>
      <c r="BV201" s="1278"/>
      <c r="BW201" s="1278"/>
      <c r="BX201" s="1278"/>
      <c r="BY201" s="1278"/>
      <c r="BZ201" s="1278"/>
      <c r="CA201" s="1278"/>
      <c r="CB201" s="1278"/>
      <c r="CC201" s="1278"/>
      <c r="CD201" s="1278"/>
    </row>
    <row r="202" spans="1:82" ht="12.75" hidden="1" customHeight="1" outlineLevel="1" collapsed="1" x14ac:dyDescent="0.2"/>
    <row r="203" spans="1:82" collapsed="1" x14ac:dyDescent="0.2"/>
    <row r="204" spans="1:82" hidden="1" outlineLevel="1" x14ac:dyDescent="0.2">
      <c r="A204" s="1280" t="s">
        <v>430</v>
      </c>
    </row>
    <row r="205" spans="1:82" hidden="1" outlineLevel="1" x14ac:dyDescent="0.2">
      <c r="A205" s="1280" t="s">
        <v>350</v>
      </c>
      <c r="B205" s="1316"/>
      <c r="C205" s="1316"/>
      <c r="D205" s="1317"/>
      <c r="E205" s="1317"/>
      <c r="F205" s="1317"/>
      <c r="G205" s="1317"/>
      <c r="H205" s="1318"/>
      <c r="I205" s="1317"/>
      <c r="J205" s="1317"/>
      <c r="K205" s="1317"/>
      <c r="L205" s="1292"/>
      <c r="M205" s="1319"/>
      <c r="N205" s="1292"/>
      <c r="O205" s="1292"/>
      <c r="P205" s="1292"/>
      <c r="Q205" s="1292"/>
      <c r="R205" s="1319"/>
      <c r="S205" s="1292"/>
      <c r="T205" s="1292"/>
      <c r="U205" s="1292"/>
      <c r="V205" s="1292"/>
      <c r="W205" s="1319"/>
      <c r="X205" s="1292"/>
      <c r="Y205" s="1292"/>
      <c r="Z205" s="1292"/>
      <c r="AA205" s="1292"/>
      <c r="AB205" s="1327"/>
      <c r="AC205" s="1499">
        <v>90.697000000000003</v>
      </c>
      <c r="AD205" s="1321">
        <f>AI68/(1+AI69)</f>
        <v>94.466906452106244</v>
      </c>
      <c r="AE205" s="1321">
        <f>AE68</f>
        <v>85</v>
      </c>
      <c r="AF205" s="1500">
        <f>AF68</f>
        <v>83.493156333333332</v>
      </c>
      <c r="AG205" s="1319">
        <f>SUM(AC205:AF205)</f>
        <v>353.65706278543956</v>
      </c>
      <c r="AH205" s="1321">
        <f>AH68</f>
        <v>87.05</v>
      </c>
      <c r="AI205" s="1321">
        <f>AI68</f>
        <v>91.25264</v>
      </c>
      <c r="AJ205" s="1321">
        <f>AJ68</f>
        <v>80.834999999999994</v>
      </c>
      <c r="AK205" s="1321">
        <f>AK68</f>
        <v>78.901032735000001</v>
      </c>
      <c r="AL205" s="1319">
        <f>SUM(AH205:AK205)</f>
        <v>338.03867273499998</v>
      </c>
      <c r="BL205" s="1501"/>
      <c r="BM205" s="1278"/>
      <c r="BN205" s="1278"/>
      <c r="BO205" s="1278"/>
      <c r="BP205" s="1278"/>
      <c r="BQ205" s="1278"/>
      <c r="BR205" s="1278"/>
      <c r="BS205" s="1327"/>
      <c r="BT205" s="1327"/>
      <c r="BU205" s="1327"/>
      <c r="BV205" s="1327"/>
      <c r="BW205" s="1327"/>
      <c r="BX205" s="1327"/>
      <c r="BY205" s="1327"/>
      <c r="BZ205" s="1327"/>
      <c r="CA205" s="1327"/>
      <c r="CB205" s="1327"/>
      <c r="CC205" s="1327"/>
      <c r="CD205" s="1327"/>
    </row>
    <row r="206" spans="1:82" hidden="1" outlineLevel="1" x14ac:dyDescent="0.2">
      <c r="A206" s="1280" t="s">
        <v>431</v>
      </c>
      <c r="B206" s="1316"/>
      <c r="C206" s="1316"/>
      <c r="D206" s="1317"/>
      <c r="E206" s="1317"/>
      <c r="F206" s="1317"/>
      <c r="G206" s="1317"/>
      <c r="H206" s="1318"/>
      <c r="I206" s="1317"/>
      <c r="J206" s="1317"/>
      <c r="K206" s="1317"/>
      <c r="L206" s="1292"/>
      <c r="M206" s="1319"/>
      <c r="N206" s="1292"/>
      <c r="O206" s="1292"/>
      <c r="P206" s="1292"/>
      <c r="Q206" s="1292"/>
      <c r="R206" s="1319"/>
      <c r="S206" s="1292"/>
      <c r="T206" s="1292"/>
      <c r="U206" s="1292"/>
      <c r="V206" s="1292"/>
      <c r="W206" s="1319"/>
      <c r="X206" s="1292"/>
      <c r="Y206" s="1292"/>
      <c r="Z206" s="1292"/>
      <c r="AA206" s="1292"/>
      <c r="AB206" s="1327"/>
      <c r="AC206" s="1321">
        <f t="shared" ref="AC206:AL206" si="148">AC90-AC68+AC205</f>
        <v>474.99</v>
      </c>
      <c r="AD206" s="1321">
        <f t="shared" si="148"/>
        <v>480.21326645210627</v>
      </c>
      <c r="AE206" s="1321">
        <f t="shared" si="148"/>
        <v>470.40799999999996</v>
      </c>
      <c r="AF206" s="1500">
        <f t="shared" si="148"/>
        <v>477.40000000000003</v>
      </c>
      <c r="AG206" s="1319">
        <f t="shared" si="148"/>
        <v>1903.0112664521064</v>
      </c>
      <c r="AH206" s="1321">
        <f t="shared" si="148"/>
        <v>492.70100000000002</v>
      </c>
      <c r="AI206" s="1321">
        <f t="shared" si="148"/>
        <v>498.29599999999994</v>
      </c>
      <c r="AJ206" s="1321">
        <f t="shared" si="148"/>
        <v>498.08100000000002</v>
      </c>
      <c r="AK206" s="1321">
        <f t="shared" si="148"/>
        <v>506.1</v>
      </c>
      <c r="AL206" s="1319">
        <f t="shared" si="148"/>
        <v>1995.1779999999999</v>
      </c>
      <c r="AM206" s="1321"/>
      <c r="AN206" s="1321"/>
      <c r="AO206" s="1321"/>
      <c r="AP206" s="1321"/>
      <c r="AQ206" s="1319"/>
      <c r="AR206" s="1321"/>
      <c r="AS206" s="1321"/>
      <c r="AT206" s="1321"/>
      <c r="AU206" s="1321"/>
      <c r="AV206" s="1319"/>
      <c r="AW206" s="1321"/>
      <c r="AX206" s="1321"/>
      <c r="AY206" s="1321"/>
      <c r="AZ206" s="1321"/>
      <c r="BA206" s="1319"/>
      <c r="BB206" s="1321"/>
      <c r="BC206" s="1321"/>
      <c r="BD206" s="1321"/>
      <c r="BE206" s="1321"/>
      <c r="BF206" s="1319"/>
      <c r="BG206" s="1321"/>
      <c r="BH206" s="1321"/>
      <c r="BI206" s="1321"/>
      <c r="BJ206" s="1321"/>
      <c r="BK206" s="1319"/>
      <c r="BL206" s="1501"/>
      <c r="BM206" s="1278"/>
      <c r="BN206" s="1278"/>
      <c r="BO206" s="1278"/>
      <c r="BP206" s="1278"/>
      <c r="BQ206" s="1278"/>
      <c r="BR206" s="1278"/>
      <c r="BS206" s="1327"/>
      <c r="BT206" s="1327"/>
      <c r="BU206" s="1327"/>
      <c r="BV206" s="1327"/>
      <c r="BW206" s="1327"/>
      <c r="BX206" s="1327"/>
      <c r="BY206" s="1327"/>
      <c r="BZ206" s="1327"/>
      <c r="CA206" s="1327"/>
      <c r="CB206" s="1327"/>
      <c r="CC206" s="1327"/>
      <c r="CD206" s="1327"/>
    </row>
    <row r="207" spans="1:82" s="1503" customFormat="1" ht="15" hidden="1" outlineLevel="1" x14ac:dyDescent="0.25">
      <c r="A207" s="1322"/>
      <c r="B207" s="1427"/>
      <c r="C207" s="1427"/>
      <c r="D207" s="1323"/>
      <c r="E207" s="1323"/>
      <c r="F207" s="1323"/>
      <c r="G207" s="1323"/>
      <c r="H207" s="1322"/>
      <c r="I207" s="1323"/>
      <c r="J207" s="1323"/>
      <c r="K207" s="1323"/>
      <c r="L207" s="1323"/>
      <c r="M207" s="1322"/>
      <c r="N207" s="1323"/>
      <c r="O207" s="1323"/>
      <c r="P207" s="1323"/>
      <c r="Q207" s="1323"/>
      <c r="R207" s="1322"/>
      <c r="S207" s="1323"/>
      <c r="T207" s="1323"/>
      <c r="U207" s="1323"/>
      <c r="V207" s="1323"/>
      <c r="W207" s="1322"/>
      <c r="X207" s="1323"/>
      <c r="Y207" s="1323"/>
      <c r="Z207" s="1323"/>
      <c r="AA207" s="1323"/>
      <c r="AB207" s="1230"/>
      <c r="AC207" s="1502"/>
      <c r="AD207" s="1230"/>
      <c r="AE207" s="1230"/>
      <c r="AF207" s="1324"/>
      <c r="AG207" s="1322"/>
      <c r="AH207" s="1230"/>
      <c r="AI207" s="1230"/>
      <c r="AJ207" s="1230"/>
      <c r="AK207" s="1230"/>
      <c r="AL207" s="1322">
        <f>AL206/AG206-1</f>
        <v>4.8432048287199825E-2</v>
      </c>
      <c r="AM207" s="1230"/>
      <c r="AN207" s="1230"/>
      <c r="AO207" s="1230"/>
      <c r="AP207" s="1230"/>
      <c r="AQ207" s="1322"/>
      <c r="AR207" s="1230"/>
      <c r="AS207" s="1230"/>
      <c r="AT207" s="1230"/>
      <c r="AU207" s="1230"/>
      <c r="AV207" s="1322"/>
      <c r="AW207" s="1230"/>
      <c r="AX207" s="1230"/>
      <c r="AY207" s="1230"/>
      <c r="AZ207" s="1230"/>
      <c r="BA207" s="1322"/>
      <c r="BB207" s="1230"/>
      <c r="BC207" s="1230"/>
      <c r="BD207" s="1230"/>
      <c r="BE207" s="1230"/>
      <c r="BF207" s="1322"/>
      <c r="BG207" s="1230"/>
      <c r="BH207" s="1230"/>
      <c r="BI207" s="1230"/>
      <c r="BJ207" s="1230"/>
      <c r="BK207" s="1322"/>
      <c r="BL207" s="1230"/>
      <c r="BM207" s="1230"/>
      <c r="BN207" s="1230"/>
      <c r="BO207" s="1230"/>
      <c r="BP207" s="1230"/>
      <c r="BQ207" s="1230"/>
      <c r="BR207" s="1230"/>
      <c r="BS207" s="1230"/>
      <c r="BT207" s="1230"/>
      <c r="BU207" s="1230"/>
      <c r="BV207" s="1230"/>
      <c r="BW207" s="1230"/>
      <c r="BX207" s="1230"/>
      <c r="BY207" s="1230"/>
      <c r="BZ207" s="1230"/>
      <c r="CA207" s="1230"/>
      <c r="CB207" s="1230"/>
      <c r="CC207" s="1230"/>
      <c r="CD207" s="1230"/>
    </row>
    <row r="208" spans="1:82" collapsed="1" x14ac:dyDescent="0.2"/>
  </sheetData>
  <pageMargins left="0" right="0" top="0" bottom="0" header="0" footer="0"/>
  <pageSetup paperSize="5" scale="57"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pageSetUpPr autoPageBreaks="0" fitToPage="1"/>
  </sheetPr>
  <dimension ref="A1:AD197"/>
  <sheetViews>
    <sheetView showGridLines="0" zoomScaleNormal="100" workbookViewId="0">
      <pane ySplit="5" topLeftCell="A6" activePane="bottomLeft" state="frozen"/>
      <selection activeCell="M35" sqref="M35"/>
      <selection pane="bottomLeft" activeCell="C1" sqref="C1"/>
    </sheetView>
  </sheetViews>
  <sheetFormatPr defaultRowHeight="12.75" outlineLevelRow="2" outlineLevelCol="2" x14ac:dyDescent="0.2"/>
  <cols>
    <col min="1" max="2" width="5.28515625" style="188" hidden="1" customWidth="1" outlineLevel="2"/>
    <col min="3" max="3" width="5.28515625" style="188" customWidth="1" collapsed="1"/>
    <col min="4" max="4" width="39.85546875" style="14" customWidth="1"/>
    <col min="5" max="5" width="7.42578125" style="14" customWidth="1"/>
    <col min="6" max="6" width="7.140625" style="14" bestFit="1" customWidth="1"/>
    <col min="7" max="7" width="2.28515625" style="14" customWidth="1"/>
    <col min="8" max="8" width="8" style="14" customWidth="1"/>
    <col min="9" max="9" width="7.140625" style="14" bestFit="1" customWidth="1"/>
    <col min="10" max="10" width="0.85546875" style="14" customWidth="1"/>
    <col min="11" max="11" width="6.28515625" style="14" customWidth="1"/>
    <col min="12" max="12" width="8.85546875" style="14" customWidth="1"/>
    <col min="13" max="13" width="0.85546875" style="14" customWidth="1"/>
    <col min="14" max="14" width="6.7109375" style="14" bestFit="1" customWidth="1"/>
    <col min="15" max="15" width="8.28515625" style="14" bestFit="1" customWidth="1"/>
    <col min="16" max="16" width="2" style="14" customWidth="1"/>
    <col min="17" max="17" width="9.140625" style="14"/>
    <col min="18" max="18" width="6.28515625" style="14" hidden="1" customWidth="1" outlineLevel="1"/>
    <col min="19" max="20" width="6.7109375" style="14" hidden="1" customWidth="1" outlineLevel="1"/>
    <col min="21" max="21" width="6.28515625" style="14" hidden="1" customWidth="1" outlineLevel="1"/>
    <col min="22" max="22" width="6.7109375" style="14" hidden="1" customWidth="1" outlineLevel="1"/>
    <col min="23" max="23" width="0" style="14" hidden="1" customWidth="1"/>
    <col min="24" max="26" width="13.7109375" style="14" hidden="1" customWidth="1"/>
    <col min="27" max="16384" width="9.140625" style="14"/>
  </cols>
  <sheetData>
    <row r="1" spans="1:26" x14ac:dyDescent="0.2">
      <c r="A1" s="1278"/>
      <c r="B1" s="1278"/>
      <c r="C1" s="1278"/>
      <c r="D1" s="1277"/>
      <c r="E1" s="1277" t="s">
        <v>628</v>
      </c>
      <c r="F1" s="1504" t="s">
        <v>628</v>
      </c>
      <c r="G1" s="1504"/>
      <c r="H1" s="1504"/>
      <c r="I1" s="1504"/>
      <c r="J1" s="1504"/>
      <c r="K1" s="1504" t="s">
        <v>432</v>
      </c>
      <c r="L1" s="1504"/>
      <c r="M1" s="1504"/>
      <c r="N1" s="1504" t="s">
        <v>631</v>
      </c>
      <c r="O1" s="1277"/>
      <c r="R1" s="1528"/>
      <c r="S1" s="1528"/>
      <c r="T1" s="1528"/>
      <c r="U1" s="1528"/>
      <c r="V1" s="1528"/>
    </row>
    <row r="2" spans="1:26" x14ac:dyDescent="0.2">
      <c r="A2" s="1278"/>
      <c r="B2" s="1278"/>
      <c r="C2" s="1278"/>
      <c r="D2" s="1286" t="s">
        <v>436</v>
      </c>
      <c r="E2" s="1286"/>
      <c r="F2" s="1286"/>
      <c r="G2" s="1286"/>
      <c r="H2" s="1286"/>
      <c r="I2" s="1286"/>
      <c r="J2" s="1286"/>
      <c r="K2" s="1286"/>
      <c r="L2" s="1286"/>
      <c r="M2" s="1286"/>
      <c r="N2" s="1286"/>
      <c r="O2" s="1286"/>
      <c r="R2" s="1278"/>
      <c r="S2" s="1278"/>
      <c r="T2" s="1278"/>
      <c r="U2" s="1278"/>
      <c r="V2" s="1286"/>
    </row>
    <row r="3" spans="1:26" ht="5.0999999999999996" customHeight="1" x14ac:dyDescent="0.2">
      <c r="A3" s="1278"/>
      <c r="B3" s="1278"/>
      <c r="C3" s="1278"/>
      <c r="D3" s="1286"/>
      <c r="E3" s="1286"/>
      <c r="F3" s="1286"/>
      <c r="G3" s="1286"/>
      <c r="H3" s="1286"/>
      <c r="I3" s="1286"/>
      <c r="J3" s="1286"/>
      <c r="K3" s="1286"/>
      <c r="L3" s="1286"/>
      <c r="M3" s="1286"/>
      <c r="N3" s="1286"/>
      <c r="O3" s="1286"/>
      <c r="R3" s="1286"/>
      <c r="S3" s="1286"/>
      <c r="T3" s="1286"/>
      <c r="U3" s="1286"/>
      <c r="V3" s="1286"/>
    </row>
    <row r="4" spans="1:26" x14ac:dyDescent="0.2">
      <c r="A4" s="1278">
        <f>IF(B4&lt;&gt;0,B4,"")</f>
        <v>11</v>
      </c>
      <c r="B4" s="1278">
        <v>11</v>
      </c>
      <c r="C4" s="1278"/>
      <c r="D4" s="1505" t="s">
        <v>433</v>
      </c>
      <c r="E4" s="1529" t="s">
        <v>40</v>
      </c>
      <c r="F4" s="1529" t="str">
        <f ca="1">LEFT(INDIRECT("'VA'!"&amp;F$1&amp;$B4),4)&amp;"A"</f>
        <v>4Q17A</v>
      </c>
      <c r="G4" s="1530"/>
      <c r="H4" s="1531" t="s">
        <v>434</v>
      </c>
      <c r="I4" s="1531" t="s">
        <v>435</v>
      </c>
      <c r="J4" s="1532"/>
      <c r="K4" s="1529" t="str">
        <f ca="1">INDIRECT("'VA'!"&amp;K$1&amp;$B4)&amp;"A"</f>
        <v>3Q17A</v>
      </c>
      <c r="L4" s="1533" t="s">
        <v>437</v>
      </c>
      <c r="M4" s="1532"/>
      <c r="N4" s="1529" t="str">
        <f ca="1">INDIRECT("'VA'!"&amp;N$1&amp;$B4)</f>
        <v>4Q16</v>
      </c>
      <c r="O4" s="1534" t="s">
        <v>438</v>
      </c>
      <c r="P4" s="677"/>
      <c r="R4" s="1535"/>
      <c r="S4" s="1535"/>
      <c r="T4" s="1535"/>
      <c r="U4" s="1535"/>
      <c r="V4" s="1536"/>
      <c r="Y4" s="14" t="s">
        <v>439</v>
      </c>
    </row>
    <row r="5" spans="1:26" ht="6" customHeight="1" x14ac:dyDescent="0.2">
      <c r="A5" s="1278" t="str">
        <f t="shared" ref="A5:A100" si="0">IF(B5&lt;&gt;0,B5,"")</f>
        <v/>
      </c>
      <c r="B5" s="1278"/>
      <c r="C5" s="1278"/>
      <c r="D5" s="1277"/>
      <c r="E5" s="1506"/>
      <c r="F5" s="1506"/>
      <c r="G5" s="1506"/>
      <c r="H5" s="1506"/>
      <c r="I5" s="1506"/>
      <c r="J5" s="1537"/>
      <c r="K5" s="1506"/>
      <c r="L5" s="1506"/>
      <c r="M5" s="1537"/>
      <c r="N5" s="1506"/>
      <c r="O5" s="1506"/>
      <c r="P5" s="677"/>
      <c r="R5" s="1509"/>
      <c r="S5" s="1509"/>
      <c r="T5" s="1509"/>
      <c r="U5" s="1509"/>
      <c r="V5" s="1509"/>
    </row>
    <row r="6" spans="1:26" ht="12.75" customHeight="1" x14ac:dyDescent="0.2">
      <c r="A6" s="1278">
        <f t="shared" ca="1" si="0"/>
        <v>12</v>
      </c>
      <c r="B6" s="1278">
        <f ca="1">CELL("row",VA!B12)</f>
        <v>12</v>
      </c>
      <c r="C6" s="1278"/>
      <c r="D6" s="9" t="str">
        <f>VA!A12</f>
        <v>Total Revenue</v>
      </c>
      <c r="E6" s="1509">
        <v>557.64345089913354</v>
      </c>
      <c r="F6" s="1507">
        <f ca="1">INDIRECT("'VA'!"&amp;F$1&amp;$B6)</f>
        <v>570.29999999999995</v>
      </c>
      <c r="G6" s="1509"/>
      <c r="H6" s="1509">
        <f ca="1">F6-E6</f>
        <v>12.656549100866414</v>
      </c>
      <c r="I6" s="1510">
        <f ca="1">IF(ISERROR(F6/E6),"",F6/E6-1)</f>
        <v>2.2696490168510497E-2</v>
      </c>
      <c r="J6" s="1538"/>
      <c r="K6" s="1509">
        <f ca="1">INDIRECT("'VA'!"&amp;K$1&amp;$B6)</f>
        <v>549.09999999999991</v>
      </c>
      <c r="L6" s="1510">
        <f ca="1">IF(ISERROR(F6/K6),"",F6/K6-1)</f>
        <v>3.8608632307412183E-2</v>
      </c>
      <c r="M6" s="1538"/>
      <c r="N6" s="1509">
        <f ca="1">INDIRECT("'VA'!"&amp;N$1&amp;$B6)</f>
        <v>506.1</v>
      </c>
      <c r="O6" s="1510">
        <f ca="1">IF(ISERROR(F6/N6),"",F6/N6-1)</f>
        <v>0.12685240071132164</v>
      </c>
      <c r="P6" s="677"/>
      <c r="R6" s="1509"/>
      <c r="S6" s="1509"/>
      <c r="T6" s="1509"/>
      <c r="U6" s="1509"/>
      <c r="V6" s="1509"/>
      <c r="X6" s="1539"/>
      <c r="Y6" s="1540">
        <f ca="1">F6-11</f>
        <v>559.29999999999995</v>
      </c>
      <c r="Z6" s="1541">
        <f ca="1">Y6/E6-1</f>
        <v>2.9706241473748118E-3</v>
      </c>
    </row>
    <row r="7" spans="1:26" ht="12.75" customHeight="1" x14ac:dyDescent="0.2">
      <c r="A7" s="1278">
        <f t="shared" ca="1" si="0"/>
        <v>13</v>
      </c>
      <c r="B7" s="1278">
        <f ca="1">CELL("row",VA!B13)</f>
        <v>13</v>
      </c>
      <c r="C7" s="1278"/>
      <c r="D7" s="426" t="str">
        <f>VA!A13</f>
        <v>Annual Growth (2016 from continuing operations)</v>
      </c>
      <c r="E7" s="1510">
        <v>0.10184440011684148</v>
      </c>
      <c r="F7" s="1218">
        <f ca="1">INDIRECT("'VA'!"&amp;F$1&amp;$B7)</f>
        <v>0.12685240071132164</v>
      </c>
      <c r="G7" s="1509"/>
      <c r="H7" s="1511">
        <f ca="1">(F7-E7)*10000</f>
        <v>250.08000594480163</v>
      </c>
      <c r="I7" s="1510">
        <f ca="1">IF(ISERROR(F7/E7),"",F7/E7-1)</f>
        <v>0.24555106187271569</v>
      </c>
      <c r="J7" s="1538"/>
      <c r="K7" s="1218">
        <f ca="1">INDIRECT("'VA'!"&amp;K$1&amp;$B7)</f>
        <v>0.10243113067954779</v>
      </c>
      <c r="L7" s="1511">
        <f ca="1">(F7-K7)*10000</f>
        <v>244.21270031773855</v>
      </c>
      <c r="M7" s="1538"/>
      <c r="N7" s="1218">
        <f ca="1">INDIRECT("'VA'!"&amp;N$1&amp;$B7)</f>
        <v>6.0117302052786092E-2</v>
      </c>
      <c r="O7" s="1511">
        <f ca="1">(F7-N7)*10000</f>
        <v>667.35098658535549</v>
      </c>
      <c r="P7" s="677"/>
      <c r="R7" s="1218"/>
      <c r="S7" s="1218"/>
      <c r="T7" s="1218"/>
      <c r="U7" s="1218"/>
      <c r="V7" s="1218"/>
      <c r="X7" s="1539"/>
      <c r="Y7" s="1542"/>
      <c r="Z7" s="1542"/>
    </row>
    <row r="8" spans="1:26" ht="12.75" hidden="1" customHeight="1" x14ac:dyDescent="0.2">
      <c r="A8" s="1543" t="str">
        <f t="shared" si="0"/>
        <v>MAN</v>
      </c>
      <c r="B8" s="1543" t="s">
        <v>440</v>
      </c>
      <c r="C8" s="1543"/>
      <c r="D8" s="426" t="s">
        <v>441</v>
      </c>
      <c r="E8" s="1510">
        <f>+Revenue_end_mkt!Z88</f>
        <v>8.9185705234180013E-2</v>
      </c>
      <c r="F8" s="1218">
        <f>+Revenue_end_mkt!AA88</f>
        <v>0.114</v>
      </c>
      <c r="G8" s="1509"/>
      <c r="H8" s="1511">
        <f>(F8-E8)*10000</f>
        <v>248.14294765819992</v>
      </c>
      <c r="I8" s="1510">
        <f>IF(ISERROR(F8/E8),"",F8/E8-1)</f>
        <v>0.27823174914257476</v>
      </c>
      <c r="J8" s="1538"/>
      <c r="K8" s="1218">
        <f>+Revenue_end_mkt!Y88</f>
        <v>8.5017650102723996E-2</v>
      </c>
      <c r="L8" s="1511">
        <f>(F8-K8)*10000</f>
        <v>289.82349897276009</v>
      </c>
      <c r="M8" s="1538"/>
      <c r="N8" s="1218">
        <f>+Revenue_end_mkt!U88</f>
        <v>6.0999999999999999E-2</v>
      </c>
      <c r="O8" s="1511">
        <f>(F8-N8)*10000</f>
        <v>530</v>
      </c>
      <c r="P8" s="677"/>
      <c r="Q8" s="880"/>
      <c r="R8" s="1218"/>
      <c r="S8" s="1218"/>
      <c r="T8" s="1218"/>
      <c r="U8" s="1218"/>
      <c r="V8" s="1218"/>
      <c r="X8" s="1539"/>
      <c r="Y8" s="1544"/>
      <c r="Z8" s="1544"/>
    </row>
    <row r="9" spans="1:26" ht="6" customHeight="1" x14ac:dyDescent="0.2">
      <c r="A9" s="1278" t="str">
        <f t="shared" si="0"/>
        <v/>
      </c>
      <c r="B9" s="1278"/>
      <c r="C9" s="1278"/>
      <c r="D9" s="1512"/>
      <c r="E9" s="1509"/>
      <c r="F9" s="1509"/>
      <c r="G9" s="1509"/>
      <c r="H9" s="1509"/>
      <c r="I9" s="1510"/>
      <c r="J9" s="1538"/>
      <c r="K9" s="1509"/>
      <c r="L9" s="1510"/>
      <c r="M9" s="1538"/>
      <c r="N9" s="1509"/>
      <c r="O9" s="1510"/>
      <c r="P9" s="677"/>
      <c r="R9" s="1509"/>
      <c r="S9" s="1509"/>
      <c r="T9" s="1509"/>
      <c r="U9" s="1509"/>
      <c r="V9" s="1509"/>
      <c r="X9" s="1539"/>
      <c r="Y9" s="1542"/>
      <c r="Z9" s="1542"/>
    </row>
    <row r="10" spans="1:26" ht="12.75" customHeight="1" x14ac:dyDescent="0.2">
      <c r="A10" s="1278">
        <f t="shared" ca="1" si="0"/>
        <v>17</v>
      </c>
      <c r="B10" s="1278">
        <f ca="1">CELL("row",VA!A17)</f>
        <v>17</v>
      </c>
      <c r="C10" s="1278"/>
      <c r="D10" s="1545" t="str">
        <f>VA!A17</f>
        <v>Cost Of Revenues</v>
      </c>
      <c r="E10" s="1509">
        <v>202.62461600284939</v>
      </c>
      <c r="F10" s="1509">
        <f ca="1">INDIRECT("'VA'!"&amp;F$1&amp;$B10)</f>
        <v>208.7</v>
      </c>
      <c r="G10" s="1509"/>
      <c r="H10" s="1509">
        <f ca="1">F10-E10</f>
        <v>6.0753839971505954</v>
      </c>
      <c r="I10" s="1510">
        <f ca="1">IF(ISERROR(F10/E10),"",F10/E10-1)</f>
        <v>2.9983444840014695E-2</v>
      </c>
      <c r="J10" s="1538"/>
      <c r="K10" s="1509">
        <f ca="1">INDIRECT("'VA'!"&amp;K$1&amp;$B10)</f>
        <v>198.5</v>
      </c>
      <c r="L10" s="1510">
        <f ca="1">IF(ISERROR(F10/K10),"",F10/K10-1)</f>
        <v>5.1385390428211553E-2</v>
      </c>
      <c r="M10" s="1538"/>
      <c r="N10" s="1509">
        <f ca="1">INDIRECT("'VA'!"&amp;N$1&amp;$B10)</f>
        <v>193</v>
      </c>
      <c r="O10" s="1510">
        <f ca="1">IF(ISERROR(F10/N10),"",F10/N10-1)</f>
        <v>8.1347150259067247E-2</v>
      </c>
      <c r="P10" s="677"/>
      <c r="R10" s="1509"/>
      <c r="S10" s="1509"/>
      <c r="T10" s="1509"/>
      <c r="U10" s="1509"/>
      <c r="V10" s="1509"/>
      <c r="X10" s="1539"/>
      <c r="Y10" s="1546"/>
      <c r="Z10" s="1546"/>
    </row>
    <row r="11" spans="1:26" ht="12.75" customHeight="1" x14ac:dyDescent="0.2">
      <c r="A11" s="1278">
        <f t="shared" si="0"/>
        <v>18</v>
      </c>
      <c r="B11" s="1278">
        <v>18</v>
      </c>
      <c r="C11" s="1278"/>
      <c r="D11" s="1547" t="str">
        <f>VA!A18</f>
        <v>Gross Margin</v>
      </c>
      <c r="E11" s="1218">
        <v>0.63664127019488648</v>
      </c>
      <c r="F11" s="1218">
        <f ca="1">INDIRECT("'VA'!"&amp;F$1&amp;$B11)</f>
        <v>0.63405225320007008</v>
      </c>
      <c r="G11" s="1509"/>
      <c r="H11" s="1511">
        <f ca="1">(F11-E11)*10000</f>
        <v>-25.890169948163955</v>
      </c>
      <c r="I11" s="1510">
        <f ca="1">IF(ISERROR(F11/E11),"",F11/E11-1)</f>
        <v>-4.0666810589012892E-3</v>
      </c>
      <c r="J11" s="1538"/>
      <c r="K11" s="1218">
        <f ca="1">INDIRECT("'VA'!"&amp;K$1&amp;$B11)</f>
        <v>0.63849936259333451</v>
      </c>
      <c r="L11" s="1511">
        <f ca="1">(F11-K11)*10000</f>
        <v>-44.471093932644258</v>
      </c>
      <c r="M11" s="1538"/>
      <c r="N11" s="1218">
        <f ca="1">INDIRECT("'VA'!"&amp;N$1&amp;$B11)</f>
        <v>0.61865244022920374</v>
      </c>
      <c r="O11" s="1511">
        <f ca="1">(F11-N11)*10000</f>
        <v>153.99812970866344</v>
      </c>
      <c r="P11" s="677"/>
      <c r="R11" s="1218"/>
      <c r="S11" s="1218"/>
      <c r="T11" s="1218"/>
      <c r="U11" s="1218"/>
      <c r="V11" s="1218"/>
      <c r="X11" s="1539"/>
      <c r="Y11" s="1546"/>
      <c r="Z11" s="1546"/>
    </row>
    <row r="12" spans="1:26" ht="12.75" customHeight="1" x14ac:dyDescent="0.2">
      <c r="A12" s="1278">
        <f t="shared" ca="1" si="0"/>
        <v>19</v>
      </c>
      <c r="B12" s="1278">
        <f ca="1">CELL("row",VA!A19)</f>
        <v>19</v>
      </c>
      <c r="C12" s="1278"/>
      <c r="D12" s="1494" t="str">
        <f>VA!A19</f>
        <v>Selling General and Administrative</v>
      </c>
      <c r="E12" s="1509">
        <v>83.874861652852701</v>
      </c>
      <c r="F12" s="1509">
        <f ca="1">INDIRECT("'VA'!"&amp;F$1&amp;$B12)</f>
        <v>87.199999999999989</v>
      </c>
      <c r="G12" s="1509"/>
      <c r="H12" s="1509">
        <f ca="1">F12-E12</f>
        <v>3.3251383471472877</v>
      </c>
      <c r="I12" s="1510">
        <f ca="1">IF(ISERROR(F12/E12),"",F12/E12-1)</f>
        <v>3.964403972324404E-2</v>
      </c>
      <c r="J12" s="1538"/>
      <c r="K12" s="1509">
        <f ca="1">INDIRECT("'VA'!"&amp;K$1&amp;$B12)</f>
        <v>80.900000000000006</v>
      </c>
      <c r="L12" s="1510">
        <f ca="1">IF(ISERROR(F12/K12),"",F12/K12-1)</f>
        <v>7.7873918417799448E-2</v>
      </c>
      <c r="M12" s="1538"/>
      <c r="N12" s="1509">
        <f ca="1">INDIRECT("'VA'!"&amp;N$1&amp;$B12)</f>
        <v>77.2</v>
      </c>
      <c r="O12" s="1510">
        <f ca="1">IF(ISERROR(F12/N12),"",F12/N12-1)</f>
        <v>0.12953367875647648</v>
      </c>
      <c r="P12" s="677"/>
      <c r="R12" s="1509"/>
      <c r="S12" s="1509"/>
      <c r="T12" s="1509"/>
      <c r="U12" s="1509"/>
      <c r="V12" s="1509"/>
      <c r="X12" s="1539"/>
      <c r="Y12" s="1546"/>
      <c r="Z12" s="1546"/>
    </row>
    <row r="13" spans="1:26" ht="12.75" customHeight="1" x14ac:dyDescent="0.2">
      <c r="A13" s="1278">
        <f t="shared" ca="1" si="0"/>
        <v>20</v>
      </c>
      <c r="B13" s="1278">
        <f ca="1">CELL("row",VA!A20)</f>
        <v>20</v>
      </c>
      <c r="C13" s="1278"/>
      <c r="D13" s="426" t="str">
        <f>VA!A20</f>
        <v>% of Total Revenue</v>
      </c>
      <c r="E13" s="1218">
        <v>0.15040948031867762</v>
      </c>
      <c r="F13" s="1218">
        <f ca="1">INDIRECT("'VA'!"&amp;F$1&amp;$B13)</f>
        <v>0.15290198141329125</v>
      </c>
      <c r="G13" s="1535"/>
      <c r="H13" s="1511">
        <f ca="1">(F13-E13)*10000</f>
        <v>24.925010946136304</v>
      </c>
      <c r="I13" s="1510">
        <f ca="1">IF(ISERROR(F13/E13),"",F13/E13-1)</f>
        <v>1.6571436117807758E-2</v>
      </c>
      <c r="J13" s="1538"/>
      <c r="K13" s="1218">
        <f ca="1">INDIRECT("'VA'!"&amp;K$1&amp;$B13)</f>
        <v>0.14733199781460576</v>
      </c>
      <c r="L13" s="1511">
        <f ca="1">(F13-K13)*10000</f>
        <v>55.699835986854907</v>
      </c>
      <c r="M13" s="1538"/>
      <c r="N13" s="1218">
        <f ca="1">INDIRECT("'VA'!"&amp;N$1&amp;$B13)</f>
        <v>0.1525390239083185</v>
      </c>
      <c r="O13" s="1511">
        <f ca="1">(F13-N13)*10000</f>
        <v>3.6295750497275514</v>
      </c>
      <c r="P13" s="677"/>
      <c r="R13" s="1218"/>
      <c r="S13" s="1218"/>
      <c r="T13" s="1218"/>
      <c r="U13" s="1218"/>
      <c r="V13" s="1218"/>
      <c r="X13" s="1539"/>
      <c r="Y13" s="1548"/>
      <c r="Z13" s="1548"/>
    </row>
    <row r="14" spans="1:26" ht="6" customHeight="1" x14ac:dyDescent="0.2">
      <c r="A14" s="1278" t="str">
        <f t="shared" si="0"/>
        <v/>
      </c>
      <c r="B14" s="1278"/>
      <c r="C14" s="1278"/>
      <c r="D14" s="882"/>
      <c r="E14" s="1509"/>
      <c r="F14" s="1509"/>
      <c r="G14" s="1509"/>
      <c r="H14" s="1509"/>
      <c r="I14" s="1510"/>
      <c r="J14" s="1538"/>
      <c r="K14" s="1509"/>
      <c r="L14" s="1510"/>
      <c r="M14" s="1538"/>
      <c r="N14" s="1509"/>
      <c r="O14" s="1510"/>
      <c r="P14" s="677"/>
      <c r="R14" s="1509"/>
      <c r="S14" s="1509"/>
      <c r="T14" s="1509"/>
      <c r="U14" s="1509"/>
      <c r="V14" s="1509"/>
      <c r="X14" s="1539"/>
      <c r="Y14" s="1539"/>
      <c r="Z14" s="1539"/>
    </row>
    <row r="15" spans="1:26" ht="12.75" customHeight="1" x14ac:dyDescent="0.2">
      <c r="A15" s="1278">
        <f t="shared" ca="1" si="0"/>
        <v>22</v>
      </c>
      <c r="B15" s="1278">
        <f ca="1">CELL("row",VA!A22)</f>
        <v>22</v>
      </c>
      <c r="C15" s="1278"/>
      <c r="D15" s="9" t="str">
        <f>VA!A22</f>
        <v>Total Expenses</v>
      </c>
      <c r="E15" s="1509">
        <v>286.49947765570209</v>
      </c>
      <c r="F15" s="1509">
        <f ca="1">INDIRECT("'VA'!"&amp;F$1&amp;$B15)</f>
        <v>295.89999999999998</v>
      </c>
      <c r="G15" s="1509"/>
      <c r="H15" s="1509">
        <f ca="1">F15-E15</f>
        <v>9.4005223442978831</v>
      </c>
      <c r="I15" s="1510">
        <f ca="1">IF(ISERROR(F15/E15),"",F15/E15-1)</f>
        <v>3.2811656137100798E-2</v>
      </c>
      <c r="J15" s="1538"/>
      <c r="K15" s="1509">
        <f ca="1">INDIRECT("'VA'!"&amp;K$1&amp;$B15)</f>
        <v>279.39999999999998</v>
      </c>
      <c r="L15" s="1510">
        <f ca="1">IF(ISERROR(F15/K15),"",F15/K15-1)</f>
        <v>5.9055118110236116E-2</v>
      </c>
      <c r="M15" s="1538"/>
      <c r="N15" s="1509">
        <f ca="1">INDIRECT("'VA'!"&amp;N$1&amp;$B15)</f>
        <v>270.2</v>
      </c>
      <c r="O15" s="1510">
        <f ca="1">IF(ISERROR(F15/N15),"",F15/N15-1)</f>
        <v>9.5114729829755662E-2</v>
      </c>
      <c r="P15" s="677"/>
      <c r="R15" s="1509"/>
      <c r="S15" s="1509"/>
      <c r="T15" s="1509"/>
      <c r="U15" s="1509"/>
      <c r="V15" s="1509"/>
    </row>
    <row r="16" spans="1:26" ht="6" customHeight="1" x14ac:dyDescent="0.2">
      <c r="A16" s="1278" t="str">
        <f t="shared" si="0"/>
        <v/>
      </c>
      <c r="B16" s="1278"/>
      <c r="C16" s="1278"/>
      <c r="D16" s="882"/>
      <c r="E16" s="1509"/>
      <c r="F16" s="1509"/>
      <c r="G16" s="1509"/>
      <c r="H16" s="1509"/>
      <c r="I16" s="1510"/>
      <c r="J16" s="1538"/>
      <c r="K16" s="1509"/>
      <c r="L16" s="1510"/>
      <c r="M16" s="1538"/>
      <c r="N16" s="1509"/>
      <c r="O16" s="1510"/>
      <c r="P16" s="677"/>
      <c r="R16" s="1509"/>
      <c r="S16" s="1509"/>
      <c r="T16" s="1509"/>
      <c r="U16" s="1509"/>
      <c r="V16" s="1509"/>
    </row>
    <row r="17" spans="1:26" ht="12.75" customHeight="1" x14ac:dyDescent="0.2">
      <c r="A17" s="1278">
        <f t="shared" ca="1" si="0"/>
        <v>24</v>
      </c>
      <c r="B17" s="1278">
        <f ca="1">CELL("row",VA!A24)</f>
        <v>24</v>
      </c>
      <c r="C17" s="1278"/>
      <c r="D17" s="1549" t="str">
        <f>VA!A24</f>
        <v>Adjustments</v>
      </c>
      <c r="E17" s="1550">
        <v>0</v>
      </c>
      <c r="F17" s="1509">
        <f ca="1">INDIRECT("'VA'!"&amp;F$1&amp;$B17)</f>
        <v>1.7</v>
      </c>
      <c r="G17" s="1509"/>
      <c r="H17" s="1509">
        <f ca="1">F17-E17</f>
        <v>1.7</v>
      </c>
      <c r="I17" s="1510" t="str">
        <f ca="1">IF(ISERROR(F17/E17),"",F17/E17-1)</f>
        <v/>
      </c>
      <c r="J17" s="1538"/>
      <c r="K17" s="1509">
        <f ca="1">INDIRECT("'VA'!"&amp;K$1&amp;$B17)</f>
        <v>2.6</v>
      </c>
      <c r="L17" s="1510">
        <f ca="1">IF(ISERROR(F17/K17),"",F17/K17-1)</f>
        <v>-0.34615384615384615</v>
      </c>
      <c r="M17" s="1538"/>
      <c r="N17" s="1509">
        <f ca="1">INDIRECT("'VA'!"&amp;N$1&amp;$B17)</f>
        <v>21.9</v>
      </c>
      <c r="O17" s="1510">
        <f ca="1">IF(ISERROR(F17/N17),"",F17/N17-1)</f>
        <v>-0.92237442922374424</v>
      </c>
      <c r="P17" s="677"/>
      <c r="R17" s="1509"/>
      <c r="S17" s="1509"/>
      <c r="T17" s="1509"/>
      <c r="U17" s="1509"/>
      <c r="V17" s="1509"/>
    </row>
    <row r="18" spans="1:26" ht="12.75" customHeight="1" x14ac:dyDescent="0.2">
      <c r="A18" s="1278">
        <f t="shared" ca="1" si="0"/>
        <v>25</v>
      </c>
      <c r="B18" s="1278">
        <f ca="1">CELL("row",VA!A25)</f>
        <v>25</v>
      </c>
      <c r="C18" s="1278"/>
      <c r="D18" s="426" t="str">
        <f>VA!A25</f>
        <v>% of Total Revenue</v>
      </c>
      <c r="E18" s="1218">
        <v>0</v>
      </c>
      <c r="F18" s="1218">
        <f ca="1">INDIRECT("'VA'!"&amp;F$1&amp;$B18)</f>
        <v>2.9808872523233386E-3</v>
      </c>
      <c r="G18" s="1509"/>
      <c r="H18" s="1511">
        <f ca="1">(F18-E18)*10000</f>
        <v>29.808872523233386</v>
      </c>
      <c r="I18" s="1510" t="str">
        <f ca="1">IF(ISERROR(F18/E18),"",F18/E18-1)</f>
        <v/>
      </c>
      <c r="J18" s="1538"/>
      <c r="K18" s="1218">
        <f ca="1">INDIRECT("'VA'!"&amp;K$1&amp;$B18)</f>
        <v>4.7350209433618656E-3</v>
      </c>
      <c r="L18" s="1511">
        <f ca="1">(F18-K18)*10000</f>
        <v>-17.541336910385269</v>
      </c>
      <c r="M18" s="1538"/>
      <c r="N18" s="1218">
        <f ca="1">INDIRECT("'VA'!"&amp;N$1&amp;$B18)</f>
        <v>4.3272080616478949E-2</v>
      </c>
      <c r="O18" s="1511">
        <f ca="1">(F18-N18)*10000</f>
        <v>-402.91193364155612</v>
      </c>
      <c r="P18" s="677"/>
      <c r="R18" s="1218"/>
      <c r="S18" s="1218"/>
      <c r="T18" s="1218"/>
      <c r="U18" s="1218"/>
      <c r="V18" s="1218"/>
    </row>
    <row r="19" spans="1:26" ht="6" customHeight="1" x14ac:dyDescent="0.2">
      <c r="A19" s="1278" t="str">
        <f t="shared" si="0"/>
        <v/>
      </c>
      <c r="B19" s="1278"/>
      <c r="C19" s="1278"/>
      <c r="D19" s="1551"/>
      <c r="E19" s="1509"/>
      <c r="F19" s="1509"/>
      <c r="G19" s="1509"/>
      <c r="H19" s="1509"/>
      <c r="I19" s="1510"/>
      <c r="J19" s="1538"/>
      <c r="K19" s="1509"/>
      <c r="L19" s="1510"/>
      <c r="M19" s="1538"/>
      <c r="N19" s="1509"/>
      <c r="O19" s="1510"/>
      <c r="P19" s="677"/>
      <c r="R19" s="1509"/>
      <c r="S19" s="1509"/>
      <c r="T19" s="1509"/>
      <c r="U19" s="1509"/>
      <c r="V19" s="1509"/>
    </row>
    <row r="20" spans="1:26" ht="12.75" hidden="1" customHeight="1" x14ac:dyDescent="0.2">
      <c r="A20" s="1278">
        <f t="shared" ca="1" si="0"/>
        <v>29</v>
      </c>
      <c r="B20" s="1278">
        <f ca="1">CELL("row",VA!A29)</f>
        <v>29</v>
      </c>
      <c r="C20" s="1278"/>
      <c r="D20" s="1552" t="str">
        <f>VA!A29</f>
        <v>EBITDA</v>
      </c>
      <c r="E20" s="1523">
        <v>271.14397324343145</v>
      </c>
      <c r="F20" s="1523">
        <f ca="1">INDIRECT("'VA'!"&amp;F$1&amp;$B20)</f>
        <v>274.39999999999998</v>
      </c>
      <c r="G20" s="1523"/>
      <c r="H20" s="1523">
        <f ca="1">F20-E20</f>
        <v>3.2560267565685308</v>
      </c>
      <c r="I20" s="1527">
        <f ca="1">IF(ISERROR(F20/E20),"",F20/E20-1)</f>
        <v>1.2008479176652376E-2</v>
      </c>
      <c r="J20" s="1553"/>
      <c r="K20" s="1523">
        <f ca="1">INDIRECT("'VA'!"&amp;K$1&amp;$B20)</f>
        <v>269.69999999999993</v>
      </c>
      <c r="L20" s="1527">
        <f ca="1">IF(ISERROR(F20/K20),"",F20/K20-1)</f>
        <v>1.7426770485725163E-2</v>
      </c>
      <c r="M20" s="1553"/>
      <c r="N20" s="1523">
        <f ca="1">INDIRECT("'VA'!"&amp;N$1&amp;$B20)</f>
        <v>235.90000000000003</v>
      </c>
      <c r="O20" s="1527">
        <f ca="1">IF(ISERROR(F20/N20),"",F20/N20-1)</f>
        <v>0.16320474777448046</v>
      </c>
      <c r="P20" s="677"/>
      <c r="R20" s="1509"/>
      <c r="S20" s="1509"/>
      <c r="T20" s="1509"/>
      <c r="U20" s="1509"/>
      <c r="V20" s="1509"/>
    </row>
    <row r="21" spans="1:26" ht="12.75" hidden="1" customHeight="1" x14ac:dyDescent="0.2">
      <c r="A21" s="1278">
        <f t="shared" ca="1" si="0"/>
        <v>30</v>
      </c>
      <c r="B21" s="1278">
        <f ca="1">CELL("row",VA!A30)</f>
        <v>30</v>
      </c>
      <c r="C21" s="1278"/>
      <c r="D21" s="1554" t="str">
        <f>VA!A30</f>
        <v>EBITDA Margin</v>
      </c>
      <c r="E21" s="1510">
        <v>0.4862317898762088</v>
      </c>
      <c r="F21" s="1218">
        <f ca="1">INDIRECT("'VA'!"&amp;F$1&amp;$B21)</f>
        <v>0.48115027178677888</v>
      </c>
      <c r="G21" s="1509"/>
      <c r="H21" s="1511">
        <f ca="1">(F21-E21)*10000</f>
        <v>-50.815180894299147</v>
      </c>
      <c r="I21" s="1510">
        <f ca="1">IF(ISERROR(F21/E21),"",F21/E21-1)</f>
        <v>-1.0450814190334223E-2</v>
      </c>
      <c r="J21" s="1538"/>
      <c r="K21" s="1218">
        <f ca="1">INDIRECT("'VA'!"&amp;K$1&amp;$B21)</f>
        <v>0.4911673647787288</v>
      </c>
      <c r="L21" s="1511">
        <f ca="1">(F21-K21)*10000</f>
        <v>-100.17092991949916</v>
      </c>
      <c r="M21" s="1538"/>
      <c r="N21" s="1218">
        <f ca="1">INDIRECT("'VA'!"&amp;N$1&amp;$B21)</f>
        <v>0.46611341632088527</v>
      </c>
      <c r="O21" s="1511">
        <f ca="1">(F21-N21)*10000</f>
        <v>150.36855465893618</v>
      </c>
      <c r="P21" s="677"/>
      <c r="R21" s="1218"/>
      <c r="S21" s="1218"/>
      <c r="T21" s="1218"/>
      <c r="U21" s="1218"/>
      <c r="V21" s="1218"/>
    </row>
    <row r="22" spans="1:26" ht="12.75" hidden="1" customHeight="1" x14ac:dyDescent="0.2">
      <c r="A22" s="1278">
        <f t="shared" ca="1" si="0"/>
        <v>31</v>
      </c>
      <c r="B22" s="1278">
        <f ca="1">CELL("row",VA!A31)</f>
        <v>31</v>
      </c>
      <c r="C22" s="1278"/>
      <c r="D22" s="1555" t="str">
        <f>VA!A31</f>
        <v>Year-over-Year Growth</v>
      </c>
      <c r="E22" s="1517">
        <v>0.14940217568220171</v>
      </c>
      <c r="F22" s="1525">
        <f ca="1">INDIRECT("'VA'!"&amp;F$1&amp;$B22)</f>
        <v>0.16320474777448046</v>
      </c>
      <c r="G22" s="1556"/>
      <c r="H22" s="1518">
        <f ca="1">(F22-E22)*10000</f>
        <v>138.02572092278754</v>
      </c>
      <c r="I22" s="1517">
        <f ca="1">IF(ISERROR(F22/E22),"",F22/E22-1)</f>
        <v>9.2385348668808209E-2</v>
      </c>
      <c r="J22" s="1557"/>
      <c r="K22" s="1525">
        <f ca="1">INDIRECT("'VA'!"&amp;K$1&amp;$B22)</f>
        <v>7.6208489956185232E-2</v>
      </c>
      <c r="L22" s="1518">
        <f ca="1">(F22-K22)*10000</f>
        <v>869.96257818295226</v>
      </c>
      <c r="M22" s="1557"/>
      <c r="N22" s="1525">
        <f ca="1">INDIRECT("'VA'!"&amp;N$1&amp;$B22)</f>
        <v>-0.10338274420372517</v>
      </c>
      <c r="O22" s="1518">
        <f ca="1">(F22-N22)*10000</f>
        <v>2665.8749197820562</v>
      </c>
      <c r="P22" s="677"/>
      <c r="R22" s="1218"/>
      <c r="S22" s="1218"/>
      <c r="T22" s="1218"/>
      <c r="U22" s="1218"/>
      <c r="V22" s="1218"/>
    </row>
    <row r="23" spans="1:26" ht="12.75" hidden="1" customHeight="1" x14ac:dyDescent="0.2">
      <c r="A23" s="1278" t="str">
        <f t="shared" si="0"/>
        <v/>
      </c>
      <c r="B23" s="1278"/>
      <c r="C23" s="1278"/>
      <c r="D23" s="1551"/>
      <c r="E23" s="1510"/>
      <c r="F23" s="1510"/>
      <c r="G23" s="1510"/>
      <c r="H23" s="1511"/>
      <c r="I23" s="1510"/>
      <c r="J23" s="1558"/>
      <c r="K23" s="1510"/>
      <c r="L23" s="1511"/>
      <c r="M23" s="1558"/>
      <c r="N23" s="1510"/>
      <c r="O23" s="1511"/>
      <c r="P23" s="677"/>
      <c r="R23" s="1510"/>
      <c r="S23" s="1510"/>
      <c r="T23" s="1510"/>
      <c r="U23" s="1510"/>
      <c r="V23" s="1510"/>
    </row>
    <row r="24" spans="1:26" ht="12.75" customHeight="1" x14ac:dyDescent="0.2">
      <c r="A24" s="1278">
        <f t="shared" ca="1" si="0"/>
        <v>33</v>
      </c>
      <c r="B24" s="1278">
        <f ca="1">CELL("row",VA!A33)</f>
        <v>33</v>
      </c>
      <c r="C24" s="1278"/>
      <c r="D24" s="1559" t="str">
        <f>VA!A33</f>
        <v>Adj. EBITDA</v>
      </c>
      <c r="E24" s="1523">
        <v>271.14397324343145</v>
      </c>
      <c r="F24" s="1523">
        <f ca="1">INDIRECT("'VA'!"&amp;F$1&amp;$B24)</f>
        <v>276.09999999999997</v>
      </c>
      <c r="G24" s="1523"/>
      <c r="H24" s="1523">
        <f ca="1">F24-E24</f>
        <v>4.9560267565685194</v>
      </c>
      <c r="I24" s="1527">
        <f ca="1">IF(ISERROR(F24/E24),"",F24/E24-1)</f>
        <v>1.8278211008286194E-2</v>
      </c>
      <c r="J24" s="1553"/>
      <c r="K24" s="1523">
        <f ca="1">INDIRECT("'VA'!"&amp;K$1&amp;$B24)</f>
        <v>272.29999999999995</v>
      </c>
      <c r="L24" s="1527">
        <f ca="1">IF(ISERROR(F24/K24),"",F24/K24-1)</f>
        <v>1.3955196474476628E-2</v>
      </c>
      <c r="M24" s="1553"/>
      <c r="N24" s="1523">
        <f ca="1">INDIRECT("'VA'!"&amp;N$1&amp;$B24)</f>
        <v>257.8</v>
      </c>
      <c r="O24" s="1527">
        <f ca="1">IF(ISERROR(F24/N24),"",F24/N24-1)</f>
        <v>7.0985259891388486E-2</v>
      </c>
      <c r="P24" s="677"/>
      <c r="R24" s="1509"/>
      <c r="S24" s="1509"/>
      <c r="T24" s="1509"/>
      <c r="U24" s="1509"/>
      <c r="V24" s="1509"/>
      <c r="W24" s="1560">
        <f ca="1">F24+4.4</f>
        <v>280.49999999999994</v>
      </c>
      <c r="X24" s="1509"/>
      <c r="Y24" s="1540">
        <f ca="1">F24-11+4.4</f>
        <v>269.49999999999994</v>
      </c>
      <c r="Z24" s="1541">
        <f ca="1">Y24/E24-1</f>
        <v>-6.0631008086451388E-3</v>
      </c>
    </row>
    <row r="25" spans="1:26" ht="12.75" customHeight="1" x14ac:dyDescent="0.25">
      <c r="A25" s="1278">
        <f t="shared" ca="1" si="0"/>
        <v>34</v>
      </c>
      <c r="B25" s="1278">
        <f ca="1">CELL("row",VA!A34)</f>
        <v>34</v>
      </c>
      <c r="C25" s="1278"/>
      <c r="D25" s="501" t="str">
        <f>VA!A34</f>
        <v>Adj. EBITDA Margin</v>
      </c>
      <c r="E25" s="1510">
        <v>0.4862317898762088</v>
      </c>
      <c r="F25" s="1218">
        <f ca="1">INDIRECT("'VA'!"&amp;F$1&amp;$B25)</f>
        <v>0.4841311590391022</v>
      </c>
      <c r="G25" s="1509"/>
      <c r="H25" s="1511">
        <f ca="1">(F25-E25)*10000</f>
        <v>-21.006308371065984</v>
      </c>
      <c r="I25" s="1510">
        <f ca="1">IF(ISERROR(F25/E25),"",F25/E25-1)</f>
        <v>-4.3202252111927963E-3</v>
      </c>
      <c r="J25" s="1538"/>
      <c r="K25" s="1218">
        <f ca="1">INDIRECT("'VA'!"&amp;K$1&amp;$B25)</f>
        <v>0.49590238572209067</v>
      </c>
      <c r="L25" s="1511">
        <f ca="1">(F25-K25)*10000</f>
        <v>-117.71226682988467</v>
      </c>
      <c r="M25" s="1538"/>
      <c r="N25" s="1218">
        <f ca="1">INDIRECT("'VA'!"&amp;N$1&amp;$B25)</f>
        <v>0.50938549693736412</v>
      </c>
      <c r="O25" s="1511">
        <f ca="1">(F25-N25)*10000</f>
        <v>-252.54337898261926</v>
      </c>
      <c r="Q25" s="1561"/>
      <c r="R25" s="1218"/>
      <c r="S25" s="1218"/>
      <c r="T25" s="1218"/>
      <c r="U25" s="1218"/>
      <c r="V25" s="1218"/>
      <c r="W25" s="1218">
        <f ca="1">W24/F6</f>
        <v>0.49184639663335084</v>
      </c>
      <c r="X25" s="1511">
        <f ca="1">(W25-E25)*10000</f>
        <v>56.146067571420375</v>
      </c>
      <c r="Y25" s="1503">
        <f ca="1">Y24/Y6</f>
        <v>0.48185231539424273</v>
      </c>
    </row>
    <row r="26" spans="1:26" ht="12.75" customHeight="1" x14ac:dyDescent="0.2">
      <c r="A26" s="1278">
        <f t="shared" ca="1" si="0"/>
        <v>35</v>
      </c>
      <c r="B26" s="1278">
        <f ca="1">CELL("row",VA!A35)</f>
        <v>35</v>
      </c>
      <c r="C26" s="1278"/>
      <c r="D26" s="1562" t="str">
        <f>VA!A35</f>
        <v>Year-over-Year Growth</v>
      </c>
      <c r="E26" s="1517">
        <v>5.1760951293372548E-2</v>
      </c>
      <c r="F26" s="1517">
        <f ca="1">INDIRECT("'VA'!"&amp;F$1&amp;$B26)</f>
        <v>7.0985259891388486E-2</v>
      </c>
      <c r="G26" s="1556"/>
      <c r="H26" s="1518">
        <f ca="1">(F26-E26)*10000</f>
        <v>192.24308598015938</v>
      </c>
      <c r="I26" s="1517">
        <f ca="1">IF(ISERROR(F26/E26),"",F26/E26-1)</f>
        <v>0.37140562755610351</v>
      </c>
      <c r="J26" s="1557"/>
      <c r="K26" s="1525">
        <f ca="1">INDIRECT("'VA'!"&amp;K$1&amp;$B26)</f>
        <v>7.5001381749847829E-2</v>
      </c>
      <c r="L26" s="1518">
        <f ca="1">(F26-K26)*10000</f>
        <v>-40.161218584593428</v>
      </c>
      <c r="M26" s="1557"/>
      <c r="N26" s="1525">
        <f ca="1">INDIRECT("'VA'!"&amp;N$1&amp;$B26)</f>
        <v>7.0153590701536039E-2</v>
      </c>
      <c r="O26" s="1518">
        <f ca="1">(F26-N26)*10000</f>
        <v>8.3166918985244642</v>
      </c>
      <c r="P26" s="677"/>
      <c r="R26" s="1510"/>
      <c r="S26" s="1510"/>
      <c r="T26" s="1510"/>
      <c r="U26" s="1510"/>
      <c r="V26" s="1510"/>
    </row>
    <row r="27" spans="1:26" ht="6" customHeight="1" x14ac:dyDescent="0.2">
      <c r="A27" s="1278" t="str">
        <f t="shared" si="0"/>
        <v/>
      </c>
      <c r="B27" s="1278"/>
      <c r="C27" s="1278"/>
      <c r="D27" s="123"/>
      <c r="E27" s="1509"/>
      <c r="F27" s="1509"/>
      <c r="G27" s="1509"/>
      <c r="H27" s="1509"/>
      <c r="I27" s="1510"/>
      <c r="J27" s="1538"/>
      <c r="K27" s="1509"/>
      <c r="L27" s="1510"/>
      <c r="M27" s="1538"/>
      <c r="N27" s="1509"/>
      <c r="O27" s="1510"/>
      <c r="P27" s="677"/>
      <c r="R27" s="1509"/>
      <c r="S27" s="1509"/>
      <c r="T27" s="1509"/>
      <c r="U27" s="1509"/>
      <c r="V27" s="1509"/>
    </row>
    <row r="28" spans="1:26" ht="12.75" customHeight="1" x14ac:dyDescent="0.2">
      <c r="A28" s="1278">
        <f t="shared" ca="1" si="0"/>
        <v>37</v>
      </c>
      <c r="B28" s="1278">
        <f ca="1">CELL("row",VA!A37)</f>
        <v>37</v>
      </c>
      <c r="C28" s="1278"/>
      <c r="D28" s="123" t="str">
        <f>VA!A37</f>
        <v>Depreciation and Amortization</v>
      </c>
      <c r="E28" s="1509">
        <v>66.989044513457543</v>
      </c>
      <c r="F28" s="1509">
        <f ca="1">INDIRECT("'VA'!"&amp;F$1&amp;$B28)</f>
        <v>64.300000000000011</v>
      </c>
      <c r="G28" s="1509"/>
      <c r="H28" s="1509">
        <f ca="1">F28-E28</f>
        <v>-2.6890445134575316</v>
      </c>
      <c r="I28" s="1510">
        <f ca="1">IF(ISERROR(F28/E28),"",F28/E28-1)</f>
        <v>-4.014155647372053E-2</v>
      </c>
      <c r="J28" s="1538"/>
      <c r="K28" s="1509">
        <f ca="1">INDIRECT("'VA'!"&amp;K$1&amp;$B28)</f>
        <v>61.3</v>
      </c>
      <c r="L28" s="1510">
        <f ca="1">IF(ISERROR(F28/K28),"",F28/K28-1)</f>
        <v>4.8939641109298826E-2</v>
      </c>
      <c r="M28" s="1538"/>
      <c r="N28" s="1509">
        <f ca="1">INDIRECT("'VA'!"&amp;N$1&amp;$B28)</f>
        <v>50.400000000000006</v>
      </c>
      <c r="O28" s="1510">
        <f ca="1">IF(ISERROR(F28/N28),"",F28/N28-1)</f>
        <v>0.27579365079365092</v>
      </c>
      <c r="P28" s="677"/>
      <c r="R28" s="1509"/>
      <c r="S28" s="1509"/>
      <c r="T28" s="1509"/>
      <c r="U28" s="1509"/>
      <c r="V28" s="1509"/>
    </row>
    <row r="29" spans="1:26" ht="12.75" hidden="1" customHeight="1" outlineLevel="1" x14ac:dyDescent="0.2">
      <c r="A29" s="1278">
        <f t="shared" ca="1" si="0"/>
        <v>38</v>
      </c>
      <c r="B29" s="1278">
        <f ca="1">CELL("row",VA!A38)</f>
        <v>38</v>
      </c>
      <c r="C29" s="1278"/>
      <c r="D29" s="426" t="str">
        <f>VA!A38</f>
        <v>Depreciation</v>
      </c>
      <c r="E29" s="1509">
        <v>35.689044513457553</v>
      </c>
      <c r="F29" s="1509">
        <f ca="1">INDIRECT("'VA'!"&amp;F$1&amp;$B29)</f>
        <v>36.200000000000003</v>
      </c>
      <c r="G29" s="1509"/>
      <c r="H29" s="1509">
        <f ca="1">F29-E29</f>
        <v>0.51095548654244993</v>
      </c>
      <c r="I29" s="1510">
        <f ca="1">IF(ISERROR(F29/E29),"",F29/E29-1)</f>
        <v>1.4316872124435331E-2</v>
      </c>
      <c r="J29" s="1538"/>
      <c r="K29" s="1509">
        <f ca="1">INDIRECT("'VA'!"&amp;K$1&amp;$B29)</f>
        <v>33.799999999999997</v>
      </c>
      <c r="L29" s="1510">
        <f ca="1">IF(ISERROR(F29/K29),"",F29/K29-1)</f>
        <v>7.1005917159763454E-2</v>
      </c>
      <c r="M29" s="1538"/>
      <c r="N29" s="1509">
        <f ca="1">INDIRECT("'VA'!"&amp;N$1&amp;$B29)</f>
        <v>28.3</v>
      </c>
      <c r="O29" s="1510">
        <f ca="1">IF(ISERROR(F29/N29),"",F29/N29-1)</f>
        <v>0.27915194346289751</v>
      </c>
      <c r="R29" s="1509"/>
      <c r="S29" s="1509"/>
      <c r="T29" s="1509"/>
      <c r="U29" s="1509"/>
      <c r="V29" s="1509"/>
    </row>
    <row r="30" spans="1:26" ht="12.75" hidden="1" customHeight="1" outlineLevel="1" x14ac:dyDescent="0.2">
      <c r="A30" s="1278">
        <f t="shared" ca="1" si="0"/>
        <v>39</v>
      </c>
      <c r="B30" s="1278">
        <f ca="1">CELL("row",VA!A39)</f>
        <v>39</v>
      </c>
      <c r="C30" s="1278"/>
      <c r="D30" s="1563" t="str">
        <f>VA!A39</f>
        <v>Intangible Amortization</v>
      </c>
      <c r="E30" s="1509">
        <v>31.299999999999997</v>
      </c>
      <c r="F30" s="1509">
        <f ca="1">INDIRECT("'VA'!"&amp;F$1&amp;$B30)</f>
        <v>28.1</v>
      </c>
      <c r="G30" s="1509"/>
      <c r="H30" s="1509">
        <f ca="1">F30-E30</f>
        <v>-3.1999999999999957</v>
      </c>
      <c r="I30" s="1510">
        <f ca="1">IF(ISERROR(F30/E30),"",F30/E30-1)</f>
        <v>-0.1022364217252395</v>
      </c>
      <c r="J30" s="1538"/>
      <c r="K30" s="1509">
        <f ca="1">INDIRECT("'VA'!"&amp;K$1&amp;$B30)</f>
        <v>27.5</v>
      </c>
      <c r="L30" s="1510">
        <f ca="1">IF(ISERROR(F30/K30),"",F30/K30-1)</f>
        <v>2.1818181818181959E-2</v>
      </c>
      <c r="M30" s="1538"/>
      <c r="N30" s="1509">
        <f ca="1">INDIRECT("'VA'!"&amp;N$1&amp;$B30)</f>
        <v>22.1</v>
      </c>
      <c r="O30" s="1510">
        <f ca="1">IF(ISERROR(F30/N30),"",F30/N30-1)</f>
        <v>0.27149321266968318</v>
      </c>
      <c r="R30" s="1509"/>
      <c r="S30" s="1509"/>
      <c r="T30" s="1509"/>
      <c r="U30" s="1509"/>
      <c r="V30" s="1509"/>
    </row>
    <row r="31" spans="1:26" ht="12.75" customHeight="1" collapsed="1" x14ac:dyDescent="0.2">
      <c r="A31" s="1278">
        <f t="shared" ca="1" si="0"/>
        <v>40</v>
      </c>
      <c r="B31" s="1278">
        <f ca="1">CELL("row",VA!A40)</f>
        <v>40</v>
      </c>
      <c r="C31" s="1278"/>
      <c r="D31" s="1563" t="str">
        <f>VA!A40</f>
        <v>% of Total Revenue</v>
      </c>
      <c r="E31" s="1510">
        <v>0.12012881063239549</v>
      </c>
      <c r="F31" s="1218">
        <f ca="1">INDIRECT("'VA'!"&amp;F$1&amp;$B31)</f>
        <v>0.11274767666140631</v>
      </c>
      <c r="G31" s="1509"/>
      <c r="H31" s="1511">
        <f ca="1">(F31-E31)*10000</f>
        <v>-73.811339709891755</v>
      </c>
      <c r="I31" s="1510">
        <f ca="1">IF(ISERROR(F31/E31),"",F31/E31-1)</f>
        <v>-6.1443494962886813E-2</v>
      </c>
      <c r="J31" s="1538"/>
      <c r="K31" s="1218">
        <f ca="1">INDIRECT("'VA'!"&amp;K$1&amp;$B31)</f>
        <v>0.11163722454926245</v>
      </c>
      <c r="L31" s="1511">
        <f ca="1">(F31-K31)*10000</f>
        <v>11.104521121438616</v>
      </c>
      <c r="M31" s="1538"/>
      <c r="N31" s="1218">
        <f ca="1">INDIRECT("'VA'!"&amp;N$1&amp;$B31)</f>
        <v>9.9585062240663907E-2</v>
      </c>
      <c r="O31" s="1511">
        <f ca="1">(F31-N31)*10000</f>
        <v>131.62614420742403</v>
      </c>
      <c r="R31" s="1218"/>
      <c r="S31" s="1218"/>
      <c r="T31" s="1218"/>
      <c r="U31" s="1218"/>
      <c r="V31" s="1218"/>
    </row>
    <row r="32" spans="1:26" ht="5.0999999999999996" customHeight="1" x14ac:dyDescent="0.2">
      <c r="A32" s="1278" t="str">
        <f t="shared" si="0"/>
        <v/>
      </c>
      <c r="B32" s="1278"/>
      <c r="C32" s="1278"/>
      <c r="D32" s="1564"/>
      <c r="E32" s="1509"/>
      <c r="F32" s="1509"/>
      <c r="G32" s="1509"/>
      <c r="H32" s="1509"/>
      <c r="I32" s="1510"/>
      <c r="J32" s="1538"/>
      <c r="K32" s="1509"/>
      <c r="L32" s="1510"/>
      <c r="M32" s="1538"/>
      <c r="N32" s="1509"/>
      <c r="O32" s="1510"/>
      <c r="R32" s="1509"/>
      <c r="S32" s="1509"/>
      <c r="T32" s="1509"/>
      <c r="U32" s="1509"/>
      <c r="V32" s="1509"/>
    </row>
    <row r="33" spans="1:29" ht="12.75" customHeight="1" x14ac:dyDescent="0.2">
      <c r="A33" s="1278">
        <f t="shared" ca="1" si="0"/>
        <v>42</v>
      </c>
      <c r="B33" s="1278">
        <f ca="1">CELL("row",VA!A42)</f>
        <v>42</v>
      </c>
      <c r="C33" s="1278"/>
      <c r="D33" s="1565" t="str">
        <f>VA!A42</f>
        <v>Income from Operations</v>
      </c>
      <c r="E33" s="1509">
        <v>204.1549287299739</v>
      </c>
      <c r="F33" s="1509">
        <f ca="1">INDIRECT("'VA'!"&amp;F$1&amp;$B33)</f>
        <v>210.09999999999997</v>
      </c>
      <c r="G33" s="1509"/>
      <c r="H33" s="1509">
        <f ca="1">F33-E33</f>
        <v>5.9450712700260624</v>
      </c>
      <c r="I33" s="1510">
        <f ca="1">IF(ISERROR(F33/E33),"",F33/E33-1)</f>
        <v>2.9120390612216607E-2</v>
      </c>
      <c r="J33" s="1538"/>
      <c r="K33" s="1509">
        <f ca="1">INDIRECT("'VA'!"&amp;K$1&amp;$B33)</f>
        <v>208.39999999999992</v>
      </c>
      <c r="L33" s="1510">
        <f ca="1">IF(ISERROR(F33/K33),"",F33/K33-1)</f>
        <v>8.1573896353168696E-3</v>
      </c>
      <c r="M33" s="1538"/>
      <c r="N33" s="1509">
        <f ca="1">INDIRECT("'VA'!"&amp;N$1&amp;$B33)</f>
        <v>185.50000000000003</v>
      </c>
      <c r="O33" s="1510">
        <f ca="1">IF(ISERROR(F33/N33),"",F33/N33-1)</f>
        <v>0.13261455525606425</v>
      </c>
      <c r="R33" s="1509"/>
      <c r="S33" s="1509"/>
      <c r="T33" s="1509"/>
      <c r="U33" s="1509"/>
      <c r="V33" s="1509"/>
      <c r="AC33" s="677"/>
    </row>
    <row r="34" spans="1:29" ht="12.75" customHeight="1" x14ac:dyDescent="0.2">
      <c r="A34" s="1278">
        <f t="shared" ca="1" si="0"/>
        <v>43</v>
      </c>
      <c r="B34" s="1278">
        <f ca="1">CELL("row",VA!A43)</f>
        <v>43</v>
      </c>
      <c r="C34" s="1278"/>
      <c r="D34" s="426" t="str">
        <f>VA!A43</f>
        <v>Operating Margin</v>
      </c>
      <c r="E34" s="1510">
        <v>0.3661029792438133</v>
      </c>
      <c r="F34" s="1218">
        <f ca="1">INDIRECT("'VA'!"&amp;F$1&amp;$B34)</f>
        <v>0.3684025951253726</v>
      </c>
      <c r="G34" s="1535"/>
      <c r="H34" s="1511">
        <f ca="1">(F34-E34)*10000</f>
        <v>22.996158815593027</v>
      </c>
      <c r="I34" s="1510">
        <f ca="1">IF(ISERROR(F34/E34),"",F34/E34-1)</f>
        <v>6.2813361593210271E-3</v>
      </c>
      <c r="J34" s="1538"/>
      <c r="K34" s="1218">
        <f ca="1">INDIRECT("'VA'!"&amp;K$1&amp;$B34)</f>
        <v>0.3795301402294663</v>
      </c>
      <c r="L34" s="1511">
        <f ca="1">(F34-K34)*10000</f>
        <v>-111.27545104093694</v>
      </c>
      <c r="M34" s="1538"/>
      <c r="N34" s="1218">
        <f ca="1">INDIRECT("'VA'!"&amp;N$1&amp;$B34)</f>
        <v>0.36652835408022133</v>
      </c>
      <c r="O34" s="1511">
        <f ca="1">(F34-N34)*10000</f>
        <v>18.742410451512704</v>
      </c>
      <c r="R34" s="1218"/>
      <c r="S34" s="1218"/>
      <c r="T34" s="1218"/>
      <c r="U34" s="1218"/>
      <c r="V34" s="1218"/>
    </row>
    <row r="35" spans="1:29" ht="5.0999999999999996" customHeight="1" x14ac:dyDescent="0.2">
      <c r="A35" s="1278" t="str">
        <f t="shared" si="0"/>
        <v/>
      </c>
      <c r="B35" s="1278"/>
      <c r="C35" s="1278"/>
      <c r="D35" s="882"/>
      <c r="E35" s="1509"/>
      <c r="F35" s="1509"/>
      <c r="G35" s="1509"/>
      <c r="H35" s="1509"/>
      <c r="I35" s="1510"/>
      <c r="J35" s="1538"/>
      <c r="K35" s="1509"/>
      <c r="L35" s="1510"/>
      <c r="M35" s="1538"/>
      <c r="N35" s="1509"/>
      <c r="O35" s="1510"/>
      <c r="R35" s="1509"/>
      <c r="S35" s="1509"/>
      <c r="T35" s="1509"/>
      <c r="U35" s="1509"/>
      <c r="V35" s="1509"/>
    </row>
    <row r="36" spans="1:29" ht="12.75" customHeight="1" x14ac:dyDescent="0.2">
      <c r="A36" s="1278">
        <f t="shared" ca="1" si="0"/>
        <v>45</v>
      </c>
      <c r="B36" s="1278">
        <f ca="1">CELL("row",VA!A45)</f>
        <v>45</v>
      </c>
      <c r="C36" s="1278"/>
      <c r="D36" s="882" t="str">
        <f>VA!A45</f>
        <v>Interest Income</v>
      </c>
      <c r="E36" s="1509">
        <v>2.6125489547134433</v>
      </c>
      <c r="F36" s="1509">
        <f ca="1">INDIRECT("'VA'!"&amp;F$1&amp;$B36)</f>
        <v>1.3</v>
      </c>
      <c r="G36" s="1509"/>
      <c r="H36" s="1509">
        <f ca="1">F36-E36</f>
        <v>-1.3125489547134432</v>
      </c>
      <c r="I36" s="1510">
        <f ca="1">IF(ISERROR(F36/E36),"",F36/E36-1)</f>
        <v>-0.50240166881673221</v>
      </c>
      <c r="J36" s="1538"/>
      <c r="K36" s="1509">
        <f ca="1">INDIRECT("'VA'!"&amp;K$1&amp;$B36)</f>
        <v>2.6</v>
      </c>
      <c r="L36" s="1510">
        <f ca="1">IF(ISERROR(F36/K36),"",F36/K36-1)</f>
        <v>-0.5</v>
      </c>
      <c r="M36" s="1538"/>
      <c r="N36" s="1509">
        <f ca="1">INDIRECT("'VA'!"&amp;N$1&amp;$B36)</f>
        <v>3.1</v>
      </c>
      <c r="O36" s="1510">
        <f ca="1">IF(ISERROR(F36/N36),"",F36/N36-1)</f>
        <v>-0.58064516129032251</v>
      </c>
      <c r="P36" s="677"/>
      <c r="R36" s="1509"/>
      <c r="S36" s="1509"/>
      <c r="T36" s="1509"/>
      <c r="U36" s="1509"/>
      <c r="V36" s="1509"/>
    </row>
    <row r="37" spans="1:29" ht="12.75" customHeight="1" x14ac:dyDescent="0.2">
      <c r="A37" s="1278">
        <f t="shared" ca="1" si="0"/>
        <v>46</v>
      </c>
      <c r="B37" s="1278">
        <f ca="1">CELL("row",VA!A46)</f>
        <v>46</v>
      </c>
      <c r="C37" s="1278"/>
      <c r="D37" s="494" t="str">
        <f>VA!A46</f>
        <v>Interest (Expense)</v>
      </c>
      <c r="E37" s="1509">
        <v>-32.024762499999994</v>
      </c>
      <c r="F37" s="1509">
        <f ca="1">INDIRECT("'VA'!"&amp;F$1&amp;$B37)</f>
        <v>-32.1</v>
      </c>
      <c r="G37" s="1509"/>
      <c r="H37" s="1509">
        <f ca="1">F37-E37</f>
        <v>-7.5237500000007174E-2</v>
      </c>
      <c r="I37" s="1510">
        <f ca="1">IF(ISERROR(F37/E37),"",F37/E37-1)</f>
        <v>2.3493538788932344E-3</v>
      </c>
      <c r="J37" s="1538"/>
      <c r="K37" s="1509">
        <f ca="1">INDIRECT("'VA'!"&amp;K$1&amp;$B37)</f>
        <v>-30.3</v>
      </c>
      <c r="L37" s="1510">
        <f ca="1">IF(ISERROR(F37/K37),"",F37/K37-1)</f>
        <v>5.9405940594059459E-2</v>
      </c>
      <c r="M37" s="1538"/>
      <c r="N37" s="1509">
        <f ca="1">INDIRECT("'VA'!"&amp;N$1&amp;$B37)</f>
        <v>-28.4</v>
      </c>
      <c r="O37" s="1510">
        <f ca="1">IF(ISERROR(F37/N37),"",F37/N37-1)</f>
        <v>0.13028169014084523</v>
      </c>
      <c r="P37" s="677"/>
      <c r="R37" s="1509"/>
      <c r="S37" s="1509"/>
      <c r="T37" s="1509"/>
      <c r="U37" s="1509"/>
      <c r="V37" s="1509"/>
    </row>
    <row r="38" spans="1:29" ht="12.75" customHeight="1" x14ac:dyDescent="0.2">
      <c r="A38" s="1278">
        <f t="shared" ca="1" si="0"/>
        <v>47</v>
      </c>
      <c r="B38" s="1278">
        <f ca="1">CELL("row",VA!A47)</f>
        <v>47</v>
      </c>
      <c r="C38" s="1278"/>
      <c r="D38" s="9" t="str">
        <f>VA!A47</f>
        <v>Other Income (Expense)</v>
      </c>
      <c r="E38" s="1509">
        <v>0</v>
      </c>
      <c r="F38" s="1509">
        <f ca="1">INDIRECT("'VA'!"&amp;F$1&amp;$B38)</f>
        <v>0</v>
      </c>
      <c r="G38" s="1509"/>
      <c r="H38" s="1509">
        <f ca="1">F38-E38</f>
        <v>0</v>
      </c>
      <c r="I38" s="1510" t="str">
        <f ca="1">IF(ISERROR(F38/E38),"",F38/E38-1)</f>
        <v/>
      </c>
      <c r="J38" s="1538"/>
      <c r="K38" s="1509">
        <f ca="1">INDIRECT("'VA'!"&amp;K$1&amp;$B38)</f>
        <v>0</v>
      </c>
      <c r="L38" s="1510" t="s">
        <v>386</v>
      </c>
      <c r="M38" s="1538"/>
      <c r="N38" s="1509">
        <f ca="1">INDIRECT("'VA'!"&amp;N$1&amp;$B38)</f>
        <v>0</v>
      </c>
      <c r="O38" s="1510" t="str">
        <f ca="1">IF(ISERROR(F38/N38),"",F38/N38-1)</f>
        <v/>
      </c>
      <c r="P38" s="677"/>
      <c r="R38" s="1509"/>
      <c r="S38" s="1509"/>
      <c r="T38" s="1509"/>
      <c r="U38" s="1509"/>
      <c r="V38" s="1509"/>
    </row>
    <row r="39" spans="1:29" ht="6" customHeight="1" x14ac:dyDescent="0.2">
      <c r="A39" s="1278" t="str">
        <f t="shared" si="0"/>
        <v/>
      </c>
      <c r="B39" s="1278"/>
      <c r="C39" s="1278"/>
      <c r="D39" s="494"/>
      <c r="E39" s="1509"/>
      <c r="F39" s="1509"/>
      <c r="G39" s="1509"/>
      <c r="H39" s="1508"/>
      <c r="I39" s="1510"/>
      <c r="J39" s="1538"/>
      <c r="K39" s="1509"/>
      <c r="L39" s="1510"/>
      <c r="M39" s="1538"/>
      <c r="N39" s="1509"/>
      <c r="O39" s="1510"/>
      <c r="P39" s="677"/>
      <c r="R39" s="1509"/>
      <c r="S39" s="1509"/>
      <c r="T39" s="1509"/>
      <c r="U39" s="1509"/>
      <c r="V39" s="1509"/>
    </row>
    <row r="40" spans="1:29" ht="12.75" customHeight="1" x14ac:dyDescent="0.2">
      <c r="A40" s="1278">
        <f t="shared" ca="1" si="0"/>
        <v>49</v>
      </c>
      <c r="B40" s="1278">
        <f ca="1">CELL("row",VA!A49)</f>
        <v>49</v>
      </c>
      <c r="C40" s="1278"/>
      <c r="D40" s="494" t="str">
        <f>VA!A49</f>
        <v>Pretax Income</v>
      </c>
      <c r="E40" s="1509">
        <v>174.74271518468737</v>
      </c>
      <c r="F40" s="1509">
        <f ca="1">INDIRECT("'VA'!"&amp;F$1&amp;$B40)</f>
        <v>179.29999999999998</v>
      </c>
      <c r="G40" s="1509"/>
      <c r="H40" s="1509">
        <f ca="1">F40-E40</f>
        <v>4.5572848153126131</v>
      </c>
      <c r="I40" s="1510">
        <f ca="1">IF(ISERROR(F40/E40),"",F40/E40-1)</f>
        <v>2.6079970260825869E-2</v>
      </c>
      <c r="J40" s="1538"/>
      <c r="K40" s="1509">
        <f ca="1">INDIRECT("'VA'!"&amp;K$1&amp;$B40)</f>
        <v>180.6999999999999</v>
      </c>
      <c r="L40" s="1510">
        <f ca="1">IF(ISERROR(F40/K40),"",F40/K40-1)</f>
        <v>-7.7476480354173871E-3</v>
      </c>
      <c r="M40" s="1538"/>
      <c r="N40" s="1509">
        <f ca="1">INDIRECT("'VA'!"&amp;N$1&amp;$B40)</f>
        <v>160.20000000000002</v>
      </c>
      <c r="O40" s="1510">
        <f ca="1">IF(ISERROR(F40/N40),"",F40/N40-1)</f>
        <v>0.11922596754057402</v>
      </c>
      <c r="R40" s="1509"/>
      <c r="S40" s="1509"/>
      <c r="T40" s="1509"/>
      <c r="U40" s="1509"/>
      <c r="V40" s="1509"/>
    </row>
    <row r="41" spans="1:29" ht="12.75" hidden="1" customHeight="1" outlineLevel="1" x14ac:dyDescent="0.2">
      <c r="A41" s="1278">
        <f t="shared" ca="1" si="0"/>
        <v>50</v>
      </c>
      <c r="B41" s="1278">
        <f ca="1">CELL("row",VA!A50)</f>
        <v>50</v>
      </c>
      <c r="C41" s="1278"/>
      <c r="D41" s="1566" t="str">
        <f>VA!A50</f>
        <v>Income Tax Benefit (Expense)- Reported</v>
      </c>
      <c r="E41" s="1509">
        <v>-62.907377466487453</v>
      </c>
      <c r="F41" s="1509">
        <f ca="1">INDIRECT("'VA'!"&amp;F$1&amp;$B41)</f>
        <v>25.3</v>
      </c>
      <c r="G41" s="1509"/>
      <c r="H41" s="1509">
        <f ca="1">F41-E41</f>
        <v>88.207377466487458</v>
      </c>
      <c r="I41" s="1510">
        <f ca="1">IF(ISERROR(F41/E41),"",F41/E41-1)</f>
        <v>-1.402178584117229</v>
      </c>
      <c r="J41" s="1538"/>
      <c r="K41" s="1509">
        <f ca="1">INDIRECT("'VA'!"&amp;K$1&amp;$B41)</f>
        <v>-60</v>
      </c>
      <c r="L41" s="1510">
        <f ca="1">IF(ISERROR(F41/K41),"",F41/K41-1)</f>
        <v>-1.4216666666666666</v>
      </c>
      <c r="M41" s="1538"/>
      <c r="N41" s="1509">
        <f ca="1">INDIRECT("'VA'!"&amp;N$1&amp;$B41)</f>
        <v>-52.7</v>
      </c>
      <c r="O41" s="1510">
        <f ca="1">IF(ISERROR(F41/N41),"",F41/N41-1)</f>
        <v>-1.4800759013282732</v>
      </c>
      <c r="R41" s="1509"/>
      <c r="S41" s="1509"/>
      <c r="T41" s="1509"/>
      <c r="U41" s="1509"/>
      <c r="V41" s="1509"/>
    </row>
    <row r="42" spans="1:29" ht="2.1" hidden="1" customHeight="1" outlineLevel="1" x14ac:dyDescent="0.2">
      <c r="A42" s="1278">
        <f t="shared" ca="1" si="0"/>
        <v>51</v>
      </c>
      <c r="B42" s="1278">
        <f ca="1">CELL("row",VA!A51)</f>
        <v>51</v>
      </c>
      <c r="C42" s="1278"/>
      <c r="D42" s="1566" t="str">
        <f>VA!A51</f>
        <v>Income Tax Benefit (Expense)- Extraordinary income (expenses)</v>
      </c>
      <c r="E42" s="1509">
        <v>0</v>
      </c>
      <c r="F42" s="1509">
        <f ca="1">INDIRECT("'VA'!"&amp;F$1&amp;$B42)</f>
        <v>0</v>
      </c>
      <c r="G42" s="1509"/>
      <c r="H42" s="1509">
        <f ca="1">F42-E42</f>
        <v>0</v>
      </c>
      <c r="I42" s="1510" t="str">
        <f ca="1">IF(ISERROR(F42/E42),"",F42/E42-1)</f>
        <v/>
      </c>
      <c r="J42" s="1538"/>
      <c r="K42" s="1509">
        <f ca="1">INDIRECT("'VA'!"&amp;K$1&amp;$B42)</f>
        <v>0</v>
      </c>
      <c r="L42" s="1510" t="str">
        <f ca="1">IF(ISERROR(F42/K42),"",F42/K42-1)</f>
        <v/>
      </c>
      <c r="M42" s="1538"/>
      <c r="N42" s="1509">
        <f ca="1">INDIRECT("'VA'!"&amp;N$1&amp;$B42)</f>
        <v>0</v>
      </c>
      <c r="O42" s="1510" t="str">
        <f ca="1">IF(ISERROR(F42/N42),"",F42/N42-1)</f>
        <v/>
      </c>
      <c r="R42" s="1509"/>
      <c r="S42" s="1509"/>
      <c r="T42" s="1509"/>
      <c r="U42" s="1509"/>
      <c r="V42" s="1509"/>
    </row>
    <row r="43" spans="1:29" ht="12.75" customHeight="1" collapsed="1" x14ac:dyDescent="0.2">
      <c r="A43" s="1278">
        <f t="shared" ca="1" si="0"/>
        <v>52</v>
      </c>
      <c r="B43" s="1278">
        <f ca="1">CELL("row",VA!A52)</f>
        <v>52</v>
      </c>
      <c r="C43" s="1278"/>
      <c r="D43" s="431" t="str">
        <f>VA!A52</f>
        <v>Income Tax Benefit (Expense)</v>
      </c>
      <c r="E43" s="1509">
        <v>-62.907377466487453</v>
      </c>
      <c r="F43" s="1509">
        <f ca="1">INDIRECT("'VA'!"&amp;F$1&amp;$B43)</f>
        <v>25.3</v>
      </c>
      <c r="G43" s="1509"/>
      <c r="H43" s="1509">
        <f ca="1">F43-E43</f>
        <v>88.207377466487458</v>
      </c>
      <c r="I43" s="1510">
        <f ca="1">IF(ISERROR(F43/E43),"",F43/E43-1)</f>
        <v>-1.402178584117229</v>
      </c>
      <c r="J43" s="1538"/>
      <c r="K43" s="1509">
        <f ca="1">INDIRECT("'VA'!"&amp;K$1&amp;$B43)</f>
        <v>-60</v>
      </c>
      <c r="L43" s="1510">
        <f ca="1">IF(ISERROR(F43/K43),"",F43/K43-1)</f>
        <v>-1.4216666666666666</v>
      </c>
      <c r="M43" s="1538"/>
      <c r="N43" s="1509">
        <f ca="1">INDIRECT("'VA'!"&amp;N$1&amp;$B43)</f>
        <v>-52.7</v>
      </c>
      <c r="O43" s="1510">
        <f ca="1">IF(ISERROR(F43/N43),"",F43/N43-1)</f>
        <v>-1.4800759013282732</v>
      </c>
      <c r="P43" s="677"/>
      <c r="R43" s="1509"/>
      <c r="S43" s="1509"/>
      <c r="T43" s="1509"/>
      <c r="U43" s="1509"/>
      <c r="V43" s="1509"/>
    </row>
    <row r="44" spans="1:29" ht="5.0999999999999996" customHeight="1" x14ac:dyDescent="0.2">
      <c r="A44" s="1278" t="str">
        <f t="shared" si="0"/>
        <v/>
      </c>
      <c r="B44" s="1278"/>
      <c r="C44" s="1278"/>
      <c r="D44" s="1567"/>
      <c r="E44" s="1509"/>
      <c r="F44" s="1509"/>
      <c r="G44" s="1509"/>
      <c r="H44" s="1509"/>
      <c r="I44" s="1510"/>
      <c r="J44" s="1538"/>
      <c r="K44" s="1509"/>
      <c r="L44" s="1510"/>
      <c r="M44" s="1538"/>
      <c r="N44" s="1509"/>
      <c r="O44" s="1510"/>
      <c r="R44" s="1509"/>
      <c r="S44" s="1509"/>
      <c r="T44" s="1509"/>
      <c r="U44" s="1509"/>
      <c r="V44" s="1509"/>
    </row>
    <row r="45" spans="1:29" s="315" customFormat="1" ht="12.75" customHeight="1" x14ac:dyDescent="0.25">
      <c r="A45" s="1286">
        <f t="shared" ca="1" si="0"/>
        <v>54</v>
      </c>
      <c r="B45" s="1286">
        <f ca="1">CELL("row",VA!A54)</f>
        <v>54</v>
      </c>
      <c r="C45" s="1286"/>
      <c r="D45" s="1568" t="str">
        <f>VA!A54</f>
        <v>Net Income from Continuing Operations</v>
      </c>
      <c r="E45" s="1535">
        <v>111.83533771819992</v>
      </c>
      <c r="F45" s="1535">
        <f t="shared" ref="F45:F50" ca="1" si="1">INDIRECT("'VA'!"&amp;F$1&amp;$B45)</f>
        <v>204.6</v>
      </c>
      <c r="G45" s="1535"/>
      <c r="H45" s="1535">
        <f t="shared" ref="H45:H51" ca="1" si="2">F45-E45</f>
        <v>92.764662281800071</v>
      </c>
      <c r="I45" s="1521">
        <f t="shared" ref="I45:I51" ca="1" si="3">IF(ISERROR(F45/E45),"",F45/E45-1)</f>
        <v>0.82947540709848178</v>
      </c>
      <c r="J45" s="1569"/>
      <c r="K45" s="1535">
        <f t="shared" ref="K45:K51" ca="1" si="4">INDIRECT("'VA'!"&amp;K$1&amp;$B45)</f>
        <v>120.6999999999999</v>
      </c>
      <c r="L45" s="1521">
        <f t="shared" ref="L45:L51" ca="1" si="5">IF(ISERROR(F45/K45),"",F45/K45-1)</f>
        <v>0.69511184755592503</v>
      </c>
      <c r="M45" s="1569"/>
      <c r="N45" s="1535">
        <f t="shared" ref="N45:N50" ca="1" si="6">INDIRECT("'VA'!"&amp;N$1&amp;$B45)</f>
        <v>107.50000000000001</v>
      </c>
      <c r="O45" s="1521">
        <f ca="1">IF(ISERROR(F45/N45),"",F45/N45-1)</f>
        <v>0.90325581395348808</v>
      </c>
      <c r="R45" s="1535"/>
      <c r="S45" s="1535"/>
      <c r="T45" s="1535"/>
      <c r="U45" s="1535"/>
      <c r="V45" s="1535"/>
      <c r="Z45" s="1570"/>
    </row>
    <row r="46" spans="1:29" ht="12.75" hidden="1" customHeight="1" outlineLevel="2" x14ac:dyDescent="0.2">
      <c r="A46" s="1278">
        <f t="shared" ca="1" si="0"/>
        <v>55</v>
      </c>
      <c r="B46" s="1278">
        <f ca="1">CELL("row",VA!A55)</f>
        <v>55</v>
      </c>
      <c r="C46" s="1278"/>
      <c r="D46" s="1571" t="str">
        <f>VA!A55</f>
        <v>Income (loss) from Discontinued operations, net</v>
      </c>
      <c r="E46" s="1509">
        <v>0</v>
      </c>
      <c r="F46" s="1509">
        <f t="shared" ca="1" si="1"/>
        <v>0</v>
      </c>
      <c r="G46" s="1509"/>
      <c r="H46" s="1509">
        <f t="shared" ca="1" si="2"/>
        <v>0</v>
      </c>
      <c r="I46" s="1510" t="str">
        <f t="shared" ca="1" si="3"/>
        <v/>
      </c>
      <c r="J46" s="1538"/>
      <c r="K46" s="1509">
        <f t="shared" ca="1" si="4"/>
        <v>0</v>
      </c>
      <c r="L46" s="1510" t="str">
        <f t="shared" ca="1" si="5"/>
        <v/>
      </c>
      <c r="M46" s="1538"/>
      <c r="N46" s="1509">
        <f t="shared" ca="1" si="6"/>
        <v>1.8</v>
      </c>
      <c r="O46" s="1510">
        <f ca="1">IF(ISERROR(F46/N46),"",F46/N46-1)</f>
        <v>-1</v>
      </c>
      <c r="R46" s="1509"/>
      <c r="S46" s="1509"/>
      <c r="T46" s="1509"/>
      <c r="U46" s="1509"/>
      <c r="V46" s="1509"/>
    </row>
    <row r="47" spans="1:29" ht="12.75" hidden="1" customHeight="1" outlineLevel="2" x14ac:dyDescent="0.2">
      <c r="A47" s="1278">
        <f t="shared" ca="1" si="0"/>
        <v>56</v>
      </c>
      <c r="B47" s="1278">
        <f ca="1">CELL("row",VA!A56)</f>
        <v>56</v>
      </c>
      <c r="C47" s="1278"/>
      <c r="D47" s="1572" t="str">
        <f>VA!A56</f>
        <v>Extraordinary (charges) / gains</v>
      </c>
      <c r="E47" s="1509">
        <v>0</v>
      </c>
      <c r="F47" s="1509">
        <f t="shared" ca="1" si="1"/>
        <v>0</v>
      </c>
      <c r="G47" s="1509"/>
      <c r="H47" s="1509">
        <f t="shared" ca="1" si="2"/>
        <v>0</v>
      </c>
      <c r="I47" s="1510" t="str">
        <f t="shared" ca="1" si="3"/>
        <v/>
      </c>
      <c r="J47" s="1538"/>
      <c r="K47" s="1509">
        <f t="shared" ca="1" si="4"/>
        <v>0</v>
      </c>
      <c r="L47" s="1510" t="str">
        <f t="shared" ca="1" si="5"/>
        <v/>
      </c>
      <c r="M47" s="1538"/>
      <c r="N47" s="1509">
        <f t="shared" ca="1" si="6"/>
        <v>0</v>
      </c>
      <c r="O47" s="1510" t="str">
        <f ca="1">IF(ISERROR(F47/N47),"",F47/N47-1)</f>
        <v/>
      </c>
      <c r="R47" s="1509"/>
      <c r="S47" s="1509"/>
      <c r="T47" s="1509"/>
      <c r="U47" s="1509"/>
      <c r="V47" s="1509"/>
    </row>
    <row r="48" spans="1:29" ht="12.75" hidden="1" customHeight="1" outlineLevel="1" x14ac:dyDescent="0.2">
      <c r="A48" s="1278">
        <v>49</v>
      </c>
      <c r="B48" s="1278">
        <v>49</v>
      </c>
      <c r="C48" s="1278"/>
      <c r="D48" s="1572" t="str">
        <f>VA!A49</f>
        <v>Pretax Income</v>
      </c>
      <c r="E48" s="1509">
        <v>174.74271518468737</v>
      </c>
      <c r="F48" s="1509">
        <f t="shared" ca="1" si="1"/>
        <v>179.29999999999998</v>
      </c>
      <c r="G48" s="1509"/>
      <c r="H48" s="1509">
        <f t="shared" ca="1" si="2"/>
        <v>4.5572848153126131</v>
      </c>
      <c r="I48" s="1510">
        <f t="shared" ca="1" si="3"/>
        <v>2.6079970260825869E-2</v>
      </c>
      <c r="J48" s="1538"/>
      <c r="K48" s="1509">
        <f t="shared" ca="1" si="4"/>
        <v>180.6999999999999</v>
      </c>
      <c r="L48" s="1510">
        <f t="shared" ca="1" si="5"/>
        <v>-7.7476480354173871E-3</v>
      </c>
      <c r="M48" s="1538"/>
      <c r="N48" s="1509">
        <f t="shared" ca="1" si="6"/>
        <v>160.20000000000002</v>
      </c>
      <c r="O48" s="1510"/>
      <c r="R48" s="1509"/>
      <c r="S48" s="1509"/>
      <c r="T48" s="1509"/>
      <c r="U48" s="1509"/>
      <c r="V48" s="1509"/>
    </row>
    <row r="49" spans="1:30" ht="12.75" hidden="1" customHeight="1" outlineLevel="1" x14ac:dyDescent="0.2">
      <c r="A49" s="1278">
        <f t="shared" ca="1" si="0"/>
        <v>58</v>
      </c>
      <c r="B49" s="1278">
        <f ca="1">CELL("row",VA!A58)</f>
        <v>58</v>
      </c>
      <c r="C49" s="1278"/>
      <c r="D49" s="1573" t="str">
        <f>VA!A58</f>
        <v>Net Income to Common Stockholders</v>
      </c>
      <c r="E49" s="1509">
        <v>111.83533771819992</v>
      </c>
      <c r="F49" s="1509">
        <f t="shared" ca="1" si="1"/>
        <v>204.6</v>
      </c>
      <c r="G49" s="1509"/>
      <c r="H49" s="1509">
        <f t="shared" ca="1" si="2"/>
        <v>92.764662281800071</v>
      </c>
      <c r="I49" s="1510">
        <f t="shared" ca="1" si="3"/>
        <v>0.82947540709848178</v>
      </c>
      <c r="J49" s="1538"/>
      <c r="K49" s="1509">
        <f t="shared" ca="1" si="4"/>
        <v>120.6999999999999</v>
      </c>
      <c r="L49" s="1510">
        <f t="shared" ca="1" si="5"/>
        <v>0.69511184755592503</v>
      </c>
      <c r="M49" s="1538"/>
      <c r="N49" s="1509">
        <f t="shared" ca="1" si="6"/>
        <v>109.30000000000001</v>
      </c>
      <c r="O49" s="1510">
        <f ca="1">IF(ISERROR(F49/N49),"",F49/N49-1)</f>
        <v>0.87191216834400698</v>
      </c>
      <c r="P49" s="677"/>
      <c r="R49" s="1509"/>
      <c r="S49" s="1509"/>
      <c r="T49" s="1509"/>
      <c r="U49" s="1509"/>
      <c r="V49" s="1509"/>
    </row>
    <row r="50" spans="1:30" s="677" customFormat="1" ht="12.75" hidden="1" customHeight="1" outlineLevel="1" x14ac:dyDescent="0.2">
      <c r="A50" s="1278">
        <f t="shared" ca="1" si="0"/>
        <v>59</v>
      </c>
      <c r="B50" s="1278">
        <f ca="1">CELL("row",VA!A59)</f>
        <v>59</v>
      </c>
      <c r="C50" s="1278"/>
      <c r="D50" s="1573" t="str">
        <f>VA!A59</f>
        <v>Adj. Net Income (excl. ESOP &amp; extraordinary items)</v>
      </c>
      <c r="E50" s="1506">
        <v>111.83533771819992</v>
      </c>
      <c r="F50" s="1509">
        <f t="shared" ca="1" si="1"/>
        <v>206.29999999999998</v>
      </c>
      <c r="G50" s="1509"/>
      <c r="H50" s="1509">
        <f t="shared" ca="1" si="2"/>
        <v>94.464662281800059</v>
      </c>
      <c r="I50" s="1510">
        <f t="shared" ca="1" si="3"/>
        <v>0.84467632690330774</v>
      </c>
      <c r="J50" s="1538"/>
      <c r="K50" s="1509">
        <f t="shared" ca="1" si="4"/>
        <v>123.2999999999999</v>
      </c>
      <c r="L50" s="1510">
        <f t="shared" ca="1" si="5"/>
        <v>0.67315490673155032</v>
      </c>
      <c r="M50" s="1538"/>
      <c r="N50" s="1509">
        <f t="shared" ca="1" si="6"/>
        <v>131.20000000000002</v>
      </c>
      <c r="O50" s="1510">
        <f ca="1">IF(ISERROR(F50/N50),"",F50/N50-1)</f>
        <v>0.5724085365853655</v>
      </c>
      <c r="R50" s="1509"/>
      <c r="S50" s="1509"/>
      <c r="T50" s="1509"/>
      <c r="U50" s="1509"/>
      <c r="V50" s="1509"/>
    </row>
    <row r="51" spans="1:30" s="315" customFormat="1" ht="12.75" customHeight="1" collapsed="1" x14ac:dyDescent="0.2">
      <c r="A51" s="1286">
        <f t="shared" ca="1" si="0"/>
        <v>61</v>
      </c>
      <c r="B51" s="1286">
        <f ca="1">CELL("row",VA!A61)</f>
        <v>61</v>
      </c>
      <c r="C51" s="1286"/>
      <c r="D51" s="1568" t="str">
        <f>VA!A61</f>
        <v>Adjusted Net Income</v>
      </c>
      <c r="E51" s="1535">
        <v>134.99733771819993</v>
      </c>
      <c r="F51" s="1535">
        <f ca="1">INDIRECT("'VA'!"&amp;F$1&amp;$B51)</f>
        <v>225.39999999999998</v>
      </c>
      <c r="G51" s="1535"/>
      <c r="H51" s="1535">
        <f t="shared" ca="1" si="2"/>
        <v>90.402662281800048</v>
      </c>
      <c r="I51" s="1521">
        <f t="shared" ca="1" si="3"/>
        <v>0.66966255638693406</v>
      </c>
      <c r="J51" s="1569"/>
      <c r="K51" s="1535">
        <f t="shared" ca="1" si="4"/>
        <v>141.09999999999991</v>
      </c>
      <c r="L51" s="1521">
        <f t="shared" ca="1" si="5"/>
        <v>0.59744861800141824</v>
      </c>
      <c r="M51" s="1569"/>
      <c r="N51" s="1535">
        <f ca="1">INDIRECT("'VA'!"&amp;N$1&amp;$B51)</f>
        <v>135.4</v>
      </c>
      <c r="O51" s="1521">
        <f ca="1">IF(ISERROR(F51/N51),"",F51/N51-1)</f>
        <v>0.66469719350073841</v>
      </c>
      <c r="R51" s="1535"/>
      <c r="S51" s="1535"/>
      <c r="T51" s="1535"/>
      <c r="U51" s="1535"/>
      <c r="V51" s="1535"/>
      <c r="Y51" s="1574">
        <f ca="1">F51-((11-4.4)*0.38)</f>
        <v>222.89199999999997</v>
      </c>
      <c r="Z51" s="1575">
        <f ca="1">Y51/E51-1</f>
        <v>0.65108441223689661</v>
      </c>
    </row>
    <row r="52" spans="1:30" ht="6" customHeight="1" x14ac:dyDescent="0.2">
      <c r="A52" s="1278" t="str">
        <f t="shared" si="0"/>
        <v/>
      </c>
      <c r="B52" s="1278"/>
      <c r="C52" s="1278"/>
      <c r="D52" s="9"/>
      <c r="E52" s="1509"/>
      <c r="F52" s="1509"/>
      <c r="G52" s="1520"/>
      <c r="H52" s="1520"/>
      <c r="I52" s="1510"/>
      <c r="J52" s="1538"/>
      <c r="K52" s="1509"/>
      <c r="L52" s="1510"/>
      <c r="M52" s="1538"/>
      <c r="N52" s="1509"/>
      <c r="O52" s="1510"/>
      <c r="P52" s="677"/>
      <c r="R52" s="1509"/>
      <c r="S52" s="1509"/>
      <c r="T52" s="1509"/>
      <c r="U52" s="1509"/>
      <c r="V52" s="1509"/>
    </row>
    <row r="53" spans="1:30" ht="12.75" customHeight="1" x14ac:dyDescent="0.2">
      <c r="A53" s="1278">
        <f t="shared" ca="1" si="0"/>
        <v>67</v>
      </c>
      <c r="B53" s="1278">
        <f ca="1">CELL("row",VA!A67)</f>
        <v>67</v>
      </c>
      <c r="C53" s="1278"/>
      <c r="D53" s="1105" t="str">
        <f>VA!A67</f>
        <v>Avg. Diluted Shares Outstanding</v>
      </c>
      <c r="E53" s="1509">
        <v>167.0606741107265</v>
      </c>
      <c r="F53" s="1509">
        <f ca="1">INDIRECT("'VA'!"&amp;F$1&amp;$B53)</f>
        <v>168.33325600000001</v>
      </c>
      <c r="G53" s="1509"/>
      <c r="H53" s="1509">
        <f ca="1">F53-E53</f>
        <v>1.2725818892735106</v>
      </c>
      <c r="I53" s="1510">
        <f ca="1">IF(ISERROR(F53/E53),"",F53/E53-1)</f>
        <v>7.6174832649726909E-3</v>
      </c>
      <c r="J53" s="1538"/>
      <c r="K53" s="1509">
        <f ca="1">INDIRECT("'VA'!"&amp;K$1&amp;$B53)</f>
        <v>167.95705799999999</v>
      </c>
      <c r="L53" s="1510">
        <f ca="1">IF(ISERROR(F53/K53),"",F53/K53-1)</f>
        <v>2.2398463302448768E-3</v>
      </c>
      <c r="M53" s="1538"/>
      <c r="N53" s="1509">
        <f ca="1">INDIRECT("'VA'!"&amp;N$1&amp;$B53)</f>
        <v>170.2</v>
      </c>
      <c r="O53" s="1510">
        <f ca="1">IF(ISERROR(F53/N53),"",F53/N53-1)</f>
        <v>-1.096794359576958E-2</v>
      </c>
      <c r="P53" s="677"/>
      <c r="R53" s="1509"/>
      <c r="S53" s="1509"/>
      <c r="T53" s="1509"/>
      <c r="U53" s="1509"/>
      <c r="V53" s="1509"/>
    </row>
    <row r="54" spans="1:30" ht="12.75" hidden="1" customHeight="1" x14ac:dyDescent="0.2">
      <c r="A54" s="1278">
        <f t="shared" ca="1" si="0"/>
        <v>68</v>
      </c>
      <c r="B54" s="1278">
        <f ca="1">CELL("row",VA!A68)</f>
        <v>68</v>
      </c>
      <c r="C54" s="1278"/>
      <c r="D54" s="1105" t="str">
        <f>VA!A68</f>
        <v>Diluted GAAP EPS (Continuing Ops.)</v>
      </c>
      <c r="E54" s="1508">
        <v>0.66942946515393764</v>
      </c>
      <c r="F54" s="1508">
        <f ca="1">INDIRECT("'VA'!"&amp;F$1&amp;$B54)</f>
        <v>1.2154461029376156</v>
      </c>
      <c r="G54" s="1509"/>
      <c r="H54" s="1509">
        <f ca="1">F54-E54</f>
        <v>0.54601663778367793</v>
      </c>
      <c r="I54" s="1510">
        <f ca="1">IF(ISERROR(F54/E54),"",F54/E54-1)</f>
        <v>0.81564476349740511</v>
      </c>
      <c r="J54" s="1538"/>
      <c r="K54" s="1508">
        <f ca="1">INDIRECT("'VA'!"&amp;K$1&amp;$B54)</f>
        <v>0.71863606946485037</v>
      </c>
      <c r="L54" s="1510">
        <f ca="1">IF(ISERROR(F54/K54),"",F54/K54-1)</f>
        <v>0.6913235427254949</v>
      </c>
      <c r="M54" s="1538"/>
      <c r="N54" s="1508">
        <f ca="1">INDIRECT("'VA'!"&amp;N$1&amp;$B54)</f>
        <v>0.63160987074030561</v>
      </c>
      <c r="O54" s="1510">
        <f ca="1">IF(ISERROR(F54/N54),"",F54/N54-1)</f>
        <v>0.92436210902308957</v>
      </c>
      <c r="R54" s="1508"/>
      <c r="S54" s="1508"/>
      <c r="T54" s="1508"/>
      <c r="U54" s="1508"/>
      <c r="V54" s="1508"/>
    </row>
    <row r="55" spans="1:30" ht="12.75" hidden="1" customHeight="1" outlineLevel="1" x14ac:dyDescent="0.2">
      <c r="A55" s="1278">
        <f t="shared" ca="1" si="0"/>
        <v>69</v>
      </c>
      <c r="B55" s="1278">
        <f ca="1">CELL("row",VA!A69)</f>
        <v>69</v>
      </c>
      <c r="C55" s="1278"/>
      <c r="D55" s="1105" t="str">
        <f>VA!A69</f>
        <v>Diluted GAAP EPS Reported</v>
      </c>
      <c r="E55" s="1508">
        <v>0.66942946515393764</v>
      </c>
      <c r="F55" s="1508">
        <f ca="1">INDIRECT("'VA'!"&amp;F$1&amp;$B55)</f>
        <v>1.2154461029376156</v>
      </c>
      <c r="G55" s="1509"/>
      <c r="H55" s="1508">
        <f ca="1">F55-E55</f>
        <v>0.54601663778367793</v>
      </c>
      <c r="I55" s="1510">
        <f ca="1">IF(ISERROR(F55/E55),"",F55/E55-1)</f>
        <v>0.81564476349740511</v>
      </c>
      <c r="J55" s="1538"/>
      <c r="K55" s="1508">
        <f ca="1">INDIRECT("'VA'!"&amp;K$1&amp;$B55)</f>
        <v>0.71863606946485037</v>
      </c>
      <c r="L55" s="1510">
        <f ca="1">IF(ISERROR(F55/K55),"",F55/K55-1)</f>
        <v>0.6913235427254949</v>
      </c>
      <c r="M55" s="1538"/>
      <c r="N55" s="1508">
        <f ca="1">INDIRECT("'VA'!"&amp;N$1&amp;$B55)</f>
        <v>0.64218566392479448</v>
      </c>
      <c r="O55" s="1510">
        <f ca="1">IF(ISERROR(F55/N55),"",F55/N55-1)</f>
        <v>0.89267087575463977</v>
      </c>
      <c r="P55" s="677"/>
      <c r="R55" s="1508"/>
      <c r="S55" s="1508"/>
      <c r="T55" s="1508"/>
      <c r="U55" s="1508"/>
      <c r="V55" s="1508"/>
    </row>
    <row r="56" spans="1:30" ht="12.75" hidden="1" customHeight="1" outlineLevel="1" x14ac:dyDescent="0.2">
      <c r="A56" s="1278">
        <f t="shared" ca="1" si="0"/>
        <v>70</v>
      </c>
      <c r="B56" s="1278">
        <f ca="1">CELL("row",VA!A70)</f>
        <v>70</v>
      </c>
      <c r="C56" s="1278"/>
      <c r="D56" s="1105" t="str">
        <f>VA!A70</f>
        <v>Adj. EPS (excl. ESOP &amp; extraordinary items)</v>
      </c>
      <c r="E56" s="1508">
        <v>0.66942946515393764</v>
      </c>
      <c r="F56" s="1508">
        <f ca="1">INDIRECT("'VA'!"&amp;F$1&amp;$B56)</f>
        <v>1.2255451174781529</v>
      </c>
      <c r="G56" s="1520"/>
      <c r="H56" s="1508">
        <f ca="1">F56-E56</f>
        <v>0.55611565232421523</v>
      </c>
      <c r="I56" s="1510">
        <f ca="1">IF(ISERROR(F56/E56),"",F56/E56-1)</f>
        <v>0.83073076593115669</v>
      </c>
      <c r="J56" s="1538"/>
      <c r="K56" s="1508">
        <f ca="1">INDIRECT("'VA'!"&amp;K$1&amp;$B56)</f>
        <v>0.73411621677726635</v>
      </c>
      <c r="L56" s="1510">
        <f ca="1">IF(ISERROR(F56/K56),"",F56/K56-1)</f>
        <v>0.66941567216459941</v>
      </c>
      <c r="M56" s="1538"/>
      <c r="N56" s="1508">
        <f ca="1">INDIRECT("'VA'!"&amp;N$1&amp;$B56)</f>
        <v>0.77085781433607536</v>
      </c>
      <c r="O56" s="1510">
        <f ca="1">IF(ISERROR(F56/N56),"",F56/N56-1)</f>
        <v>0.58984587648461573</v>
      </c>
      <c r="R56" s="1508"/>
      <c r="S56" s="1508"/>
      <c r="T56" s="1508"/>
      <c r="U56" s="1508"/>
      <c r="V56" s="1508"/>
    </row>
    <row r="57" spans="1:30" s="315" customFormat="1" ht="12.75" customHeight="1" collapsed="1" x14ac:dyDescent="0.25">
      <c r="A57" s="1286">
        <f t="shared" ca="1" si="0"/>
        <v>71</v>
      </c>
      <c r="B57" s="1286">
        <f ca="1">CELL("row",VA!A71)</f>
        <v>71</v>
      </c>
      <c r="C57" s="1286"/>
      <c r="D57" s="1576" t="str">
        <f>VA!A71</f>
        <v>Adjusted, Cont EPS</v>
      </c>
      <c r="E57" s="1513">
        <v>0.80807370398089473</v>
      </c>
      <c r="F57" s="1513">
        <f ca="1">INDIRECT("'VA'!"&amp;F$1&amp;$B57)</f>
        <v>1.3390105161394845</v>
      </c>
      <c r="G57" s="1536"/>
      <c r="H57" s="1513">
        <f ca="1">F57-E57</f>
        <v>0.53093681215858979</v>
      </c>
      <c r="I57" s="1521">
        <f ca="1">IF(ISERROR(F57/E57),"",F57/E57-1)</f>
        <v>0.65704008129825575</v>
      </c>
      <c r="J57" s="1569"/>
      <c r="K57" s="1513">
        <f ca="1">INDIRECT("'VA'!"&amp;K$1&amp;$B57)</f>
        <v>0.84009568683919145</v>
      </c>
      <c r="L57" s="1521">
        <f ca="1">IF(ISERROR(F57/K57),"",F57/K57-1)</f>
        <v>0.5938785749245179</v>
      </c>
      <c r="M57" s="1569"/>
      <c r="N57" s="1513">
        <f ca="1">INDIRECT("'VA'!"&amp;N$1&amp;$B57)</f>
        <v>0.79553466509988258</v>
      </c>
      <c r="O57" s="1521">
        <f ca="1">IF(ISERROR(F57/N57),"",F57/N57-1)</f>
        <v>0.68315797523589539</v>
      </c>
      <c r="R57" s="1513"/>
      <c r="S57" s="1513"/>
      <c r="T57" s="1513"/>
      <c r="U57" s="1513"/>
      <c r="V57" s="1513"/>
      <c r="Y57" s="1577">
        <f ca="1">Y51/F53</f>
        <v>1.3241114993937975</v>
      </c>
      <c r="Z57" s="1578">
        <f ca="1">Y57-E57</f>
        <v>0.51603779541290273</v>
      </c>
      <c r="AD57" s="1986"/>
    </row>
    <row r="58" spans="1:30" ht="6.75" customHeight="1" thickBot="1" x14ac:dyDescent="0.25">
      <c r="A58" s="341" t="str">
        <f t="shared" si="0"/>
        <v/>
      </c>
      <c r="B58" s="341"/>
      <c r="C58" s="341"/>
      <c r="D58" s="1579"/>
      <c r="E58" s="1579"/>
      <c r="F58" s="1579"/>
      <c r="G58" s="1579"/>
      <c r="H58" s="1579"/>
      <c r="I58" s="1579"/>
      <c r="J58" s="1569"/>
      <c r="K58" s="1579"/>
      <c r="L58" s="1579"/>
      <c r="M58" s="1569"/>
      <c r="N58" s="1579"/>
      <c r="O58" s="1579"/>
      <c r="P58" s="677"/>
      <c r="R58" s="341"/>
      <c r="S58" s="341"/>
      <c r="T58" s="341"/>
      <c r="U58" s="341"/>
      <c r="V58" s="341"/>
    </row>
    <row r="59" spans="1:30" ht="5.0999999999999996" customHeight="1" x14ac:dyDescent="0.2">
      <c r="A59" s="341"/>
      <c r="B59" s="341"/>
      <c r="C59" s="341"/>
      <c r="D59" s="341"/>
      <c r="E59" s="341"/>
      <c r="F59" s="341"/>
      <c r="G59" s="341"/>
      <c r="H59" s="341"/>
      <c r="I59" s="341"/>
      <c r="J59" s="1569"/>
      <c r="K59" s="341"/>
      <c r="L59" s="341"/>
      <c r="M59" s="1569"/>
      <c r="N59" s="341"/>
      <c r="O59" s="341"/>
      <c r="P59" s="677"/>
      <c r="R59" s="341"/>
      <c r="S59" s="341"/>
      <c r="T59" s="341"/>
      <c r="U59" s="341"/>
      <c r="V59" s="341"/>
    </row>
    <row r="60" spans="1:30" ht="12.75" customHeight="1" x14ac:dyDescent="0.2">
      <c r="A60" s="341"/>
      <c r="B60" s="341"/>
      <c r="C60" s="341"/>
      <c r="D60" s="1505" t="str">
        <f t="shared" ref="D60:O60" si="7">D4</f>
        <v>Fiscal Year ends December 31</v>
      </c>
      <c r="E60" s="1529" t="str">
        <f t="shared" si="7"/>
        <v>4Q17E</v>
      </c>
      <c r="F60" s="1529" t="str">
        <f t="shared" ca="1" si="7"/>
        <v>4Q17A</v>
      </c>
      <c r="G60" s="1530"/>
      <c r="H60" s="1531" t="str">
        <f t="shared" si="7"/>
        <v>A - E</v>
      </c>
      <c r="I60" s="1531" t="str">
        <f t="shared" si="7"/>
        <v>% Diff</v>
      </c>
      <c r="J60" s="1532"/>
      <c r="K60" s="1529" t="str">
        <f t="shared" ca="1" si="7"/>
        <v>3Q17A</v>
      </c>
      <c r="L60" s="1533" t="str">
        <f t="shared" si="7"/>
        <v>QoQ</v>
      </c>
      <c r="M60" s="1532"/>
      <c r="N60" s="1529" t="str">
        <f t="shared" ca="1" si="7"/>
        <v>4Q16</v>
      </c>
      <c r="O60" s="1534" t="str">
        <f t="shared" si="7"/>
        <v>YoY</v>
      </c>
      <c r="P60" s="677"/>
      <c r="R60" s="341"/>
      <c r="S60" s="341"/>
      <c r="T60" s="341"/>
      <c r="U60" s="341"/>
      <c r="V60" s="341"/>
    </row>
    <row r="61" spans="1:30" ht="5.0999999999999996" customHeight="1" x14ac:dyDescent="0.2">
      <c r="A61" s="341"/>
      <c r="B61" s="341"/>
      <c r="C61" s="341"/>
      <c r="D61" s="341"/>
      <c r="E61" s="341"/>
      <c r="F61" s="341"/>
      <c r="G61" s="341"/>
      <c r="H61" s="341"/>
      <c r="I61" s="341"/>
      <c r="J61" s="1569"/>
      <c r="K61" s="341"/>
      <c r="L61" s="341"/>
      <c r="M61" s="1569"/>
      <c r="N61" s="341"/>
      <c r="O61" s="341"/>
      <c r="P61" s="677"/>
      <c r="R61" s="341"/>
      <c r="S61" s="341"/>
      <c r="T61" s="341"/>
      <c r="U61" s="341"/>
      <c r="V61" s="341"/>
    </row>
    <row r="62" spans="1:30" ht="12.6" customHeight="1" x14ac:dyDescent="0.2">
      <c r="A62" s="341"/>
      <c r="B62" s="341"/>
      <c r="C62" s="341"/>
      <c r="D62" s="1580" t="s">
        <v>442</v>
      </c>
      <c r="E62" s="341"/>
      <c r="F62" s="341"/>
      <c r="G62" s="341"/>
      <c r="H62" s="341"/>
      <c r="I62" s="341"/>
      <c r="J62" s="1569"/>
      <c r="K62" s="341"/>
      <c r="L62" s="341"/>
      <c r="M62" s="1569"/>
      <c r="N62" s="341"/>
      <c r="O62" s="341"/>
      <c r="P62" s="677"/>
      <c r="R62" s="341"/>
      <c r="S62" s="341"/>
      <c r="T62" s="341"/>
      <c r="U62" s="341"/>
      <c r="V62" s="341"/>
    </row>
    <row r="63" spans="1:30" ht="5.0999999999999996" customHeight="1" x14ac:dyDescent="0.2">
      <c r="A63" s="341"/>
      <c r="B63" s="341"/>
      <c r="C63" s="341"/>
      <c r="D63" s="1580"/>
      <c r="E63" s="341"/>
      <c r="F63" s="341"/>
      <c r="G63" s="341"/>
      <c r="H63" s="341"/>
      <c r="I63" s="341"/>
      <c r="J63" s="1569"/>
      <c r="K63" s="341"/>
      <c r="L63" s="341"/>
      <c r="M63" s="1569"/>
      <c r="N63" s="341"/>
      <c r="O63" s="341"/>
      <c r="P63" s="677"/>
      <c r="R63" s="341"/>
      <c r="S63" s="341"/>
      <c r="T63" s="341"/>
      <c r="U63" s="341"/>
      <c r="V63" s="341"/>
    </row>
    <row r="64" spans="1:30" s="315" customFormat="1" ht="12.6" customHeight="1" collapsed="1" x14ac:dyDescent="0.2">
      <c r="A64" s="1286">
        <v>245</v>
      </c>
      <c r="B64" s="1286">
        <v>245</v>
      </c>
      <c r="C64" s="1286"/>
      <c r="D64" s="1580" t="s">
        <v>443</v>
      </c>
      <c r="E64" s="1535">
        <v>192.643</v>
      </c>
      <c r="F64" s="1535">
        <f ca="1">INDIRECT("'VA'!"&amp;F$1&amp;$B64)</f>
        <v>195.2</v>
      </c>
      <c r="G64" s="1535"/>
      <c r="H64" s="1535">
        <f ca="1">F64-E64</f>
        <v>2.5569999999999879</v>
      </c>
      <c r="I64" s="1521">
        <f ca="1">IF(ISERROR(F64/E64),"",F64/E64-1)</f>
        <v>1.3273256749531503E-2</v>
      </c>
      <c r="J64" s="1569"/>
      <c r="K64" s="1535">
        <f ca="1">INDIRECT("'VA'!"&amp;K$1&amp;$B64)</f>
        <v>193.2</v>
      </c>
      <c r="L64" s="1521">
        <f ca="1">IF(ISERROR(F64/K64),"",F64/K64-1)</f>
        <v>1.0351966873705987E-2</v>
      </c>
      <c r="M64" s="1569"/>
      <c r="N64" s="1535">
        <f ca="1">INDIRECT("'VA'!"&amp;N$1&amp;$B64)</f>
        <v>182.60000000000002</v>
      </c>
      <c r="O64" s="1521">
        <f ca="1">IF(ISERROR(F64/N64),"",F64/N64-1)</f>
        <v>6.900328587075566E-2</v>
      </c>
      <c r="R64" s="1535"/>
      <c r="S64" s="1535"/>
      <c r="T64" s="1535"/>
      <c r="U64" s="1535"/>
      <c r="V64" s="1535"/>
    </row>
    <row r="65" spans="1:25" ht="12.6" customHeight="1" x14ac:dyDescent="0.2">
      <c r="A65" s="1278">
        <f>B65</f>
        <v>21</v>
      </c>
      <c r="B65" s="1278">
        <v>21</v>
      </c>
      <c r="C65" s="1278"/>
      <c r="D65" s="1581" t="s">
        <v>441</v>
      </c>
      <c r="E65" s="1510" t="e">
        <f ca="1">INDIRECT("'OldRevEndMarket'!"&amp;E$193&amp;$B65)</f>
        <v>#REF!</v>
      </c>
      <c r="F65" s="1510">
        <f ca="1">INDIRECT("Revenue_end_mkt!"&amp;F$193&amp;$B65)</f>
        <v>5.2999999999999999E-2</v>
      </c>
      <c r="G65" s="1520"/>
      <c r="H65" s="1511" t="e">
        <f ca="1">(F65-E65)*10000</f>
        <v>#REF!</v>
      </c>
      <c r="I65" s="1522"/>
      <c r="J65" s="1569"/>
      <c r="K65" s="1510">
        <f ca="1">INDIRECT("Revenue_end_mkt!"&amp;K$193&amp;$B65)</f>
        <v>4.9000000000000002E-2</v>
      </c>
      <c r="L65" s="1511">
        <f ca="1">(F65-K65)*10000</f>
        <v>39.999999999999964</v>
      </c>
      <c r="M65" s="1569"/>
      <c r="N65" s="1510">
        <f ca="1">INDIRECT("Revenue_end_mkt!"&amp;N$193&amp;$B65)</f>
        <v>4.4402761795166779E-2</v>
      </c>
      <c r="O65" s="1511">
        <f ca="1">(F65-N65)*10000</f>
        <v>85.972382048332193</v>
      </c>
      <c r="P65" s="677"/>
      <c r="R65" s="1218"/>
      <c r="S65" s="1218"/>
      <c r="T65" s="1218"/>
      <c r="U65" s="1218"/>
      <c r="V65" s="1218"/>
    </row>
    <row r="66" spans="1:25" ht="5.0999999999999996" customHeight="1" x14ac:dyDescent="0.2">
      <c r="A66" s="1278"/>
      <c r="B66" s="1278"/>
      <c r="C66" s="1278"/>
      <c r="D66" s="1581"/>
      <c r="E66" s="1510"/>
      <c r="F66" s="1218"/>
      <c r="G66" s="1520"/>
      <c r="H66" s="1511"/>
      <c r="I66" s="1522"/>
      <c r="J66" s="1569"/>
      <c r="K66" s="1218"/>
      <c r="L66" s="1511"/>
      <c r="M66" s="1569"/>
      <c r="N66" s="1218"/>
      <c r="O66" s="1511"/>
      <c r="P66" s="677"/>
      <c r="R66" s="1218"/>
      <c r="S66" s="1218"/>
      <c r="T66" s="1218"/>
      <c r="U66" s="1218"/>
      <c r="V66" s="1218"/>
    </row>
    <row r="67" spans="1:25" ht="12.6" customHeight="1" x14ac:dyDescent="0.2">
      <c r="A67" s="1278">
        <f t="shared" ref="A67:A78" si="8">B67</f>
        <v>0</v>
      </c>
      <c r="B67" s="341"/>
      <c r="C67" s="341"/>
      <c r="D67" s="1580" t="s">
        <v>444</v>
      </c>
      <c r="E67" s="341"/>
      <c r="F67" s="341"/>
      <c r="G67" s="341"/>
      <c r="H67" s="341"/>
      <c r="I67" s="341"/>
      <c r="J67" s="1569"/>
      <c r="K67" s="341"/>
      <c r="L67" s="341"/>
      <c r="M67" s="1569"/>
      <c r="N67" s="341"/>
      <c r="O67" s="341"/>
      <c r="P67" s="677"/>
      <c r="R67" s="341"/>
      <c r="S67" s="341"/>
      <c r="T67" s="341"/>
      <c r="U67" s="341"/>
      <c r="V67" s="341"/>
    </row>
    <row r="68" spans="1:25" ht="12.6" customHeight="1" x14ac:dyDescent="0.2">
      <c r="A68" s="1278">
        <f t="shared" si="8"/>
        <v>308</v>
      </c>
      <c r="B68" s="1278">
        <v>308</v>
      </c>
      <c r="C68" s="1278"/>
      <c r="D68" s="1582" t="s">
        <v>342</v>
      </c>
      <c r="E68" s="1509">
        <v>205.47295000000003</v>
      </c>
      <c r="F68" s="1509">
        <f ca="1">INDIRECT("'VA'!"&amp;F$1&amp;$B68)</f>
        <v>211.2</v>
      </c>
      <c r="G68" s="1509"/>
      <c r="H68" s="1509">
        <f ca="1">F68-E68</f>
        <v>5.7270499999999629</v>
      </c>
      <c r="I68" s="1510">
        <f ca="1">IF(ISERROR(F68/E68),"",F68/E68-1)</f>
        <v>2.7872525312942376E-2</v>
      </c>
      <c r="J68" s="1569"/>
      <c r="K68" s="1509">
        <f ca="1">INDIRECT("'VA'!"&amp;K$1&amp;$B68)</f>
        <v>203.9</v>
      </c>
      <c r="L68" s="1510">
        <f ca="1">IF(ISERROR(F68/K68),"",F68/K68-1)</f>
        <v>3.5801863658656119E-2</v>
      </c>
      <c r="M68" s="1569"/>
      <c r="N68" s="1509">
        <f ca="1">INDIRECT("'VA'!"&amp;N$1&amp;$B68)</f>
        <v>178.3</v>
      </c>
      <c r="O68" s="1510">
        <f ca="1">IF(ISERROR(F68/N68),"",F68/N68-1)</f>
        <v>0.18452047111609637</v>
      </c>
      <c r="R68" s="1509"/>
      <c r="S68" s="1509"/>
      <c r="T68" s="1509"/>
      <c r="U68" s="1509"/>
      <c r="V68" s="1509"/>
      <c r="Y68" s="27"/>
    </row>
    <row r="69" spans="1:25" ht="12.6" customHeight="1" x14ac:dyDescent="0.2">
      <c r="A69" s="1278">
        <f t="shared" si="8"/>
        <v>29</v>
      </c>
      <c r="B69" s="1278">
        <v>29</v>
      </c>
      <c r="C69" s="1278"/>
      <c r="D69" s="1581" t="s">
        <v>441</v>
      </c>
      <c r="E69" s="1510" t="e">
        <f ca="1">INDIRECT("'OldRevEndMarket'!"&amp;E$193&amp;$B69)</f>
        <v>#REF!</v>
      </c>
      <c r="F69" s="1510">
        <f ca="1">INDIRECT("Revenue_end_mkt!"&amp;F$193&amp;$B69)</f>
        <v>0.128</v>
      </c>
      <c r="G69" s="1520"/>
      <c r="H69" s="1511" t="e">
        <f ca="1">(F69-E69)*10000</f>
        <v>#REF!</v>
      </c>
      <c r="I69" s="1522"/>
      <c r="J69" s="1569"/>
      <c r="K69" s="1510">
        <f ca="1">INDIRECT("Revenue_end_mkt!"&amp;K$193&amp;$B69)</f>
        <v>0.13700000000000001</v>
      </c>
      <c r="L69" s="1511">
        <f ca="1">(F69-K69)*10000</f>
        <v>-90.000000000000085</v>
      </c>
      <c r="M69" s="1569"/>
      <c r="N69" s="1510">
        <f ca="1">INDIRECT("Revenue_end_mkt!"&amp;N$193&amp;$B69)</f>
        <v>7.2999999999999995E-2</v>
      </c>
      <c r="O69" s="1511">
        <f ca="1">(F69-N69)*10000</f>
        <v>550.00000000000011</v>
      </c>
      <c r="R69" s="1218"/>
      <c r="S69" s="1218"/>
      <c r="T69" s="1218"/>
      <c r="U69" s="1218"/>
      <c r="V69" s="1218"/>
    </row>
    <row r="70" spans="1:25" ht="5.0999999999999996" customHeight="1" x14ac:dyDescent="0.2">
      <c r="A70" s="1278"/>
      <c r="B70" s="1278"/>
      <c r="C70" s="1278"/>
      <c r="D70" s="1581"/>
      <c r="E70" s="1510"/>
      <c r="F70" s="1510"/>
      <c r="G70" s="1520"/>
      <c r="H70" s="1511"/>
      <c r="I70" s="1522"/>
      <c r="J70" s="1569"/>
      <c r="K70" s="1510"/>
      <c r="L70" s="1511"/>
      <c r="M70" s="1569"/>
      <c r="N70" s="1510"/>
      <c r="O70" s="1511"/>
      <c r="R70" s="1218"/>
      <c r="S70" s="1218"/>
      <c r="T70" s="1218"/>
      <c r="U70" s="1218"/>
      <c r="V70" s="1218"/>
    </row>
    <row r="71" spans="1:25" ht="12.6" customHeight="1" x14ac:dyDescent="0.2">
      <c r="A71" s="1278">
        <f t="shared" si="8"/>
        <v>309</v>
      </c>
      <c r="B71" s="1278">
        <v>309</v>
      </c>
      <c r="C71" s="1278"/>
      <c r="D71" s="1582" t="s">
        <v>344</v>
      </c>
      <c r="E71" s="1509">
        <v>47.085000899133561</v>
      </c>
      <c r="F71" s="1509">
        <f ca="1">INDIRECT("'VA'!"&amp;F$1&amp;$B71)</f>
        <v>47.3</v>
      </c>
      <c r="G71" s="1509"/>
      <c r="H71" s="1509">
        <f ca="1">F71-E71</f>
        <v>0.21499910086643581</v>
      </c>
      <c r="I71" s="1510">
        <f ca="1">IF(ISERROR(F71/E71),"",F71/E71-1)</f>
        <v>4.5661908625000969E-3</v>
      </c>
      <c r="J71" s="1538"/>
      <c r="K71" s="1509">
        <f ca="1">INDIRECT("'VA'!"&amp;K$1&amp;$B71)</f>
        <v>40.6</v>
      </c>
      <c r="L71" s="1510">
        <f ca="1">IF(ISERROR(F71/K71),"",F71/K71-1)</f>
        <v>0.16502463054187189</v>
      </c>
      <c r="M71" s="1538"/>
      <c r="N71" s="1509">
        <f ca="1">INDIRECT("'VA'!"&amp;N$1&amp;$B71)</f>
        <v>35.5</v>
      </c>
      <c r="O71" s="1510">
        <f ca="1">IF(ISERROR(F71/N71),"",F71/N71-1)</f>
        <v>0.3323943661971831</v>
      </c>
      <c r="Q71" s="880"/>
      <c r="R71" s="1509"/>
      <c r="S71" s="1509"/>
      <c r="T71" s="1509"/>
      <c r="U71" s="1509"/>
      <c r="V71" s="1509"/>
      <c r="Y71" s="27"/>
    </row>
    <row r="72" spans="1:25" ht="12.6" customHeight="1" x14ac:dyDescent="0.2">
      <c r="A72" s="1278">
        <f t="shared" si="8"/>
        <v>36</v>
      </c>
      <c r="B72" s="1278">
        <v>36</v>
      </c>
      <c r="C72" s="1278"/>
      <c r="D72" s="1581" t="s">
        <v>441</v>
      </c>
      <c r="E72" s="1510" t="e">
        <f ca="1">INDIRECT("'OldRevEndMarket'!"&amp;E$193&amp;$B72)</f>
        <v>#REF!</v>
      </c>
      <c r="F72" s="1510">
        <f ca="1">INDIRECT("Revenue_end_mkt!"&amp;F$193&amp;$B72)</f>
        <v>2E-3</v>
      </c>
      <c r="G72" s="1520"/>
      <c r="H72" s="1511" t="e">
        <f ca="1">(F72-E72)*10000</f>
        <v>#REF!</v>
      </c>
      <c r="I72" s="1522"/>
      <c r="J72" s="1569"/>
      <c r="K72" s="1510">
        <f ca="1">INDIRECT("Revenue_end_mkt!"&amp;K$193&amp;$B72)</f>
        <v>-0.02</v>
      </c>
      <c r="L72" s="1511">
        <f ca="1">(F72-K72)*10000</f>
        <v>220</v>
      </c>
      <c r="M72" s="1569"/>
      <c r="N72" s="1510">
        <f ca="1">INDIRECT("Revenue_end_mkt!"&amp;N$193&amp;$B72)</f>
        <v>0.2724014336917564</v>
      </c>
      <c r="O72" s="1511">
        <f ca="1">(F72-N72)*10000</f>
        <v>-2704.0143369175639</v>
      </c>
      <c r="R72" s="1218"/>
      <c r="S72" s="1218"/>
      <c r="T72" s="1218"/>
      <c r="U72" s="1218"/>
      <c r="V72" s="1218"/>
    </row>
    <row r="73" spans="1:25" ht="5.0999999999999996" customHeight="1" x14ac:dyDescent="0.2">
      <c r="A73" s="1278"/>
      <c r="B73" s="1278"/>
      <c r="C73" s="1278"/>
      <c r="D73" s="1581"/>
      <c r="E73" s="1510"/>
      <c r="F73" s="1510"/>
      <c r="G73" s="1520"/>
      <c r="H73" s="1511"/>
      <c r="I73" s="1522"/>
      <c r="J73" s="1569"/>
      <c r="K73" s="1510"/>
      <c r="L73" s="1511"/>
      <c r="M73" s="1569"/>
      <c r="N73" s="1510"/>
      <c r="O73" s="1511"/>
      <c r="R73" s="1218"/>
      <c r="S73" s="1218"/>
      <c r="T73" s="1218"/>
      <c r="U73" s="1218"/>
      <c r="V73" s="1218"/>
    </row>
    <row r="74" spans="1:25" ht="12.6" customHeight="1" x14ac:dyDescent="0.2">
      <c r="A74" s="1278">
        <f t="shared" si="8"/>
        <v>311</v>
      </c>
      <c r="B74" s="1278">
        <v>311</v>
      </c>
      <c r="C74" s="1278"/>
      <c r="D74" s="1582" t="s">
        <v>390</v>
      </c>
      <c r="E74" s="1509">
        <v>112.4425</v>
      </c>
      <c r="F74" s="1509">
        <f ca="1">INDIRECT("'VA'!"&amp;F$1&amp;$B74)</f>
        <v>116.6</v>
      </c>
      <c r="G74" s="1509"/>
      <c r="H74" s="1509">
        <f ca="1">F74-E74</f>
        <v>4.1574999999999989</v>
      </c>
      <c r="I74" s="1510">
        <f ca="1">IF(ISERROR(F74/E74),"",F74/E74-1)</f>
        <v>3.6974453609622593E-2</v>
      </c>
      <c r="J74" s="1538"/>
      <c r="K74" s="1509">
        <f ca="1">INDIRECT("'VA'!"&amp;K$1&amp;$B74)</f>
        <v>111.4</v>
      </c>
      <c r="L74" s="1510">
        <f ca="1">IF(ISERROR(F74/K74),"",F74/K74-1)</f>
        <v>4.6678635547576119E-2</v>
      </c>
      <c r="M74" s="1538"/>
      <c r="N74" s="1509">
        <f ca="1">INDIRECT("'VA'!"&amp;N$1&amp;$B74)</f>
        <v>109.7</v>
      </c>
      <c r="O74" s="1510">
        <f ca="1">IF(ISERROR(F74/N74),"",F74/N74-1)</f>
        <v>6.2898814949863269E-2</v>
      </c>
      <c r="R74" s="1509"/>
      <c r="S74" s="1509"/>
      <c r="T74" s="1509"/>
      <c r="U74" s="1509"/>
      <c r="V74" s="1509"/>
      <c r="Y74" s="27"/>
    </row>
    <row r="75" spans="1:25" ht="12.6" customHeight="1" x14ac:dyDescent="0.2">
      <c r="A75" s="1278">
        <f t="shared" si="8"/>
        <v>66</v>
      </c>
      <c r="B75" s="1278">
        <v>66</v>
      </c>
      <c r="C75" s="1278"/>
      <c r="D75" s="1581" t="s">
        <v>441</v>
      </c>
      <c r="E75" s="1510" t="e">
        <f ca="1">INDIRECT("'OldRevEndMarket'!"&amp;E$193&amp;$B75)</f>
        <v>#REF!</v>
      </c>
      <c r="F75" s="1510">
        <f ca="1">INDIRECT("Revenue_end_mkt!"&amp;F$193&amp;$B75)</f>
        <v>4.7E-2</v>
      </c>
      <c r="G75" s="1520"/>
      <c r="H75" s="1511" t="e">
        <f ca="1">(F75-E75)*10000</f>
        <v>#REF!</v>
      </c>
      <c r="I75" s="1522"/>
      <c r="J75" s="1569"/>
      <c r="K75" s="1510">
        <f ca="1">INDIRECT("Revenue_end_mkt!"&amp;K$193&amp;$B75)</f>
        <v>2.1999999999999999E-2</v>
      </c>
      <c r="L75" s="1511">
        <f ca="1">(F75-K75)*10000</f>
        <v>250</v>
      </c>
      <c r="M75" s="1569"/>
      <c r="N75" s="1510">
        <f ca="1">INDIRECT("Revenue_end_mkt!"&amp;N$193&amp;$B75)</f>
        <v>-5.5E-2</v>
      </c>
      <c r="O75" s="1511">
        <f ca="1">(F75-N75)*10000</f>
        <v>1020.0000000000001</v>
      </c>
      <c r="R75" s="1218"/>
      <c r="S75" s="1218"/>
      <c r="T75" s="1218"/>
      <c r="U75" s="1218"/>
      <c r="V75" s="1218"/>
    </row>
    <row r="76" spans="1:25" ht="5.0999999999999996" customHeight="1" x14ac:dyDescent="0.2">
      <c r="A76" s="1278"/>
      <c r="B76" s="1278"/>
      <c r="C76" s="1278"/>
      <c r="D76" s="1581"/>
      <c r="E76" s="1510"/>
      <c r="F76" s="1510"/>
      <c r="G76" s="1520"/>
      <c r="H76" s="1511"/>
      <c r="I76" s="1522"/>
      <c r="J76" s="1569"/>
      <c r="K76" s="1510"/>
      <c r="L76" s="1511"/>
      <c r="M76" s="1569"/>
      <c r="N76" s="1510"/>
      <c r="O76" s="1511"/>
      <c r="R76" s="1218"/>
      <c r="S76" s="1218"/>
      <c r="T76" s="1218"/>
      <c r="U76" s="1218"/>
      <c r="V76" s="1218"/>
    </row>
    <row r="77" spans="1:25" s="315" customFormat="1" ht="12.6" customHeight="1" x14ac:dyDescent="0.2">
      <c r="A77" s="1278">
        <f t="shared" si="8"/>
        <v>313</v>
      </c>
      <c r="B77" s="1278">
        <v>313</v>
      </c>
      <c r="C77" s="1286"/>
      <c r="D77" s="1583" t="s">
        <v>445</v>
      </c>
      <c r="E77" s="1535">
        <v>365.00045089913357</v>
      </c>
      <c r="F77" s="1535">
        <f ca="1">INDIRECT("'VA'!"&amp;F$1&amp;$B77)</f>
        <v>375.1</v>
      </c>
      <c r="G77" s="1535"/>
      <c r="H77" s="1535">
        <f ca="1">F77-E77</f>
        <v>10.099549100866454</v>
      </c>
      <c r="I77" s="1521">
        <f ca="1">IF(ISERROR(F77/E77),"",F77/E77-1)</f>
        <v>2.7669963354805427E-2</v>
      </c>
      <c r="J77" s="1569"/>
      <c r="K77" s="1535">
        <f ca="1">INDIRECT("'VA'!"&amp;K$1&amp;$B77)</f>
        <v>355.9</v>
      </c>
      <c r="L77" s="1521">
        <f ca="1">IF(ISERROR(F77/K77),"",F77/K77-1)</f>
        <v>5.3947738128687917E-2</v>
      </c>
      <c r="M77" s="1569"/>
      <c r="N77" s="1535">
        <f ca="1">INDIRECT("'VA'!"&amp;N$1&amp;$B77)</f>
        <v>323.5</v>
      </c>
      <c r="O77" s="1521">
        <f ca="1">IF(ISERROR(F77/N77),"",F77/N77-1)</f>
        <v>0.15950540958268933</v>
      </c>
      <c r="R77" s="1535"/>
      <c r="S77" s="1535"/>
      <c r="T77" s="1535"/>
      <c r="U77" s="1535"/>
      <c r="V77" s="1535"/>
    </row>
    <row r="78" spans="1:25" ht="12.6" customHeight="1" x14ac:dyDescent="0.2">
      <c r="A78" s="1278">
        <f t="shared" si="8"/>
        <v>83</v>
      </c>
      <c r="B78" s="1278">
        <v>83</v>
      </c>
      <c r="C78" s="1278"/>
      <c r="D78" s="1581" t="s">
        <v>441</v>
      </c>
      <c r="E78" s="1510" t="e">
        <f ca="1">INDIRECT("'OldRevEndMarket'!"&amp;E$193&amp;$B78)</f>
        <v>#REF!</v>
      </c>
      <c r="F78" s="1510">
        <f ca="1">INDIRECT("Revenue_end_mkt!"&amp;F$193&amp;$B78)</f>
        <v>8.5999999999999993E-2</v>
      </c>
      <c r="G78" s="1520"/>
      <c r="H78" s="1511" t="e">
        <f ca="1">(F78-E78)*10000</f>
        <v>#REF!</v>
      </c>
      <c r="I78" s="1522"/>
      <c r="J78" s="1569"/>
      <c r="K78" s="1510">
        <f ca="1">INDIRECT("Revenue_end_mkt!"&amp;K$193&amp;$B78)</f>
        <v>8.2000000000000003E-2</v>
      </c>
      <c r="L78" s="1511">
        <f ca="1">(F78-K78)*10000</f>
        <v>39.999999999999893</v>
      </c>
      <c r="M78" s="1569"/>
      <c r="N78" s="1510">
        <f ca="1">INDIRECT("Revenue_end_mkt!"&amp;N$193&amp;$B78)</f>
        <v>7.2999999999999995E-2</v>
      </c>
      <c r="O78" s="1511">
        <f ca="1">(F78-N78)*10000</f>
        <v>129.99999999999997</v>
      </c>
      <c r="P78" s="677"/>
      <c r="R78" s="1218"/>
      <c r="S78" s="1218"/>
      <c r="T78" s="1218"/>
      <c r="U78" s="1218"/>
      <c r="V78" s="1218"/>
    </row>
    <row r="79" spans="1:25" ht="5.0999999999999996" customHeight="1" x14ac:dyDescent="0.2">
      <c r="A79" s="1278"/>
      <c r="B79" s="1278"/>
      <c r="C79" s="1278"/>
      <c r="D79" s="1581"/>
      <c r="E79" s="1218"/>
      <c r="F79" s="1218"/>
      <c r="G79" s="1520"/>
      <c r="H79" s="1511"/>
      <c r="I79" s="1510"/>
      <c r="J79" s="1538"/>
      <c r="K79" s="1218"/>
      <c r="L79" s="1511"/>
      <c r="M79" s="1538"/>
      <c r="N79" s="1218"/>
      <c r="O79" s="1511"/>
      <c r="P79" s="677"/>
      <c r="R79" s="1218"/>
      <c r="S79" s="1218"/>
      <c r="T79" s="1218"/>
      <c r="U79" s="1218"/>
      <c r="V79" s="1218"/>
    </row>
    <row r="80" spans="1:25" ht="12.6" customHeight="1" x14ac:dyDescent="0.2">
      <c r="A80" s="1278"/>
      <c r="B80" s="1278"/>
      <c r="C80" s="1278"/>
      <c r="D80" s="1584" t="s">
        <v>446</v>
      </c>
      <c r="E80" s="1218"/>
      <c r="F80" s="1218"/>
      <c r="G80" s="1520"/>
      <c r="H80" s="1511"/>
      <c r="I80" s="1510"/>
      <c r="J80" s="1538"/>
      <c r="K80" s="1218"/>
      <c r="L80" s="1511"/>
      <c r="M80" s="1538"/>
      <c r="N80" s="1218"/>
      <c r="O80" s="1511"/>
      <c r="P80" s="677"/>
      <c r="R80" s="1218"/>
      <c r="S80" s="1218"/>
      <c r="T80" s="1218"/>
      <c r="U80" s="1218"/>
      <c r="V80" s="1218"/>
    </row>
    <row r="81" spans="1:22" ht="5.0999999999999996" customHeight="1" x14ac:dyDescent="0.2">
      <c r="A81" s="1278"/>
      <c r="B81" s="1278"/>
      <c r="C81" s="1278"/>
      <c r="D81" s="1581"/>
      <c r="E81" s="1218"/>
      <c r="F81" s="1218"/>
      <c r="G81" s="1520"/>
      <c r="H81" s="1511"/>
      <c r="I81" s="1510"/>
      <c r="J81" s="1538"/>
      <c r="K81" s="1218"/>
      <c r="L81" s="1511"/>
      <c r="M81" s="1538"/>
      <c r="N81" s="1218"/>
      <c r="O81" s="1511"/>
      <c r="P81" s="677"/>
      <c r="R81" s="1218"/>
      <c r="S81" s="1218"/>
      <c r="T81" s="1218"/>
      <c r="U81" s="1218"/>
      <c r="V81" s="1218"/>
    </row>
    <row r="82" spans="1:22" ht="12.6" customHeight="1" x14ac:dyDescent="0.2">
      <c r="A82" s="1278"/>
      <c r="B82" s="1278"/>
      <c r="C82" s="1278"/>
      <c r="D82" s="1580" t="s">
        <v>101</v>
      </c>
      <c r="E82" s="1218"/>
      <c r="F82" s="1218"/>
      <c r="G82" s="1520"/>
      <c r="H82" s="1511"/>
      <c r="I82" s="1510"/>
      <c r="J82" s="1538"/>
      <c r="K82" s="1218"/>
      <c r="L82" s="1511"/>
      <c r="M82" s="1538"/>
      <c r="N82" s="1218"/>
      <c r="O82" s="1511"/>
      <c r="P82" s="677"/>
      <c r="R82" s="1218"/>
      <c r="S82" s="1218"/>
      <c r="T82" s="1218"/>
      <c r="U82" s="1218"/>
      <c r="V82" s="1218"/>
    </row>
    <row r="83" spans="1:22" s="188" customFormat="1" x14ac:dyDescent="0.2">
      <c r="A83" s="1278">
        <v>273</v>
      </c>
      <c r="B83" s="1278">
        <v>273</v>
      </c>
      <c r="C83" s="1278"/>
      <c r="D83" s="1582" t="s">
        <v>220</v>
      </c>
      <c r="E83" s="1509">
        <v>113.031645</v>
      </c>
      <c r="F83" s="1507">
        <f ca="1">INDIRECT("'VA'!"&amp;F$1&amp;$B83)</f>
        <v>115.19999999999999</v>
      </c>
      <c r="G83" s="1509"/>
      <c r="H83" s="1509">
        <f ca="1">F83-E83</f>
        <v>2.1683549999999912</v>
      </c>
      <c r="I83" s="1510">
        <f ca="1">IF(ISERROR(F83/E83),"",F83/E83-1)</f>
        <v>1.9183610041241028E-2</v>
      </c>
      <c r="J83" s="1538"/>
      <c r="K83" s="1509">
        <f ca="1">INDIRECT("'VA'!"&amp;K$1&amp;$B83)</f>
        <v>115.99999999999999</v>
      </c>
      <c r="L83" s="1510">
        <f ca="1">IF(ISERROR(F83/K83),"",F83/K83-1)</f>
        <v>-6.8965517241379448E-3</v>
      </c>
      <c r="M83" s="1538"/>
      <c r="N83" s="1509">
        <f ca="1">INDIRECT("'VA'!"&amp;N$1&amp;$B83)</f>
        <v>104.50000000000001</v>
      </c>
      <c r="O83" s="1510">
        <f ca="1">IF(ISERROR(F83/N83),"",F83/N83-1)</f>
        <v>0.10239234449760737</v>
      </c>
      <c r="P83" s="330"/>
      <c r="R83" s="1509"/>
      <c r="S83" s="1509"/>
      <c r="T83" s="1509"/>
      <c r="U83" s="1509"/>
      <c r="V83" s="1509"/>
    </row>
    <row r="84" spans="1:22" s="188" customFormat="1" x14ac:dyDescent="0.2">
      <c r="A84" s="1278">
        <v>274</v>
      </c>
      <c r="B84" s="1278">
        <v>274</v>
      </c>
      <c r="C84" s="1278"/>
      <c r="D84" s="1582" t="s">
        <v>68</v>
      </c>
      <c r="E84" s="1510">
        <v>0.58674151150054765</v>
      </c>
      <c r="F84" s="1218">
        <f ca="1">INDIRECT("'VA'!"&amp;F$1&amp;$B84)</f>
        <v>0.5901639344262295</v>
      </c>
      <c r="G84" s="1520"/>
      <c r="H84" s="1511">
        <f ca="1">(F84-E84)*10000</f>
        <v>34.224229256818447</v>
      </c>
      <c r="I84" s="1511">
        <f ca="1">IF(ISERROR(F84-E84),"",10000*(F84-E84))</f>
        <v>34.224229256818447</v>
      </c>
      <c r="J84" s="1538"/>
      <c r="K84" s="1218">
        <f ca="1">INDIRECT("'VA'!"&amp;K$1&amp;$B84)</f>
        <v>0.60041407867494823</v>
      </c>
      <c r="L84" s="1511">
        <f ca="1">(F84-K84)*10000</f>
        <v>-102.50144248718729</v>
      </c>
      <c r="M84" s="1538"/>
      <c r="N84" s="1218">
        <f ca="1">INDIRECT("'VA'!"&amp;N$1&amp;$B84)</f>
        <v>0.57228915662650603</v>
      </c>
      <c r="O84" s="1511">
        <f ca="1">(F84-N84)*10000</f>
        <v>178.74777799723464</v>
      </c>
      <c r="P84" s="330"/>
      <c r="R84" s="1218"/>
      <c r="S84" s="1218"/>
      <c r="T84" s="1218"/>
      <c r="U84" s="1218"/>
      <c r="V84" s="1218"/>
    </row>
    <row r="85" spans="1:22" ht="5.0999999999999996" customHeight="1" x14ac:dyDescent="0.2">
      <c r="A85" s="1278"/>
      <c r="B85" s="1278"/>
      <c r="C85" s="1278"/>
      <c r="D85" s="1581"/>
      <c r="E85" s="1218"/>
      <c r="F85" s="1218"/>
      <c r="G85" s="1520"/>
      <c r="H85" s="1511"/>
      <c r="I85" s="1510"/>
      <c r="J85" s="1538"/>
      <c r="K85" s="1218"/>
      <c r="L85" s="1511"/>
      <c r="M85" s="1538"/>
      <c r="N85" s="1218"/>
      <c r="O85" s="1511"/>
      <c r="P85" s="677"/>
      <c r="R85" s="1218"/>
      <c r="S85" s="1218"/>
      <c r="T85" s="1218"/>
      <c r="U85" s="1218"/>
      <c r="V85" s="1218"/>
    </row>
    <row r="86" spans="1:22" ht="12.6" customHeight="1" x14ac:dyDescent="0.2">
      <c r="A86" s="1278"/>
      <c r="B86" s="1278"/>
      <c r="C86" s="1278"/>
      <c r="D86" s="1580" t="s">
        <v>106</v>
      </c>
      <c r="E86" s="1218"/>
      <c r="F86" s="1218"/>
      <c r="G86" s="1520"/>
      <c r="H86" s="1511"/>
      <c r="I86" s="1510"/>
      <c r="J86" s="1538"/>
      <c r="K86" s="1218"/>
      <c r="L86" s="1511"/>
      <c r="M86" s="1538"/>
      <c r="N86" s="1218"/>
      <c r="O86" s="1511"/>
      <c r="P86" s="677"/>
      <c r="R86" s="1218"/>
      <c r="S86" s="1218"/>
      <c r="T86" s="1218"/>
      <c r="U86" s="1218"/>
      <c r="V86" s="1218"/>
    </row>
    <row r="87" spans="1:22" s="188" customFormat="1" x14ac:dyDescent="0.2">
      <c r="A87" s="1278">
        <v>339</v>
      </c>
      <c r="B87" s="1278">
        <v>339</v>
      </c>
      <c r="C87" s="1278"/>
      <c r="D87" s="1582" t="s">
        <v>220</v>
      </c>
      <c r="E87" s="1509">
        <v>158.11232824343148</v>
      </c>
      <c r="F87" s="1509">
        <f ca="1">INDIRECT("'VA'!"&amp;F$1&amp;$B87)</f>
        <v>160.90000000000003</v>
      </c>
      <c r="G87" s="1509"/>
      <c r="H87" s="1509">
        <f ca="1">F87-E87</f>
        <v>2.7876717565685567</v>
      </c>
      <c r="I87" s="1510">
        <f ca="1">IF(ISERROR(F87/E87),"",F87/E87-1)</f>
        <v>1.7630957608040676E-2</v>
      </c>
      <c r="J87" s="1538"/>
      <c r="K87" s="1509">
        <f ca="1">INDIRECT("'VA'!"&amp;K$1&amp;$B87)</f>
        <v>156.29999999999998</v>
      </c>
      <c r="L87" s="1510">
        <f ca="1">IF(ISERROR(F87/K87),"",F87/K87-1)</f>
        <v>2.9430582213691991E-2</v>
      </c>
      <c r="M87" s="1538"/>
      <c r="N87" s="1509">
        <f ca="1">INDIRECT("'VA'!"&amp;N$1&amp;$B87)</f>
        <v>153.29999999999998</v>
      </c>
      <c r="O87" s="1510">
        <f ca="1">IF(ISERROR(F87/N87),"",F87/N87-1)</f>
        <v>4.9575994781474675E-2</v>
      </c>
      <c r="P87" s="330"/>
      <c r="R87" s="1509"/>
      <c r="S87" s="1509"/>
      <c r="T87" s="1509"/>
      <c r="U87" s="1509"/>
      <c r="V87" s="1509"/>
    </row>
    <row r="88" spans="1:22" s="188" customFormat="1" x14ac:dyDescent="0.2">
      <c r="A88" s="1278">
        <v>340</v>
      </c>
      <c r="B88" s="1278">
        <v>340</v>
      </c>
      <c r="C88" s="1278"/>
      <c r="D88" s="1581" t="s">
        <v>68</v>
      </c>
      <c r="E88" s="1510">
        <v>0.43318392581143739</v>
      </c>
      <c r="F88" s="1218">
        <f ca="1">INDIRECT("'VA'!"&amp;F$1&amp;$B88)</f>
        <v>0.42895227939216213</v>
      </c>
      <c r="G88" s="1520"/>
      <c r="H88" s="1511">
        <f ca="1">(F88-E88)*10000</f>
        <v>-42.316464192752591</v>
      </c>
      <c r="I88" s="1510">
        <f ca="1">IF(ISERROR(F88/E88),"",F88/E88-1)</f>
        <v>-9.768706009459116E-3</v>
      </c>
      <c r="J88" s="1538"/>
      <c r="K88" s="1218">
        <f ca="1">INDIRECT("'VA'!"&amp;K$1&amp;$B88)</f>
        <v>0.43916830570384935</v>
      </c>
      <c r="L88" s="1511">
        <f ca="1">(F88-K88)*10000</f>
        <v>-102.1602631168722</v>
      </c>
      <c r="M88" s="1538"/>
      <c r="N88" s="1218">
        <f ca="1">INDIRECT("'VA'!"&amp;N$1&amp;$B88)</f>
        <v>0.47387944358578049</v>
      </c>
      <c r="O88" s="1511">
        <f ca="1">(F88-N88)*10000</f>
        <v>-449.27164193618364</v>
      </c>
      <c r="P88" s="330"/>
      <c r="R88" s="1218"/>
      <c r="S88" s="1218"/>
      <c r="T88" s="1218"/>
      <c r="U88" s="1218"/>
      <c r="V88" s="1218"/>
    </row>
    <row r="89" spans="1:22" ht="12.6" customHeight="1" x14ac:dyDescent="0.2">
      <c r="A89" s="1278"/>
      <c r="B89" s="1278"/>
      <c r="C89" s="1278"/>
      <c r="D89" s="1581"/>
      <c r="E89" s="1218"/>
      <c r="F89" s="1218"/>
      <c r="G89" s="1520"/>
      <c r="H89" s="1511"/>
      <c r="I89" s="1510"/>
      <c r="J89" s="1538"/>
      <c r="K89" s="1218"/>
      <c r="L89" s="1511"/>
      <c r="M89" s="1538"/>
      <c r="N89" s="1218"/>
      <c r="O89" s="1511"/>
      <c r="P89" s="677"/>
      <c r="R89" s="1218"/>
      <c r="S89" s="1218"/>
      <c r="T89" s="1218"/>
      <c r="U89" s="1218"/>
      <c r="V89" s="1218"/>
    </row>
    <row r="90" spans="1:22" ht="12.6" hidden="1" customHeight="1" outlineLevel="1" x14ac:dyDescent="0.2">
      <c r="A90" s="341"/>
      <c r="B90" s="341"/>
      <c r="C90" s="341"/>
      <c r="D90" s="341"/>
      <c r="E90" s="341"/>
      <c r="F90" s="341"/>
      <c r="G90" s="341"/>
      <c r="H90" s="341"/>
      <c r="I90" s="341"/>
      <c r="J90" s="341"/>
      <c r="K90" s="341"/>
      <c r="L90" s="341"/>
      <c r="M90" s="341"/>
      <c r="N90" s="341"/>
      <c r="O90" s="341"/>
      <c r="P90" s="677"/>
      <c r="R90" s="341"/>
      <c r="S90" s="341"/>
      <c r="T90" s="341"/>
      <c r="U90" s="341"/>
      <c r="V90" s="341"/>
    </row>
    <row r="91" spans="1:22" ht="6.75" hidden="1" customHeight="1" outlineLevel="1" x14ac:dyDescent="0.2">
      <c r="A91" s="341" t="str">
        <f t="shared" si="0"/>
        <v/>
      </c>
      <c r="B91" s="341"/>
      <c r="C91" s="341"/>
      <c r="D91" s="341"/>
      <c r="E91" s="341"/>
      <c r="F91" s="341"/>
      <c r="G91" s="341"/>
      <c r="H91" s="341"/>
      <c r="I91" s="341"/>
      <c r="J91" s="341"/>
      <c r="K91" s="341"/>
      <c r="L91" s="341"/>
      <c r="M91" s="341"/>
      <c r="N91" s="341"/>
      <c r="O91" s="341"/>
      <c r="P91" s="677"/>
      <c r="R91" s="341"/>
      <c r="S91" s="341"/>
      <c r="T91" s="341"/>
      <c r="U91" s="341"/>
      <c r="V91" s="341"/>
    </row>
    <row r="92" spans="1:22" ht="12.75" hidden="1" customHeight="1" outlineLevel="1" x14ac:dyDescent="0.2">
      <c r="A92" s="341" t="str">
        <f t="shared" si="0"/>
        <v/>
      </c>
      <c r="B92" s="341"/>
      <c r="C92" s="341"/>
      <c r="D92" s="1425" t="s">
        <v>100</v>
      </c>
      <c r="E92" s="341"/>
      <c r="F92" s="1585"/>
      <c r="G92" s="1539"/>
      <c r="H92" s="1586"/>
      <c r="I92" s="341"/>
      <c r="J92" s="341"/>
      <c r="K92" s="341"/>
      <c r="L92" s="341"/>
      <c r="M92" s="341"/>
      <c r="N92" s="341"/>
      <c r="O92" s="341"/>
      <c r="P92" s="677"/>
      <c r="R92" s="1585"/>
      <c r="S92" s="1585"/>
      <c r="T92" s="1585"/>
      <c r="U92" s="1585"/>
      <c r="V92" s="1585"/>
    </row>
    <row r="93" spans="1:22" ht="12.75" hidden="1" customHeight="1" outlineLevel="1" x14ac:dyDescent="0.2">
      <c r="A93" s="1278" t="str">
        <f t="shared" si="0"/>
        <v/>
      </c>
      <c r="B93" s="1278"/>
      <c r="C93" s="1278"/>
      <c r="D93" s="1505" t="s">
        <v>433</v>
      </c>
      <c r="E93" s="1587" t="str">
        <f>E4</f>
        <v>4Q17E</v>
      </c>
      <c r="F93" s="1587" t="str">
        <f ca="1">F4</f>
        <v>4Q17A</v>
      </c>
      <c r="G93" s="1530"/>
      <c r="H93" s="1531" t="s">
        <v>434</v>
      </c>
      <c r="I93" s="1531" t="s">
        <v>435</v>
      </c>
      <c r="J93" s="1532"/>
      <c r="K93" s="1587" t="str">
        <f ca="1">K4</f>
        <v>3Q17A</v>
      </c>
      <c r="L93" s="1533" t="s">
        <v>437</v>
      </c>
      <c r="M93" s="1532"/>
      <c r="N93" s="1587" t="str">
        <f ca="1">N4</f>
        <v>4Q16</v>
      </c>
      <c r="O93" s="1534" t="s">
        <v>438</v>
      </c>
      <c r="P93" s="677"/>
      <c r="R93" s="1588"/>
      <c r="S93" s="1588"/>
      <c r="T93" s="1588"/>
      <c r="U93" s="1588"/>
      <c r="V93" s="1588"/>
    </row>
    <row r="94" spans="1:22" ht="6" hidden="1" customHeight="1" outlineLevel="1" x14ac:dyDescent="0.2">
      <c r="A94" s="18" t="str">
        <f t="shared" si="0"/>
        <v/>
      </c>
      <c r="B94" s="18"/>
      <c r="C94" s="18"/>
      <c r="D94" s="1425"/>
      <c r="E94" s="1509"/>
      <c r="F94" s="1509"/>
      <c r="G94" s="1520"/>
      <c r="H94" s="1520"/>
      <c r="I94" s="341"/>
      <c r="J94" s="1538"/>
      <c r="K94" s="1509"/>
      <c r="L94" s="1510"/>
      <c r="M94" s="1538"/>
      <c r="N94" s="1509"/>
      <c r="O94" s="1539"/>
      <c r="P94" s="677"/>
      <c r="R94" s="1509"/>
      <c r="S94" s="1509"/>
      <c r="T94" s="1509"/>
      <c r="U94" s="1509"/>
      <c r="V94" s="1509"/>
    </row>
    <row r="95" spans="1:22" ht="12.75" hidden="1" customHeight="1" outlineLevel="1" x14ac:dyDescent="0.2">
      <c r="A95" s="1278" t="str">
        <f t="shared" si="0"/>
        <v/>
      </c>
      <c r="B95" s="1278"/>
      <c r="C95" s="1278"/>
      <c r="D95" s="1589" t="s">
        <v>101</v>
      </c>
      <c r="E95" s="1538"/>
      <c r="F95" s="1538"/>
      <c r="G95" s="1590"/>
      <c r="H95" s="1590"/>
      <c r="I95" s="1558"/>
      <c r="J95" s="1538"/>
      <c r="K95" s="1538"/>
      <c r="L95" s="1558"/>
      <c r="M95" s="1538"/>
      <c r="N95" s="1538"/>
      <c r="O95" s="1591"/>
      <c r="P95" s="677"/>
      <c r="R95" s="1509"/>
      <c r="S95" s="1509"/>
      <c r="T95" s="1509"/>
      <c r="U95" s="1509"/>
      <c r="V95" s="1509"/>
    </row>
    <row r="96" spans="1:22" ht="12.75" hidden="1" customHeight="1" outlineLevel="2" x14ac:dyDescent="0.2">
      <c r="A96" s="1278">
        <f t="shared" ca="1" si="0"/>
        <v>233</v>
      </c>
      <c r="B96" s="1278">
        <f ca="1">CELL("row",VA!A233)</f>
        <v>233</v>
      </c>
      <c r="C96" s="1278"/>
      <c r="D96" s="1582" t="str">
        <f>VA!A233</f>
        <v>Industry Standard Insurance Programs</v>
      </c>
      <c r="E96" s="1509">
        <v>147.59450000000001</v>
      </c>
      <c r="F96" s="1509">
        <f t="shared" ref="F96:F101" ca="1" si="9">INDIRECT("'VA'!"&amp;F$1&amp;$B96)</f>
        <v>151</v>
      </c>
      <c r="G96" s="1509"/>
      <c r="H96" s="1509">
        <f ca="1">F96-E96</f>
        <v>3.4054999999999893</v>
      </c>
      <c r="I96" s="1510">
        <f ca="1">IF(ISERROR(F96/E96),"",F96/E96-1)</f>
        <v>2.307335300434632E-2</v>
      </c>
      <c r="J96" s="1538"/>
      <c r="K96" s="1509">
        <f t="shared" ref="K96:K101" ca="1" si="10">INDIRECT("'VA'!"&amp;K$1&amp;$B96)</f>
        <v>149</v>
      </c>
      <c r="L96" s="1510">
        <f ca="1">IF(ISERROR(F96/K96),"",F96/K96-1)</f>
        <v>1.3422818791946289E-2</v>
      </c>
      <c r="M96" s="1538"/>
      <c r="N96" s="1509">
        <f t="shared" ref="N96:N101" ca="1" si="11">INDIRECT("'VA'!"&amp;N$1&amp;$B96)</f>
        <v>139.9</v>
      </c>
      <c r="O96" s="1510">
        <f ca="1">IF(ISERROR(F96/N96),"",F96/N96-1)</f>
        <v>7.9342387419585325E-2</v>
      </c>
      <c r="P96" s="677"/>
      <c r="Q96" s="643"/>
      <c r="R96" s="1509"/>
      <c r="S96" s="1509"/>
      <c r="T96" s="1509"/>
      <c r="U96" s="1509"/>
      <c r="V96" s="1509"/>
    </row>
    <row r="97" spans="1:22" ht="12.75" hidden="1" customHeight="1" outlineLevel="2" x14ac:dyDescent="0.2">
      <c r="A97" s="1278">
        <f t="shared" ca="1" si="0"/>
        <v>234</v>
      </c>
      <c r="B97" s="1278">
        <f ca="1">CELL("row",VA!A234)</f>
        <v>234</v>
      </c>
      <c r="C97" s="1278"/>
      <c r="D97" s="1582" t="str">
        <f>VA!A234</f>
        <v>YoY Change</v>
      </c>
      <c r="E97" s="1218">
        <v>5.4999999999999938E-2</v>
      </c>
      <c r="F97" s="1218">
        <f t="shared" ca="1" si="9"/>
        <v>7.9342387419585325E-2</v>
      </c>
      <c r="G97" s="1520"/>
      <c r="H97" s="1511">
        <f ca="1">(F97-E97)*10000</f>
        <v>243.42387419585387</v>
      </c>
      <c r="I97" s="1522" t="s">
        <v>382</v>
      </c>
      <c r="J97" s="1538"/>
      <c r="K97" s="1218">
        <f t="shared" ca="1" si="10"/>
        <v>7.8319269348231968E-2</v>
      </c>
      <c r="L97" s="1511">
        <f ca="1">(F97-K97)*10000</f>
        <v>10.231180713533572</v>
      </c>
      <c r="M97" s="1538"/>
      <c r="N97" s="1218">
        <f t="shared" ca="1" si="11"/>
        <v>5.9046177138531553E-2</v>
      </c>
      <c r="O97" s="1511">
        <f ca="1">(F97-N97)*10000</f>
        <v>202.96210281053771</v>
      </c>
      <c r="P97" s="677"/>
      <c r="R97" s="1509"/>
      <c r="S97" s="1509"/>
      <c r="T97" s="1509"/>
      <c r="U97" s="1509"/>
      <c r="V97" s="1509"/>
    </row>
    <row r="98" spans="1:22" ht="12.75" hidden="1" customHeight="1" outlineLevel="2" x14ac:dyDescent="0.2">
      <c r="A98" s="1278">
        <f t="shared" ca="1" si="0"/>
        <v>236</v>
      </c>
      <c r="B98" s="1278">
        <f ca="1">CELL("row",VA!A236)</f>
        <v>236</v>
      </c>
      <c r="C98" s="1278"/>
      <c r="D98" s="1582" t="str">
        <f>VA!A236</f>
        <v>Property-Specific Rating and U/W Info (SPI Database)</v>
      </c>
      <c r="E98" s="1509">
        <v>45.04849999999999</v>
      </c>
      <c r="F98" s="1509">
        <f t="shared" ca="1" si="9"/>
        <v>44.2</v>
      </c>
      <c r="G98" s="1509"/>
      <c r="H98" s="1509">
        <f ca="1">F98-E98</f>
        <v>-0.84849999999998715</v>
      </c>
      <c r="I98" s="1510">
        <f ca="1">IF(ISERROR(F98/E98),"",F98/E98-1)</f>
        <v>-1.8835255335915457E-2</v>
      </c>
      <c r="J98" s="1538"/>
      <c r="K98" s="1509">
        <f t="shared" ca="1" si="10"/>
        <v>44.2</v>
      </c>
      <c r="L98" s="1510">
        <f ca="1">IF(ISERROR(F98/K98),"",F98/K98-1)</f>
        <v>0</v>
      </c>
      <c r="M98" s="1538"/>
      <c r="N98" s="1509">
        <f t="shared" ca="1" si="11"/>
        <v>42.7</v>
      </c>
      <c r="O98" s="1510">
        <f ca="1">IF(ISERROR(F98/N98),"",F98/N98-1)</f>
        <v>3.5128805620608938E-2</v>
      </c>
      <c r="P98" s="677"/>
      <c r="R98" s="1509"/>
      <c r="S98" s="1509"/>
      <c r="T98" s="1509"/>
      <c r="U98" s="1509"/>
      <c r="V98" s="1509"/>
    </row>
    <row r="99" spans="1:22" ht="12.75" hidden="1" customHeight="1" outlineLevel="2" x14ac:dyDescent="0.2">
      <c r="A99" s="1278">
        <f t="shared" ca="1" si="0"/>
        <v>237</v>
      </c>
      <c r="B99" s="1278">
        <f ca="1">CELL("row",VA!A237)</f>
        <v>237</v>
      </c>
      <c r="C99" s="1278"/>
      <c r="D99" s="1582" t="str">
        <f>VA!A237</f>
        <v>YoY Change</v>
      </c>
      <c r="E99" s="1218">
        <v>5.4999999999999716E-2</v>
      </c>
      <c r="F99" s="1218">
        <f t="shared" ca="1" si="9"/>
        <v>3.5128805620608938E-2</v>
      </c>
      <c r="G99" s="1520"/>
      <c r="H99" s="1511">
        <f ca="1">(F99-E99)*10000</f>
        <v>-198.71194379390778</v>
      </c>
      <c r="I99" s="1522" t="s">
        <v>382</v>
      </c>
      <c r="J99" s="1538"/>
      <c r="K99" s="1218">
        <f t="shared" ca="1" si="10"/>
        <v>3.7656117945347178E-2</v>
      </c>
      <c r="L99" s="1511">
        <f ca="1">(F99-K99)*10000</f>
        <v>-25.273123247382401</v>
      </c>
      <c r="M99" s="1538"/>
      <c r="N99" s="1218">
        <f t="shared" ca="1" si="11"/>
        <v>2.3980815347721895E-2</v>
      </c>
      <c r="O99" s="1511">
        <f ca="1">(F99-N99)*10000</f>
        <v>111.47990272887043</v>
      </c>
      <c r="P99" s="677"/>
      <c r="R99" s="1509"/>
      <c r="S99" s="1509"/>
      <c r="T99" s="1509"/>
      <c r="U99" s="1509"/>
      <c r="V99" s="1509"/>
    </row>
    <row r="100" spans="1:22" ht="12.75" hidden="1" customHeight="1" outlineLevel="1" x14ac:dyDescent="0.2">
      <c r="A100" s="1278">
        <f t="shared" ca="1" si="0"/>
        <v>245</v>
      </c>
      <c r="B100" s="1278">
        <f ca="1">CELL("row",VA!A245)</f>
        <v>245</v>
      </c>
      <c r="C100" s="1278"/>
      <c r="D100" s="1582" t="s">
        <v>447</v>
      </c>
      <c r="E100" s="1509">
        <v>192.643</v>
      </c>
      <c r="F100" s="1509">
        <f t="shared" ca="1" si="9"/>
        <v>195.2</v>
      </c>
      <c r="G100" s="1509"/>
      <c r="H100" s="1509">
        <f ca="1">F100-E100</f>
        <v>2.5569999999999879</v>
      </c>
      <c r="I100" s="1510">
        <f ca="1">IF(ISERROR(F100/E100),"",F100/E100-1)</f>
        <v>1.3273256749531503E-2</v>
      </c>
      <c r="J100" s="1538"/>
      <c r="K100" s="1509">
        <f t="shared" ca="1" si="10"/>
        <v>193.2</v>
      </c>
      <c r="L100" s="1510">
        <f ca="1">IF(ISERROR(F100/K100),"",F100/K100-1)</f>
        <v>1.0351966873705987E-2</v>
      </c>
      <c r="M100" s="1538"/>
      <c r="N100" s="1509">
        <f t="shared" ca="1" si="11"/>
        <v>182.60000000000002</v>
      </c>
      <c r="O100" s="1510">
        <f ca="1">IF(ISERROR(F100/N100),"",F100/N100-1)</f>
        <v>6.900328587075566E-2</v>
      </c>
      <c r="P100" s="677"/>
      <c r="R100" s="1509"/>
      <c r="S100" s="1509"/>
      <c r="T100" s="1509"/>
      <c r="U100" s="1509"/>
      <c r="V100" s="1509"/>
    </row>
    <row r="101" spans="1:22" ht="12.75" hidden="1" customHeight="1" outlineLevel="1" x14ac:dyDescent="0.2">
      <c r="A101" s="1278">
        <f t="shared" ref="A101:A164" ca="1" si="12">IF(B101&lt;&gt;0,B101,"")</f>
        <v>246</v>
      </c>
      <c r="B101" s="1278">
        <f ca="1">CELL("row",VA!A246)</f>
        <v>246</v>
      </c>
      <c r="C101" s="1278"/>
      <c r="D101" s="1581" t="str">
        <f>VA!A246</f>
        <v>YoY Change</v>
      </c>
      <c r="E101" s="1510">
        <v>5.4999999999999938E-2</v>
      </c>
      <c r="F101" s="1218">
        <f t="shared" ca="1" si="9"/>
        <v>6.900328587075566E-2</v>
      </c>
      <c r="G101" s="1520"/>
      <c r="H101" s="1511">
        <f ca="1">(F101-E101)*10000</f>
        <v>140.03285870755721</v>
      </c>
      <c r="I101" s="1522" t="s">
        <v>382</v>
      </c>
      <c r="J101" s="1538"/>
      <c r="K101" s="1218">
        <f t="shared" ca="1" si="10"/>
        <v>6.8737760961200101E-2</v>
      </c>
      <c r="L101" s="1511">
        <f ca="1">(F101-K101)*10000</f>
        <v>2.6552490955555896</v>
      </c>
      <c r="M101" s="1538"/>
      <c r="N101" s="1218">
        <f t="shared" ca="1" si="11"/>
        <v>5.0632911392405111E-2</v>
      </c>
      <c r="O101" s="1511">
        <f ca="1">(F101-N101)*10000</f>
        <v>183.7037447835055</v>
      </c>
      <c r="P101" s="677"/>
      <c r="R101" s="1218"/>
      <c r="S101" s="1218"/>
      <c r="T101" s="1218"/>
      <c r="U101" s="1218"/>
      <c r="V101" s="1218"/>
    </row>
    <row r="102" spans="1:22" ht="6" hidden="1" customHeight="1" outlineLevel="1" x14ac:dyDescent="0.2">
      <c r="A102" s="1278" t="str">
        <f t="shared" si="12"/>
        <v/>
      </c>
      <c r="B102" s="1278"/>
      <c r="C102" s="1278"/>
      <c r="D102" s="1582"/>
      <c r="E102" s="1509"/>
      <c r="F102" s="1509"/>
      <c r="G102" s="1520"/>
      <c r="H102" s="1520"/>
      <c r="I102" s="1510"/>
      <c r="J102" s="1538"/>
      <c r="K102" s="1509"/>
      <c r="L102" s="1510"/>
      <c r="M102" s="1538"/>
      <c r="N102" s="1509"/>
      <c r="O102" s="1539"/>
      <c r="R102" s="1509"/>
      <c r="S102" s="1509"/>
      <c r="T102" s="1509"/>
      <c r="U102" s="1509"/>
      <c r="V102" s="1509"/>
    </row>
    <row r="103" spans="1:22" ht="12.75" hidden="1" customHeight="1" outlineLevel="1" x14ac:dyDescent="0.2">
      <c r="A103" s="1278">
        <f t="shared" ca="1" si="12"/>
        <v>251</v>
      </c>
      <c r="B103" s="1278">
        <f ca="1">CELL("row",VA!A251)</f>
        <v>251</v>
      </c>
      <c r="C103" s="1278"/>
      <c r="D103" s="1582" t="str">
        <f>VA!A251</f>
        <v>Cost Of Revenues</v>
      </c>
      <c r="E103" s="1509">
        <v>57.786570000000005</v>
      </c>
      <c r="F103" s="1509">
        <f ca="1">INDIRECT("'VA'!"&amp;F$1&amp;$B103)</f>
        <v>57.1</v>
      </c>
      <c r="G103" s="1509"/>
      <c r="H103" s="1509">
        <f ca="1">F103-E103</f>
        <v>-0.68657000000000323</v>
      </c>
      <c r="I103" s="1510">
        <f ca="1">IF(ISERROR(F103/E103),"",F103/E103-1)</f>
        <v>-1.1881134318925679E-2</v>
      </c>
      <c r="J103" s="1538"/>
      <c r="K103" s="1509">
        <f ca="1">INDIRECT("'VA'!"&amp;K$1&amp;$B103)</f>
        <v>56.8</v>
      </c>
      <c r="L103" s="1510">
        <f ca="1">IF(ISERROR(F103/K103),"",F103/K103-1)</f>
        <v>5.2816901408452299E-3</v>
      </c>
      <c r="M103" s="1538"/>
      <c r="N103" s="1509">
        <f ca="1">INDIRECT("'VA'!"&amp;N$1&amp;$B103)</f>
        <v>64.900000000000006</v>
      </c>
      <c r="O103" s="1510">
        <f ca="1">IF(ISERROR(F103/N103),"",F103/N103-1)</f>
        <v>-0.12018489984591685</v>
      </c>
      <c r="R103" s="1509"/>
      <c r="S103" s="1509"/>
      <c r="T103" s="1509"/>
      <c r="U103" s="1509"/>
      <c r="V103" s="1509"/>
    </row>
    <row r="104" spans="1:22" ht="12.75" hidden="1" customHeight="1" outlineLevel="1" x14ac:dyDescent="0.2">
      <c r="A104" s="1278">
        <f t="shared" ca="1" si="12"/>
        <v>252</v>
      </c>
      <c r="B104" s="1278">
        <f ca="1">CELL("row",VA!A252)</f>
        <v>252</v>
      </c>
      <c r="C104" s="1278"/>
      <c r="D104" s="1581" t="str">
        <f>VA!A252</f>
        <v>Gross Margin</v>
      </c>
      <c r="E104" s="1510">
        <v>0.70003285870755749</v>
      </c>
      <c r="F104" s="1218">
        <f ca="1">INDIRECT("'VA'!"&amp;F$1&amp;$B104)</f>
        <v>0.70747950819672134</v>
      </c>
      <c r="G104" s="1520"/>
      <c r="H104" s="1511">
        <f ca="1">(F104-E104)*10000</f>
        <v>74.466494891638476</v>
      </c>
      <c r="I104" s="1510">
        <f ca="1">IF(ISERROR(F104/E104),"",F104/E104-1)</f>
        <v>1.0637571360453402E-2</v>
      </c>
      <c r="J104" s="1538"/>
      <c r="K104" s="1218">
        <f ca="1">INDIRECT("'VA'!"&amp;K$1&amp;$B104)</f>
        <v>0.70600414078674945</v>
      </c>
      <c r="L104" s="1511">
        <f ca="1">(F104-K104)*10000</f>
        <v>14.75367409971895</v>
      </c>
      <c r="M104" s="1538"/>
      <c r="N104" s="1218">
        <f ca="1">INDIRECT("'VA'!"&amp;N$1&amp;$B104)</f>
        <v>0.64457831325301207</v>
      </c>
      <c r="O104" s="1511">
        <f ca="1">(F104-N104)*10000</f>
        <v>629.01194943709265</v>
      </c>
      <c r="R104" s="1218"/>
      <c r="S104" s="1218"/>
      <c r="T104" s="1218"/>
      <c r="U104" s="1218"/>
      <c r="V104" s="1218"/>
    </row>
    <row r="105" spans="1:22" ht="6" hidden="1" customHeight="1" outlineLevel="1" x14ac:dyDescent="0.2">
      <c r="A105" s="1278" t="str">
        <f t="shared" si="12"/>
        <v/>
      </c>
      <c r="B105" s="1278"/>
      <c r="C105" s="1278"/>
      <c r="D105" s="1582"/>
      <c r="E105" s="1509"/>
      <c r="F105" s="1509"/>
      <c r="G105" s="1520"/>
      <c r="H105" s="1520"/>
      <c r="I105" s="1510"/>
      <c r="J105" s="1538"/>
      <c r="K105" s="1509"/>
      <c r="L105" s="1510"/>
      <c r="M105" s="1538"/>
      <c r="N105" s="1509"/>
      <c r="O105" s="1539"/>
      <c r="R105" s="1509"/>
      <c r="S105" s="1509"/>
      <c r="T105" s="1509"/>
      <c r="U105" s="1509"/>
      <c r="V105" s="1509"/>
    </row>
    <row r="106" spans="1:22" ht="12.75" hidden="1" customHeight="1" outlineLevel="1" x14ac:dyDescent="0.2">
      <c r="A106" s="1278">
        <f t="shared" ca="1" si="12"/>
        <v>257</v>
      </c>
      <c r="B106" s="1278">
        <f ca="1">CELL("row",VA!A257)</f>
        <v>257</v>
      </c>
      <c r="C106" s="1278"/>
      <c r="D106" s="1582" t="str">
        <f>VA!A257</f>
        <v>Selling General and Administrative</v>
      </c>
      <c r="E106" s="1509">
        <v>21.824784999999995</v>
      </c>
      <c r="F106" s="1509">
        <f ca="1">INDIRECT("'VA'!"&amp;F$1&amp;$B106)</f>
        <v>23.1</v>
      </c>
      <c r="G106" s="1509"/>
      <c r="H106" s="1509">
        <f ca="1">F106-E106</f>
        <v>1.2752150000000064</v>
      </c>
      <c r="I106" s="1510">
        <f ca="1">IF(ISERROR(F106/E106),"",F106/E106-1)</f>
        <v>5.8429670670295586E-2</v>
      </c>
      <c r="J106" s="1538"/>
      <c r="K106" s="1509">
        <f ca="1">INDIRECT("'VA'!"&amp;K$1&amp;$B106)</f>
        <v>20.5</v>
      </c>
      <c r="L106" s="1510">
        <f ca="1">IF(ISERROR(F106/K106),"",F106/K106-1)</f>
        <v>0.12682926829268304</v>
      </c>
      <c r="M106" s="1538"/>
      <c r="N106" s="1509">
        <f ca="1">INDIRECT("'VA'!"&amp;N$1&amp;$B106)</f>
        <v>24</v>
      </c>
      <c r="O106" s="1510">
        <f ca="1">IF(ISERROR(F106/N106),"",F106/N106-1)</f>
        <v>-3.7499999999999978E-2</v>
      </c>
      <c r="R106" s="1509"/>
      <c r="S106" s="1509"/>
      <c r="T106" s="1509"/>
      <c r="U106" s="1509"/>
      <c r="V106" s="1509"/>
    </row>
    <row r="107" spans="1:22" ht="12.75" hidden="1" customHeight="1" outlineLevel="1" x14ac:dyDescent="0.2">
      <c r="A107" s="1278">
        <f t="shared" ca="1" si="12"/>
        <v>258</v>
      </c>
      <c r="B107" s="1278">
        <f ca="1">CELL("row",VA!A258)</f>
        <v>258</v>
      </c>
      <c r="C107" s="1278"/>
      <c r="D107" s="1581" t="str">
        <f>VA!A258</f>
        <v>% of Revenue</v>
      </c>
      <c r="E107" s="1510">
        <v>0.11329134720700983</v>
      </c>
      <c r="F107" s="1218">
        <f ca="1">INDIRECT("'VA'!"&amp;F$1&amp;$B107)</f>
        <v>0.11834016393442624</v>
      </c>
      <c r="G107" s="1520"/>
      <c r="H107" s="1511">
        <f ca="1">(F107-E107)*10000</f>
        <v>50.488167274164162</v>
      </c>
      <c r="I107" s="1510">
        <f ca="1">IF(ISERROR(F107/E107),"",F107/E107-1)</f>
        <v>4.4564892658492727E-2</v>
      </c>
      <c r="J107" s="1538"/>
      <c r="K107" s="1218">
        <f ca="1">INDIRECT("'VA'!"&amp;K$1&amp;$B107)</f>
        <v>0.10610766045548654</v>
      </c>
      <c r="L107" s="1511">
        <f ca="1">(F107-K107)*10000</f>
        <v>122.32503478939699</v>
      </c>
      <c r="M107" s="1538"/>
      <c r="N107" s="1218">
        <f ca="1">INDIRECT("'VA'!"&amp;N$1&amp;$B107)</f>
        <v>0.13143483023001093</v>
      </c>
      <c r="O107" s="1511">
        <f ca="1">(F107-N107)*10000</f>
        <v>-130.94666295584688</v>
      </c>
      <c r="R107" s="1218"/>
      <c r="S107" s="1218"/>
      <c r="T107" s="1218"/>
      <c r="U107" s="1218"/>
      <c r="V107" s="1218"/>
    </row>
    <row r="108" spans="1:22" ht="6" hidden="1" customHeight="1" outlineLevel="1" x14ac:dyDescent="0.2">
      <c r="A108" s="1278" t="str">
        <f t="shared" si="12"/>
        <v/>
      </c>
      <c r="B108" s="1278"/>
      <c r="C108" s="1278"/>
      <c r="D108" s="1582"/>
      <c r="E108" s="1509"/>
      <c r="F108" s="1509"/>
      <c r="G108" s="1520"/>
      <c r="H108" s="1520"/>
      <c r="I108" s="1510"/>
      <c r="J108" s="1538"/>
      <c r="K108" s="1509"/>
      <c r="L108" s="1510"/>
      <c r="M108" s="1538"/>
      <c r="N108" s="1509"/>
      <c r="O108" s="1539"/>
      <c r="R108" s="1509"/>
      <c r="S108" s="1509"/>
      <c r="T108" s="1509"/>
      <c r="U108" s="1509"/>
      <c r="V108" s="1509"/>
    </row>
    <row r="109" spans="1:22" ht="12.75" hidden="1" customHeight="1" outlineLevel="1" x14ac:dyDescent="0.2">
      <c r="A109" s="1278">
        <f t="shared" ca="1" si="12"/>
        <v>263</v>
      </c>
      <c r="B109" s="1278">
        <f ca="1">CELL("row",VA!A263)</f>
        <v>263</v>
      </c>
      <c r="C109" s="1278"/>
      <c r="D109" s="1582" t="str">
        <f>VA!A263</f>
        <v>Total Expenses</v>
      </c>
      <c r="E109" s="1509">
        <v>79.611355000000003</v>
      </c>
      <c r="F109" s="1509">
        <f ca="1">INDIRECT("'VA'!"&amp;F$1&amp;$B109)</f>
        <v>80.2</v>
      </c>
      <c r="G109" s="1509"/>
      <c r="H109" s="1509">
        <f ca="1">F109-E109</f>
        <v>0.58864499999999964</v>
      </c>
      <c r="I109" s="1510">
        <f ca="1">IF(ISERROR(F109/E109),"",F109/E109-1)</f>
        <v>7.3939829312037464E-3</v>
      </c>
      <c r="J109" s="1538"/>
      <c r="K109" s="1509">
        <f ca="1">INDIRECT("'VA'!"&amp;K$1&amp;$B109)</f>
        <v>77.3</v>
      </c>
      <c r="L109" s="1510">
        <f ca="1">IF(ISERROR(F109/K109),"",F109/K109-1)</f>
        <v>3.7516170763260082E-2</v>
      </c>
      <c r="M109" s="1538"/>
      <c r="N109" s="1509">
        <f ca="1">INDIRECT("'VA'!"&amp;N$1&amp;$B109)</f>
        <v>88.9</v>
      </c>
      <c r="O109" s="1510">
        <f ca="1">IF(ISERROR(F109/N109),"",F109/N109-1)</f>
        <v>-9.7862767154105801E-2</v>
      </c>
      <c r="R109" s="1509"/>
      <c r="S109" s="1509"/>
      <c r="T109" s="1509"/>
      <c r="U109" s="1509"/>
      <c r="V109" s="1509"/>
    </row>
    <row r="110" spans="1:22" ht="6" hidden="1" customHeight="1" outlineLevel="1" x14ac:dyDescent="0.2">
      <c r="A110" s="1278" t="str">
        <f t="shared" si="12"/>
        <v/>
      </c>
      <c r="B110" s="1278"/>
      <c r="C110" s="1278"/>
      <c r="D110" s="1582"/>
      <c r="E110" s="1509"/>
      <c r="F110" s="1509"/>
      <c r="G110" s="1520"/>
      <c r="H110" s="1520"/>
      <c r="I110" s="1510"/>
      <c r="J110" s="1538"/>
      <c r="K110" s="1509"/>
      <c r="L110" s="1510"/>
      <c r="M110" s="1538"/>
      <c r="N110" s="1509"/>
      <c r="O110" s="1539"/>
      <c r="R110" s="1509"/>
      <c r="S110" s="1509"/>
      <c r="T110" s="1509"/>
      <c r="U110" s="1509"/>
      <c r="V110" s="1509"/>
    </row>
    <row r="111" spans="1:22" ht="12.75" hidden="1" customHeight="1" outlineLevel="1" x14ac:dyDescent="0.2">
      <c r="A111" s="1278">
        <f t="shared" ca="1" si="12"/>
        <v>265</v>
      </c>
      <c r="B111" s="1278">
        <f ca="1">CELL("row",VA!A265)</f>
        <v>265</v>
      </c>
      <c r="C111" s="1278"/>
      <c r="D111" s="1582" t="str">
        <f>VA!A265</f>
        <v>Adjustments</v>
      </c>
      <c r="E111" s="1509">
        <v>0</v>
      </c>
      <c r="F111" s="1509">
        <f ca="1">INDIRECT("'VA'!"&amp;F$1&amp;$B111)</f>
        <v>-0.2</v>
      </c>
      <c r="G111" s="1509"/>
      <c r="H111" s="1509">
        <f ca="1">F111-E111</f>
        <v>-0.2</v>
      </c>
      <c r="I111" s="1510" t="str">
        <f ca="1">IF(ISERROR(F111/E111),"",F111/E111-1)</f>
        <v/>
      </c>
      <c r="J111" s="1538"/>
      <c r="K111" s="1509">
        <f ca="1">INDIRECT("'VA'!"&amp;K$1&amp;$B111)</f>
        <v>-0.1</v>
      </c>
      <c r="L111" s="1510">
        <f ca="1">IF(ISERROR(F111/K111),"",F111/K111-1)</f>
        <v>1</v>
      </c>
      <c r="M111" s="1538"/>
      <c r="N111" s="1509">
        <f ca="1">INDIRECT("'VA'!"&amp;N$1&amp;$B111)</f>
        <v>-10.799999999999999</v>
      </c>
      <c r="O111" s="1510">
        <f ca="1">IF(ISERROR(F111/N111),"",F111/N111-1)</f>
        <v>-0.98148148148148151</v>
      </c>
      <c r="R111" s="1509"/>
      <c r="S111" s="1509"/>
      <c r="T111" s="1509"/>
      <c r="U111" s="1509"/>
      <c r="V111" s="1509"/>
    </row>
    <row r="112" spans="1:22" ht="12.75" hidden="1" customHeight="1" outlineLevel="1" x14ac:dyDescent="0.2">
      <c r="A112" s="1278">
        <f t="shared" ca="1" si="12"/>
        <v>266</v>
      </c>
      <c r="B112" s="1278">
        <f ca="1">CELL("row",VA!A266)</f>
        <v>266</v>
      </c>
      <c r="C112" s="1278"/>
      <c r="D112" s="1581" t="str">
        <f>VA!A266</f>
        <v>% of Revenue</v>
      </c>
      <c r="E112" s="1510">
        <v>0</v>
      </c>
      <c r="F112" s="1218">
        <f ca="1">INDIRECT("'VA'!"&amp;F$1&amp;$B112)</f>
        <v>0</v>
      </c>
      <c r="G112" s="1520"/>
      <c r="H112" s="1511">
        <f ca="1">(F112-E112)*10000</f>
        <v>0</v>
      </c>
      <c r="I112" s="1510" t="str">
        <f ca="1">IF(ISERROR(F112/E112),"",F112/E112-1)</f>
        <v/>
      </c>
      <c r="J112" s="1538"/>
      <c r="K112" s="1218">
        <f ca="1">INDIRECT("'VA'!"&amp;K$1&amp;$B112)</f>
        <v>0</v>
      </c>
      <c r="L112" s="1511">
        <f ca="1">(F112-K112)*10000</f>
        <v>0</v>
      </c>
      <c r="M112" s="1538"/>
      <c r="N112" s="1218">
        <f ca="1">INDIRECT("'VA'!"&amp;N$1&amp;$B112)</f>
        <v>0</v>
      </c>
      <c r="O112" s="1511">
        <f ca="1">(F112-N112)*10000</f>
        <v>0</v>
      </c>
      <c r="R112" s="1218"/>
      <c r="S112" s="1218"/>
      <c r="T112" s="1218"/>
      <c r="U112" s="1218"/>
      <c r="V112" s="1218"/>
    </row>
    <row r="113" spans="1:25" ht="6" hidden="1" customHeight="1" outlineLevel="1" x14ac:dyDescent="0.2">
      <c r="A113" s="1278" t="str">
        <f t="shared" si="12"/>
        <v/>
      </c>
      <c r="B113" s="1278"/>
      <c r="C113" s="1278"/>
      <c r="D113" s="1582"/>
      <c r="E113" s="1509"/>
      <c r="F113" s="1509"/>
      <c r="G113" s="1520"/>
      <c r="H113" s="1520"/>
      <c r="I113" s="1510"/>
      <c r="J113" s="1538"/>
      <c r="K113" s="1509"/>
      <c r="L113" s="1510"/>
      <c r="M113" s="1538"/>
      <c r="N113" s="1509"/>
      <c r="O113" s="1539"/>
      <c r="R113" s="1509"/>
      <c r="S113" s="1509"/>
      <c r="T113" s="1509"/>
      <c r="U113" s="1509"/>
      <c r="V113" s="1509"/>
    </row>
    <row r="114" spans="1:25" ht="12.75" hidden="1" customHeight="1" outlineLevel="1" x14ac:dyDescent="0.2">
      <c r="A114" s="1278">
        <f t="shared" ca="1" si="12"/>
        <v>268</v>
      </c>
      <c r="B114" s="1278">
        <f ca="1">CELL("row",VA!A268)</f>
        <v>268</v>
      </c>
      <c r="C114" s="1278"/>
      <c r="D114" s="1582" t="str">
        <f>VA!A268</f>
        <v>Total Expenses ex. ESOP</v>
      </c>
      <c r="E114" s="1509">
        <v>79.611355000000003</v>
      </c>
      <c r="F114" s="1509">
        <f ca="1">INDIRECT("'VA'!"&amp;F$1&amp;$B114)</f>
        <v>80.400000000000006</v>
      </c>
      <c r="G114" s="1509"/>
      <c r="H114" s="1509">
        <f ca="1">F114-E114</f>
        <v>0.78864500000000248</v>
      </c>
      <c r="I114" s="1510">
        <f ca="1">IF(ISERROR(F114/E114),"",F114/E114-1)</f>
        <v>9.9061873774162201E-3</v>
      </c>
      <c r="J114" s="1538"/>
      <c r="K114" s="1509">
        <f ca="1">INDIRECT("'VA'!"&amp;K$1&amp;$B114)</f>
        <v>77.399999999999991</v>
      </c>
      <c r="L114" s="1510">
        <f ca="1">IF(ISERROR(F114/K114),"",F114/K114-1)</f>
        <v>3.8759689922480911E-2</v>
      </c>
      <c r="M114" s="1538"/>
      <c r="N114" s="1509">
        <f ca="1">INDIRECT("'VA'!"&amp;N$1&amp;$B114)</f>
        <v>99.7</v>
      </c>
      <c r="O114" s="1510">
        <f ca="1">IF(ISERROR(F114/N114),"",F114/N114-1)</f>
        <v>-0.19358074222667998</v>
      </c>
      <c r="R114" s="1509"/>
      <c r="S114" s="1509"/>
      <c r="T114" s="1509"/>
      <c r="U114" s="1509"/>
      <c r="V114" s="1509"/>
    </row>
    <row r="115" spans="1:25" ht="6" hidden="1" customHeight="1" outlineLevel="1" x14ac:dyDescent="0.2">
      <c r="A115" s="1278" t="str">
        <f t="shared" si="12"/>
        <v/>
      </c>
      <c r="B115" s="1278"/>
      <c r="C115" s="1278"/>
      <c r="D115" s="1582"/>
      <c r="E115" s="1509"/>
      <c r="F115" s="1509"/>
      <c r="G115" s="1520"/>
      <c r="H115" s="1520"/>
      <c r="I115" s="1510"/>
      <c r="J115" s="1538"/>
      <c r="K115" s="1509"/>
      <c r="L115" s="1510"/>
      <c r="M115" s="1538"/>
      <c r="N115" s="1509"/>
      <c r="O115" s="1539"/>
      <c r="R115" s="1509"/>
      <c r="S115" s="1509"/>
      <c r="T115" s="1509"/>
      <c r="U115" s="1509"/>
      <c r="V115" s="1509"/>
    </row>
    <row r="116" spans="1:25" ht="12.75" hidden="1" customHeight="1" outlineLevel="1" x14ac:dyDescent="0.2">
      <c r="A116" s="1278">
        <f t="shared" ca="1" si="12"/>
        <v>270</v>
      </c>
      <c r="B116" s="1283">
        <f ca="1">CELL("row",VA!A270)</f>
        <v>270</v>
      </c>
      <c r="C116" s="1278"/>
      <c r="D116" s="1592" t="str">
        <f>VA!A270</f>
        <v>Segment EBITDA</v>
      </c>
      <c r="E116" s="1523">
        <v>113.031645</v>
      </c>
      <c r="F116" s="1523">
        <f ca="1">INDIRECT("'VA'!"&amp;F$1&amp;$B116)</f>
        <v>114.99999999999999</v>
      </c>
      <c r="G116" s="1523"/>
      <c r="H116" s="1523">
        <f ca="1">F116-E116</f>
        <v>1.9683549999999883</v>
      </c>
      <c r="I116" s="1527">
        <f ca="1">IF(ISERROR(F116/E116),"",F116/E116-1)</f>
        <v>1.7414194051586174E-2</v>
      </c>
      <c r="J116" s="1553"/>
      <c r="K116" s="1523">
        <f ca="1">INDIRECT("'VA'!"&amp;K$1&amp;$B116)</f>
        <v>115.89999999999999</v>
      </c>
      <c r="L116" s="1527">
        <f ca="1">IF(ISERROR(F116/K116),"",F116/K116-1)</f>
        <v>-7.7653149266609933E-3</v>
      </c>
      <c r="M116" s="1553"/>
      <c r="N116" s="1523">
        <f ca="1">INDIRECT("'VA'!"&amp;N$1&amp;$B116)</f>
        <v>93.700000000000017</v>
      </c>
      <c r="O116" s="1527">
        <f ca="1">IF(ISERROR(F116/N116),"",F116/N116-1)</f>
        <v>0.22732123799359627</v>
      </c>
      <c r="R116" s="1509"/>
      <c r="S116" s="1509"/>
      <c r="T116" s="1509"/>
      <c r="U116" s="1509"/>
      <c r="V116" s="1509"/>
    </row>
    <row r="117" spans="1:25" ht="12.75" hidden="1" customHeight="1" outlineLevel="1" x14ac:dyDescent="0.2">
      <c r="A117" s="1278">
        <f t="shared" ca="1" si="12"/>
        <v>271</v>
      </c>
      <c r="B117" s="1283">
        <f ca="1">CELL("row",VA!A271)</f>
        <v>271</v>
      </c>
      <c r="C117" s="1278"/>
      <c r="D117" s="1593" t="str">
        <f>VA!A271</f>
        <v>EBITDA Margin</v>
      </c>
      <c r="E117" s="1517">
        <v>0.58674151150054765</v>
      </c>
      <c r="F117" s="1525">
        <f ca="1">INDIRECT("'VA'!"&amp;F$1&amp;$B117)</f>
        <v>0.58913934426229508</v>
      </c>
      <c r="G117" s="1594"/>
      <c r="H117" s="1518">
        <f ca="1">(F117-E117)*10000</f>
        <v>23.978327617474314</v>
      </c>
      <c r="I117" s="1517">
        <f ca="1">IF(ISERROR(F117/E117),"",F117/E117-1)</f>
        <v>4.0866935690559991E-3</v>
      </c>
      <c r="J117" s="1557"/>
      <c r="K117" s="1525">
        <f ca="1">INDIRECT("'VA'!"&amp;K$1&amp;$B117)</f>
        <v>0.59989648033126297</v>
      </c>
      <c r="L117" s="1518">
        <f ca="1">(F117-K117)*10000</f>
        <v>-107.57136068967887</v>
      </c>
      <c r="M117" s="1557"/>
      <c r="N117" s="1525">
        <f ca="1">INDIRECT("'VA'!"&amp;N$1&amp;$B117)</f>
        <v>0.51314348302300117</v>
      </c>
      <c r="O117" s="1518">
        <f ca="1">(F117-N117)*10000</f>
        <v>759.95861239293913</v>
      </c>
      <c r="R117" s="1218"/>
      <c r="S117" s="1218"/>
      <c r="T117" s="1218"/>
      <c r="U117" s="1218"/>
      <c r="V117" s="1218"/>
    </row>
    <row r="118" spans="1:25" ht="6" hidden="1" customHeight="1" outlineLevel="1" x14ac:dyDescent="0.2">
      <c r="A118" s="1278" t="str">
        <f t="shared" si="12"/>
        <v/>
      </c>
      <c r="B118" s="1278"/>
      <c r="C118" s="1278"/>
      <c r="D118" s="1582"/>
      <c r="E118" s="1509"/>
      <c r="F118" s="1509"/>
      <c r="G118" s="1520"/>
      <c r="H118" s="1520"/>
      <c r="I118" s="1510"/>
      <c r="J118" s="1538"/>
      <c r="K118" s="1509"/>
      <c r="L118" s="1510"/>
      <c r="M118" s="1538"/>
      <c r="N118" s="1509"/>
      <c r="O118" s="1539"/>
      <c r="P118" s="677"/>
      <c r="R118" s="1509"/>
      <c r="S118" s="1509"/>
      <c r="T118" s="1509"/>
      <c r="U118" s="1509"/>
      <c r="V118" s="1509"/>
    </row>
    <row r="119" spans="1:25" ht="12.75" hidden="1" customHeight="1" outlineLevel="1" x14ac:dyDescent="0.2">
      <c r="A119" s="1278">
        <f t="shared" ca="1" si="12"/>
        <v>273</v>
      </c>
      <c r="B119" s="1283">
        <f ca="1">CELL("row",VA!A273)</f>
        <v>273</v>
      </c>
      <c r="C119" s="1278"/>
      <c r="D119" s="1592" t="str">
        <f>VA!A273</f>
        <v>Segment Adj. EBITDA</v>
      </c>
      <c r="E119" s="1523">
        <v>113.031645</v>
      </c>
      <c r="F119" s="1595">
        <f ca="1">INDIRECT("'VA'!"&amp;F$1&amp;$B119)</f>
        <v>115.19999999999999</v>
      </c>
      <c r="G119" s="1523"/>
      <c r="H119" s="1523">
        <f ca="1">F119-E119</f>
        <v>2.1683549999999912</v>
      </c>
      <c r="I119" s="1527">
        <f ca="1">IF(ISERROR(F119/E119),"",F119/E119-1)</f>
        <v>1.9183610041241028E-2</v>
      </c>
      <c r="J119" s="1553"/>
      <c r="K119" s="1523">
        <f ca="1">INDIRECT("'VA'!"&amp;K$1&amp;$B119)</f>
        <v>115.99999999999999</v>
      </c>
      <c r="L119" s="1527">
        <f ca="1">IF(ISERROR(F119/K119),"",F119/K119-1)</f>
        <v>-6.8965517241379448E-3</v>
      </c>
      <c r="M119" s="1553"/>
      <c r="N119" s="1523">
        <f ca="1">INDIRECT("'VA'!"&amp;N$1&amp;$B119)</f>
        <v>104.50000000000001</v>
      </c>
      <c r="O119" s="1527">
        <f ca="1">IF(ISERROR(F119/N119),"",F119/N119-1)</f>
        <v>0.10239234449760737</v>
      </c>
      <c r="P119" s="677"/>
      <c r="R119" s="1509"/>
      <c r="S119" s="1509"/>
      <c r="T119" s="1509"/>
      <c r="U119" s="1509"/>
      <c r="V119" s="1509"/>
    </row>
    <row r="120" spans="1:25" ht="12.75" hidden="1" customHeight="1" outlineLevel="1" x14ac:dyDescent="0.2">
      <c r="A120" s="1278">
        <f t="shared" ca="1" si="12"/>
        <v>274</v>
      </c>
      <c r="B120" s="1283">
        <f ca="1">CELL("row",VA!A274)</f>
        <v>274</v>
      </c>
      <c r="C120" s="1278"/>
      <c r="D120" s="1593" t="str">
        <f>VA!A274</f>
        <v>Adj. EBITDA Margin</v>
      </c>
      <c r="E120" s="1517">
        <v>0.58674151150054765</v>
      </c>
      <c r="F120" s="1525">
        <f ca="1">INDIRECT("'VA'!"&amp;F$1&amp;$B120)</f>
        <v>0.5901639344262295</v>
      </c>
      <c r="G120" s="1594"/>
      <c r="H120" s="1518">
        <f ca="1">(F120-E120)*10000</f>
        <v>34.224229256818447</v>
      </c>
      <c r="I120" s="1518">
        <f ca="1">IF(ISERROR(F120-E120),"",10000*(F120-E120))</f>
        <v>34.224229256818447</v>
      </c>
      <c r="J120" s="1557"/>
      <c r="K120" s="1525">
        <f ca="1">INDIRECT("'VA'!"&amp;K$1&amp;$B120)</f>
        <v>0.60041407867494823</v>
      </c>
      <c r="L120" s="1518">
        <f ca="1">(F120-K120)*10000</f>
        <v>-102.50144248718729</v>
      </c>
      <c r="M120" s="1557"/>
      <c r="N120" s="1525">
        <f ca="1">INDIRECT("'VA'!"&amp;N$1&amp;$B120)</f>
        <v>0.57228915662650603</v>
      </c>
      <c r="O120" s="1518">
        <f ca="1">(F120-N120)*10000</f>
        <v>178.74777799723464</v>
      </c>
      <c r="P120" s="677"/>
      <c r="R120" s="1218"/>
      <c r="S120" s="1218"/>
      <c r="T120" s="1218"/>
      <c r="U120" s="1218"/>
      <c r="V120" s="1218"/>
    </row>
    <row r="121" spans="1:25" ht="12.75" hidden="1" customHeight="1" outlineLevel="1" x14ac:dyDescent="0.2">
      <c r="A121" s="1278" t="str">
        <f t="shared" si="12"/>
        <v/>
      </c>
      <c r="B121" s="1278"/>
      <c r="C121" s="1278"/>
      <c r="D121" s="1582"/>
      <c r="E121" s="1509"/>
      <c r="F121" s="1509"/>
      <c r="G121" s="1520"/>
      <c r="H121" s="1520"/>
      <c r="I121" s="1510"/>
      <c r="J121" s="1538"/>
      <c r="K121" s="1509"/>
      <c r="L121" s="1510"/>
      <c r="M121" s="1538"/>
      <c r="N121" s="1509"/>
      <c r="O121" s="1539"/>
      <c r="P121" s="677"/>
      <c r="R121" s="1509"/>
      <c r="S121" s="1509"/>
      <c r="T121" s="1509"/>
      <c r="U121" s="1509"/>
      <c r="V121" s="1509"/>
    </row>
    <row r="122" spans="1:25" ht="12.75" hidden="1" customHeight="1" outlineLevel="1" x14ac:dyDescent="0.2">
      <c r="A122" s="1278" t="str">
        <f t="shared" si="12"/>
        <v/>
      </c>
      <c r="B122" s="1278"/>
      <c r="C122" s="1278"/>
      <c r="D122" s="1589" t="s">
        <v>106</v>
      </c>
      <c r="E122" s="1538"/>
      <c r="F122" s="1538"/>
      <c r="G122" s="1590"/>
      <c r="H122" s="1590"/>
      <c r="I122" s="1558"/>
      <c r="J122" s="1538"/>
      <c r="K122" s="1538"/>
      <c r="L122" s="1558"/>
      <c r="M122" s="1538"/>
      <c r="N122" s="1538"/>
      <c r="O122" s="1591"/>
      <c r="P122" s="677"/>
      <c r="R122" s="1509"/>
      <c r="S122" s="1509"/>
      <c r="T122" s="1509"/>
      <c r="U122" s="1509"/>
      <c r="V122" s="1509"/>
      <c r="X122" s="677"/>
      <c r="Y122" s="677"/>
    </row>
    <row r="123" spans="1:25" ht="12.75" hidden="1" customHeight="1" outlineLevel="2" x14ac:dyDescent="0.2">
      <c r="A123" s="1278">
        <f t="shared" ca="1" si="12"/>
        <v>308</v>
      </c>
      <c r="B123" s="1278">
        <f ca="1">CELL("row",VA!A308)</f>
        <v>308</v>
      </c>
      <c r="C123" s="1278"/>
      <c r="D123" s="1582" t="str">
        <f>VA!A308</f>
        <v>Insurance</v>
      </c>
      <c r="E123" s="1509">
        <v>205.47295000000003</v>
      </c>
      <c r="F123" s="1509">
        <f ca="1">INDIRECT("'VA'!"&amp;F$1&amp;$B123)</f>
        <v>211.2</v>
      </c>
      <c r="G123" s="1509"/>
      <c r="H123" s="1509">
        <f ca="1">F123-E123</f>
        <v>5.7270499999999629</v>
      </c>
      <c r="I123" s="1510">
        <f ca="1">IF(ISERROR(F123/E123),"",F123/E123-1)</f>
        <v>2.7872525312942376E-2</v>
      </c>
      <c r="J123" s="1538"/>
      <c r="K123" s="1509">
        <f ca="1">INDIRECT("'VA'!"&amp;K$1&amp;$B123)</f>
        <v>203.9</v>
      </c>
      <c r="L123" s="1510">
        <f ca="1">IF(ISERROR(F123/K123),"",F123/K123-1)</f>
        <v>3.5801863658656119E-2</v>
      </c>
      <c r="M123" s="1538"/>
      <c r="N123" s="1509">
        <f ca="1">INDIRECT("'VA'!"&amp;N$1&amp;$B123)</f>
        <v>178.3</v>
      </c>
      <c r="O123" s="1510">
        <f ca="1">IF(ISERROR(F123/N123),"",F123/N123-1)</f>
        <v>0.18452047111609637</v>
      </c>
      <c r="R123" s="1509"/>
      <c r="S123" s="1509"/>
      <c r="T123" s="1509"/>
      <c r="U123" s="1509"/>
      <c r="V123" s="1509"/>
      <c r="Y123" s="27"/>
    </row>
    <row r="124" spans="1:25" ht="12.75" hidden="1" customHeight="1" outlineLevel="2" x14ac:dyDescent="0.2">
      <c r="A124" s="1278" t="str">
        <f t="shared" si="12"/>
        <v/>
      </c>
      <c r="B124" s="1278"/>
      <c r="C124" s="1278"/>
      <c r="D124" s="1581" t="str">
        <f>VA!A288</f>
        <v>YoY Change</v>
      </c>
      <c r="E124" s="1218">
        <f ca="1">$E123/$N123-1</f>
        <v>0.15240016825574876</v>
      </c>
      <c r="F124" s="1218">
        <f ca="1">F$123/$N123-1</f>
        <v>0.18452047111609637</v>
      </c>
      <c r="G124" s="1520"/>
      <c r="H124" s="1511">
        <f ca="1">(F124-E124)*10000</f>
        <v>321.20302860347618</v>
      </c>
      <c r="I124" s="1522" t="s">
        <v>382</v>
      </c>
      <c r="J124" s="1538"/>
      <c r="K124" s="1218"/>
      <c r="L124" s="1511"/>
      <c r="M124" s="1538"/>
      <c r="N124" s="1218"/>
      <c r="O124" s="1511"/>
      <c r="R124" s="1218"/>
      <c r="S124" s="1218"/>
      <c r="T124" s="1218"/>
      <c r="U124" s="1218"/>
      <c r="V124" s="1218"/>
    </row>
    <row r="125" spans="1:25" ht="12.75" hidden="1" customHeight="1" outlineLevel="2" x14ac:dyDescent="0.2">
      <c r="A125" s="1278">
        <f t="shared" ca="1" si="12"/>
        <v>309</v>
      </c>
      <c r="B125" s="1278">
        <f ca="1">CELL("row",VA!A309)</f>
        <v>309</v>
      </c>
      <c r="C125" s="1278"/>
      <c r="D125" s="1582" t="str">
        <f>VA!A309</f>
        <v>Financial Services</v>
      </c>
      <c r="E125" s="1509">
        <v>47.085000899133561</v>
      </c>
      <c r="F125" s="1509">
        <f ca="1">INDIRECT("'VA'!"&amp;F$1&amp;$B125)</f>
        <v>47.3</v>
      </c>
      <c r="G125" s="1509"/>
      <c r="H125" s="1509">
        <f ca="1">F125-E125</f>
        <v>0.21499910086643581</v>
      </c>
      <c r="I125" s="1510">
        <f ca="1">IF(ISERROR(F125/E125),"",F125/E125-1)</f>
        <v>4.5661908625000969E-3</v>
      </c>
      <c r="J125" s="1538"/>
      <c r="K125" s="1509">
        <f ca="1">INDIRECT("'VA'!"&amp;K$1&amp;$B125)</f>
        <v>40.6</v>
      </c>
      <c r="L125" s="1510">
        <f ca="1">IF(ISERROR(F125/K125),"",F125/K125-1)</f>
        <v>0.16502463054187189</v>
      </c>
      <c r="M125" s="1538"/>
      <c r="N125" s="1509">
        <f ca="1">INDIRECT("'VA'!"&amp;N$1&amp;$B125)</f>
        <v>35.5</v>
      </c>
      <c r="O125" s="1510">
        <f ca="1">IF(ISERROR(F125/N125),"",F125/N125-1)</f>
        <v>0.3323943661971831</v>
      </c>
      <c r="Q125" s="880"/>
      <c r="R125" s="1509"/>
      <c r="S125" s="1509"/>
      <c r="T125" s="1509"/>
      <c r="U125" s="1509"/>
      <c r="V125" s="1509"/>
      <c r="Y125" s="27"/>
    </row>
    <row r="126" spans="1:25" ht="12.75" hidden="1" customHeight="1" outlineLevel="2" x14ac:dyDescent="0.2">
      <c r="A126" s="1278" t="str">
        <f t="shared" si="12"/>
        <v/>
      </c>
      <c r="B126" s="1278"/>
      <c r="C126" s="1278"/>
      <c r="D126" s="1581" t="str">
        <f>VA!A295</f>
        <v>YoY Change</v>
      </c>
      <c r="E126" s="1218">
        <f ca="1">$E125/$N125-1</f>
        <v>0.32633805349671996</v>
      </c>
      <c r="F126" s="1218">
        <f ca="1">F125/N125-1</f>
        <v>0.3323943661971831</v>
      </c>
      <c r="G126" s="1520"/>
      <c r="H126" s="1511">
        <f ca="1">(F126-E126)*10000</f>
        <v>60.563127004631397</v>
      </c>
      <c r="I126" s="1522" t="s">
        <v>382</v>
      </c>
      <c r="J126" s="1538"/>
      <c r="K126" s="1218"/>
      <c r="L126" s="1511"/>
      <c r="M126" s="1538"/>
      <c r="N126" s="1218"/>
      <c r="O126" s="1511"/>
      <c r="R126" s="1218"/>
      <c r="S126" s="1218"/>
      <c r="T126" s="1218"/>
      <c r="U126" s="1218"/>
      <c r="V126" s="1218"/>
    </row>
    <row r="127" spans="1:25" ht="12.75" hidden="1" customHeight="1" outlineLevel="2" x14ac:dyDescent="0.2">
      <c r="A127" s="1278">
        <f t="shared" si="12"/>
        <v>311</v>
      </c>
      <c r="B127" s="1278">
        <v>311</v>
      </c>
      <c r="C127" s="1278"/>
      <c r="D127" s="1582" t="str">
        <f>VA!A311</f>
        <v>Specialized Markets incl. Energy</v>
      </c>
      <c r="E127" s="1509">
        <v>112.4425</v>
      </c>
      <c r="F127" s="1509">
        <f ca="1">INDIRECT("'VA'!"&amp;F$1&amp;$B127)</f>
        <v>116.6</v>
      </c>
      <c r="G127" s="1509"/>
      <c r="H127" s="1509">
        <f ca="1">F127-E127</f>
        <v>4.1574999999999989</v>
      </c>
      <c r="I127" s="1510">
        <f ca="1">IF(ISERROR(F127/E127),"",F127/E127-1)</f>
        <v>3.6974453609622593E-2</v>
      </c>
      <c r="J127" s="1538"/>
      <c r="K127" s="1509">
        <f ca="1">INDIRECT("'VA'!"&amp;K$1&amp;$B127)</f>
        <v>111.4</v>
      </c>
      <c r="L127" s="1510">
        <f ca="1">IF(ISERROR(F127/K127),"",F127/K127-1)</f>
        <v>4.6678635547576119E-2</v>
      </c>
      <c r="M127" s="1538"/>
      <c r="N127" s="1509">
        <f ca="1">INDIRECT("'VA'!"&amp;N$1&amp;$B127)</f>
        <v>109.7</v>
      </c>
      <c r="O127" s="1510">
        <f ca="1">IF(ISERROR(F127/N127),"",F127/N127-1)</f>
        <v>6.2898814949863269E-2</v>
      </c>
      <c r="R127" s="1509"/>
      <c r="S127" s="1509"/>
      <c r="T127" s="1509"/>
      <c r="U127" s="1509"/>
      <c r="V127" s="1509"/>
      <c r="Y127" s="27"/>
    </row>
    <row r="128" spans="1:25" ht="12.75" hidden="1" customHeight="1" outlineLevel="2" x14ac:dyDescent="0.2">
      <c r="A128" s="1278" t="str">
        <f t="shared" si="12"/>
        <v/>
      </c>
      <c r="B128" s="1278"/>
      <c r="C128" s="1278"/>
      <c r="D128" s="1581" t="s">
        <v>209</v>
      </c>
      <c r="E128" s="1218">
        <f ca="1">$E127/$N127-1</f>
        <v>2.4999999999999911E-2</v>
      </c>
      <c r="F128" s="1218">
        <f ca="1">F127/N127-1</f>
        <v>6.2898814949863269E-2</v>
      </c>
      <c r="G128" s="1520"/>
      <c r="H128" s="1511">
        <f ca="1">(F128-E128)*10000</f>
        <v>378.98814949863356</v>
      </c>
      <c r="I128" s="1522" t="s">
        <v>382</v>
      </c>
      <c r="J128" s="1538"/>
      <c r="K128" s="1218"/>
      <c r="L128" s="1511"/>
      <c r="M128" s="1538"/>
      <c r="N128" s="1218"/>
      <c r="O128" s="1511"/>
      <c r="R128" s="1218"/>
      <c r="S128" s="1218"/>
      <c r="T128" s="1218"/>
      <c r="U128" s="1218"/>
      <c r="V128" s="1218"/>
    </row>
    <row r="129" spans="1:22" ht="5.0999999999999996" hidden="1" customHeight="1" outlineLevel="1" x14ac:dyDescent="0.2">
      <c r="A129" s="1278" t="str">
        <f t="shared" si="12"/>
        <v/>
      </c>
      <c r="B129" s="1278"/>
      <c r="C129" s="1278"/>
      <c r="D129" s="1582"/>
      <c r="E129" s="1509"/>
      <c r="F129" s="1509"/>
      <c r="G129" s="1520"/>
      <c r="H129" s="1520"/>
      <c r="I129" s="1510"/>
      <c r="J129" s="1538"/>
      <c r="K129" s="1509"/>
      <c r="L129" s="1510"/>
      <c r="M129" s="1538"/>
      <c r="N129" s="1509"/>
      <c r="O129" s="1539"/>
      <c r="R129" s="1509"/>
      <c r="S129" s="1509"/>
      <c r="T129" s="1509"/>
      <c r="U129" s="1509"/>
      <c r="V129" s="1509"/>
    </row>
    <row r="130" spans="1:22" ht="12.75" hidden="1" customHeight="1" outlineLevel="2" x14ac:dyDescent="0.2">
      <c r="A130" s="1278" t="str">
        <f t="shared" si="12"/>
        <v/>
      </c>
      <c r="B130" s="1278"/>
      <c r="C130" s="1278"/>
      <c r="D130" s="1583" t="s">
        <v>448</v>
      </c>
      <c r="E130" s="1509"/>
      <c r="F130" s="1509"/>
      <c r="G130" s="1520"/>
      <c r="H130" s="1520"/>
      <c r="I130" s="1510"/>
      <c r="J130" s="1538"/>
      <c r="K130" s="1509"/>
      <c r="L130" s="1510"/>
      <c r="M130" s="1538"/>
      <c r="N130" s="1509"/>
      <c r="O130" s="1539"/>
      <c r="R130" s="1509"/>
      <c r="S130" s="1509"/>
      <c r="T130" s="1509"/>
      <c r="U130" s="1509"/>
      <c r="V130" s="1509"/>
    </row>
    <row r="131" spans="1:22" ht="12.75" hidden="1" customHeight="1" outlineLevel="2" x14ac:dyDescent="0.2">
      <c r="A131" s="1278" t="str">
        <f t="shared" si="12"/>
        <v/>
      </c>
      <c r="B131" s="1278"/>
      <c r="C131" s="1278"/>
      <c r="D131" s="1581" t="s">
        <v>449</v>
      </c>
      <c r="E131" s="1596">
        <f>E123/E135</f>
        <v>0.56293889362011129</v>
      </c>
      <c r="F131" s="1596">
        <f ca="1">F123/F135</f>
        <v>0.56304985337243396</v>
      </c>
      <c r="G131" s="1520"/>
      <c r="H131" s="1511">
        <f ca="1">(F131-E131)*10000</f>
        <v>1.1095975232267019</v>
      </c>
      <c r="I131" s="1510">
        <f ca="1">IF(ISERROR(F131/E131),"",F131/E131-1)</f>
        <v>1.9710798735039781E-4</v>
      </c>
      <c r="J131" s="1538"/>
      <c r="K131" s="1596">
        <f ca="1">K123/K135</f>
        <v>0.57291373981455473</v>
      </c>
      <c r="L131" s="1511">
        <f ca="1">(F131-K131)*10000</f>
        <v>-98.638864421207728</v>
      </c>
      <c r="M131" s="1538"/>
      <c r="N131" s="1596">
        <f ca="1">N123/N135</f>
        <v>0.55115919629057186</v>
      </c>
      <c r="O131" s="1511">
        <f ca="1">(F131-N131)*10000</f>
        <v>118.90657081862099</v>
      </c>
      <c r="R131" s="1509"/>
      <c r="S131" s="1509"/>
      <c r="T131" s="1509"/>
      <c r="U131" s="1509"/>
      <c r="V131" s="1509"/>
    </row>
    <row r="132" spans="1:22" ht="12.75" hidden="1" customHeight="1" outlineLevel="2" x14ac:dyDescent="0.2">
      <c r="A132" s="1278" t="str">
        <f t="shared" si="12"/>
        <v/>
      </c>
      <c r="B132" s="1278"/>
      <c r="C132" s="1278"/>
      <c r="D132" s="1581" t="s">
        <v>450</v>
      </c>
      <c r="E132" s="1596">
        <f>E125/E135</f>
        <v>0.12899984310470158</v>
      </c>
      <c r="F132" s="1596">
        <f ca="1">F125/F135</f>
        <v>0.12609970674486801</v>
      </c>
      <c r="G132" s="1520"/>
      <c r="H132" s="1511">
        <f ca="1">(F132-E132)*10000</f>
        <v>-29.001363598335772</v>
      </c>
      <c r="I132" s="1510">
        <f ca="1">IF(ISERROR(F132/E132),"",F132/E132-1)</f>
        <v>-2.2481704551219561E-2</v>
      </c>
      <c r="J132" s="1538"/>
      <c r="K132" s="1596">
        <f ca="1">K125/K135</f>
        <v>0.11407698791795449</v>
      </c>
      <c r="L132" s="1511">
        <f ca="1">(F132-K132)*10000</f>
        <v>120.22718826913511</v>
      </c>
      <c r="M132" s="1538"/>
      <c r="N132" s="1596">
        <f ca="1">N125/N135</f>
        <v>0.10973724884080371</v>
      </c>
      <c r="O132" s="1511">
        <f ca="1">(F132-N132)*10000</f>
        <v>163.62457904064291</v>
      </c>
      <c r="R132" s="1509"/>
      <c r="S132" s="1509"/>
      <c r="T132" s="1509"/>
      <c r="U132" s="1509"/>
      <c r="V132" s="1509"/>
    </row>
    <row r="133" spans="1:22" ht="12.75" hidden="1" customHeight="1" outlineLevel="2" x14ac:dyDescent="0.2">
      <c r="A133" s="1278" t="str">
        <f t="shared" si="12"/>
        <v/>
      </c>
      <c r="B133" s="1278"/>
      <c r="C133" s="1278"/>
      <c r="D133" s="1581" t="s">
        <v>451</v>
      </c>
      <c r="E133" s="1596">
        <f>E127/E135</f>
        <v>0.30806126327518712</v>
      </c>
      <c r="F133" s="1596">
        <f ca="1">F127/F135</f>
        <v>0.31085043988269789</v>
      </c>
      <c r="G133" s="1520"/>
      <c r="H133" s="1511">
        <f ca="1">(F133-E133)*10000</f>
        <v>27.891766075107682</v>
      </c>
      <c r="I133" s="1510">
        <f ca="1">IF(ISERROR(F133/E133),"",F133/E133-1)</f>
        <v>9.0539673111034169E-3</v>
      </c>
      <c r="J133" s="1538"/>
      <c r="K133" s="1596">
        <f ca="1">K127/K135</f>
        <v>0.31300927226749092</v>
      </c>
      <c r="L133" s="1511">
        <f ca="1">(F133-K133)*10000</f>
        <v>-21.588323847930301</v>
      </c>
      <c r="M133" s="1538"/>
      <c r="N133" s="1596">
        <f ca="1">N127/N135</f>
        <v>0.33910355486862442</v>
      </c>
      <c r="O133" s="1511">
        <f ca="1">(F133-N133)*10000</f>
        <v>-282.53114985926533</v>
      </c>
      <c r="R133" s="1509"/>
      <c r="S133" s="1509"/>
      <c r="T133" s="1509"/>
      <c r="U133" s="1509"/>
      <c r="V133" s="1509"/>
    </row>
    <row r="134" spans="1:22" ht="5.0999999999999996" hidden="1" customHeight="1" outlineLevel="1" x14ac:dyDescent="0.2">
      <c r="A134" s="1278" t="str">
        <f t="shared" si="12"/>
        <v/>
      </c>
      <c r="B134" s="1278"/>
      <c r="C134" s="1278"/>
      <c r="D134" s="1582"/>
      <c r="E134" s="1509"/>
      <c r="F134" s="1509"/>
      <c r="G134" s="1520"/>
      <c r="H134" s="1520"/>
      <c r="I134" s="1510"/>
      <c r="J134" s="1538"/>
      <c r="K134" s="1509"/>
      <c r="L134" s="1510"/>
      <c r="M134" s="1538"/>
      <c r="N134" s="1509"/>
      <c r="O134" s="1539"/>
      <c r="R134" s="1509"/>
      <c r="S134" s="1509"/>
      <c r="T134" s="1509"/>
      <c r="U134" s="1509"/>
      <c r="V134" s="1509"/>
    </row>
    <row r="135" spans="1:22" ht="12.75" hidden="1" customHeight="1" outlineLevel="1" x14ac:dyDescent="0.2">
      <c r="A135" s="1278">
        <f t="shared" ca="1" si="12"/>
        <v>313</v>
      </c>
      <c r="B135" s="1278">
        <f ca="1">CELL("row",VA!A313)</f>
        <v>313</v>
      </c>
      <c r="C135" s="1278"/>
      <c r="D135" s="1582" t="s">
        <v>445</v>
      </c>
      <c r="E135" s="1509">
        <v>365.00045089913357</v>
      </c>
      <c r="F135" s="1509">
        <f ca="1">INDIRECT("'VA'!"&amp;F$1&amp;$B135)</f>
        <v>375.1</v>
      </c>
      <c r="G135" s="1509"/>
      <c r="H135" s="1509">
        <f ca="1">F135-E135</f>
        <v>10.099549100866454</v>
      </c>
      <c r="I135" s="1510">
        <f ca="1">IF(ISERROR(F135/E135),"",F135/E135-1)</f>
        <v>2.7669963354805427E-2</v>
      </c>
      <c r="J135" s="1538"/>
      <c r="K135" s="1509">
        <f ca="1">INDIRECT("'VA'!"&amp;K$1&amp;$B135)</f>
        <v>355.9</v>
      </c>
      <c r="L135" s="1510">
        <f ca="1">IF(ISERROR(F135/K135),"",F135/K135-1)</f>
        <v>5.3947738128687917E-2</v>
      </c>
      <c r="M135" s="1538"/>
      <c r="N135" s="1509">
        <f ca="1">INDIRECT("'VA'!"&amp;N$1&amp;$B135)</f>
        <v>323.5</v>
      </c>
      <c r="O135" s="1510">
        <f ca="1">IF(ISERROR(F135/N135),"",F135/N135-1)</f>
        <v>0.15950540958268933</v>
      </c>
      <c r="P135" s="677"/>
      <c r="R135" s="1509"/>
      <c r="S135" s="1509"/>
      <c r="T135" s="1509"/>
      <c r="U135" s="1509"/>
      <c r="V135" s="1509"/>
    </row>
    <row r="136" spans="1:22" ht="12.75" hidden="1" customHeight="1" outlineLevel="1" x14ac:dyDescent="0.2">
      <c r="A136" s="1278">
        <f t="shared" ca="1" si="12"/>
        <v>314</v>
      </c>
      <c r="B136" s="1278">
        <f ca="1">CELL("row",VA!A314)</f>
        <v>314</v>
      </c>
      <c r="C136" s="1278"/>
      <c r="D136" s="1581" t="str">
        <f>VA!A314</f>
        <v>YoY Change</v>
      </c>
      <c r="E136" s="1218">
        <f ca="1">$E135/$N135-1</f>
        <v>0.12828578330489515</v>
      </c>
      <c r="F136" s="1218">
        <f ca="1">F135/N135-1</f>
        <v>0.15950540958268933</v>
      </c>
      <c r="G136" s="1520"/>
      <c r="H136" s="1511">
        <f ca="1">(F136-E136)*10000</f>
        <v>312.1962627779418</v>
      </c>
      <c r="I136" s="1510">
        <f ca="1">IF(ISERROR(F136/E136),"",F136/E136-1)</f>
        <v>0.24335998482072552</v>
      </c>
      <c r="J136" s="1538"/>
      <c r="K136" s="1218">
        <f ca="1">INDIRECT("'VA'!"&amp;K$1&amp;$B136)</f>
        <v>0.12162668960974687</v>
      </c>
      <c r="L136" s="1511">
        <f ca="1">(F136-K136)*10000</f>
        <v>378.78719972942451</v>
      </c>
      <c r="M136" s="1538"/>
      <c r="N136" s="1218">
        <f ca="1">INDIRECT("'VA'!"&amp;N$1&amp;$B136)</f>
        <v>6.5546772068511228E-2</v>
      </c>
      <c r="O136" s="1511">
        <f ca="1">(F136-N136)*10000</f>
        <v>939.58637514178099</v>
      </c>
      <c r="P136" s="677"/>
      <c r="R136" s="1218"/>
      <c r="S136" s="1218"/>
      <c r="T136" s="1218"/>
      <c r="U136" s="1218"/>
      <c r="V136" s="1218"/>
    </row>
    <row r="137" spans="1:22" ht="6" hidden="1" customHeight="1" outlineLevel="1" collapsed="1" x14ac:dyDescent="0.2">
      <c r="A137" s="1278" t="str">
        <f t="shared" si="12"/>
        <v/>
      </c>
      <c r="B137" s="1278"/>
      <c r="C137" s="1278"/>
      <c r="D137" s="1582"/>
      <c r="E137" s="1509"/>
      <c r="F137" s="1509"/>
      <c r="G137" s="1520"/>
      <c r="H137" s="1520"/>
      <c r="I137" s="1510"/>
      <c r="J137" s="1538"/>
      <c r="K137" s="1509"/>
      <c r="L137" s="1510"/>
      <c r="M137" s="1538"/>
      <c r="N137" s="1509"/>
      <c r="O137" s="1539"/>
      <c r="R137" s="1509"/>
      <c r="S137" s="1509"/>
      <c r="T137" s="1509"/>
      <c r="U137" s="1509"/>
      <c r="V137" s="1509"/>
    </row>
    <row r="138" spans="1:22" ht="12.75" hidden="1" customHeight="1" outlineLevel="1" x14ac:dyDescent="0.2">
      <c r="A138" s="1278">
        <f t="shared" si="12"/>
        <v>566</v>
      </c>
      <c r="B138" s="1278">
        <v>566</v>
      </c>
      <c r="C138" s="1278"/>
      <c r="D138" s="1581" t="s">
        <v>401</v>
      </c>
      <c r="E138" s="1509">
        <v>0</v>
      </c>
      <c r="F138" s="1509">
        <v>0</v>
      </c>
      <c r="G138" s="1509"/>
      <c r="H138" s="1509">
        <f>F138-E138</f>
        <v>0</v>
      </c>
      <c r="I138" s="1510" t="str">
        <f>IF(ISERROR(F138/E138),"",F138/E138-1)</f>
        <v/>
      </c>
      <c r="J138" s="1538"/>
      <c r="K138" s="1597">
        <v>0</v>
      </c>
      <c r="L138" s="1598" t="s">
        <v>386</v>
      </c>
      <c r="M138" s="1538"/>
      <c r="N138" s="1597">
        <v>0</v>
      </c>
      <c r="O138" s="1598" t="s">
        <v>386</v>
      </c>
      <c r="P138" s="677"/>
      <c r="R138" s="1218"/>
      <c r="S138" s="1218"/>
      <c r="T138" s="1218"/>
      <c r="U138" s="1218"/>
      <c r="V138" s="1218"/>
    </row>
    <row r="139" spans="1:22" ht="12.75" hidden="1" customHeight="1" outlineLevel="1" x14ac:dyDescent="0.2">
      <c r="A139" s="1278">
        <f t="shared" si="12"/>
        <v>567</v>
      </c>
      <c r="B139" s="1278">
        <v>567</v>
      </c>
      <c r="C139" s="1278"/>
      <c r="D139" s="1581" t="str">
        <f>D128</f>
        <v>YoY Change</v>
      </c>
      <c r="E139" s="1218" t="e">
        <f>$E138/$N138-1</f>
        <v>#DIV/0!</v>
      </c>
      <c r="F139" s="1218" t="e">
        <f>F138/N138-1</f>
        <v>#DIV/0!</v>
      </c>
      <c r="G139" s="1520"/>
      <c r="H139" s="1511" t="e">
        <f>(F139-E139)*10000</f>
        <v>#DIV/0!</v>
      </c>
      <c r="I139" s="1510" t="str">
        <f>IF(ISERROR(F139/E139),"",F139/E139-1)</f>
        <v/>
      </c>
      <c r="J139" s="1538"/>
      <c r="K139" s="1218">
        <f ca="1">INDIRECT("'VA'!"&amp;K$1&amp;$B139)</f>
        <v>0</v>
      </c>
      <c r="L139" s="1511" t="e">
        <f ca="1">(F139-K139)*10000</f>
        <v>#DIV/0!</v>
      </c>
      <c r="M139" s="1538"/>
      <c r="N139" s="1218">
        <f ca="1">INDIRECT("'VA'!"&amp;N$1&amp;$B139)</f>
        <v>0</v>
      </c>
      <c r="O139" s="1511" t="e">
        <f ca="1">(F139-N139)*10000</f>
        <v>#DIV/0!</v>
      </c>
      <c r="P139" s="677"/>
      <c r="R139" s="1218"/>
      <c r="S139" s="1218"/>
      <c r="T139" s="1218"/>
      <c r="U139" s="1218"/>
      <c r="V139" s="1218"/>
    </row>
    <row r="140" spans="1:22" ht="6" hidden="1" customHeight="1" outlineLevel="1" collapsed="1" x14ac:dyDescent="0.2">
      <c r="A140" s="1278" t="str">
        <f t="shared" si="12"/>
        <v/>
      </c>
      <c r="B140" s="1278"/>
      <c r="C140" s="1278"/>
      <c r="D140" s="1582"/>
      <c r="E140" s="1509"/>
      <c r="F140" s="1509"/>
      <c r="G140" s="1520"/>
      <c r="H140" s="1520"/>
      <c r="I140" s="1510"/>
      <c r="J140" s="1538"/>
      <c r="K140" s="1509"/>
      <c r="L140" s="1510"/>
      <c r="M140" s="1538"/>
      <c r="N140" s="1509"/>
      <c r="O140" s="1539"/>
      <c r="R140" s="1509"/>
      <c r="S140" s="1509"/>
      <c r="T140" s="1509"/>
      <c r="U140" s="1509"/>
      <c r="V140" s="1509"/>
    </row>
    <row r="141" spans="1:22" ht="12.75" hidden="1" customHeight="1" outlineLevel="1" x14ac:dyDescent="0.2">
      <c r="A141" s="1278" t="str">
        <f t="shared" si="12"/>
        <v/>
      </c>
      <c r="B141" s="1278"/>
      <c r="C141" s="1278"/>
      <c r="D141" s="1581" t="s">
        <v>452</v>
      </c>
      <c r="E141" s="1509">
        <f>E135+E138</f>
        <v>365.00045089913357</v>
      </c>
      <c r="F141" s="1509">
        <f ca="1">F135+F138</f>
        <v>375.1</v>
      </c>
      <c r="G141" s="1509"/>
      <c r="H141" s="1509">
        <f ca="1">F141-E141</f>
        <v>10.099549100866454</v>
      </c>
      <c r="I141" s="1510">
        <f ca="1">IF(ISERROR(F141/E141),"",F141/E141-1)</f>
        <v>2.7669963354805427E-2</v>
      </c>
      <c r="J141" s="1538"/>
      <c r="K141" s="1509">
        <f ca="1">K135+K138</f>
        <v>355.9</v>
      </c>
      <c r="L141" s="1510">
        <f ca="1">IF(ISERROR(F141/K141),"",F141/K141-1)</f>
        <v>5.3947738128687917E-2</v>
      </c>
      <c r="M141" s="1538"/>
      <c r="N141" s="1509">
        <f ca="1">N135+N138</f>
        <v>323.5</v>
      </c>
      <c r="O141" s="1510">
        <f ca="1">IF(ISERROR(F141/N141),"",F141/N141-1)</f>
        <v>0.15950540958268933</v>
      </c>
      <c r="P141" s="677"/>
      <c r="R141" s="1218"/>
      <c r="S141" s="1218"/>
      <c r="T141" s="1218"/>
      <c r="U141" s="1218"/>
      <c r="V141" s="1218"/>
    </row>
    <row r="142" spans="1:22" ht="12.75" hidden="1" customHeight="1" outlineLevel="1" x14ac:dyDescent="0.2">
      <c r="A142" s="1278">
        <f t="shared" si="12"/>
        <v>314</v>
      </c>
      <c r="B142" s="1278">
        <v>314</v>
      </c>
      <c r="C142" s="1278"/>
      <c r="D142" s="1581" t="str">
        <f>D139</f>
        <v>YoY Change</v>
      </c>
      <c r="E142" s="1218">
        <f ca="1">$E141/$N141-1</f>
        <v>0.12828578330489515</v>
      </c>
      <c r="F142" s="1218">
        <f ca="1">F141/N141-1</f>
        <v>0.15950540958268933</v>
      </c>
      <c r="G142" s="1520"/>
      <c r="H142" s="1511"/>
      <c r="I142" s="1510"/>
      <c r="J142" s="1538"/>
      <c r="K142" s="1218">
        <f ca="1">INDIRECT("'VA'!"&amp;K$1&amp;$B142)</f>
        <v>0.12162668960974687</v>
      </c>
      <c r="L142" s="1510"/>
      <c r="M142" s="1599"/>
      <c r="N142" s="1218">
        <f ca="1">INDIRECT("'VA'!"&amp;N$1&amp;$B142)</f>
        <v>6.5546772068511228E-2</v>
      </c>
      <c r="O142" s="1600"/>
      <c r="P142" s="677"/>
      <c r="R142" s="1218"/>
      <c r="S142" s="1218"/>
      <c r="T142" s="1218"/>
      <c r="U142" s="1218"/>
      <c r="V142" s="1218"/>
    </row>
    <row r="143" spans="1:22" ht="6" hidden="1" customHeight="1" outlineLevel="1" x14ac:dyDescent="0.2">
      <c r="A143" s="1278" t="str">
        <f t="shared" si="12"/>
        <v/>
      </c>
      <c r="B143" s="1278"/>
      <c r="C143" s="1278"/>
      <c r="D143" s="1582"/>
      <c r="E143" s="1509"/>
      <c r="F143" s="1509"/>
      <c r="G143" s="1520"/>
      <c r="H143" s="1520"/>
      <c r="I143" s="1510"/>
      <c r="J143" s="1538"/>
      <c r="K143" s="1509"/>
      <c r="L143" s="1510"/>
      <c r="M143" s="1538"/>
      <c r="N143" s="1509"/>
      <c r="O143" s="1539"/>
      <c r="P143" s="677"/>
      <c r="R143" s="1509"/>
      <c r="S143" s="1509"/>
      <c r="T143" s="1509"/>
      <c r="U143" s="1509"/>
      <c r="V143" s="1509"/>
    </row>
    <row r="144" spans="1:22" ht="12.75" hidden="1" customHeight="1" outlineLevel="1" x14ac:dyDescent="0.2">
      <c r="A144" s="1278">
        <f t="shared" ca="1" si="12"/>
        <v>317</v>
      </c>
      <c r="B144" s="1278">
        <f ca="1">CELL("row",VA!A317)</f>
        <v>317</v>
      </c>
      <c r="C144" s="1278"/>
      <c r="D144" s="1582" t="str">
        <f>VA!A317</f>
        <v>Cost Of Revenues</v>
      </c>
      <c r="E144" s="1509">
        <v>144.83804600284938</v>
      </c>
      <c r="F144" s="1509">
        <f ca="1">INDIRECT("'VA'!"&amp;F$1&amp;$B144)</f>
        <v>151.6</v>
      </c>
      <c r="G144" s="1509"/>
      <c r="H144" s="1509">
        <f ca="1">F144-E144</f>
        <v>6.7619539971506128</v>
      </c>
      <c r="I144" s="1510">
        <f ca="1">IF(ISERROR(F144/E144),"",F144/E144-1)</f>
        <v>4.668631056385264E-2</v>
      </c>
      <c r="J144" s="1538"/>
      <c r="K144" s="1509">
        <f ca="1">INDIRECT("'VA'!"&amp;K$1&amp;$B144)</f>
        <v>141.69999999999999</v>
      </c>
      <c r="L144" s="1510">
        <f ca="1">IF(ISERROR(F144/K144),"",F144/K144-1)</f>
        <v>6.986591390261121E-2</v>
      </c>
      <c r="M144" s="1538"/>
      <c r="N144" s="1509">
        <f ca="1">INDIRECT("'VA'!"&amp;N$1&amp;$B144)</f>
        <v>128.1</v>
      </c>
      <c r="O144" s="1510">
        <f ca="1">IF(ISERROR(F144/N144),"",F144/N144-1)</f>
        <v>0.18345042935206868</v>
      </c>
      <c r="R144" s="1509"/>
      <c r="S144" s="1509"/>
      <c r="T144" s="1509"/>
      <c r="U144" s="1509"/>
      <c r="V144" s="1509"/>
    </row>
    <row r="145" spans="1:22" ht="12.75" hidden="1" customHeight="1" outlineLevel="1" x14ac:dyDescent="0.2">
      <c r="A145" s="1278">
        <f t="shared" ca="1" si="12"/>
        <v>318</v>
      </c>
      <c r="B145" s="1278">
        <f ca="1">CELL("row",VA!A318)</f>
        <v>318</v>
      </c>
      <c r="C145" s="1278"/>
      <c r="D145" s="1581" t="str">
        <f>VA!A318</f>
        <v>Gross Margin</v>
      </c>
      <c r="E145" s="1510">
        <v>0.60318392581143743</v>
      </c>
      <c r="F145" s="1218">
        <f ca="1">INDIRECT("'VA'!"&amp;F$1&amp;$B145)</f>
        <v>0.59584110903759002</v>
      </c>
      <c r="G145" s="1520"/>
      <c r="H145" s="1511">
        <f ca="1">(F145-E145)*10000</f>
        <v>-73.428167738474045</v>
      </c>
      <c r="I145" s="1510">
        <f ca="1">IF(ISERROR(F145/E145),"",F145/E145-1)</f>
        <v>-1.2173429131039026E-2</v>
      </c>
      <c r="J145" s="1538"/>
      <c r="K145" s="1218">
        <f ca="1">INDIRECT("'VA'!"&amp;K$1&amp;$B145)</f>
        <v>0.60185445349817357</v>
      </c>
      <c r="L145" s="1511">
        <f ca="1">(F145-K145)*10000</f>
        <v>-60.133444605835471</v>
      </c>
      <c r="M145" s="1538"/>
      <c r="N145" s="1218">
        <f ca="1">INDIRECT("'VA'!"&amp;N$1&amp;$B145)</f>
        <v>0.60401854714064918</v>
      </c>
      <c r="O145" s="1511">
        <f ca="1">(F145-N145)*10000</f>
        <v>-81.774381030591542</v>
      </c>
      <c r="R145" s="1218"/>
      <c r="S145" s="1218"/>
      <c r="T145" s="1218"/>
      <c r="U145" s="1218"/>
      <c r="V145" s="1218"/>
    </row>
    <row r="146" spans="1:22" ht="6" hidden="1" customHeight="1" outlineLevel="1" x14ac:dyDescent="0.2">
      <c r="A146" s="1278" t="str">
        <f t="shared" si="12"/>
        <v/>
      </c>
      <c r="B146" s="1278"/>
      <c r="C146" s="1278"/>
      <c r="D146" s="1582"/>
      <c r="E146" s="1509"/>
      <c r="F146" s="1509"/>
      <c r="G146" s="1520"/>
      <c r="H146" s="1520"/>
      <c r="I146" s="1510"/>
      <c r="J146" s="1538"/>
      <c r="K146" s="1509"/>
      <c r="L146" s="1510"/>
      <c r="M146" s="1538"/>
      <c r="N146" s="1509"/>
      <c r="O146" s="1539"/>
      <c r="R146" s="1509"/>
      <c r="S146" s="1509"/>
      <c r="T146" s="1509"/>
      <c r="U146" s="1509"/>
      <c r="V146" s="1509"/>
    </row>
    <row r="147" spans="1:22" ht="12.75" hidden="1" customHeight="1" outlineLevel="1" x14ac:dyDescent="0.2">
      <c r="A147" s="1278">
        <f t="shared" ca="1" si="12"/>
        <v>323</v>
      </c>
      <c r="B147" s="1278">
        <f ca="1">CELL("row",VA!A323)</f>
        <v>323</v>
      </c>
      <c r="C147" s="1278"/>
      <c r="D147" s="1582" t="str">
        <f>VA!A323</f>
        <v>Selling General and Administrative</v>
      </c>
      <c r="E147" s="1509">
        <v>62.050076652852709</v>
      </c>
      <c r="F147" s="1509">
        <f ca="1">INDIRECT("'VA'!"&amp;F$1&amp;$B147)</f>
        <v>64.099999999999994</v>
      </c>
      <c r="G147" s="1509"/>
      <c r="H147" s="1509">
        <f ca="1">F147-E147</f>
        <v>2.0499233471472849</v>
      </c>
      <c r="I147" s="1510">
        <f ca="1">IF(ISERROR(F147/E147),"",F147/E147-1)</f>
        <v>3.3036596531795581E-2</v>
      </c>
      <c r="J147" s="1538"/>
      <c r="K147" s="1509">
        <f ca="1">INDIRECT("'VA'!"&amp;K$1&amp;$B147)</f>
        <v>60.4</v>
      </c>
      <c r="L147" s="1510">
        <f ca="1">IF(ISERROR(F147/K147),"",F147/K147-1)</f>
        <v>6.12582781456954E-2</v>
      </c>
      <c r="M147" s="1538"/>
      <c r="N147" s="1509">
        <f ca="1">INDIRECT("'VA'!"&amp;N$1&amp;$B147)</f>
        <v>53.2</v>
      </c>
      <c r="O147" s="1510">
        <f ca="1">IF(ISERROR(F147/N147),"",F147/N147-1)</f>
        <v>0.20488721804511267</v>
      </c>
      <c r="R147" s="1509"/>
      <c r="S147" s="1509"/>
      <c r="T147" s="1509"/>
      <c r="U147" s="1509"/>
      <c r="V147" s="1509"/>
    </row>
    <row r="148" spans="1:22" ht="12.75" hidden="1" customHeight="1" outlineLevel="1" x14ac:dyDescent="0.2">
      <c r="A148" s="1278">
        <f t="shared" ca="1" si="12"/>
        <v>324</v>
      </c>
      <c r="B148" s="1278">
        <f ca="1">CELL("row",VA!A324)</f>
        <v>324</v>
      </c>
      <c r="C148" s="1278"/>
      <c r="D148" s="1581" t="str">
        <f>VA!A324</f>
        <v>% of Revenue</v>
      </c>
      <c r="E148" s="1510">
        <v>0.17</v>
      </c>
      <c r="F148" s="1218">
        <f ca="1">INDIRECT("'VA'!"&amp;F$1&amp;$B148)</f>
        <v>0.17088776326312979</v>
      </c>
      <c r="G148" s="1520"/>
      <c r="H148" s="1511">
        <f ca="1">(F148-E148)*10000</f>
        <v>8.877632631297816</v>
      </c>
      <c r="I148" s="1510">
        <f ca="1">IF(ISERROR(F148/E148),"",F148/E148-1)</f>
        <v>5.2221368419398395E-3</v>
      </c>
      <c r="J148" s="1538"/>
      <c r="K148" s="1218">
        <f ca="1">INDIRECT("'VA'!"&amp;K$1&amp;$B148)</f>
        <v>0.16971059286316381</v>
      </c>
      <c r="L148" s="1511">
        <f ca="1">(F148-K148)*10000</f>
        <v>11.771703999659822</v>
      </c>
      <c r="M148" s="1538"/>
      <c r="N148" s="1218">
        <f ca="1">INDIRECT("'VA'!"&amp;N$1&amp;$B148)</f>
        <v>0.164451313755796</v>
      </c>
      <c r="O148" s="1511">
        <f ca="1">(F148-N148)*10000</f>
        <v>64.364495073337963</v>
      </c>
      <c r="R148" s="1218"/>
      <c r="S148" s="1218"/>
      <c r="T148" s="1218"/>
      <c r="U148" s="1218"/>
      <c r="V148" s="1218"/>
    </row>
    <row r="149" spans="1:22" ht="6" hidden="1" customHeight="1" outlineLevel="1" x14ac:dyDescent="0.2">
      <c r="A149" s="1278" t="str">
        <f t="shared" si="12"/>
        <v/>
      </c>
      <c r="B149" s="1278"/>
      <c r="C149" s="1278"/>
      <c r="D149" s="1582"/>
      <c r="E149" s="1509"/>
      <c r="F149" s="1509"/>
      <c r="G149" s="1520"/>
      <c r="H149" s="1520"/>
      <c r="I149" s="1510"/>
      <c r="J149" s="1538"/>
      <c r="K149" s="1509"/>
      <c r="L149" s="1510"/>
      <c r="M149" s="1538"/>
      <c r="N149" s="1509"/>
      <c r="O149" s="1539"/>
      <c r="R149" s="1509"/>
      <c r="S149" s="1509"/>
      <c r="T149" s="1509"/>
      <c r="U149" s="1509"/>
      <c r="V149" s="1509"/>
    </row>
    <row r="150" spans="1:22" ht="12.75" hidden="1" customHeight="1" outlineLevel="1" x14ac:dyDescent="0.2">
      <c r="A150" s="1278">
        <f t="shared" ca="1" si="12"/>
        <v>329</v>
      </c>
      <c r="B150" s="1278">
        <f ca="1">CELL("row",VA!A329)</f>
        <v>329</v>
      </c>
      <c r="C150" s="1278"/>
      <c r="D150" s="1582" t="str">
        <f>VA!A329</f>
        <v>Total Expenses</v>
      </c>
      <c r="E150" s="1509">
        <v>206.88812265570209</v>
      </c>
      <c r="F150" s="1509">
        <f ca="1">INDIRECT("'VA'!"&amp;F$1&amp;$B150)</f>
        <v>215.7</v>
      </c>
      <c r="G150" s="1509"/>
      <c r="H150" s="1509">
        <f ca="1">F150-E150</f>
        <v>8.8118773442978977</v>
      </c>
      <c r="I150" s="1510">
        <f ca="1">IF(ISERROR(F150/E150),"",F150/E150-1)</f>
        <v>4.2592475736088486E-2</v>
      </c>
      <c r="J150" s="1538"/>
      <c r="K150" s="1509">
        <f ca="1">INDIRECT("'VA'!"&amp;K$1&amp;$B150)</f>
        <v>202.1</v>
      </c>
      <c r="L150" s="1510">
        <f ca="1">IF(ISERROR(F150/K150),"",F150/K150-1)</f>
        <v>6.7293419099455631E-2</v>
      </c>
      <c r="M150" s="1538"/>
      <c r="N150" s="1509">
        <f ca="1">INDIRECT("'VA'!"&amp;N$1&amp;$B150)</f>
        <v>181.3</v>
      </c>
      <c r="O150" s="1510">
        <f ca="1">IF(ISERROR(F150/N150),"",F150/N150-1)</f>
        <v>0.18974076116933247</v>
      </c>
      <c r="R150" s="1509"/>
      <c r="S150" s="1509"/>
      <c r="T150" s="1509"/>
      <c r="U150" s="1509"/>
      <c r="V150" s="1509"/>
    </row>
    <row r="151" spans="1:22" ht="6" hidden="1" customHeight="1" outlineLevel="1" x14ac:dyDescent="0.2">
      <c r="A151" s="1278" t="str">
        <f t="shared" si="12"/>
        <v/>
      </c>
      <c r="B151" s="1278"/>
      <c r="C151" s="1278"/>
      <c r="D151" s="1582"/>
      <c r="E151" s="1509"/>
      <c r="F151" s="1509"/>
      <c r="G151" s="1520"/>
      <c r="H151" s="1520"/>
      <c r="I151" s="1510"/>
      <c r="J151" s="1538"/>
      <c r="K151" s="1509"/>
      <c r="L151" s="1510"/>
      <c r="M151" s="1538"/>
      <c r="N151" s="1509"/>
      <c r="O151" s="1539"/>
      <c r="R151" s="1509"/>
      <c r="S151" s="1509"/>
      <c r="T151" s="1509"/>
      <c r="U151" s="1509"/>
      <c r="V151" s="1509"/>
    </row>
    <row r="152" spans="1:22" ht="12.75" hidden="1" customHeight="1" outlineLevel="1" x14ac:dyDescent="0.2">
      <c r="A152" s="1278">
        <f t="shared" ca="1" si="12"/>
        <v>331</v>
      </c>
      <c r="B152" s="1278">
        <f ca="1">CELL("row",VA!A331)</f>
        <v>331</v>
      </c>
      <c r="C152" s="1278"/>
      <c r="D152" s="1582" t="str">
        <f>VA!A331</f>
        <v>Adjustments</v>
      </c>
      <c r="E152" s="1509">
        <v>0</v>
      </c>
      <c r="F152" s="1509">
        <f ca="1">INDIRECT("'VA'!"&amp;F$1&amp;$B152)</f>
        <v>1.5</v>
      </c>
      <c r="G152" s="1509"/>
      <c r="H152" s="1509">
        <f ca="1">F152-E152</f>
        <v>1.5</v>
      </c>
      <c r="I152" s="1510" t="str">
        <f ca="1">IF(ISERROR(F152/E152),"",F152/E152-1)</f>
        <v/>
      </c>
      <c r="J152" s="1538"/>
      <c r="K152" s="1509">
        <f ca="1">INDIRECT("'VA'!"&amp;K$1&amp;$B152)</f>
        <v>2.5</v>
      </c>
      <c r="L152" s="1510">
        <f ca="1">IF(ISERROR(F152/K152),"",F152/K152-1)</f>
        <v>-0.4</v>
      </c>
      <c r="M152" s="1538"/>
      <c r="N152" s="1509">
        <f ca="1">INDIRECT("'VA'!"&amp;N$1&amp;$B152)</f>
        <v>11.1</v>
      </c>
      <c r="O152" s="1510">
        <f ca="1">IF(ISERROR(F152/N152),"",F152/N152-1)</f>
        <v>-0.86486486486486491</v>
      </c>
      <c r="R152" s="1509"/>
      <c r="S152" s="1509"/>
      <c r="T152" s="1509"/>
      <c r="U152" s="1509"/>
      <c r="V152" s="1509"/>
    </row>
    <row r="153" spans="1:22" ht="12.75" hidden="1" customHeight="1" outlineLevel="1" x14ac:dyDescent="0.2">
      <c r="A153" s="1278">
        <f t="shared" ca="1" si="12"/>
        <v>332</v>
      </c>
      <c r="B153" s="1278">
        <f ca="1">CELL("row",VA!A332)</f>
        <v>332</v>
      </c>
      <c r="C153" s="1278"/>
      <c r="D153" s="1581" t="str">
        <f>VA!A332</f>
        <v>% of Revenue</v>
      </c>
      <c r="E153" s="1510">
        <v>0</v>
      </c>
      <c r="F153" s="1218">
        <f ca="1">INDIRECT("'VA'!"&amp;F$1&amp;$B153)</f>
        <v>3.9989336177019457E-3</v>
      </c>
      <c r="G153" s="1520"/>
      <c r="H153" s="1511">
        <f ca="1">(F153-E153)*10000</f>
        <v>39.98933617701946</v>
      </c>
      <c r="I153" s="1510" t="str">
        <f ca="1">IF(ISERROR(F153/E153),"",F153/E153-1)</f>
        <v/>
      </c>
      <c r="J153" s="1538"/>
      <c r="K153" s="1218">
        <f ca="1">INDIRECT("'VA'!"&amp;K$1&amp;$B153)</f>
        <v>7.0244450688395623E-3</v>
      </c>
      <c r="L153" s="1511">
        <f ca="1">(F153-K153)*10000</f>
        <v>-30.255114511376167</v>
      </c>
      <c r="M153" s="1538"/>
      <c r="N153" s="1218">
        <f ca="1">INDIRECT("'VA'!"&amp;N$1&amp;$B153)</f>
        <v>3.4312210200927354E-2</v>
      </c>
      <c r="O153" s="1511">
        <f ca="1">(F153-N153)*10000</f>
        <v>-303.13276583225411</v>
      </c>
      <c r="R153" s="1218"/>
      <c r="S153" s="1218"/>
      <c r="T153" s="1218"/>
      <c r="U153" s="1218"/>
      <c r="V153" s="1218"/>
    </row>
    <row r="154" spans="1:22" ht="6" hidden="1" customHeight="1" outlineLevel="1" x14ac:dyDescent="0.2">
      <c r="A154" s="1278" t="str">
        <f t="shared" si="12"/>
        <v/>
      </c>
      <c r="B154" s="1278"/>
      <c r="C154" s="1278"/>
      <c r="D154" s="1582"/>
      <c r="E154" s="1509"/>
      <c r="F154" s="1509"/>
      <c r="G154" s="1520"/>
      <c r="H154" s="1520"/>
      <c r="I154" s="1510"/>
      <c r="J154" s="1538"/>
      <c r="K154" s="1509"/>
      <c r="L154" s="1510"/>
      <c r="M154" s="1538"/>
      <c r="N154" s="1509"/>
      <c r="O154" s="1539"/>
      <c r="R154" s="1509"/>
      <c r="S154" s="1509"/>
      <c r="T154" s="1509"/>
      <c r="U154" s="1509"/>
      <c r="V154" s="1509"/>
    </row>
    <row r="155" spans="1:22" ht="12.75" hidden="1" customHeight="1" outlineLevel="1" x14ac:dyDescent="0.2">
      <c r="A155" s="1278">
        <f t="shared" ca="1" si="12"/>
        <v>334</v>
      </c>
      <c r="B155" s="1278">
        <f ca="1">CELL("row",VA!A334)</f>
        <v>334</v>
      </c>
      <c r="C155" s="1278"/>
      <c r="D155" s="1582" t="str">
        <f>VA!A334</f>
        <v>Total Expenses ex. ESOP</v>
      </c>
      <c r="E155" s="1509">
        <v>206.88812265570209</v>
      </c>
      <c r="F155" s="1509">
        <f ca="1">INDIRECT("'VA'!"&amp;F$1&amp;$B155)</f>
        <v>214.2</v>
      </c>
      <c r="G155" s="1509"/>
      <c r="H155" s="1509">
        <f ca="1">F155-E155</f>
        <v>7.3118773442978977</v>
      </c>
      <c r="I155" s="1510">
        <f ca="1">IF(ISERROR(F155/E155),"",F155/E155-1)</f>
        <v>3.5342180355448116E-2</v>
      </c>
      <c r="J155" s="1538"/>
      <c r="K155" s="1509">
        <f ca="1">INDIRECT("'VA'!"&amp;K$1&amp;$B155)</f>
        <v>199.6</v>
      </c>
      <c r="L155" s="1510">
        <f ca="1">IF(ISERROR(F155/K155),"",F155/K155-1)</f>
        <v>7.3146292585170247E-2</v>
      </c>
      <c r="M155" s="1538"/>
      <c r="N155" s="1509">
        <f ca="1">INDIRECT("'VA'!"&amp;N$1&amp;$B155)</f>
        <v>170.20000000000002</v>
      </c>
      <c r="O155" s="1510">
        <f ca="1">IF(ISERROR(F155/N155),"",F155/N155-1)</f>
        <v>0.25851938895417148</v>
      </c>
      <c r="R155" s="1509"/>
      <c r="S155" s="1509"/>
      <c r="T155" s="1509"/>
      <c r="U155" s="1509"/>
      <c r="V155" s="1509"/>
    </row>
    <row r="156" spans="1:22" ht="6" hidden="1" customHeight="1" outlineLevel="1" x14ac:dyDescent="0.2">
      <c r="A156" s="1278" t="str">
        <f t="shared" si="12"/>
        <v/>
      </c>
      <c r="B156" s="1278"/>
      <c r="C156" s="1278"/>
      <c r="D156" s="1582"/>
      <c r="E156" s="1509"/>
      <c r="F156" s="1509"/>
      <c r="G156" s="1520"/>
      <c r="H156" s="1520"/>
      <c r="I156" s="1510"/>
      <c r="J156" s="1538"/>
      <c r="K156" s="1509"/>
      <c r="L156" s="1510"/>
      <c r="M156" s="1538"/>
      <c r="N156" s="1509"/>
      <c r="O156" s="1539"/>
      <c r="P156" s="677"/>
      <c r="R156" s="1509"/>
      <c r="S156" s="1509"/>
      <c r="T156" s="1509"/>
      <c r="U156" s="1509"/>
      <c r="V156" s="1509"/>
    </row>
    <row r="157" spans="1:22" ht="12.75" hidden="1" customHeight="1" outlineLevel="1" x14ac:dyDescent="0.2">
      <c r="A157" s="1278">
        <f t="shared" ca="1" si="12"/>
        <v>336</v>
      </c>
      <c r="B157" s="1278">
        <f ca="1">CELL("row",VA!A336)</f>
        <v>336</v>
      </c>
      <c r="C157" s="1278"/>
      <c r="D157" s="1592" t="str">
        <f>VA!A336</f>
        <v>Segment EBITDA</v>
      </c>
      <c r="E157" s="1523">
        <v>158.11232824343148</v>
      </c>
      <c r="F157" s="1523">
        <f ca="1">INDIRECT("'VA'!"&amp;F$1&amp;$B157)</f>
        <v>159.40000000000003</v>
      </c>
      <c r="G157" s="1523"/>
      <c r="H157" s="1523">
        <f ca="1">F157-E157</f>
        <v>1.2876717565685567</v>
      </c>
      <c r="I157" s="1527">
        <f ca="1">IF(ISERROR(F157/E157),"",F157/E157-1)</f>
        <v>8.1440313407190601E-3</v>
      </c>
      <c r="J157" s="1553"/>
      <c r="K157" s="1523">
        <f ca="1">INDIRECT("'VA'!"&amp;K$1&amp;$B157)</f>
        <v>153.79999999999998</v>
      </c>
      <c r="L157" s="1527">
        <f ca="1">IF(ISERROR(F157/K157),"",F157/K157-1)</f>
        <v>3.6410923276983365E-2</v>
      </c>
      <c r="M157" s="1553"/>
      <c r="N157" s="1523">
        <f ca="1">INDIRECT("'VA'!"&amp;N$1&amp;$B157)</f>
        <v>142.19999999999999</v>
      </c>
      <c r="O157" s="1527">
        <f ca="1">IF(ISERROR(F157/N157),"",F157/N157-1)</f>
        <v>0.12095639943741232</v>
      </c>
      <c r="P157" s="677"/>
      <c r="R157" s="1509"/>
      <c r="S157" s="1509"/>
      <c r="T157" s="1509"/>
      <c r="U157" s="1509"/>
      <c r="V157" s="1509"/>
    </row>
    <row r="158" spans="1:22" ht="12.75" hidden="1" customHeight="1" outlineLevel="1" x14ac:dyDescent="0.2">
      <c r="A158" s="1278">
        <f t="shared" ca="1" si="12"/>
        <v>337</v>
      </c>
      <c r="B158" s="1278">
        <f ca="1">CELL("row",VA!A337)</f>
        <v>337</v>
      </c>
      <c r="C158" s="1278"/>
      <c r="D158" s="1601" t="str">
        <f>VA!A337</f>
        <v>EBITDA Margin</v>
      </c>
      <c r="E158" s="1517">
        <v>0.43318392581143739</v>
      </c>
      <c r="F158" s="1525">
        <f ca="1">INDIRECT("'VA'!"&amp;F$1&amp;$B158)</f>
        <v>0.4249533457744602</v>
      </c>
      <c r="G158" s="1594"/>
      <c r="H158" s="1518">
        <f ca="1">(F158-E158)*10000</f>
        <v>-82.305800369771859</v>
      </c>
      <c r="I158" s="1517">
        <f ca="1">IF(ISERROR(F158/E158),"",F158/E158-1)</f>
        <v>-1.9000197252378892E-2</v>
      </c>
      <c r="J158" s="1557"/>
      <c r="K158" s="1525">
        <f ca="1">INDIRECT("'VA'!"&amp;K$1&amp;$B158)</f>
        <v>0.43214386063500981</v>
      </c>
      <c r="L158" s="1518">
        <f ca="1">(F158-K158)*10000</f>
        <v>-71.905148605496123</v>
      </c>
      <c r="M158" s="1557"/>
      <c r="N158" s="1525">
        <f ca="1">INDIRECT("'VA'!"&amp;N$1&amp;$B158)</f>
        <v>0.43956723338485315</v>
      </c>
      <c r="O158" s="1518">
        <f ca="1">(F158-N158)*10000</f>
        <v>-146.1388761039295</v>
      </c>
      <c r="P158" s="677"/>
      <c r="R158" s="1218"/>
      <c r="S158" s="1218"/>
      <c r="T158" s="1218"/>
      <c r="U158" s="1218"/>
      <c r="V158" s="1218"/>
    </row>
    <row r="159" spans="1:22" ht="12.75" hidden="1" customHeight="1" outlineLevel="1" x14ac:dyDescent="0.2">
      <c r="A159" s="1278" t="str">
        <f t="shared" si="12"/>
        <v/>
      </c>
      <c r="B159" s="1278"/>
      <c r="C159" s="1278"/>
      <c r="D159" s="1582"/>
      <c r="E159" s="1509"/>
      <c r="F159" s="1509"/>
      <c r="G159" s="1520"/>
      <c r="H159" s="1520"/>
      <c r="I159" s="1510"/>
      <c r="J159" s="1538"/>
      <c r="K159" s="1509"/>
      <c r="L159" s="1510"/>
      <c r="M159" s="1538"/>
      <c r="N159" s="1509"/>
      <c r="O159" s="1539"/>
      <c r="P159" s="677"/>
      <c r="R159" s="1509"/>
      <c r="S159" s="1509"/>
      <c r="T159" s="1509"/>
      <c r="U159" s="1509"/>
      <c r="V159" s="1509"/>
    </row>
    <row r="160" spans="1:22" ht="12.75" hidden="1" customHeight="1" outlineLevel="1" x14ac:dyDescent="0.2">
      <c r="A160" s="1278">
        <f t="shared" ca="1" si="12"/>
        <v>339</v>
      </c>
      <c r="B160" s="1278">
        <f ca="1">CELL("row",VA!A339)</f>
        <v>339</v>
      </c>
      <c r="C160" s="1278"/>
      <c r="D160" s="1592" t="s">
        <v>453</v>
      </c>
      <c r="E160" s="1523">
        <v>158.11232824343148</v>
      </c>
      <c r="F160" s="1523">
        <f ca="1">INDIRECT("'VA'!"&amp;F$1&amp;$B160)</f>
        <v>160.90000000000003</v>
      </c>
      <c r="G160" s="1523"/>
      <c r="H160" s="1523">
        <f ca="1">F160-E160</f>
        <v>2.7876717565685567</v>
      </c>
      <c r="I160" s="1527">
        <f ca="1">IF(ISERROR(F160/E160),"",F160/E160-1)</f>
        <v>1.7630957608040676E-2</v>
      </c>
      <c r="J160" s="1553"/>
      <c r="K160" s="1523">
        <f ca="1">INDIRECT("'VA'!"&amp;K$1&amp;$B160)</f>
        <v>156.29999999999998</v>
      </c>
      <c r="L160" s="1527">
        <f ca="1">IF(ISERROR(F160/K160),"",F160/K160-1)</f>
        <v>2.9430582213691991E-2</v>
      </c>
      <c r="M160" s="1553"/>
      <c r="N160" s="1523">
        <f ca="1">INDIRECT("'VA'!"&amp;N$1&amp;$B160)</f>
        <v>153.29999999999998</v>
      </c>
      <c r="O160" s="1527">
        <f ca="1">IF(ISERROR(F160/N160),"",F160/N160-1)</f>
        <v>4.9575994781474675E-2</v>
      </c>
      <c r="P160" s="677"/>
      <c r="R160" s="1509"/>
      <c r="S160" s="1509"/>
      <c r="T160" s="1509"/>
      <c r="U160" s="1509"/>
      <c r="V160" s="1509"/>
    </row>
    <row r="161" spans="1:22" ht="12.75" hidden="1" customHeight="1" outlineLevel="1" x14ac:dyDescent="0.2">
      <c r="A161" s="1278">
        <f t="shared" ca="1" si="12"/>
        <v>340</v>
      </c>
      <c r="B161" s="1278">
        <f ca="1">CELL("row",VA!A340)</f>
        <v>340</v>
      </c>
      <c r="C161" s="1278"/>
      <c r="D161" s="1601" t="str">
        <f>VA!A340</f>
        <v>Adj. EBITDA Margin</v>
      </c>
      <c r="E161" s="1517">
        <v>0.43318392581143739</v>
      </c>
      <c r="F161" s="1525">
        <f ca="1">INDIRECT("'VA'!"&amp;F$1&amp;$B161)</f>
        <v>0.42895227939216213</v>
      </c>
      <c r="G161" s="1594"/>
      <c r="H161" s="1518">
        <f ca="1">(F161-E161)*10000</f>
        <v>-42.316464192752591</v>
      </c>
      <c r="I161" s="1517">
        <f ca="1">IF(ISERROR(F161/E161),"",F161/E161-1)</f>
        <v>-9.768706009459116E-3</v>
      </c>
      <c r="J161" s="1557"/>
      <c r="K161" s="1525">
        <f ca="1">INDIRECT("'VA'!"&amp;K$1&amp;$B161)</f>
        <v>0.43916830570384935</v>
      </c>
      <c r="L161" s="1518">
        <f ca="1">(F161-K161)*10000</f>
        <v>-102.1602631168722</v>
      </c>
      <c r="M161" s="1557"/>
      <c r="N161" s="1525">
        <f ca="1">INDIRECT("'VA'!"&amp;N$1&amp;$B161)</f>
        <v>0.47387944358578049</v>
      </c>
      <c r="O161" s="1518">
        <f ca="1">(F161-N161)*10000</f>
        <v>-449.27164193618364</v>
      </c>
      <c r="P161" s="677"/>
      <c r="R161" s="1218"/>
      <c r="S161" s="1218"/>
      <c r="T161" s="1218"/>
      <c r="U161" s="1218"/>
      <c r="V161" s="1218"/>
    </row>
    <row r="162" spans="1:22" collapsed="1" x14ac:dyDescent="0.2">
      <c r="A162" s="188" t="str">
        <f t="shared" si="12"/>
        <v/>
      </c>
      <c r="J162" s="1538"/>
      <c r="M162" s="1538"/>
      <c r="R162" s="188"/>
      <c r="S162" s="188"/>
      <c r="T162" s="188"/>
      <c r="U162" s="188"/>
      <c r="V162" s="188"/>
    </row>
    <row r="163" spans="1:22" hidden="1" x14ac:dyDescent="0.2">
      <c r="A163" s="1278">
        <f t="shared" si="12"/>
        <v>609</v>
      </c>
      <c r="B163" s="1278">
        <v>609</v>
      </c>
      <c r="C163" s="1278"/>
      <c r="D163" s="1581" t="s">
        <v>454</v>
      </c>
      <c r="E163" s="1509">
        <v>0</v>
      </c>
      <c r="F163" s="1509">
        <v>0</v>
      </c>
      <c r="G163" s="1509"/>
      <c r="H163" s="1509">
        <f>F163-E163</f>
        <v>0</v>
      </c>
      <c r="I163" s="1510" t="str">
        <f>IF(ISERROR(F163/E163),"",F163/E163-1)</f>
        <v/>
      </c>
      <c r="J163" s="1538"/>
      <c r="K163" s="1597">
        <v>0</v>
      </c>
      <c r="L163" s="1598" t="s">
        <v>386</v>
      </c>
      <c r="M163" s="1538"/>
      <c r="N163" s="1597">
        <v>0</v>
      </c>
      <c r="O163" s="1598" t="s">
        <v>386</v>
      </c>
      <c r="P163" s="677"/>
      <c r="R163" s="1218"/>
      <c r="S163" s="1218"/>
      <c r="T163" s="1218"/>
      <c r="U163" s="1218"/>
      <c r="V163" s="1218"/>
    </row>
    <row r="164" spans="1:22" hidden="1" x14ac:dyDescent="0.2">
      <c r="A164" s="188" t="str">
        <f t="shared" si="12"/>
        <v/>
      </c>
      <c r="J164" s="1538"/>
      <c r="M164" s="1538"/>
      <c r="R164" s="188"/>
      <c r="S164" s="188"/>
      <c r="T164" s="188"/>
      <c r="U164" s="188"/>
      <c r="V164" s="188"/>
    </row>
    <row r="165" spans="1:22" hidden="1" x14ac:dyDescent="0.2">
      <c r="A165" s="1278" t="str">
        <f t="shared" ref="A165:A197" si="13">IF(B165&lt;&gt;0,B165,"")</f>
        <v/>
      </c>
      <c r="B165" s="1278"/>
      <c r="C165" s="1278"/>
      <c r="D165" s="1592" t="s">
        <v>220</v>
      </c>
      <c r="E165" s="1523">
        <f>E160+E163</f>
        <v>158.11232824343148</v>
      </c>
      <c r="F165" s="1523">
        <f ca="1">F160+F163</f>
        <v>160.90000000000003</v>
      </c>
      <c r="G165" s="1523"/>
      <c r="H165" s="1523">
        <f ca="1">F165-E165</f>
        <v>2.7876717565685567</v>
      </c>
      <c r="I165" s="1527">
        <f ca="1">IF(ISERROR(F165/E165),"",F165/E165-1)</f>
        <v>1.7630957608040676E-2</v>
      </c>
      <c r="J165" s="1553"/>
      <c r="K165" s="1523">
        <f ca="1">K160+K163</f>
        <v>156.29999999999998</v>
      </c>
      <c r="L165" s="1527">
        <f ca="1">IF(ISERROR(F165/K165),"",F165/K165-1)</f>
        <v>2.9430582213691991E-2</v>
      </c>
      <c r="M165" s="1553"/>
      <c r="N165" s="1523">
        <f ca="1">N160+N163</f>
        <v>153.29999999999998</v>
      </c>
      <c r="O165" s="1524">
        <f ca="1">IF(ISERROR(F165/N165),"",F165/N165-1)</f>
        <v>4.9575994781474675E-2</v>
      </c>
      <c r="P165" s="677"/>
      <c r="R165" s="1509"/>
      <c r="S165" s="1509"/>
      <c r="T165" s="1509"/>
      <c r="U165" s="1509"/>
      <c r="V165" s="1509"/>
    </row>
    <row r="166" spans="1:22" hidden="1" x14ac:dyDescent="0.2">
      <c r="A166" s="1278" t="str">
        <f t="shared" si="13"/>
        <v/>
      </c>
      <c r="B166" s="1278"/>
      <c r="C166" s="1278"/>
      <c r="D166" s="1601" t="s">
        <v>68</v>
      </c>
      <c r="E166" s="1525">
        <f>E165/E141</f>
        <v>0.43318392581143739</v>
      </c>
      <c r="F166" s="1525">
        <f ca="1">F165/F141</f>
        <v>0.42895227939216213</v>
      </c>
      <c r="G166" s="1594"/>
      <c r="H166" s="1518">
        <f ca="1">(F166-E166)*10000</f>
        <v>-42.316464192752591</v>
      </c>
      <c r="I166" s="1517">
        <f ca="1">IF(ISERROR(F166/E166),"",F166/E166-1)</f>
        <v>-9.768706009459116E-3</v>
      </c>
      <c r="J166" s="1557"/>
      <c r="K166" s="1525">
        <f ca="1">K165/K141</f>
        <v>0.43916830570384935</v>
      </c>
      <c r="L166" s="1518">
        <f ca="1">(F166-K166)*10000</f>
        <v>-102.1602631168722</v>
      </c>
      <c r="M166" s="1557"/>
      <c r="N166" s="1525">
        <f ca="1">N165/N141</f>
        <v>0.47387944358578049</v>
      </c>
      <c r="O166" s="1526">
        <f ca="1">(F166-N166)*10000</f>
        <v>-449.27164193618364</v>
      </c>
      <c r="P166" s="677"/>
      <c r="R166" s="1218"/>
      <c r="S166" s="1218"/>
      <c r="T166" s="1218"/>
      <c r="U166" s="1218"/>
      <c r="V166" s="1218"/>
    </row>
    <row r="167" spans="1:22" hidden="1" x14ac:dyDescent="0.2">
      <c r="A167" s="188" t="str">
        <f t="shared" si="13"/>
        <v/>
      </c>
      <c r="R167" s="188"/>
      <c r="S167" s="188"/>
      <c r="T167" s="188"/>
      <c r="U167" s="188"/>
      <c r="V167" s="188"/>
    </row>
    <row r="168" spans="1:22" hidden="1" outlineLevel="1" x14ac:dyDescent="0.2">
      <c r="A168" s="188" t="str">
        <f t="shared" si="13"/>
        <v/>
      </c>
      <c r="D168" s="1602" t="s">
        <v>433</v>
      </c>
      <c r="E168" s="1603" t="str">
        <f>+E4</f>
        <v>4Q17E</v>
      </c>
      <c r="F168" s="1603" t="str">
        <f ca="1">+F4</f>
        <v>4Q17A</v>
      </c>
      <c r="G168" s="1604"/>
      <c r="H168" s="1604" t="s">
        <v>434</v>
      </c>
      <c r="I168" s="1605" t="s">
        <v>435</v>
      </c>
      <c r="R168" s="188"/>
      <c r="S168" s="188"/>
      <c r="T168" s="188"/>
      <c r="U168" s="188"/>
      <c r="V168" s="188"/>
    </row>
    <row r="169" spans="1:22" hidden="1" outlineLevel="1" x14ac:dyDescent="0.2">
      <c r="A169" s="188" t="str">
        <f t="shared" si="13"/>
        <v/>
      </c>
      <c r="D169" s="1606" t="s">
        <v>50</v>
      </c>
      <c r="E169" s="1352">
        <f>E6</f>
        <v>557.64345089913354</v>
      </c>
      <c r="F169" s="1352">
        <f ca="1">F6</f>
        <v>570.29999999999995</v>
      </c>
      <c r="G169" s="1482"/>
      <c r="H169" s="1509">
        <f ca="1">F169-E169</f>
        <v>12.656549100866414</v>
      </c>
      <c r="I169" s="1516">
        <f t="shared" ref="I169:I174" ca="1" si="14">IF(ISERROR(F169/E169),"",F169/E169-1)</f>
        <v>2.2696490168510497E-2</v>
      </c>
      <c r="R169" s="188"/>
      <c r="S169" s="188"/>
      <c r="T169" s="188"/>
      <c r="U169" s="188"/>
      <c r="V169" s="188"/>
    </row>
    <row r="170" spans="1:22" hidden="1" outlineLevel="1" x14ac:dyDescent="0.2">
      <c r="A170" s="188" t="str">
        <f t="shared" si="13"/>
        <v/>
      </c>
      <c r="D170" s="1607" t="s">
        <v>209</v>
      </c>
      <c r="E170" s="1608">
        <f>E7</f>
        <v>0.10184440011684148</v>
      </c>
      <c r="F170" s="1608">
        <f ca="1">F7</f>
        <v>0.12685240071132164</v>
      </c>
      <c r="G170" s="1482"/>
      <c r="H170" s="1511">
        <f ca="1">(F170-E170)*10000</f>
        <v>250.08000594480163</v>
      </c>
      <c r="I170" s="1516">
        <f t="shared" ca="1" si="14"/>
        <v>0.24555106187271569</v>
      </c>
      <c r="R170" s="188"/>
      <c r="S170" s="188"/>
      <c r="T170" s="188"/>
      <c r="U170" s="188"/>
      <c r="V170" s="188"/>
    </row>
    <row r="171" spans="1:22" hidden="1" outlineLevel="1" x14ac:dyDescent="0.2">
      <c r="A171" s="188" t="str">
        <f t="shared" si="13"/>
        <v/>
      </c>
      <c r="D171" s="1606" t="s">
        <v>67</v>
      </c>
      <c r="E171" s="1352">
        <f t="shared" ref="E171:F173" si="15">E24</f>
        <v>271.14397324343145</v>
      </c>
      <c r="F171" s="1352">
        <f t="shared" ca="1" si="15"/>
        <v>276.09999999999997</v>
      </c>
      <c r="G171" s="1482"/>
      <c r="H171" s="1509">
        <f ca="1">F171-E171</f>
        <v>4.9560267565685194</v>
      </c>
      <c r="I171" s="1516">
        <f t="shared" ca="1" si="14"/>
        <v>1.8278211008286194E-2</v>
      </c>
      <c r="R171" s="188"/>
      <c r="S171" s="188"/>
      <c r="T171" s="188"/>
      <c r="U171" s="188"/>
      <c r="V171" s="188"/>
    </row>
    <row r="172" spans="1:22" hidden="1" outlineLevel="1" x14ac:dyDescent="0.2">
      <c r="A172" s="188" t="str">
        <f t="shared" si="13"/>
        <v/>
      </c>
      <c r="D172" s="1607" t="s">
        <v>68</v>
      </c>
      <c r="E172" s="1609">
        <f t="shared" si="15"/>
        <v>0.4862317898762088</v>
      </c>
      <c r="F172" s="1608">
        <f t="shared" ca="1" si="15"/>
        <v>0.4841311590391022</v>
      </c>
      <c r="G172" s="1482"/>
      <c r="H172" s="1511">
        <f ca="1">(F172-E172)*10000</f>
        <v>-21.006308371065984</v>
      </c>
      <c r="I172" s="1516">
        <f t="shared" ca="1" si="14"/>
        <v>-4.3202252111927963E-3</v>
      </c>
      <c r="R172" s="188"/>
      <c r="S172" s="188"/>
      <c r="T172" s="188"/>
      <c r="U172" s="188"/>
      <c r="V172" s="188"/>
    </row>
    <row r="173" spans="1:22" hidden="1" outlineLevel="1" x14ac:dyDescent="0.2">
      <c r="A173" s="188" t="str">
        <f t="shared" si="13"/>
        <v/>
      </c>
      <c r="D173" s="1607" t="s">
        <v>209</v>
      </c>
      <c r="E173" s="1608">
        <f t="shared" si="15"/>
        <v>5.1760951293372548E-2</v>
      </c>
      <c r="F173" s="1608">
        <f t="shared" ca="1" si="15"/>
        <v>7.0985259891388486E-2</v>
      </c>
      <c r="G173" s="1482"/>
      <c r="H173" s="1511">
        <f ca="1">(F173-E173)*10000</f>
        <v>192.24308598015938</v>
      </c>
      <c r="I173" s="1516">
        <f t="shared" ca="1" si="14"/>
        <v>0.37140562755610351</v>
      </c>
      <c r="R173" s="188"/>
      <c r="S173" s="188"/>
      <c r="T173" s="188"/>
      <c r="U173" s="188"/>
      <c r="V173" s="188"/>
    </row>
    <row r="174" spans="1:22" hidden="1" outlineLevel="1" x14ac:dyDescent="0.2">
      <c r="A174" s="188" t="str">
        <f t="shared" si="13"/>
        <v/>
      </c>
      <c r="D174" s="1606" t="s">
        <v>369</v>
      </c>
      <c r="E174" s="1610">
        <f>E57</f>
        <v>0.80807370398089473</v>
      </c>
      <c r="F174" s="1610">
        <f ca="1">F57</f>
        <v>1.3390105161394845</v>
      </c>
      <c r="G174" s="1482"/>
      <c r="H174" s="1508">
        <f ca="1">F174-E174</f>
        <v>0.53093681215858979</v>
      </c>
      <c r="I174" s="1516">
        <f t="shared" ca="1" si="14"/>
        <v>0.65704008129825575</v>
      </c>
      <c r="R174" s="188"/>
      <c r="S174" s="188"/>
      <c r="T174" s="188"/>
      <c r="U174" s="188"/>
      <c r="V174" s="188"/>
    </row>
    <row r="175" spans="1:22" hidden="1" outlineLevel="1" x14ac:dyDescent="0.2">
      <c r="A175" s="188" t="str">
        <f t="shared" si="13"/>
        <v/>
      </c>
      <c r="D175" s="1606"/>
      <c r="E175" s="1611"/>
      <c r="F175" s="1610"/>
      <c r="G175" s="1482"/>
      <c r="H175" s="1482"/>
      <c r="I175" s="1612"/>
      <c r="R175" s="188"/>
      <c r="S175" s="188"/>
      <c r="T175" s="188"/>
      <c r="U175" s="188"/>
      <c r="V175" s="188"/>
    </row>
    <row r="176" spans="1:22" hidden="1" outlineLevel="1" x14ac:dyDescent="0.2">
      <c r="A176" s="188" t="str">
        <f t="shared" si="13"/>
        <v/>
      </c>
      <c r="D176" s="1613" t="s">
        <v>101</v>
      </c>
      <c r="E176" s="1611"/>
      <c r="F176" s="1611"/>
      <c r="G176" s="1482"/>
      <c r="H176" s="1482"/>
      <c r="I176" s="1612"/>
      <c r="R176" s="188"/>
      <c r="S176" s="188"/>
      <c r="T176" s="188"/>
      <c r="U176" s="188"/>
      <c r="V176" s="188"/>
    </row>
    <row r="177" spans="1:22" hidden="1" outlineLevel="1" x14ac:dyDescent="0.2">
      <c r="A177" s="188" t="str">
        <f t="shared" si="13"/>
        <v/>
      </c>
      <c r="D177" s="1606" t="s">
        <v>102</v>
      </c>
      <c r="E177" s="1352">
        <f>E100</f>
        <v>192.643</v>
      </c>
      <c r="F177" s="1352">
        <f ca="1">F100</f>
        <v>195.2</v>
      </c>
      <c r="G177" s="1482"/>
      <c r="H177" s="1509">
        <f ca="1">F177-E177</f>
        <v>2.5569999999999879</v>
      </c>
      <c r="I177" s="1516">
        <f ca="1">IF(ISERROR(F177/E177),"",F177/E177-1)</f>
        <v>1.3273256749531503E-2</v>
      </c>
      <c r="R177" s="188"/>
      <c r="S177" s="188"/>
      <c r="T177" s="188"/>
      <c r="U177" s="188"/>
      <c r="V177" s="188"/>
    </row>
    <row r="178" spans="1:22" hidden="1" outlineLevel="1" x14ac:dyDescent="0.2">
      <c r="A178" s="188" t="str">
        <f t="shared" si="13"/>
        <v/>
      </c>
      <c r="D178" s="1607" t="s">
        <v>209</v>
      </c>
      <c r="E178" s="1608">
        <f>E101</f>
        <v>5.4999999999999938E-2</v>
      </c>
      <c r="F178" s="1608">
        <f ca="1">F101</f>
        <v>6.900328587075566E-2</v>
      </c>
      <c r="G178" s="1482"/>
      <c r="H178" s="1511">
        <f ca="1">(F178-E178)*10000</f>
        <v>140.03285870755721</v>
      </c>
      <c r="I178" s="1516">
        <f ca="1">IF(ISERROR(F178/E178),"",F178/E178-1)</f>
        <v>0.25460519765010425</v>
      </c>
      <c r="R178" s="188"/>
      <c r="S178" s="188"/>
      <c r="T178" s="188"/>
      <c r="U178" s="188"/>
      <c r="V178" s="188"/>
    </row>
    <row r="179" spans="1:22" hidden="1" outlineLevel="1" x14ac:dyDescent="0.2">
      <c r="A179" s="188" t="str">
        <f t="shared" si="13"/>
        <v/>
      </c>
      <c r="D179" s="1606" t="s">
        <v>67</v>
      </c>
      <c r="E179" s="1352">
        <f>E119</f>
        <v>113.031645</v>
      </c>
      <c r="F179" s="1352">
        <f ca="1">F119</f>
        <v>115.19999999999999</v>
      </c>
      <c r="G179" s="1482"/>
      <c r="H179" s="1509">
        <f ca="1">F179-E179</f>
        <v>2.1683549999999912</v>
      </c>
      <c r="I179" s="1516">
        <f ca="1">IF(ISERROR(F179/E179),"",F179/E179-1)</f>
        <v>1.9183610041241028E-2</v>
      </c>
      <c r="R179" s="188"/>
      <c r="S179" s="188"/>
      <c r="T179" s="188"/>
      <c r="U179" s="188"/>
      <c r="V179" s="188"/>
    </row>
    <row r="180" spans="1:22" hidden="1" outlineLevel="1" x14ac:dyDescent="0.2">
      <c r="A180" s="188" t="str">
        <f t="shared" si="13"/>
        <v/>
      </c>
      <c r="D180" s="1607" t="s">
        <v>68</v>
      </c>
      <c r="E180" s="1608">
        <f>E120</f>
        <v>0.58674151150054765</v>
      </c>
      <c r="F180" s="1608">
        <f ca="1">F120</f>
        <v>0.5901639344262295</v>
      </c>
      <c r="G180" s="1482"/>
      <c r="H180" s="1511">
        <f ca="1">(F180-E180)*10000</f>
        <v>34.224229256818447</v>
      </c>
      <c r="I180" s="1516">
        <f ca="1">IF(ISERROR(F180/E180),"",F180/E180-1)</f>
        <v>5.8329312970020197E-3</v>
      </c>
      <c r="R180" s="188"/>
      <c r="S180" s="188"/>
      <c r="T180" s="188"/>
      <c r="U180" s="188"/>
      <c r="V180" s="188"/>
    </row>
    <row r="181" spans="1:22" hidden="1" outlineLevel="1" x14ac:dyDescent="0.2">
      <c r="A181" s="188" t="str">
        <f t="shared" si="13"/>
        <v/>
      </c>
      <c r="D181" s="1613" t="s">
        <v>106</v>
      </c>
      <c r="E181" s="1611"/>
      <c r="F181" s="1611"/>
      <c r="G181" s="1482"/>
      <c r="H181" s="1482"/>
      <c r="I181" s="1612"/>
      <c r="R181" s="188"/>
      <c r="S181" s="188"/>
      <c r="T181" s="188"/>
      <c r="U181" s="188"/>
      <c r="V181" s="188"/>
    </row>
    <row r="182" spans="1:22" hidden="1" outlineLevel="1" x14ac:dyDescent="0.2">
      <c r="A182" s="188" t="str">
        <f t="shared" si="13"/>
        <v/>
      </c>
      <c r="D182" s="1606" t="s">
        <v>102</v>
      </c>
      <c r="E182" s="1352">
        <f>E135</f>
        <v>365.00045089913357</v>
      </c>
      <c r="F182" s="1352">
        <f ca="1">F135</f>
        <v>375.1</v>
      </c>
      <c r="G182" s="1482"/>
      <c r="H182" s="1509">
        <f ca="1">F182-E182</f>
        <v>10.099549100866454</v>
      </c>
      <c r="I182" s="1516">
        <f ca="1">IF(ISERROR(F182/E182),"",F182/E182-1)</f>
        <v>2.7669963354805427E-2</v>
      </c>
      <c r="R182" s="188"/>
      <c r="S182" s="188"/>
      <c r="T182" s="188"/>
      <c r="U182" s="188"/>
      <c r="V182" s="188"/>
    </row>
    <row r="183" spans="1:22" hidden="1" outlineLevel="1" x14ac:dyDescent="0.2">
      <c r="A183" s="188" t="str">
        <f t="shared" si="13"/>
        <v/>
      </c>
      <c r="D183" s="1607" t="s">
        <v>209</v>
      </c>
      <c r="E183" s="1608">
        <f ca="1">E136</f>
        <v>0.12828578330489515</v>
      </c>
      <c r="F183" s="1608">
        <f ca="1">F136</f>
        <v>0.15950540958268933</v>
      </c>
      <c r="G183" s="1482"/>
      <c r="H183" s="1511">
        <f ca="1">(F183-E183)*10000</f>
        <v>312.1962627779418</v>
      </c>
      <c r="I183" s="1516">
        <f ca="1">IF(ISERROR(F183/E183),"",F183/E183-1)</f>
        <v>0.24335998482072552</v>
      </c>
      <c r="R183" s="188"/>
      <c r="S183" s="188"/>
      <c r="T183" s="188"/>
      <c r="U183" s="188"/>
      <c r="V183" s="188"/>
    </row>
    <row r="184" spans="1:22" hidden="1" outlineLevel="1" x14ac:dyDescent="0.2">
      <c r="A184" s="188" t="str">
        <f t="shared" si="13"/>
        <v/>
      </c>
      <c r="D184" s="1606" t="s">
        <v>67</v>
      </c>
      <c r="E184" s="1352">
        <f>E160</f>
        <v>158.11232824343148</v>
      </c>
      <c r="F184" s="1352">
        <f ca="1">F160</f>
        <v>160.90000000000003</v>
      </c>
      <c r="G184" s="1482"/>
      <c r="H184" s="1509">
        <f ca="1">F184-E184</f>
        <v>2.7876717565685567</v>
      </c>
      <c r="I184" s="1516">
        <f ca="1">IF(ISERROR(F184/E184),"",F184/E184-1)</f>
        <v>1.7630957608040676E-2</v>
      </c>
      <c r="R184" s="188"/>
      <c r="S184" s="188"/>
      <c r="T184" s="188"/>
      <c r="U184" s="188"/>
      <c r="V184" s="188"/>
    </row>
    <row r="185" spans="1:22" hidden="1" outlineLevel="1" x14ac:dyDescent="0.2">
      <c r="A185" s="188" t="str">
        <f t="shared" si="13"/>
        <v/>
      </c>
      <c r="D185" s="1607" t="s">
        <v>68</v>
      </c>
      <c r="E185" s="1608">
        <f>E161</f>
        <v>0.43318392581143739</v>
      </c>
      <c r="F185" s="1608">
        <f ca="1">F161</f>
        <v>0.42895227939216213</v>
      </c>
      <c r="G185" s="1482"/>
      <c r="H185" s="1511">
        <f ca="1">(F185-E185)*10000</f>
        <v>-42.316464192752591</v>
      </c>
      <c r="I185" s="1516">
        <f ca="1">IF(ISERROR(F185/E185),"",F185/E185-1)</f>
        <v>-9.768706009459116E-3</v>
      </c>
      <c r="R185" s="188"/>
      <c r="S185" s="188"/>
      <c r="T185" s="188"/>
      <c r="U185" s="188"/>
      <c r="V185" s="188"/>
    </row>
    <row r="186" spans="1:22" hidden="1" outlineLevel="1" x14ac:dyDescent="0.2">
      <c r="A186" s="188" t="str">
        <f t="shared" si="13"/>
        <v/>
      </c>
      <c r="D186" s="1607"/>
      <c r="E186" s="1608"/>
      <c r="F186" s="1608"/>
      <c r="G186" s="1482"/>
      <c r="H186" s="1511"/>
      <c r="I186" s="1516"/>
      <c r="R186" s="188"/>
      <c r="S186" s="188"/>
      <c r="T186" s="188"/>
      <c r="U186" s="188"/>
      <c r="V186" s="188"/>
    </row>
    <row r="187" spans="1:22" hidden="1" outlineLevel="1" x14ac:dyDescent="0.2">
      <c r="A187" s="188" t="str">
        <f t="shared" si="13"/>
        <v/>
      </c>
      <c r="D187" s="1614" t="s">
        <v>342</v>
      </c>
      <c r="E187" s="1352">
        <f>Revenue_end_mkt!Y24</f>
        <v>152.83099999999999</v>
      </c>
      <c r="F187" s="1352">
        <f>Revenue_end_mkt!Z24</f>
        <v>149.49600000000001</v>
      </c>
      <c r="G187" s="1482"/>
      <c r="H187" s="1509">
        <f>F187-E187</f>
        <v>-3.3349999999999795</v>
      </c>
      <c r="I187" s="1516">
        <f>IF(ISERROR(F187/E187),"",F187/E187-1)</f>
        <v>-2.1821489095798507E-2</v>
      </c>
      <c r="R187" s="188"/>
      <c r="S187" s="188"/>
      <c r="T187" s="188"/>
      <c r="U187" s="188"/>
      <c r="V187" s="188"/>
    </row>
    <row r="188" spans="1:22" hidden="1" outlineLevel="1" x14ac:dyDescent="0.2">
      <c r="A188" s="188" t="str">
        <f t="shared" si="13"/>
        <v/>
      </c>
      <c r="D188" s="1614" t="s">
        <v>344</v>
      </c>
      <c r="E188" s="1352">
        <f>Revenue_end_mkt!Y31</f>
        <v>21.837</v>
      </c>
      <c r="F188" s="1352">
        <f>Revenue_end_mkt!Z31</f>
        <v>25.257999999999999</v>
      </c>
      <c r="G188" s="1482"/>
      <c r="H188" s="1509">
        <f>F188-E188</f>
        <v>3.4209999999999994</v>
      </c>
      <c r="I188" s="1516">
        <f>IF(ISERROR(F188/E188),"",F188/E188-1)</f>
        <v>0.15666071346796717</v>
      </c>
      <c r="R188" s="188"/>
      <c r="S188" s="188"/>
      <c r="T188" s="188"/>
      <c r="U188" s="188"/>
      <c r="V188" s="188"/>
    </row>
    <row r="189" spans="1:22" hidden="1" outlineLevel="1" x14ac:dyDescent="0.2">
      <c r="A189" s="188" t="str">
        <f t="shared" si="13"/>
        <v/>
      </c>
      <c r="D189" s="1614" t="s">
        <v>345</v>
      </c>
      <c r="E189" s="1352">
        <f>Revenue_end_mkt!Y46</f>
        <v>65.091999999999999</v>
      </c>
      <c r="F189" s="1352">
        <f>Revenue_end_mkt!Z46</f>
        <v>91.9</v>
      </c>
      <c r="G189" s="1482"/>
      <c r="H189" s="1509">
        <f>F189-E189</f>
        <v>26.808000000000007</v>
      </c>
      <c r="I189" s="1516">
        <f>IF(ISERROR(F189/E189),"",F189/E189-1)</f>
        <v>0.41184784612548397</v>
      </c>
      <c r="R189" s="188"/>
      <c r="S189" s="188"/>
      <c r="T189" s="188"/>
      <c r="U189" s="188"/>
      <c r="V189" s="188"/>
    </row>
    <row r="190" spans="1:22" hidden="1" outlineLevel="1" x14ac:dyDescent="0.2">
      <c r="A190" s="188" t="str">
        <f t="shared" si="13"/>
        <v/>
      </c>
      <c r="D190" s="1615" t="s">
        <v>346</v>
      </c>
      <c r="E190" s="1616">
        <f>Revenue_end_mkt!Y61</f>
        <v>21.841999999999999</v>
      </c>
      <c r="F190" s="1616">
        <f>Revenue_end_mkt!Z61</f>
        <v>20.556999999999999</v>
      </c>
      <c r="G190" s="1617"/>
      <c r="H190" s="1556">
        <f>F190-E190</f>
        <v>-1.2850000000000001</v>
      </c>
      <c r="I190" s="1519">
        <f>IF(ISERROR(F190/E190),"",F190/E190-1)</f>
        <v>-5.8831608827030535E-2</v>
      </c>
      <c r="R190" s="188"/>
      <c r="S190" s="188"/>
      <c r="T190" s="188"/>
      <c r="U190" s="188"/>
      <c r="V190" s="188"/>
    </row>
    <row r="191" spans="1:22" collapsed="1" x14ac:dyDescent="0.2">
      <c r="A191" s="188" t="str">
        <f t="shared" si="13"/>
        <v/>
      </c>
    </row>
    <row r="192" spans="1:22" x14ac:dyDescent="0.2">
      <c r="A192" s="188" t="str">
        <f t="shared" si="13"/>
        <v/>
      </c>
    </row>
    <row r="193" spans="1:15" x14ac:dyDescent="0.2">
      <c r="A193" s="188" t="str">
        <f t="shared" si="13"/>
        <v/>
      </c>
      <c r="E193" s="1277" t="s">
        <v>632</v>
      </c>
      <c r="F193" s="1504" t="str">
        <f>E193</f>
        <v>ap</v>
      </c>
      <c r="G193" s="1504"/>
      <c r="H193" s="1504"/>
      <c r="I193" s="1504"/>
      <c r="J193" s="1504"/>
      <c r="K193" s="1504" t="s">
        <v>633</v>
      </c>
      <c r="L193" s="1504"/>
      <c r="M193" s="1504"/>
      <c r="N193" s="1504" t="s">
        <v>634</v>
      </c>
      <c r="O193" s="1277"/>
    </row>
    <row r="194" spans="1:15" x14ac:dyDescent="0.2">
      <c r="A194" s="188" t="str">
        <f t="shared" si="13"/>
        <v/>
      </c>
    </row>
    <row r="195" spans="1:15" x14ac:dyDescent="0.2">
      <c r="A195" s="188" t="str">
        <f t="shared" si="13"/>
        <v/>
      </c>
    </row>
    <row r="196" spans="1:15" x14ac:dyDescent="0.2">
      <c r="A196" s="188" t="str">
        <f t="shared" si="13"/>
        <v/>
      </c>
    </row>
    <row r="197" spans="1:15" x14ac:dyDescent="0.2">
      <c r="A197" s="188" t="str">
        <f t="shared" si="13"/>
        <v/>
      </c>
    </row>
  </sheetData>
  <pageMargins left="0" right="0" top="0" bottom="0" header="0" footer="0"/>
  <pageSetup paperSize="5" orientation="landscape" r:id="rId1"/>
  <headerFooter alignWithMargins="0"/>
  <rowBreaks count="1" manualBreakCount="1">
    <brk id="49" min="3" max="14"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pageSetUpPr fitToPage="1"/>
  </sheetPr>
  <dimension ref="A2:W86"/>
  <sheetViews>
    <sheetView showGridLines="0" zoomScaleNormal="100" workbookViewId="0"/>
  </sheetViews>
  <sheetFormatPr defaultRowHeight="12.75" outlineLevelRow="1" x14ac:dyDescent="0.2"/>
  <cols>
    <col min="1" max="1" width="28.7109375" style="14" customWidth="1"/>
    <col min="2" max="4" width="9.140625" style="14" hidden="1" customWidth="1"/>
    <col min="5" max="6" width="9.140625" style="14"/>
    <col min="7" max="7" width="11.42578125" style="14" bestFit="1" customWidth="1"/>
    <col min="8" max="9" width="9.140625" style="14"/>
    <col min="10" max="18" width="9.85546875" style="14" bestFit="1" customWidth="1"/>
    <col min="19" max="16384" width="9.140625" style="14"/>
  </cols>
  <sheetData>
    <row r="2" spans="1:18" x14ac:dyDescent="0.2">
      <c r="A2" s="1514" t="s">
        <v>455</v>
      </c>
      <c r="B2" s="1618"/>
      <c r="C2" s="1618"/>
      <c r="D2" s="1618"/>
      <c r="E2" s="1619" t="s">
        <v>456</v>
      </c>
      <c r="F2" s="1620">
        <f>E51</f>
        <v>7.356099139902017E-2</v>
      </c>
      <c r="G2" s="1619"/>
      <c r="H2" s="1621" t="s">
        <v>457</v>
      </c>
      <c r="I2" s="1619"/>
      <c r="J2" s="1620">
        <f>E54</f>
        <v>2.5000000000000001E-2</v>
      </c>
      <c r="K2" s="1618"/>
      <c r="L2" s="1618"/>
      <c r="M2" s="1618"/>
      <c r="N2" s="1618"/>
      <c r="O2" s="1618"/>
      <c r="P2" s="1618"/>
      <c r="Q2" s="1618"/>
      <c r="R2" s="1622"/>
    </row>
    <row r="3" spans="1:18" ht="13.5" thickBot="1" x14ac:dyDescent="0.25">
      <c r="A3" s="1453"/>
      <c r="B3" s="1623">
        <v>2011</v>
      </c>
      <c r="C3" s="1623">
        <f>B3+1</f>
        <v>2012</v>
      </c>
      <c r="D3" s="1623">
        <f t="shared" ref="D3:O3" si="0">C3+1</f>
        <v>2013</v>
      </c>
      <c r="E3" s="1623">
        <f t="shared" si="0"/>
        <v>2014</v>
      </c>
      <c r="F3" s="1623">
        <f t="shared" si="0"/>
        <v>2015</v>
      </c>
      <c r="G3" s="1624">
        <f t="shared" si="0"/>
        <v>2016</v>
      </c>
      <c r="H3" s="1624">
        <f t="shared" si="0"/>
        <v>2017</v>
      </c>
      <c r="I3" s="1624">
        <f t="shared" si="0"/>
        <v>2018</v>
      </c>
      <c r="J3" s="1624">
        <f t="shared" si="0"/>
        <v>2019</v>
      </c>
      <c r="K3" s="1624">
        <f t="shared" si="0"/>
        <v>2020</v>
      </c>
      <c r="L3" s="1624">
        <f t="shared" si="0"/>
        <v>2021</v>
      </c>
      <c r="M3" s="1624">
        <f t="shared" si="0"/>
        <v>2022</v>
      </c>
      <c r="N3" s="1624">
        <f t="shared" si="0"/>
        <v>2023</v>
      </c>
      <c r="O3" s="1624">
        <f t="shared" si="0"/>
        <v>2024</v>
      </c>
      <c r="P3" s="1624">
        <f t="shared" ref="P3:R4" si="1">O3+1</f>
        <v>2025</v>
      </c>
      <c r="Q3" s="1624">
        <f t="shared" si="1"/>
        <v>2026</v>
      </c>
      <c r="R3" s="1625">
        <f t="shared" si="1"/>
        <v>2027</v>
      </c>
    </row>
    <row r="4" spans="1:18" ht="13.5" thickBot="1" x14ac:dyDescent="0.25">
      <c r="A4" s="1626"/>
      <c r="B4" s="1627">
        <v>2011</v>
      </c>
      <c r="C4" s="1627">
        <v>2012</v>
      </c>
      <c r="D4" s="1627">
        <v>2013</v>
      </c>
      <c r="E4" s="1627">
        <v>2014</v>
      </c>
      <c r="F4" s="1627">
        <v>2015</v>
      </c>
      <c r="G4" s="1627">
        <v>2016</v>
      </c>
      <c r="H4" s="1627">
        <v>2017</v>
      </c>
      <c r="I4" s="1995">
        <v>2018</v>
      </c>
      <c r="J4" s="1628">
        <v>2019</v>
      </c>
      <c r="K4" s="1628">
        <v>2020</v>
      </c>
      <c r="L4" s="1628">
        <v>2021</v>
      </c>
      <c r="M4" s="1628">
        <v>2022</v>
      </c>
      <c r="N4" s="1628">
        <v>2023</v>
      </c>
      <c r="O4" s="1628">
        <f>N4+1</f>
        <v>2024</v>
      </c>
      <c r="P4" s="1628">
        <f t="shared" si="1"/>
        <v>2025</v>
      </c>
      <c r="Q4" s="1628">
        <f t="shared" si="1"/>
        <v>2026</v>
      </c>
      <c r="R4" s="1629">
        <f t="shared" si="1"/>
        <v>2027</v>
      </c>
    </row>
    <row r="5" spans="1:18" x14ac:dyDescent="0.2">
      <c r="A5" s="1630" t="s">
        <v>458</v>
      </c>
      <c r="B5" s="1631">
        <f>VA!CJ42</f>
        <v>510.01700000000017</v>
      </c>
      <c r="C5" s="1631">
        <f>VA!CK42</f>
        <v>591.58799999999997</v>
      </c>
      <c r="D5" s="1632">
        <f>VA!CL42</f>
        <v>614.279</v>
      </c>
      <c r="E5" s="1632">
        <f>VA!CM42</f>
        <v>660.44600000000003</v>
      </c>
      <c r="F5" s="1632">
        <f>VA!CN42</f>
        <v>736.31199999999967</v>
      </c>
      <c r="G5" s="1632">
        <f>VA!CO42</f>
        <v>767.62999999999977</v>
      </c>
      <c r="H5" s="1632">
        <f>VA!CP42</f>
        <v>801.20000000000039</v>
      </c>
      <c r="I5" s="1996">
        <f>VA!CQ42</f>
        <v>846.71472485295044</v>
      </c>
      <c r="J5" s="1632">
        <f>VA!CR42</f>
        <v>919.70804939804577</v>
      </c>
      <c r="K5" s="1632">
        <f>VA!CS42</f>
        <v>996.97370720394247</v>
      </c>
      <c r="L5" s="1632">
        <f>VA!CT42</f>
        <v>1085.0773342375519</v>
      </c>
      <c r="M5" s="1632">
        <f t="shared" ref="M5:R5" si="2">(1+M7)*L5</f>
        <v>1171.8835209765562</v>
      </c>
      <c r="N5" s="1632">
        <f t="shared" si="2"/>
        <v>1253.9153674449151</v>
      </c>
      <c r="O5" s="1632">
        <f t="shared" si="2"/>
        <v>1329.15028949161</v>
      </c>
      <c r="P5" s="1632">
        <f t="shared" si="2"/>
        <v>1395.6078039661907</v>
      </c>
      <c r="Q5" s="1632">
        <f t="shared" si="2"/>
        <v>1451.4321161248383</v>
      </c>
      <c r="R5" s="1633">
        <f t="shared" si="2"/>
        <v>1487.7179190279592</v>
      </c>
    </row>
    <row r="6" spans="1:18" hidden="1" outlineLevel="1" x14ac:dyDescent="0.2">
      <c r="A6" s="1634" t="s">
        <v>459</v>
      </c>
      <c r="B6" s="1635">
        <f>VA!CJ13</f>
        <v>0.16998127980757993</v>
      </c>
      <c r="C6" s="1635">
        <f>VA!CK13</f>
        <v>0.15203027390677537</v>
      </c>
      <c r="D6" s="1635">
        <f>VA!CL13</f>
        <v>4.0013165441368237E-2</v>
      </c>
      <c r="E6" s="1636">
        <f>VA!CM13</f>
        <v>9.463669218712889E-2</v>
      </c>
      <c r="F6" s="1636">
        <f>VA!CN13</f>
        <v>0.18395672818747766</v>
      </c>
      <c r="G6" s="1636">
        <f>VA!CO13</f>
        <v>0.1331731697620262</v>
      </c>
      <c r="H6" s="1636">
        <f>VA!CP13</f>
        <v>7.5192288607833779E-2</v>
      </c>
      <c r="I6" s="1997">
        <f>VA!CQ13</f>
        <v>9.9857045186152016E-2</v>
      </c>
      <c r="J6" s="1636">
        <f>VA!CR13</f>
        <v>5.774493111988277E-2</v>
      </c>
      <c r="K6" s="1636">
        <f>VA!CS13</f>
        <v>5.6177613500093759E-2</v>
      </c>
      <c r="L6" s="1636">
        <f>VA!CT13</f>
        <v>5.631031631623995E-2</v>
      </c>
      <c r="M6" s="1637"/>
      <c r="N6" s="1637"/>
      <c r="O6" s="1637"/>
      <c r="P6" s="1637"/>
      <c r="Q6" s="1637"/>
      <c r="R6" s="1638"/>
    </row>
    <row r="7" spans="1:18" hidden="1" outlineLevel="1" x14ac:dyDescent="0.2">
      <c r="A7" s="1634" t="s">
        <v>460</v>
      </c>
      <c r="B7" s="1639">
        <f>B5/VA!CI42-1</f>
        <v>0.1567267086098425</v>
      </c>
      <c r="C7" s="1639">
        <f t="shared" ref="C7:L7" si="3">C5/B5-1</f>
        <v>0.15993780599470164</v>
      </c>
      <c r="D7" s="1639">
        <f t="shared" si="3"/>
        <v>3.8356085654205341E-2</v>
      </c>
      <c r="E7" s="1637">
        <f t="shared" si="3"/>
        <v>7.5156402872310624E-2</v>
      </c>
      <c r="F7" s="1637">
        <f t="shared" si="3"/>
        <v>0.11487085999460911</v>
      </c>
      <c r="G7" s="1637">
        <f t="shared" si="3"/>
        <v>4.2533599887004669E-2</v>
      </c>
      <c r="H7" s="1637">
        <f t="shared" si="3"/>
        <v>4.3732006305121862E-2</v>
      </c>
      <c r="I7" s="1998">
        <f t="shared" si="3"/>
        <v>5.6808193775524263E-2</v>
      </c>
      <c r="J7" s="1637">
        <f t="shared" si="3"/>
        <v>8.62076947554824E-2</v>
      </c>
      <c r="K7" s="1637">
        <f t="shared" si="3"/>
        <v>8.4011070530987997E-2</v>
      </c>
      <c r="L7" s="1637">
        <f t="shared" si="3"/>
        <v>8.837106374720749E-2</v>
      </c>
      <c r="M7" s="1640">
        <v>0.08</v>
      </c>
      <c r="N7" s="1640">
        <v>7.0000000000000007E-2</v>
      </c>
      <c r="O7" s="1640">
        <v>0.06</v>
      </c>
      <c r="P7" s="1640">
        <v>0.05</v>
      </c>
      <c r="Q7" s="1640">
        <v>0.04</v>
      </c>
      <c r="R7" s="1641">
        <f>J2</f>
        <v>2.5000000000000001E-2</v>
      </c>
    </row>
    <row r="8" spans="1:18" hidden="1" outlineLevel="1" x14ac:dyDescent="0.2">
      <c r="A8" s="1634" t="s">
        <v>461</v>
      </c>
      <c r="B8" s="1642">
        <f>B5/VA!CJ12</f>
        <v>0.38294164464199915</v>
      </c>
      <c r="C8" s="1642">
        <f>C5/VA!CK12</f>
        <v>0.38557015485687468</v>
      </c>
      <c r="D8" s="1642">
        <f>D5/VA!CL12</f>
        <v>0.38495581598946677</v>
      </c>
      <c r="E8" s="1637">
        <f>E5/VA!CM12</f>
        <v>0.37810509490326477</v>
      </c>
      <c r="F8" s="1637">
        <f>F5/VA!CN12</f>
        <v>0.35604202610384272</v>
      </c>
      <c r="G8" s="1637">
        <f>G5/VA!CO12</f>
        <v>0.384742614443423</v>
      </c>
      <c r="H8" s="1637">
        <f>H5/VA!CP12</f>
        <v>0.37348498974454608</v>
      </c>
      <c r="I8" s="1998">
        <f>I5/VA!CQ12</f>
        <v>0.35886663557026199</v>
      </c>
      <c r="J8" s="1637">
        <f>J5/VA!CR12</f>
        <v>0.3685233457320633</v>
      </c>
      <c r="K8" s="1637">
        <f>K5/VA!CS12</f>
        <v>0.37823504438691635</v>
      </c>
      <c r="L8" s="1637">
        <f>L5/VA!CT12</f>
        <v>0.38971509720881764</v>
      </c>
      <c r="M8" s="1637"/>
      <c r="N8" s="1637"/>
      <c r="O8" s="1637"/>
      <c r="P8" s="1637"/>
      <c r="Q8" s="1637"/>
      <c r="R8" s="1638"/>
    </row>
    <row r="9" spans="1:18" hidden="1" outlineLevel="1" x14ac:dyDescent="0.2">
      <c r="A9" s="1634" t="s">
        <v>462</v>
      </c>
      <c r="B9" s="1635">
        <f>VA!CJ34</f>
        <v>0.44449783757808758</v>
      </c>
      <c r="C9" s="1635">
        <f>VA!CK34</f>
        <v>0.45356574899629809</v>
      </c>
      <c r="D9" s="1635">
        <f>VA!CL34</f>
        <v>0.46598229130175672</v>
      </c>
      <c r="E9" s="1636">
        <f>VA!CM34</f>
        <v>0.45970575808684366</v>
      </c>
      <c r="F9" s="1636">
        <f>VA!CN34</f>
        <v>0.48145352525666701</v>
      </c>
      <c r="G9" s="1636">
        <f>VA!CO34</f>
        <v>0.50362423803790934</v>
      </c>
      <c r="H9" s="1636">
        <f>VA!CP34</f>
        <v>0.48862576915905281</v>
      </c>
      <c r="I9" s="1997">
        <f>VA!CQ34</f>
        <v>0.4786170481021908</v>
      </c>
      <c r="J9" s="1636">
        <f>VA!CR34</f>
        <v>0.48117380335858667</v>
      </c>
      <c r="K9" s="1636">
        <f>VA!CS34</f>
        <v>0.48381822237176419</v>
      </c>
      <c r="L9" s="1636">
        <f>VA!CT34</f>
        <v>0.48645715876374185</v>
      </c>
      <c r="M9" s="1643"/>
      <c r="N9" s="1643"/>
      <c r="O9" s="1643"/>
      <c r="P9" s="1643"/>
      <c r="Q9" s="1643"/>
      <c r="R9" s="1644"/>
    </row>
    <row r="10" spans="1:18" collapsed="1" x14ac:dyDescent="0.2">
      <c r="A10" s="1645" t="s">
        <v>364</v>
      </c>
      <c r="B10" s="1646">
        <f>VA!AC380</f>
        <v>0.38871311020146376</v>
      </c>
      <c r="C10" s="1646">
        <f>VA!AH380</f>
        <v>0.36590994325606618</v>
      </c>
      <c r="D10" s="1646">
        <f>VA!AM380</f>
        <v>0.3645904097943789</v>
      </c>
      <c r="E10" s="1646">
        <f>VA!AR380</f>
        <v>0.37207510751413775</v>
      </c>
      <c r="F10" s="1646">
        <f>VA!AW380</f>
        <v>0.29261446821326681</v>
      </c>
      <c r="G10" s="1646">
        <f>VA!BB380</f>
        <v>0.31020041350059668</v>
      </c>
      <c r="H10" s="1646">
        <f>VA!BG380</f>
        <v>0.1967877297062654</v>
      </c>
      <c r="I10" s="1999">
        <f>VA!BL380</f>
        <v>0.22</v>
      </c>
      <c r="J10" s="1646">
        <f>VA!BQ380</f>
        <v>0.21999999999999997</v>
      </c>
      <c r="K10" s="1646">
        <f>VA!BV380</f>
        <v>0.21999999999999997</v>
      </c>
      <c r="L10" s="1646">
        <f>VA!CA380</f>
        <v>0.21999999999999997</v>
      </c>
      <c r="M10" s="1647">
        <f t="shared" ref="M10:R10" si="4">+L10</f>
        <v>0.21999999999999997</v>
      </c>
      <c r="N10" s="1647">
        <f t="shared" si="4"/>
        <v>0.21999999999999997</v>
      </c>
      <c r="O10" s="1647">
        <f t="shared" si="4"/>
        <v>0.21999999999999997</v>
      </c>
      <c r="P10" s="1647">
        <f t="shared" si="4"/>
        <v>0.21999999999999997</v>
      </c>
      <c r="Q10" s="1647">
        <f t="shared" si="4"/>
        <v>0.21999999999999997</v>
      </c>
      <c r="R10" s="1648">
        <f t="shared" si="4"/>
        <v>0.21999999999999997</v>
      </c>
    </row>
    <row r="11" spans="1:18" x14ac:dyDescent="0.2">
      <c r="A11" s="1649" t="s">
        <v>463</v>
      </c>
      <c r="B11" s="1632">
        <f t="shared" ref="B11:N11" si="5">+B5*(1-B10)</f>
        <v>311.76670567438015</v>
      </c>
      <c r="C11" s="1632">
        <f t="shared" si="5"/>
        <v>375.1200684890303</v>
      </c>
      <c r="D11" s="1632">
        <f t="shared" si="5"/>
        <v>390.31876766191874</v>
      </c>
      <c r="E11" s="1632">
        <f t="shared" si="5"/>
        <v>414.71048354271778</v>
      </c>
      <c r="F11" s="1632">
        <f t="shared" si="5"/>
        <v>520.85645568095288</v>
      </c>
      <c r="G11" s="1632">
        <f t="shared" si="5"/>
        <v>529.51085658453678</v>
      </c>
      <c r="H11" s="1632">
        <f>+H5*(1-H10)</f>
        <v>643.53367095934038</v>
      </c>
      <c r="I11" s="1996">
        <f t="shared" si="5"/>
        <v>660.43748538530133</v>
      </c>
      <c r="J11" s="1632">
        <f t="shared" si="5"/>
        <v>717.37227853047568</v>
      </c>
      <c r="K11" s="1632">
        <f>+K5*(1-K10)</f>
        <v>777.6394916190751</v>
      </c>
      <c r="L11" s="1632">
        <f>+L5*(1-L10)</f>
        <v>846.36032070529052</v>
      </c>
      <c r="M11" s="1632">
        <f t="shared" si="5"/>
        <v>914.06914636171382</v>
      </c>
      <c r="N11" s="1632">
        <f t="shared" si="5"/>
        <v>978.05398660703383</v>
      </c>
      <c r="O11" s="1632">
        <f>+O5*(1-O10)</f>
        <v>1036.7372258034559</v>
      </c>
      <c r="P11" s="1632">
        <f>+P5*(1-P10)</f>
        <v>1088.5740870936288</v>
      </c>
      <c r="Q11" s="1632">
        <f>+Q5*(1-Q10)</f>
        <v>1132.1170505773739</v>
      </c>
      <c r="R11" s="1633">
        <f>+R5*(1-R10)</f>
        <v>1160.4199768418082</v>
      </c>
    </row>
    <row r="12" spans="1:18" x14ac:dyDescent="0.2">
      <c r="A12" s="1650" t="s">
        <v>464</v>
      </c>
      <c r="B12" s="1651">
        <f>VA!CJ37</f>
        <v>78.619</v>
      </c>
      <c r="C12" s="1651">
        <f>VA!CK37</f>
        <v>104.19900000000001</v>
      </c>
      <c r="D12" s="1651">
        <f>VA!CL37</f>
        <v>129.93</v>
      </c>
      <c r="E12" s="1651">
        <f>VA!CM37</f>
        <v>142.376</v>
      </c>
      <c r="F12" s="1651">
        <f>VA!CN37</f>
        <v>215.74900000000002</v>
      </c>
      <c r="G12" s="1651">
        <f>VA!CO37</f>
        <v>211.53200000000001</v>
      </c>
      <c r="H12" s="1651">
        <f>VA!CP37</f>
        <v>237.4</v>
      </c>
      <c r="I12" s="2000">
        <f>VA!CQ37</f>
        <v>282.54072000000002</v>
      </c>
      <c r="J12" s="1651">
        <f>VA!CR37</f>
        <v>281.13695874999996</v>
      </c>
      <c r="K12" s="1651">
        <f>VA!CS37</f>
        <v>278.30221957500004</v>
      </c>
      <c r="L12" s="1651">
        <f>VA!CT37</f>
        <v>269.35733055375005</v>
      </c>
      <c r="M12" s="1652">
        <f t="shared" ref="M12:R12" si="6">+L12*(1+M7)</f>
        <v>290.90591699805009</v>
      </c>
      <c r="N12" s="1652">
        <f t="shared" si="6"/>
        <v>311.26933118791362</v>
      </c>
      <c r="O12" s="1652">
        <f t="shared" si="6"/>
        <v>329.94549105918844</v>
      </c>
      <c r="P12" s="1652">
        <f t="shared" si="6"/>
        <v>346.44276561214787</v>
      </c>
      <c r="Q12" s="1652">
        <f t="shared" si="6"/>
        <v>360.30047623663381</v>
      </c>
      <c r="R12" s="1653">
        <f t="shared" si="6"/>
        <v>369.30798814254962</v>
      </c>
    </row>
    <row r="13" spans="1:18" x14ac:dyDescent="0.2">
      <c r="A13" s="1613" t="s">
        <v>465</v>
      </c>
      <c r="B13" s="1632">
        <f t="shared" ref="B13:N13" si="7">+B11+B12</f>
        <v>390.38570567438012</v>
      </c>
      <c r="C13" s="1632">
        <f t="shared" si="7"/>
        <v>479.31906848903031</v>
      </c>
      <c r="D13" s="1632">
        <f t="shared" si="7"/>
        <v>520.24876766191869</v>
      </c>
      <c r="E13" s="1632">
        <f t="shared" si="7"/>
        <v>557.08648354271781</v>
      </c>
      <c r="F13" s="1632">
        <f t="shared" si="7"/>
        <v>736.6054556809529</v>
      </c>
      <c r="G13" s="1632">
        <f t="shared" si="7"/>
        <v>741.04285658453682</v>
      </c>
      <c r="H13" s="1632">
        <f>+H11+H12</f>
        <v>880.93367095934036</v>
      </c>
      <c r="I13" s="1996">
        <f t="shared" si="7"/>
        <v>942.97820538530141</v>
      </c>
      <c r="J13" s="1632">
        <f t="shared" si="7"/>
        <v>998.50923728047565</v>
      </c>
      <c r="K13" s="1632">
        <f>+K11+K12</f>
        <v>1055.9417111940752</v>
      </c>
      <c r="L13" s="1632">
        <f>+L11+L12</f>
        <v>1115.7176512590406</v>
      </c>
      <c r="M13" s="1632">
        <f t="shared" si="7"/>
        <v>1204.9750633597639</v>
      </c>
      <c r="N13" s="1632">
        <f t="shared" si="7"/>
        <v>1289.3233177949473</v>
      </c>
      <c r="O13" s="1632">
        <f>+O11+O12</f>
        <v>1366.6827168626444</v>
      </c>
      <c r="P13" s="1632">
        <f>+P11+P12</f>
        <v>1435.0168527057767</v>
      </c>
      <c r="Q13" s="1632">
        <f>+Q11+Q12</f>
        <v>1492.4175268140077</v>
      </c>
      <c r="R13" s="1633">
        <f>+R11+R12</f>
        <v>1529.7279649843579</v>
      </c>
    </row>
    <row r="14" spans="1:18" x14ac:dyDescent="0.2">
      <c r="A14" s="1606"/>
      <c r="B14" s="1639"/>
      <c r="C14" s="1639"/>
      <c r="D14" s="1639"/>
      <c r="E14" s="1654"/>
      <c r="F14" s="1654"/>
      <c r="G14" s="1654"/>
      <c r="H14" s="1654"/>
      <c r="I14" s="2001"/>
      <c r="J14" s="1655"/>
      <c r="K14" s="1655"/>
      <c r="L14" s="1655"/>
      <c r="M14" s="1655"/>
      <c r="N14" s="1655"/>
      <c r="O14" s="1655"/>
      <c r="P14" s="1655"/>
      <c r="Q14" s="1655"/>
      <c r="R14" s="1656"/>
    </row>
    <row r="15" spans="1:18" x14ac:dyDescent="0.2">
      <c r="A15" s="1606" t="s">
        <v>466</v>
      </c>
      <c r="B15" s="1657">
        <f>SUM(VA!CJ126:CJ132)</f>
        <v>10.479000000000006</v>
      </c>
      <c r="C15" s="1657">
        <f>SUM(VA!CK126:CK132)</f>
        <v>-10.103999999999999</v>
      </c>
      <c r="D15" s="1657">
        <f>SUM(VA!CL126:CL132)</f>
        <v>47.387999999999991</v>
      </c>
      <c r="E15" s="1657">
        <f>SUM(VA!CM126:CM132)</f>
        <v>-31.434999999999995</v>
      </c>
      <c r="F15" s="1657">
        <f>SUM(VA!CN126:CN132)</f>
        <v>-14.336000000000004</v>
      </c>
      <c r="G15" s="1657">
        <f>SUM(VA!CO126:CO132)</f>
        <v>-39.100000000000009</v>
      </c>
      <c r="H15" s="1657">
        <f>SUM(VA!CP126:CP132)</f>
        <v>-13.500000000000007</v>
      </c>
      <c r="I15" s="2002">
        <f>SUM(VA!CQ126:CQ132)</f>
        <v>-4.055413171383659</v>
      </c>
      <c r="J15" s="1657">
        <f>SUM(VA!CR126:CR132)</f>
        <v>-4.3739771955607694</v>
      </c>
      <c r="K15" s="1657">
        <f>SUM(VA!CS126:CS132)</f>
        <v>-4.8619627104831622</v>
      </c>
      <c r="L15" s="1657">
        <f>SUM(VA!CT126:CT132)</f>
        <v>-5.3732819209993608</v>
      </c>
      <c r="M15" s="1658">
        <f t="shared" ref="M15:R15" si="8">+L15</f>
        <v>-5.3732819209993608</v>
      </c>
      <c r="N15" s="1658">
        <f t="shared" si="8"/>
        <v>-5.3732819209993608</v>
      </c>
      <c r="O15" s="1658">
        <f t="shared" si="8"/>
        <v>-5.3732819209993608</v>
      </c>
      <c r="P15" s="1658">
        <f t="shared" si="8"/>
        <v>-5.3732819209993608</v>
      </c>
      <c r="Q15" s="1658">
        <f t="shared" si="8"/>
        <v>-5.3732819209993608</v>
      </c>
      <c r="R15" s="1659">
        <f t="shared" si="8"/>
        <v>-5.3732819209993608</v>
      </c>
    </row>
    <row r="16" spans="1:18" x14ac:dyDescent="0.2">
      <c r="A16" s="1650" t="s">
        <v>467</v>
      </c>
      <c r="B16" s="1651">
        <f>VA!CJ137</f>
        <v>-59.829000000000001</v>
      </c>
      <c r="C16" s="1651">
        <f>VA!CK137</f>
        <v>-74.373000000000005</v>
      </c>
      <c r="D16" s="1651">
        <f>VA!CL137</f>
        <v>-145.976</v>
      </c>
      <c r="E16" s="1651">
        <f>VA!CM137</f>
        <v>-146.81800000000001</v>
      </c>
      <c r="F16" s="1651">
        <f>VA!CN137</f>
        <v>-166.13800000000001</v>
      </c>
      <c r="G16" s="1651">
        <f>VA!CO137</f>
        <v>-156.5</v>
      </c>
      <c r="H16" s="1651">
        <f>VA!CP137</f>
        <v>-183.5</v>
      </c>
      <c r="I16" s="2000">
        <f>VA!CQ137</f>
        <v>-224.44699841916079</v>
      </c>
      <c r="J16" s="1651">
        <f>VA!CR137</f>
        <v>-212.48764054840677</v>
      </c>
      <c r="K16" s="1651">
        <f>VA!CS137</f>
        <v>-200.70454947140149</v>
      </c>
      <c r="L16" s="1651">
        <f>VA!CT137</f>
        <v>-198.08761552277912</v>
      </c>
      <c r="M16" s="1651">
        <f>L16*(1+M7)</f>
        <v>-213.93462476460147</v>
      </c>
      <c r="N16" s="1651">
        <f>M16*(1+N7)</f>
        <v>-228.91004849812359</v>
      </c>
      <c r="O16" s="1651">
        <f>N16*(1+O7)</f>
        <v>-242.64465140801101</v>
      </c>
      <c r="P16" s="1651">
        <f>O16*(1+P7)</f>
        <v>-254.77688397841158</v>
      </c>
      <c r="Q16" s="1651">
        <f>P16*(1+Q7)</f>
        <v>-264.96795933754805</v>
      </c>
      <c r="R16" s="1921">
        <f>-R12</f>
        <v>-369.30798814254962</v>
      </c>
    </row>
    <row r="17" spans="1:23" ht="12.75" hidden="1" customHeight="1" outlineLevel="1" x14ac:dyDescent="0.2">
      <c r="A17" s="1634" t="s">
        <v>468</v>
      </c>
      <c r="B17" s="1637">
        <f>B15/VA!CJ12</f>
        <v>7.868062229697265E-3</v>
      </c>
      <c r="C17" s="1637">
        <f>C15/VA!CK12</f>
        <v>-6.585327702174253E-3</v>
      </c>
      <c r="D17" s="1637">
        <f>D15/VA!CL12</f>
        <v>2.9697069585821505E-2</v>
      </c>
      <c r="E17" s="1637">
        <f>E15/VA!CM12</f>
        <v>-1.7996526072205941E-2</v>
      </c>
      <c r="F17" s="1637">
        <f>F15/VA!CN12</f>
        <v>-6.9321408400578738E-3</v>
      </c>
      <c r="G17" s="1637">
        <f>G15/VA!CO12</f>
        <v>-1.9597248967260068E-2</v>
      </c>
      <c r="H17" s="1637">
        <f>H15/VA!CP12</f>
        <v>-6.2931195226552331E-3</v>
      </c>
      <c r="I17" s="1998">
        <f>I15/VA!CQ12</f>
        <v>-1.7188226895599721E-3</v>
      </c>
      <c r="J17" s="1637">
        <f>J15/VA!CR12</f>
        <v>-1.7526352099656061E-3</v>
      </c>
      <c r="K17" s="1637">
        <f>K15/VA!CS12</f>
        <v>-1.8445468203615819E-3</v>
      </c>
      <c r="L17" s="1637">
        <f>L15/VA!CT12</f>
        <v>-1.9298616053426898E-3</v>
      </c>
      <c r="M17" s="1637"/>
      <c r="N17" s="1637"/>
      <c r="O17" s="1637"/>
      <c r="P17" s="1637"/>
      <c r="Q17" s="1637"/>
      <c r="R17" s="1638"/>
    </row>
    <row r="18" spans="1:23" ht="12.75" hidden="1" customHeight="1" outlineLevel="1" x14ac:dyDescent="0.2">
      <c r="A18" s="1634" t="s">
        <v>469</v>
      </c>
      <c r="B18" s="1637">
        <f>B12/VA!CJ12</f>
        <v>5.9030364007688602E-2</v>
      </c>
      <c r="C18" s="1637">
        <f>C12/VA!CK12</f>
        <v>6.7912169560456759E-2</v>
      </c>
      <c r="D18" s="1637">
        <f>D12/VA!CL12</f>
        <v>8.1424416546083164E-2</v>
      </c>
      <c r="E18" s="1637">
        <f>E12/VA!CM12</f>
        <v>8.1510208241017776E-2</v>
      </c>
      <c r="F18" s="1637">
        <f>F12/VA!CN12</f>
        <v>0.1043249479702599</v>
      </c>
      <c r="G18" s="1637">
        <f>G12/VA!CO12</f>
        <v>0.10602161812129045</v>
      </c>
      <c r="H18" s="1637">
        <f>H12/VA!CP12</f>
        <v>0.1106656721983964</v>
      </c>
      <c r="I18" s="1998">
        <f>I12/VA!CQ12</f>
        <v>0.11975041253192885</v>
      </c>
      <c r="J18" s="1637">
        <f>J12/VA!CR12</f>
        <v>0.1126504576265234</v>
      </c>
      <c r="K18" s="1637">
        <f>K12/VA!CS12</f>
        <v>0.10558317798484788</v>
      </c>
      <c r="L18" s="1637">
        <f>L12/VA!CT12</f>
        <v>9.6742061554924222E-2</v>
      </c>
      <c r="M18" s="1637"/>
      <c r="N18" s="1637"/>
      <c r="O18" s="1637"/>
      <c r="P18" s="1637"/>
      <c r="Q18" s="1637"/>
      <c r="R18" s="1638"/>
    </row>
    <row r="19" spans="1:23" ht="12.75" hidden="1" customHeight="1" outlineLevel="1" x14ac:dyDescent="0.2">
      <c r="A19" s="1634" t="s">
        <v>470</v>
      </c>
      <c r="B19" s="1637">
        <f>-B16/VA!CJ12</f>
        <v>4.4922062710235459E-2</v>
      </c>
      <c r="C19" s="1637">
        <f>-C16/VA!CK12</f>
        <v>4.8472939152197719E-2</v>
      </c>
      <c r="D19" s="1637">
        <f>-D16/VA!CL12</f>
        <v>9.1480109518440975E-2</v>
      </c>
      <c r="E19" s="1637">
        <f>-E16/VA!CM12</f>
        <v>8.4053251626185224E-2</v>
      </c>
      <c r="F19" s="1637">
        <f>-F16/VA!CN12</f>
        <v>8.0335659520475361E-2</v>
      </c>
      <c r="G19" s="1637">
        <f>-G16/VA!CO12</f>
        <v>7.8439116710388751E-2</v>
      </c>
      <c r="H19" s="1637">
        <f>-H16/VA!CP12</f>
        <v>8.5539809807943304E-2</v>
      </c>
      <c r="I19" s="1998">
        <f>-I16/VA!CQ12</f>
        <v>9.5128308062100514E-2</v>
      </c>
      <c r="J19" s="1637">
        <f>-J16/VA!CR12</f>
        <v>8.5142949735911369E-2</v>
      </c>
      <c r="K19" s="1637">
        <f>-K16/VA!CS12</f>
        <v>7.614392799873769E-2</v>
      </c>
      <c r="L19" s="1637">
        <f>-L16/VA!CT12</f>
        <v>7.1144914655845298E-2</v>
      </c>
      <c r="M19" s="1637"/>
      <c r="N19" s="1637"/>
      <c r="O19" s="1637"/>
      <c r="P19" s="1637"/>
      <c r="Q19" s="1637"/>
      <c r="R19" s="1638"/>
    </row>
    <row r="20" spans="1:23" ht="12.75" hidden="1" customHeight="1" outlineLevel="1" x14ac:dyDescent="0.25">
      <c r="A20" s="1634" t="s">
        <v>471</v>
      </c>
      <c r="B20" s="1660">
        <f t="shared" ref="B20:J20" si="9">-B16/B12</f>
        <v>0.76099924954527531</v>
      </c>
      <c r="C20" s="1660">
        <f t="shared" si="9"/>
        <v>0.71375924912907029</v>
      </c>
      <c r="D20" s="1660">
        <f t="shared" si="9"/>
        <v>1.1234972677595627</v>
      </c>
      <c r="E20" s="1660">
        <f t="shared" si="9"/>
        <v>1.0311990784963758</v>
      </c>
      <c r="F20" s="1660">
        <f t="shared" si="9"/>
        <v>0.77005223662682087</v>
      </c>
      <c r="G20" s="1660">
        <f t="shared" si="9"/>
        <v>0.73984078059111624</v>
      </c>
      <c r="H20" s="1660">
        <f>-H16/H12</f>
        <v>0.77295703454085929</v>
      </c>
      <c r="I20" s="2003">
        <f t="shared" si="9"/>
        <v>0.79438814489876286</v>
      </c>
      <c r="J20" s="1660">
        <f t="shared" si="9"/>
        <v>0.75581539152011901</v>
      </c>
      <c r="K20" s="1660">
        <f>-K16/K12</f>
        <v>0.7211748069343491</v>
      </c>
      <c r="L20" s="1660">
        <f>-L16/L12</f>
        <v>0.73540829616757319</v>
      </c>
      <c r="M20" s="1660">
        <f t="shared" ref="M20:R20" si="10">-M16/M12</f>
        <v>0.73540829616757308</v>
      </c>
      <c r="N20" s="1660">
        <f t="shared" si="10"/>
        <v>0.73540829616757308</v>
      </c>
      <c r="O20" s="1660">
        <f t="shared" si="10"/>
        <v>0.73540829616757319</v>
      </c>
      <c r="P20" s="1660">
        <f t="shared" si="10"/>
        <v>0.73540829616757319</v>
      </c>
      <c r="Q20" s="1660">
        <f t="shared" si="10"/>
        <v>0.73540829616757319</v>
      </c>
      <c r="R20">
        <f t="shared" si="10"/>
        <v>1</v>
      </c>
    </row>
    <row r="21" spans="1:23" collapsed="1" x14ac:dyDescent="0.2">
      <c r="A21" s="1649" t="s">
        <v>472</v>
      </c>
      <c r="B21" s="1661">
        <f t="shared" ref="B21:N21" si="11">B15+B16</f>
        <v>-49.349999999999994</v>
      </c>
      <c r="C21" s="1661">
        <f t="shared" si="11"/>
        <v>-84.477000000000004</v>
      </c>
      <c r="D21" s="1661">
        <f t="shared" si="11"/>
        <v>-98.588000000000008</v>
      </c>
      <c r="E21" s="1661">
        <f t="shared" si="11"/>
        <v>-178.25300000000001</v>
      </c>
      <c r="F21" s="1661">
        <f t="shared" si="11"/>
        <v>-180.47400000000002</v>
      </c>
      <c r="G21" s="1661">
        <f t="shared" si="11"/>
        <v>-195.60000000000002</v>
      </c>
      <c r="H21" s="1661">
        <f>H15+H16</f>
        <v>-197</v>
      </c>
      <c r="I21" s="2004">
        <f t="shared" si="11"/>
        <v>-228.50241159054445</v>
      </c>
      <c r="J21" s="1661">
        <f t="shared" si="11"/>
        <v>-216.86161774396754</v>
      </c>
      <c r="K21" s="1661">
        <f>K15+K16</f>
        <v>-205.56651218188466</v>
      </c>
      <c r="L21" s="1661">
        <f>L15+L16</f>
        <v>-203.46089744377849</v>
      </c>
      <c r="M21" s="1661">
        <f>M15+M16</f>
        <v>-219.30790668560081</v>
      </c>
      <c r="N21" s="1661">
        <f t="shared" si="11"/>
        <v>-234.28333041912293</v>
      </c>
      <c r="O21" s="1661">
        <f>O15+O16</f>
        <v>-248.01793332901036</v>
      </c>
      <c r="P21" s="1661">
        <f>P15+P16</f>
        <v>-260.15016589941092</v>
      </c>
      <c r="Q21" s="1661">
        <f>Q15+Q16</f>
        <v>-270.34124125854743</v>
      </c>
      <c r="R21" s="1662">
        <f>R15+R16</f>
        <v>-374.68127006354899</v>
      </c>
    </row>
    <row r="22" spans="1:23" x14ac:dyDescent="0.2">
      <c r="A22" s="1613"/>
      <c r="B22" s="1663"/>
      <c r="C22" s="1663"/>
      <c r="D22" s="1663"/>
      <c r="E22" s="1663"/>
      <c r="F22" s="1663"/>
      <c r="G22" s="1663"/>
      <c r="H22" s="1663"/>
      <c r="I22" s="2005"/>
      <c r="J22" s="1663"/>
      <c r="K22" s="1663"/>
      <c r="L22" s="1663"/>
      <c r="M22" s="1663"/>
      <c r="N22" s="1663"/>
      <c r="O22" s="1663"/>
      <c r="P22" s="1663"/>
      <c r="Q22" s="1663"/>
      <c r="R22" s="1664"/>
    </row>
    <row r="23" spans="1:23" x14ac:dyDescent="0.2">
      <c r="A23" s="1665" t="s">
        <v>473</v>
      </c>
      <c r="B23" s="1666">
        <f t="shared" ref="B23:N23" si="12">+B13+B21</f>
        <v>341.0357056743801</v>
      </c>
      <c r="C23" s="1632">
        <f t="shared" si="12"/>
        <v>394.84206848903034</v>
      </c>
      <c r="D23" s="1632">
        <f t="shared" si="12"/>
        <v>421.66076766191867</v>
      </c>
      <c r="E23" s="1632">
        <f t="shared" si="12"/>
        <v>378.83348354271777</v>
      </c>
      <c r="F23" s="1632">
        <f t="shared" si="12"/>
        <v>556.13145568095285</v>
      </c>
      <c r="G23" s="1632">
        <f t="shared" si="12"/>
        <v>545.4428565845368</v>
      </c>
      <c r="H23" s="1632">
        <f>+H13+H21</f>
        <v>683.93367095934036</v>
      </c>
      <c r="I23" s="2006">
        <f t="shared" si="12"/>
        <v>714.47579379475701</v>
      </c>
      <c r="J23" s="1666">
        <f t="shared" si="12"/>
        <v>781.64761953650805</v>
      </c>
      <c r="K23" s="1666">
        <f>+K13+K21</f>
        <v>850.37519901219048</v>
      </c>
      <c r="L23" s="1666">
        <f>+L13+L21</f>
        <v>912.25675381526207</v>
      </c>
      <c r="M23" s="1666">
        <f t="shared" si="12"/>
        <v>985.66715667416315</v>
      </c>
      <c r="N23" s="1666">
        <f t="shared" si="12"/>
        <v>1055.0399873758245</v>
      </c>
      <c r="O23" s="1666">
        <f>+O13+O21</f>
        <v>1118.6647835336339</v>
      </c>
      <c r="P23" s="1666">
        <f>+P13+P21</f>
        <v>1174.8666868063658</v>
      </c>
      <c r="Q23" s="1666">
        <f>+Q13+Q21</f>
        <v>1222.0762855554603</v>
      </c>
      <c r="R23" s="1667">
        <f>+R13+R21</f>
        <v>1155.0466949208089</v>
      </c>
      <c r="S23" s="18"/>
      <c r="T23" s="1669"/>
      <c r="U23" s="18"/>
      <c r="V23" s="18"/>
      <c r="W23" s="18"/>
    </row>
    <row r="24" spans="1:23" x14ac:dyDescent="0.2">
      <c r="A24" s="1670" t="s">
        <v>474</v>
      </c>
      <c r="B24" s="1671"/>
      <c r="C24" s="1671">
        <f t="shared" ref="C24:O24" si="13">+C23/B23-1</f>
        <v>0.15777340002640194</v>
      </c>
      <c r="D24" s="1671">
        <f t="shared" si="13"/>
        <v>6.7922598206207718E-2</v>
      </c>
      <c r="E24" s="1671">
        <f t="shared" si="13"/>
        <v>-0.10156810261641225</v>
      </c>
      <c r="F24" s="1671">
        <f t="shared" si="13"/>
        <v>0.4680102996182034</v>
      </c>
      <c r="G24" s="1671">
        <f t="shared" si="13"/>
        <v>-1.9219554994112764E-2</v>
      </c>
      <c r="H24" s="1671">
        <f t="shared" si="13"/>
        <v>0.25390526744086017</v>
      </c>
      <c r="I24" s="2007">
        <f t="shared" si="13"/>
        <v>4.4656556815773962E-2</v>
      </c>
      <c r="J24" s="1671">
        <f t="shared" si="13"/>
        <v>9.4015537440372832E-2</v>
      </c>
      <c r="K24" s="1671">
        <f t="shared" si="13"/>
        <v>8.7926551246245266E-2</v>
      </c>
      <c r="L24" s="1671">
        <f t="shared" si="13"/>
        <v>7.2769707859488664E-2</v>
      </c>
      <c r="M24" s="1671">
        <f t="shared" si="13"/>
        <v>8.047120786103501E-2</v>
      </c>
      <c r="N24" s="1671">
        <f t="shared" si="13"/>
        <v>7.0381599135086459E-2</v>
      </c>
      <c r="O24" s="1671">
        <f t="shared" si="13"/>
        <v>6.0305577910901631E-2</v>
      </c>
      <c r="P24" s="1671">
        <f>+P23/O23-1</f>
        <v>5.0240164971674162E-2</v>
      </c>
      <c r="Q24" s="1671">
        <f>+Q23/P23-1</f>
        <v>4.0182940991734251E-2</v>
      </c>
      <c r="R24" s="1672">
        <f>+R23/Q23-1</f>
        <v>-5.4848941450643562E-2</v>
      </c>
      <c r="S24" s="1673"/>
      <c r="T24" s="1673"/>
      <c r="U24" s="1673"/>
      <c r="V24" s="18"/>
      <c r="W24" s="18"/>
    </row>
    <row r="25" spans="1:23" x14ac:dyDescent="0.2">
      <c r="A25" s="1482"/>
      <c r="B25" s="1674"/>
      <c r="C25" s="1674"/>
      <c r="D25" s="1674"/>
      <c r="E25" s="1482"/>
      <c r="F25" s="1482"/>
      <c r="G25" s="1482"/>
      <c r="H25" s="1482"/>
      <c r="I25" s="2008"/>
      <c r="J25" s="1485"/>
      <c r="K25" s="1485"/>
      <c r="L25" s="1485"/>
      <c r="M25" s="1485"/>
      <c r="N25" s="1485"/>
      <c r="O25" s="1485"/>
      <c r="P25" s="1485"/>
      <c r="Q25" s="1485"/>
      <c r="R25" s="1675"/>
      <c r="S25" s="1676"/>
      <c r="T25" s="1676"/>
      <c r="U25" s="1676"/>
      <c r="V25" s="18"/>
      <c r="W25" s="18"/>
    </row>
    <row r="26" spans="1:23" x14ac:dyDescent="0.2">
      <c r="A26" s="1482" t="s">
        <v>475</v>
      </c>
      <c r="B26" s="1677">
        <f>+NPV($E$51,B23:$P$23)+G52</f>
        <v>13592.121455622986</v>
      </c>
      <c r="C26" s="1677">
        <f>+NPV($E$51,C23:$P$23)+H52</f>
        <v>14250.935679440125</v>
      </c>
      <c r="D26" s="1677">
        <f>+NPV($E$51,D23:$P$23)+I52</f>
        <v>14904.406567894381</v>
      </c>
      <c r="E26" s="1677">
        <f>+NPV($E$51,E23:$R$23)+J52</f>
        <v>16492.397424706192</v>
      </c>
      <c r="F26" s="1677">
        <f>+NPV($E$51,F23:$R$23)+K52</f>
        <v>17326.761046271509</v>
      </c>
      <c r="G26" s="1677">
        <f>+NPV($E$51,G23:$R$23)+L52</f>
        <v>18045.20331088821</v>
      </c>
      <c r="H26" s="1677">
        <f>+NPV($E$51,H23:$R$23)+M52</f>
        <v>18827.183499849496</v>
      </c>
      <c r="I26" s="2009">
        <f>+NPV($E$51,I23:$R$23)+N52</f>
        <v>19528.19611239036</v>
      </c>
      <c r="J26" s="1677">
        <f>+NPV($E$51,J23:$R$23)+O52</f>
        <v>20250.23378485753</v>
      </c>
      <c r="K26" s="1677">
        <f>+NPV($E$51,K23:$R$23)+P52</f>
        <v>20958.213438597071</v>
      </c>
      <c r="L26" s="1677">
        <f>+NPV($E$51,L23:$R$23)+Q52</f>
        <v>21649.545198080352</v>
      </c>
      <c r="M26" s="1677">
        <f>+NPV($E$51,M23:$R$23)+R52</f>
        <v>22329.850452373779</v>
      </c>
      <c r="N26" s="1677">
        <f>+NPV($E$51,N23:$R$23)+S52</f>
        <v>22986.789232768097</v>
      </c>
      <c r="O26" s="1677">
        <f>+NPV($E$51,O23:$R$23)+T52</f>
        <v>23622.680250435009</v>
      </c>
      <c r="P26" s="1677">
        <f>+NPV($E$51,P23:$R$23)+U52</f>
        <v>24241.723245625435</v>
      </c>
      <c r="Q26" s="1677">
        <f>+NPV($E$51,Q23:$R$23)+V52</f>
        <v>24850.101753987947</v>
      </c>
      <c r="R26" s="1678">
        <f>+NPV($E$51,R23:$R$23)+W52</f>
        <v>25456.023589822373</v>
      </c>
      <c r="S26" s="1679"/>
      <c r="T26" s="1679"/>
      <c r="U26" s="1679"/>
      <c r="V26" s="1680"/>
      <c r="W26" s="18"/>
    </row>
    <row r="27" spans="1:23" x14ac:dyDescent="0.2">
      <c r="A27" s="1482" t="s">
        <v>476</v>
      </c>
      <c r="B27" s="1681">
        <v>0</v>
      </c>
      <c r="C27" s="1681">
        <v>0</v>
      </c>
      <c r="D27" s="1681">
        <v>0</v>
      </c>
      <c r="E27" s="1681">
        <v>0</v>
      </c>
      <c r="F27" s="1681">
        <v>0</v>
      </c>
      <c r="G27" s="1681">
        <v>0</v>
      </c>
      <c r="H27" s="1681">
        <v>0</v>
      </c>
      <c r="I27" s="2010">
        <v>0</v>
      </c>
      <c r="J27" s="1681">
        <v>0</v>
      </c>
      <c r="K27" s="1681">
        <v>0</v>
      </c>
      <c r="L27" s="1681">
        <v>0</v>
      </c>
      <c r="M27" s="1681">
        <v>0</v>
      </c>
      <c r="N27" s="1682">
        <f>M27</f>
        <v>0</v>
      </c>
      <c r="O27" s="1682">
        <f>N27</f>
        <v>0</v>
      </c>
      <c r="P27" s="1682">
        <f>O27</f>
        <v>0</v>
      </c>
      <c r="Q27" s="1682">
        <f>P27</f>
        <v>0</v>
      </c>
      <c r="R27" s="1683">
        <f>Q27</f>
        <v>0</v>
      </c>
      <c r="S27" s="1684"/>
      <c r="T27" s="1684"/>
      <c r="U27" s="1684"/>
      <c r="V27" s="18"/>
      <c r="W27" s="18"/>
    </row>
    <row r="28" spans="1:23" x14ac:dyDescent="0.2">
      <c r="A28" s="1482" t="str">
        <f>+" -Net Debt "&amp;""&amp;" @ PYE"</f>
        <v xml:space="preserve"> -Net Debt  @ PYE</v>
      </c>
      <c r="B28" s="1685">
        <f>VA!X206+VA!X198-VA!X173-VA!X174</f>
        <v>778.91599999999994</v>
      </c>
      <c r="C28" s="1685">
        <f>VA!AC206+VA!AC198-VA!AC173-VA!AC174</f>
        <v>909.21700000000021</v>
      </c>
      <c r="D28" s="1685">
        <f>VA!AG206+VA!AG198-VA!AG173-VA!AG174</f>
        <v>1366.723</v>
      </c>
      <c r="E28" s="1685">
        <f>VA!AM206+VA!AM198-VA!AM173-VA!AM174</f>
        <v>1106.1750000000002</v>
      </c>
      <c r="F28" s="1685">
        <f>VA!AT206+VA!AT198-VA!AT173-VA!AT174</f>
        <v>3170.4420000000005</v>
      </c>
      <c r="G28" s="1922">
        <f>VA!AY206+VA!AY198-VA!AY173-VA!AY174</f>
        <v>2075.4930000000008</v>
      </c>
      <c r="H28" s="1922">
        <f>VA!CO206+VA!CO198-VA!CO173-VA!CO174</f>
        <v>2248.4680000000008</v>
      </c>
      <c r="I28" s="2011">
        <f>VA!CP206+VA!CP198-VA!CP173-VA!CP174</f>
        <v>2862.6680000000006</v>
      </c>
      <c r="J28" s="1685">
        <f>VA!CQ206+VA!CQ198-VA!CQ173-VA!CQ174</f>
        <v>2732.5772149100089</v>
      </c>
      <c r="K28" s="1685">
        <f>VA!CR206+VA!CR198-VA!CR173-VA!CR174</f>
        <v>2705.5414297249963</v>
      </c>
      <c r="L28" s="1685">
        <f>VA!CS206+VA!CS198-VA!CS173-VA!CS174</f>
        <v>2707.0293456761283</v>
      </c>
      <c r="M28" s="1685">
        <f>VA!CT206+VA!CT198-VA!CT173-VA!CT174</f>
        <v>2643.5743017411546</v>
      </c>
      <c r="N28" s="1686">
        <f>+M28</f>
        <v>2643.5743017411546</v>
      </c>
      <c r="O28" s="1686">
        <f>+N28</f>
        <v>2643.5743017411546</v>
      </c>
      <c r="P28" s="1686">
        <f>+O28</f>
        <v>2643.5743017411546</v>
      </c>
      <c r="Q28" s="1686">
        <f>+P28</f>
        <v>2643.5743017411546</v>
      </c>
      <c r="R28" s="1687">
        <f>+Q28</f>
        <v>2643.5743017411546</v>
      </c>
      <c r="S28" s="1688"/>
      <c r="T28" s="1688"/>
      <c r="U28" s="1688"/>
      <c r="V28" s="18"/>
      <c r="W28" s="18"/>
    </row>
    <row r="29" spans="1:23" x14ac:dyDescent="0.2">
      <c r="A29" s="1689" t="s">
        <v>477</v>
      </c>
      <c r="B29" s="1690">
        <v>0</v>
      </c>
      <c r="C29" s="1690">
        <v>0</v>
      </c>
      <c r="D29" s="1690">
        <v>0</v>
      </c>
      <c r="E29" s="1690">
        <v>0</v>
      </c>
      <c r="F29" s="1690">
        <v>0</v>
      </c>
      <c r="G29" s="1690">
        <v>0</v>
      </c>
      <c r="H29" s="1690">
        <v>0</v>
      </c>
      <c r="I29" s="2012">
        <v>0</v>
      </c>
      <c r="J29" s="1691">
        <v>0</v>
      </c>
      <c r="K29" s="1691">
        <v>0</v>
      </c>
      <c r="L29" s="1691">
        <v>0</v>
      </c>
      <c r="M29" s="1691">
        <v>0</v>
      </c>
      <c r="N29" s="1691">
        <v>0</v>
      </c>
      <c r="O29" s="1691">
        <v>0</v>
      </c>
      <c r="P29" s="1691">
        <v>0</v>
      </c>
      <c r="Q29" s="1691">
        <v>0</v>
      </c>
      <c r="R29" s="1692">
        <v>0</v>
      </c>
      <c r="S29" s="1693"/>
      <c r="T29" s="1693"/>
      <c r="U29" s="1693"/>
      <c r="V29" s="18"/>
      <c r="W29" s="18"/>
    </row>
    <row r="30" spans="1:23" x14ac:dyDescent="0.2">
      <c r="A30" s="1482" t="s">
        <v>478</v>
      </c>
      <c r="B30" s="1694">
        <f t="shared" ref="B30:O30" si="14">+B26-B27-B28+B29</f>
        <v>12813.205455622987</v>
      </c>
      <c r="C30" s="1694">
        <f t="shared" si="14"/>
        <v>13341.718679440124</v>
      </c>
      <c r="D30" s="1694">
        <f t="shared" si="14"/>
        <v>13537.683567894381</v>
      </c>
      <c r="E30" s="1694">
        <f t="shared" si="14"/>
        <v>15386.222424706193</v>
      </c>
      <c r="F30" s="1694">
        <f t="shared" si="14"/>
        <v>14156.319046271508</v>
      </c>
      <c r="G30" s="1694">
        <f t="shared" si="14"/>
        <v>15969.710310888209</v>
      </c>
      <c r="H30" s="1694">
        <f>+H26-H27-H28+H29</f>
        <v>16578.715499849495</v>
      </c>
      <c r="I30" s="2013">
        <f t="shared" si="14"/>
        <v>16665.528112390359</v>
      </c>
      <c r="J30" s="1694">
        <f t="shared" si="14"/>
        <v>17517.656569947521</v>
      </c>
      <c r="K30" s="1694">
        <f t="shared" si="14"/>
        <v>18252.672008872076</v>
      </c>
      <c r="L30" s="1694">
        <f>+L26-L27-L28+L29</f>
        <v>18942.515852404224</v>
      </c>
      <c r="M30" s="1694">
        <f>+M26-M27-M28+M29</f>
        <v>19686.276150632624</v>
      </c>
      <c r="N30" s="1694">
        <f t="shared" si="14"/>
        <v>20343.214931026941</v>
      </c>
      <c r="O30" s="1694">
        <f t="shared" si="14"/>
        <v>20979.105948693854</v>
      </c>
      <c r="P30" s="1694">
        <f>+P26-P27-P28+P29</f>
        <v>21598.14894388428</v>
      </c>
      <c r="Q30" s="1694">
        <f>+Q26-Q27-Q28+Q29</f>
        <v>22206.527452246792</v>
      </c>
      <c r="R30" s="1695">
        <f>+R26-R27-R28+R29</f>
        <v>22812.449288081218</v>
      </c>
      <c r="S30" s="1696"/>
      <c r="T30" s="1696"/>
      <c r="U30" s="1696"/>
      <c r="V30" s="18"/>
      <c r="W30" s="18"/>
    </row>
    <row r="31" spans="1:23" ht="13.5" thickBot="1" x14ac:dyDescent="0.25">
      <c r="A31" s="1482" t="s">
        <v>479</v>
      </c>
      <c r="B31" s="1697">
        <f>VA!CI67</f>
        <v>186.39496199999999</v>
      </c>
      <c r="C31" s="1697">
        <f>VA!CJ67</f>
        <v>173.32510950000002</v>
      </c>
      <c r="D31" s="1697">
        <f>VA!CK67</f>
        <v>171.70317799999998</v>
      </c>
      <c r="E31" s="1698">
        <f>VA!CL67</f>
        <v>172.27635974999998</v>
      </c>
      <c r="F31" s="1698">
        <f>VA!CM67</f>
        <v>169.13242299999999</v>
      </c>
      <c r="G31" s="1698">
        <f>VA!CN67</f>
        <v>170.07641100000001</v>
      </c>
      <c r="H31" s="1698">
        <f>VA!CO67</f>
        <v>171.17147499999999</v>
      </c>
      <c r="I31" s="2014">
        <f>VA!CP67</f>
        <v>168.685294</v>
      </c>
      <c r="J31" s="1697">
        <f>VA!CQ67</f>
        <v>165.3406578480502</v>
      </c>
      <c r="K31" s="1697">
        <f>VA!CR67</f>
        <v>161.16806162358336</v>
      </c>
      <c r="L31" s="1697">
        <f>VA!CS67</f>
        <v>156.69120041507202</v>
      </c>
      <c r="M31" s="1697">
        <f>VA!CT67</f>
        <v>152.48160243998998</v>
      </c>
      <c r="N31" s="1699">
        <f>M31</f>
        <v>152.48160243998998</v>
      </c>
      <c r="O31" s="1699">
        <f>N31</f>
        <v>152.48160243998998</v>
      </c>
      <c r="P31" s="1699">
        <f>O31</f>
        <v>152.48160243998998</v>
      </c>
      <c r="Q31" s="1699">
        <f>P31</f>
        <v>152.48160243998998</v>
      </c>
      <c r="R31" s="1700">
        <f>Q31</f>
        <v>152.48160243998998</v>
      </c>
      <c r="S31" s="18"/>
      <c r="T31" s="18"/>
      <c r="U31" s="18"/>
      <c r="V31" s="18"/>
      <c r="W31" s="18"/>
    </row>
    <row r="32" spans="1:23" ht="13.5" thickBot="1" x14ac:dyDescent="0.25">
      <c r="A32" s="1701" t="str">
        <f>+"Implied Value per Share, Today"</f>
        <v>Implied Value per Share, Today</v>
      </c>
      <c r="B32" s="1702">
        <f t="shared" ref="B32:O32" si="15">B30/B31</f>
        <v>68.742230573930357</v>
      </c>
      <c r="C32" s="1702">
        <f t="shared" si="15"/>
        <v>76.975106018554811</v>
      </c>
      <c r="D32" s="1702">
        <f t="shared" si="15"/>
        <v>78.843523606152374</v>
      </c>
      <c r="E32" s="1702">
        <f t="shared" si="15"/>
        <v>89.311281286846409</v>
      </c>
      <c r="F32" s="1702">
        <f>F30/F31</f>
        <v>83.699617111684788</v>
      </c>
      <c r="G32" s="1702">
        <f t="shared" si="15"/>
        <v>93.897267804458835</v>
      </c>
      <c r="H32" s="1702">
        <f>H30/H31</f>
        <v>96.854429161456352</v>
      </c>
      <c r="I32" s="2015">
        <f t="shared" si="15"/>
        <v>98.796567959210236</v>
      </c>
      <c r="J32" s="1702">
        <f t="shared" si="15"/>
        <v>105.94887426930666</v>
      </c>
      <c r="K32" s="1702">
        <f t="shared" si="15"/>
        <v>113.25241381572343</v>
      </c>
      <c r="L32" s="1702">
        <f>L30/L31</f>
        <v>120.89074435721891</v>
      </c>
      <c r="M32" s="1702">
        <f>M30/M31</f>
        <v>129.10591071719799</v>
      </c>
      <c r="N32" s="1702">
        <f t="shared" si="15"/>
        <v>133.41422575246827</v>
      </c>
      <c r="O32" s="1702">
        <f t="shared" si="15"/>
        <v>137.58450601901501</v>
      </c>
      <c r="P32" s="1702">
        <f>P30/P31</f>
        <v>141.64429411990443</v>
      </c>
      <c r="Q32" s="1702">
        <f>Q30/Q31</f>
        <v>145.63414272214445</v>
      </c>
      <c r="R32" s="1703">
        <f>R30/R31</f>
        <v>149.60788005267185</v>
      </c>
      <c r="S32" s="1704"/>
      <c r="T32" s="18"/>
      <c r="U32" s="18"/>
      <c r="V32" s="18"/>
      <c r="W32" s="18"/>
    </row>
    <row r="33" spans="1:23" ht="13.5" thickBot="1" x14ac:dyDescent="0.25">
      <c r="A33" s="1482"/>
      <c r="B33" s="1705"/>
      <c r="C33" s="1674"/>
      <c r="D33" s="1482"/>
      <c r="H33" s="1706" t="s">
        <v>480</v>
      </c>
      <c r="I33" s="1982">
        <f>(H32*0+I32*1)*(1+E49)</f>
        <v>106.85342807628383</v>
      </c>
      <c r="J33" s="1707"/>
      <c r="K33" s="1707"/>
      <c r="L33" s="1707"/>
      <c r="M33" s="1707"/>
      <c r="N33" s="1707"/>
      <c r="O33" s="188"/>
      <c r="R33" s="18"/>
      <c r="S33" s="18"/>
      <c r="T33" s="18"/>
      <c r="U33" s="18"/>
      <c r="V33" s="18"/>
      <c r="W33" s="18"/>
    </row>
    <row r="34" spans="1:23" x14ac:dyDescent="0.2">
      <c r="A34" s="1482"/>
      <c r="B34" s="1482"/>
      <c r="C34" s="1708"/>
      <c r="D34" s="1708"/>
      <c r="E34" s="1709"/>
      <c r="F34" s="1482"/>
      <c r="G34" s="1710"/>
      <c r="H34" s="1960"/>
      <c r="I34" s="1482"/>
      <c r="J34" s="1482"/>
      <c r="K34" s="330"/>
      <c r="L34" s="677"/>
      <c r="M34" s="677"/>
      <c r="N34" s="677"/>
      <c r="O34" s="677"/>
      <c r="P34" s="677"/>
    </row>
    <row r="35" spans="1:23" x14ac:dyDescent="0.2">
      <c r="A35" s="1711" t="s">
        <v>481</v>
      </c>
      <c r="B35" s="1712"/>
      <c r="C35" s="1713"/>
      <c r="D35" s="330"/>
      <c r="E35" s="330"/>
      <c r="F35" s="330"/>
      <c r="G35" s="1714"/>
      <c r="H35" s="330"/>
      <c r="I35" s="330"/>
      <c r="J35" s="1715"/>
      <c r="K35" s="1715"/>
      <c r="L35" s="677"/>
      <c r="M35" s="677"/>
      <c r="N35" s="677"/>
      <c r="O35" s="677"/>
      <c r="P35" s="677"/>
    </row>
    <row r="36" spans="1:23" x14ac:dyDescent="0.2">
      <c r="A36" s="1482" t="s">
        <v>482</v>
      </c>
      <c r="E36" s="1970">
        <f>(VA!BF206+VA!BF198)/((VA!BF206+VA!BF198)+E45)</f>
        <v>0.15263404577706238</v>
      </c>
      <c r="F36" s="1709"/>
      <c r="G36" s="330"/>
      <c r="H36" s="1716"/>
      <c r="I36" s="1717"/>
      <c r="J36" s="1717"/>
      <c r="K36" s="1717"/>
      <c r="L36" s="1528"/>
      <c r="M36" s="330"/>
      <c r="N36" s="330"/>
      <c r="O36" s="677"/>
      <c r="P36" s="677"/>
      <c r="Q36" s="677"/>
      <c r="R36" s="677"/>
      <c r="S36" s="677"/>
    </row>
    <row r="37" spans="1:23" x14ac:dyDescent="0.2">
      <c r="A37" s="1482" t="s">
        <v>483</v>
      </c>
      <c r="E37" s="1705">
        <f>1-E36</f>
        <v>0.84736595422293759</v>
      </c>
      <c r="F37" s="1718"/>
      <c r="G37" s="330"/>
      <c r="H37" s="1719"/>
      <c r="I37" s="1720"/>
      <c r="J37" s="1720"/>
      <c r="K37" s="1720"/>
      <c r="L37" s="1719"/>
      <c r="M37" s="1869"/>
      <c r="N37" s="1925" t="s">
        <v>484</v>
      </c>
      <c r="O37" s="1863" t="s">
        <v>485</v>
      </c>
      <c r="P37" s="677"/>
      <c r="Q37" s="677"/>
      <c r="R37" s="677"/>
      <c r="S37" s="677"/>
    </row>
    <row r="38" spans="1:23" x14ac:dyDescent="0.2">
      <c r="A38" s="1482"/>
      <c r="E38" s="1705"/>
      <c r="F38" s="1482"/>
      <c r="G38" s="330"/>
      <c r="H38" s="1528"/>
      <c r="I38" s="1721"/>
      <c r="J38" s="1722"/>
      <c r="K38" s="1721"/>
      <c r="L38" s="1528"/>
      <c r="M38" s="628" t="s">
        <v>486</v>
      </c>
      <c r="N38" s="1508" t="e">
        <f ca="1">_xll.ThomsonONEAddinShim.SpreadsheetFormulas.TF(M38,"TF.RF.Beta(sdate=0D,,frq=C)")</f>
        <v>#NAME?</v>
      </c>
      <c r="O38" s="1723" t="e">
        <f ca="1">_xll.ThomsonONEAddinShim.SpreadsheetFormulas.TF(M38,"TF.RF.3YearWeeklyBeta(sdate=0D,,frq=C)")</f>
        <v>#NAME?</v>
      </c>
      <c r="P38" s="677"/>
      <c r="Q38" s="677"/>
      <c r="R38" s="677"/>
      <c r="S38" s="677"/>
    </row>
    <row r="39" spans="1:23" x14ac:dyDescent="0.2">
      <c r="A39" s="1482" t="s">
        <v>487</v>
      </c>
      <c r="E39" s="1708" t="s">
        <v>488</v>
      </c>
      <c r="F39" s="1724"/>
      <c r="G39" s="1715"/>
      <c r="H39" s="1717"/>
      <c r="I39" s="1717"/>
      <c r="J39" s="1725"/>
      <c r="K39" s="1726"/>
      <c r="L39" s="1717"/>
      <c r="M39" s="1482" t="s">
        <v>489</v>
      </c>
      <c r="N39" s="1508" t="e">
        <f ca="1">_xll.ThomsonONEAddinShim.SpreadsheetFormulas.TF(M39,"TF.RF.Beta(sdate=0D,,frq=C)")</f>
        <v>#NAME?</v>
      </c>
      <c r="O39" s="1723" t="e">
        <f ca="1">_xll.ThomsonONEAddinShim.SpreadsheetFormulas.TF(M39,"TF.RF.3YearWeeklyBeta(sdate=0D,,frq=C)")</f>
        <v>#NAME?</v>
      </c>
      <c r="P39" s="677"/>
      <c r="Q39" s="677"/>
      <c r="R39" s="677"/>
      <c r="S39" s="677"/>
    </row>
    <row r="40" spans="1:23" x14ac:dyDescent="0.2">
      <c r="A40" s="1482" t="str">
        <f>+" Cost of long-term debt"</f>
        <v xml:space="preserve"> Cost of long-term debt</v>
      </c>
      <c r="E40" s="1971">
        <f>VA!BF426</f>
        <v>4.3595620066208304E-2</v>
      </c>
      <c r="F40" s="1482"/>
      <c r="G40" s="677"/>
      <c r="H40" s="677"/>
      <c r="I40" s="1717"/>
      <c r="J40" s="1717"/>
      <c r="K40" s="1668"/>
      <c r="L40" s="677"/>
      <c r="M40" s="1278" t="s">
        <v>490</v>
      </c>
      <c r="N40" s="1508" t="e">
        <f ca="1">_xll.ThomsonONEAddinShim.SpreadsheetFormulas.TF(M40,"TF.RF.Beta(sdate=0D,,frq=C)")</f>
        <v>#NAME?</v>
      </c>
      <c r="O40" s="1723" t="e">
        <f ca="1">_xll.ThomsonONEAddinShim.SpreadsheetFormulas.TF(M40,"TF.RF.3YearWeeklyBeta(sdate=0D,,frq=C)")</f>
        <v>#NAME?</v>
      </c>
      <c r="P40" s="677"/>
      <c r="Q40" s="677"/>
      <c r="R40" s="677"/>
      <c r="S40" s="677"/>
    </row>
    <row r="41" spans="1:23" x14ac:dyDescent="0.2">
      <c r="A41" s="1727" t="str">
        <f>" After tax cost of long-term debt"</f>
        <v xml:space="preserve"> After tax cost of long-term debt</v>
      </c>
      <c r="E41" s="1728">
        <f>E40*(1-33%)</f>
        <v>2.9209065444359562E-2</v>
      </c>
      <c r="F41" s="1482"/>
      <c r="G41" s="1482"/>
      <c r="H41" s="677"/>
      <c r="I41" s="677"/>
      <c r="J41" s="677"/>
      <c r="K41" s="677"/>
      <c r="L41" s="1729"/>
      <c r="M41" s="1278" t="s">
        <v>491</v>
      </c>
      <c r="N41" s="1508" t="e">
        <f ca="1">_xll.ThomsonONEAddinShim.SpreadsheetFormulas.TF(M41,"TF.RF.Beta(sdate=0D,,frq=C)")</f>
        <v>#NAME?</v>
      </c>
      <c r="O41" s="1723" t="e">
        <f ca="1">_xll.ThomsonONEAddinShim.SpreadsheetFormulas.TF(M41,"TF.RF.3YearWeeklyBeta(sdate=0D,,frq=C)")</f>
        <v>#NAME?</v>
      </c>
      <c r="P41" s="677"/>
      <c r="Q41" s="677"/>
      <c r="R41" s="677"/>
      <c r="S41" s="677"/>
    </row>
    <row r="42" spans="1:23" x14ac:dyDescent="0.2">
      <c r="A42" s="677"/>
      <c r="E42" s="677"/>
      <c r="F42" s="1482"/>
      <c r="G42" s="1482"/>
      <c r="H42" s="1730"/>
      <c r="I42" s="1731"/>
      <c r="J42" s="1277"/>
      <c r="K42" s="1277"/>
      <c r="L42" s="1482"/>
      <c r="M42" s="1278" t="s">
        <v>492</v>
      </c>
      <c r="N42" s="1508" t="e">
        <f ca="1">_xll.ThomsonONEAddinShim.SpreadsheetFormulas.TF(M42,"TF.RF.Beta(sdate=0D,,frq=C)")</f>
        <v>#NAME?</v>
      </c>
      <c r="O42" s="1723" t="e">
        <f ca="1">_xll.ThomsonONEAddinShim.SpreadsheetFormulas.TF(M42,"TF.RF.3YearWeeklyBeta(sdate=0D,,frq=C)")</f>
        <v>#NAME?</v>
      </c>
      <c r="P42" s="677"/>
      <c r="Q42" s="677"/>
      <c r="R42" s="677"/>
      <c r="S42" s="677"/>
    </row>
    <row r="43" spans="1:23" x14ac:dyDescent="0.2">
      <c r="A43" s="1482" t="s">
        <v>493</v>
      </c>
      <c r="E43" s="1969">
        <v>99.23</v>
      </c>
      <c r="F43" s="1482"/>
      <c r="G43" s="1482"/>
      <c r="H43" s="1278"/>
      <c r="I43" s="1278"/>
      <c r="J43" s="1277"/>
      <c r="K43" s="1732"/>
      <c r="L43" s="1203"/>
      <c r="M43" s="1855" t="s">
        <v>494</v>
      </c>
      <c r="N43" s="1962" t="e">
        <f ca="1">AVERAGE(N38:N42)</f>
        <v>#NAME?</v>
      </c>
      <c r="O43" s="1963" t="e">
        <f ca="1">AVERAGE(O38:O42)</f>
        <v>#NAME?</v>
      </c>
      <c r="P43" s="677"/>
      <c r="Q43" s="677"/>
      <c r="R43" s="677"/>
      <c r="S43" s="677"/>
    </row>
    <row r="44" spans="1:23" x14ac:dyDescent="0.2">
      <c r="A44" s="1482" t="s">
        <v>495</v>
      </c>
      <c r="E44" s="1972">
        <f>VA!BF65</f>
        <v>168.33325600000001</v>
      </c>
      <c r="F44" s="1734"/>
      <c r="G44" s="1482"/>
      <c r="H44" s="1277"/>
      <c r="I44" s="1278"/>
      <c r="J44" s="1277"/>
      <c r="K44" s="1732"/>
      <c r="L44" s="1190"/>
      <c r="P44" s="677"/>
      <c r="Q44" s="677"/>
      <c r="R44" s="677"/>
      <c r="S44" s="677"/>
    </row>
    <row r="45" spans="1:23" x14ac:dyDescent="0.2">
      <c r="A45" s="1482" t="s">
        <v>496</v>
      </c>
      <c r="E45" s="1707">
        <f>E43*E44</f>
        <v>16703.708992880001</v>
      </c>
      <c r="F45" s="1735"/>
      <c r="G45" s="1482"/>
      <c r="H45" s="1277"/>
      <c r="I45" s="6"/>
      <c r="J45" s="6"/>
      <c r="K45" s="1732"/>
      <c r="L45" s="1190"/>
      <c r="P45" s="677"/>
      <c r="Q45" s="677"/>
      <c r="R45" s="677"/>
      <c r="S45" s="677"/>
    </row>
    <row r="46" spans="1:23" x14ac:dyDescent="0.2">
      <c r="A46" s="1482" t="s">
        <v>497</v>
      </c>
      <c r="E46" s="1736">
        <v>2.5000000000000001E-2</v>
      </c>
      <c r="F46" s="1482"/>
      <c r="G46" s="1482"/>
      <c r="H46" s="1278"/>
      <c r="I46" s="1278"/>
      <c r="J46" s="1277"/>
      <c r="K46" s="1732"/>
      <c r="L46" s="1723"/>
      <c r="O46" s="677"/>
      <c r="P46" s="677"/>
      <c r="Q46" s="677"/>
      <c r="R46" s="677"/>
      <c r="S46" s="677"/>
    </row>
    <row r="47" spans="1:23" x14ac:dyDescent="0.2">
      <c r="A47" s="1482" t="s">
        <v>498</v>
      </c>
      <c r="E47" s="1736">
        <v>6.5000000000000002E-2</v>
      </c>
      <c r="F47" s="1482"/>
      <c r="G47" s="1482"/>
      <c r="H47" s="1278"/>
      <c r="I47" s="1278"/>
      <c r="J47" s="1277"/>
      <c r="K47" s="1732"/>
      <c r="L47" s="1723"/>
      <c r="M47" s="677"/>
      <c r="N47" s="677"/>
      <c r="O47" s="677"/>
      <c r="P47" s="677"/>
      <c r="Q47" s="677"/>
      <c r="R47" s="677"/>
      <c r="S47" s="677"/>
    </row>
    <row r="48" spans="1:23" x14ac:dyDescent="0.2">
      <c r="A48" s="1482" t="s">
        <v>499</v>
      </c>
      <c r="E48" s="1973">
        <v>0.87</v>
      </c>
      <c r="F48" s="1482"/>
      <c r="G48" s="677"/>
      <c r="H48" s="1425"/>
      <c r="I48" s="1286"/>
      <c r="J48" s="1425"/>
      <c r="K48" s="1737"/>
      <c r="L48" s="1733"/>
      <c r="M48" s="677"/>
      <c r="N48" s="677"/>
      <c r="O48" s="677"/>
      <c r="P48" s="677"/>
      <c r="Q48" s="677"/>
      <c r="R48" s="677"/>
      <c r="S48" s="677"/>
    </row>
    <row r="49" spans="1:23" x14ac:dyDescent="0.2">
      <c r="A49" s="1727" t="s">
        <v>500</v>
      </c>
      <c r="E49" s="1738">
        <f>+E46+E47*E48</f>
        <v>8.1550000000000011E-2</v>
      </c>
      <c r="F49" s="1482"/>
      <c r="G49" s="677"/>
      <c r="H49" s="677"/>
      <c r="I49" s="677"/>
      <c r="J49" s="677"/>
      <c r="K49" s="677"/>
      <c r="L49" s="677"/>
      <c r="M49" s="677"/>
      <c r="N49" s="677"/>
      <c r="O49" s="677"/>
      <c r="P49" s="677"/>
      <c r="Q49" s="677"/>
      <c r="R49" s="677"/>
      <c r="S49" s="677"/>
      <c r="T49" s="677"/>
      <c r="U49" s="677"/>
    </row>
    <row r="50" spans="1:23" ht="13.5" thickBot="1" x14ac:dyDescent="0.25">
      <c r="A50" s="677"/>
      <c r="E50" s="677"/>
      <c r="F50" s="1482"/>
      <c r="G50" s="677"/>
      <c r="H50" s="677"/>
      <c r="I50" s="677"/>
      <c r="J50" s="677"/>
      <c r="K50" s="1190"/>
      <c r="L50" s="330"/>
      <c r="M50" s="1278"/>
      <c r="N50" s="677"/>
      <c r="O50" s="677"/>
      <c r="P50" s="677"/>
      <c r="Q50" s="677"/>
      <c r="R50" s="677"/>
      <c r="S50" s="677"/>
      <c r="T50" s="677"/>
      <c r="U50" s="677"/>
    </row>
    <row r="51" spans="1:23" ht="13.5" thickBot="1" x14ac:dyDescent="0.25">
      <c r="A51" s="1701" t="s">
        <v>481</v>
      </c>
      <c r="E51" s="1739">
        <f>+E49*E37+E41*E36</f>
        <v>7.356099139902017E-2</v>
      </c>
      <c r="F51" s="1482"/>
      <c r="G51" s="677"/>
      <c r="H51" s="1278"/>
      <c r="I51" s="1539"/>
      <c r="J51" s="1539"/>
      <c r="K51" s="1732"/>
      <c r="L51" s="1482"/>
      <c r="M51" s="1482"/>
      <c r="N51" s="677"/>
      <c r="O51" s="677"/>
      <c r="P51" s="677"/>
      <c r="Q51" s="677"/>
      <c r="R51" s="677"/>
      <c r="S51" s="677"/>
      <c r="T51" s="677"/>
      <c r="U51" s="677"/>
    </row>
    <row r="52" spans="1:23" ht="15" x14ac:dyDescent="0.25">
      <c r="A52" s="1740" t="s">
        <v>501</v>
      </c>
      <c r="E52" s="1741">
        <f>((1+E54)*R23)/(E51-E54)</f>
        <v>24380.121331660404</v>
      </c>
      <c r="F52" s="1482"/>
      <c r="G52" s="1919">
        <f>+$E$52/(1+$E$51)^G53</f>
        <v>7830.8390745694487</v>
      </c>
      <c r="H52" s="1919">
        <f t="shared" ref="H52:W52" si="16">+$E$52/(1+$E$51)^H53</f>
        <v>8406.8833603809635</v>
      </c>
      <c r="I52" s="1919">
        <f t="shared" si="16"/>
        <v>9025.3020349465132</v>
      </c>
      <c r="J52" s="1919">
        <f t="shared" si="16"/>
        <v>9689.2122003127752</v>
      </c>
      <c r="K52" s="1919">
        <f t="shared" si="16"/>
        <v>10401.960255643264</v>
      </c>
      <c r="L52" s="1919">
        <f t="shared" si="16"/>
        <v>11167.138764541585</v>
      </c>
      <c r="M52" s="1919">
        <f t="shared" si="16"/>
        <v>11988.604563151697</v>
      </c>
      <c r="N52" s="1919">
        <f t="shared" si="16"/>
        <v>12870.498200307953</v>
      </c>
      <c r="O52" s="1919">
        <f t="shared" si="16"/>
        <v>13817.264807721913</v>
      </c>
      <c r="P52" s="1919">
        <f t="shared" si="16"/>
        <v>14833.676505400726</v>
      </c>
      <c r="Q52" s="1919">
        <f t="shared" si="16"/>
        <v>15924.856455230358</v>
      </c>
      <c r="R52" s="1919">
        <f t="shared" si="16"/>
        <v>17096.30468396419</v>
      </c>
      <c r="S52" s="1919">
        <f t="shared" si="16"/>
        <v>18353.925805776311</v>
      </c>
      <c r="T52" s="1919">
        <f t="shared" si="16"/>
        <v>19704.058784113273</v>
      </c>
      <c r="U52" s="1919">
        <f t="shared" si="16"/>
        <v>21153.508882857222</v>
      </c>
      <c r="V52" s="1919">
        <f t="shared" si="16"/>
        <v>22709.581967848178</v>
      </c>
      <c r="W52" s="1919">
        <f t="shared" si="16"/>
        <v>24380.121331660404</v>
      </c>
    </row>
    <row r="53" spans="1:23" ht="15" x14ac:dyDescent="0.25">
      <c r="A53" s="1482" t="s">
        <v>607</v>
      </c>
      <c r="E53" s="1871">
        <f>E52/(R12+R5)</f>
        <v>13.128584387283869</v>
      </c>
      <c r="F53" s="330"/>
      <c r="G53" s="1920">
        <f t="shared" ref="G53:U53" si="17">H53+1</f>
        <v>16</v>
      </c>
      <c r="H53" s="1920">
        <f t="shared" si="17"/>
        <v>15</v>
      </c>
      <c r="I53" s="1920">
        <f t="shared" si="17"/>
        <v>14</v>
      </c>
      <c r="J53" s="1920">
        <f t="shared" si="17"/>
        <v>13</v>
      </c>
      <c r="K53" s="1920">
        <f t="shared" si="17"/>
        <v>12</v>
      </c>
      <c r="L53" s="1920">
        <f t="shared" si="17"/>
        <v>11</v>
      </c>
      <c r="M53" s="1920">
        <f t="shared" si="17"/>
        <v>10</v>
      </c>
      <c r="N53" s="1920">
        <f t="shared" si="17"/>
        <v>9</v>
      </c>
      <c r="O53" s="1920">
        <f t="shared" si="17"/>
        <v>8</v>
      </c>
      <c r="P53" s="1920">
        <f t="shared" si="17"/>
        <v>7</v>
      </c>
      <c r="Q53" s="1920">
        <f t="shared" si="17"/>
        <v>6</v>
      </c>
      <c r="R53" s="1920">
        <f t="shared" si="17"/>
        <v>5</v>
      </c>
      <c r="S53" s="1920">
        <f t="shared" si="17"/>
        <v>4</v>
      </c>
      <c r="T53" s="1920">
        <f t="shared" si="17"/>
        <v>3</v>
      </c>
      <c r="U53" s="1920">
        <f t="shared" si="17"/>
        <v>2</v>
      </c>
      <c r="V53" s="1920">
        <f>W53+1</f>
        <v>1</v>
      </c>
      <c r="W53" s="1920">
        <v>0</v>
      </c>
    </row>
    <row r="54" spans="1:23" x14ac:dyDescent="0.2">
      <c r="A54" s="1742" t="s">
        <v>502</v>
      </c>
      <c r="E54" s="1743">
        <f>CHOOSE(VA!$A$3,E55,E56,E57)</f>
        <v>2.5000000000000001E-2</v>
      </c>
      <c r="F54" s="330"/>
      <c r="G54" s="677"/>
      <c r="H54" s="677"/>
      <c r="I54" s="677"/>
      <c r="J54" s="677"/>
      <c r="K54" s="677"/>
      <c r="L54" s="677"/>
      <c r="M54" s="677"/>
      <c r="N54" s="677"/>
      <c r="O54" s="677"/>
      <c r="P54" s="677"/>
      <c r="Q54" s="677"/>
      <c r="R54" s="677"/>
      <c r="S54" s="677"/>
      <c r="T54" s="677"/>
      <c r="U54" s="677"/>
    </row>
    <row r="55" spans="1:23" x14ac:dyDescent="0.2">
      <c r="A55" s="1744" t="s">
        <v>214</v>
      </c>
      <c r="E55" s="1745">
        <v>1.4999999999999999E-2</v>
      </c>
      <c r="F55" s="330"/>
      <c r="G55" s="1482"/>
      <c r="H55" s="1708"/>
      <c r="I55" s="1708"/>
      <c r="J55" s="1708"/>
      <c r="K55" s="1746"/>
      <c r="L55" s="330"/>
      <c r="M55" s="330"/>
      <c r="N55" s="330"/>
      <c r="O55" s="677"/>
      <c r="P55" s="677"/>
      <c r="Q55" s="677"/>
      <c r="R55" s="677"/>
      <c r="S55" s="677"/>
      <c r="T55" s="677"/>
      <c r="U55" s="677"/>
    </row>
    <row r="56" spans="1:23" x14ac:dyDescent="0.2">
      <c r="A56" s="1747" t="s">
        <v>215</v>
      </c>
      <c r="E56" s="1748">
        <v>2.5000000000000001E-2</v>
      </c>
      <c r="F56" s="1482"/>
      <c r="G56" s="1482"/>
      <c r="H56" s="1482"/>
      <c r="I56" s="1728"/>
      <c r="J56" s="1482"/>
      <c r="K56" s="1482"/>
      <c r="L56" s="1482"/>
      <c r="M56" s="1728"/>
      <c r="N56" s="677"/>
      <c r="O56" s="677"/>
      <c r="P56" s="677"/>
      <c r="Q56" s="677"/>
      <c r="R56" s="677"/>
      <c r="S56" s="677"/>
      <c r="T56" s="677"/>
      <c r="U56" s="677"/>
    </row>
    <row r="57" spans="1:23" x14ac:dyDescent="0.2">
      <c r="A57" s="1749" t="s">
        <v>216</v>
      </c>
      <c r="E57" s="1750">
        <v>3.5000000000000003E-2</v>
      </c>
      <c r="F57" s="677"/>
      <c r="G57" s="1482"/>
      <c r="H57" s="1482"/>
      <c r="I57" s="1482"/>
      <c r="J57" s="330"/>
      <c r="K57" s="1482"/>
      <c r="L57" s="330"/>
      <c r="M57" s="330"/>
      <c r="N57" s="677"/>
      <c r="O57" s="677"/>
      <c r="P57" s="677"/>
      <c r="Q57" s="677"/>
      <c r="R57" s="677"/>
      <c r="S57" s="677"/>
      <c r="T57" s="677"/>
      <c r="U57" s="677"/>
    </row>
    <row r="58" spans="1:23" x14ac:dyDescent="0.2">
      <c r="A58" s="1286"/>
      <c r="E58" s="1751"/>
      <c r="F58" s="677"/>
      <c r="G58" s="677"/>
      <c r="H58" s="677"/>
      <c r="I58" s="330"/>
      <c r="J58" s="330"/>
      <c r="K58" s="330"/>
      <c r="L58" s="330"/>
      <c r="M58" s="330"/>
      <c r="N58" s="677"/>
      <c r="O58" s="677"/>
      <c r="P58" s="677"/>
      <c r="Q58" s="677"/>
      <c r="R58" s="677"/>
      <c r="S58" s="677"/>
      <c r="T58" s="677"/>
      <c r="U58" s="677"/>
    </row>
    <row r="59" spans="1:23" hidden="1" x14ac:dyDescent="0.2">
      <c r="G59" s="677"/>
      <c r="H59" s="677"/>
      <c r="I59" s="677"/>
      <c r="J59" s="677"/>
      <c r="K59" s="677"/>
      <c r="L59" s="677"/>
      <c r="M59" s="677"/>
      <c r="N59" s="677"/>
      <c r="O59" s="677"/>
      <c r="P59" s="677"/>
      <c r="Q59" s="677"/>
      <c r="R59" s="677"/>
      <c r="S59" s="677"/>
      <c r="T59" s="677"/>
      <c r="U59" s="677"/>
    </row>
    <row r="60" spans="1:23" hidden="1" x14ac:dyDescent="0.2"/>
    <row r="61" spans="1:23" hidden="1" x14ac:dyDescent="0.2"/>
    <row r="63" spans="1:23" x14ac:dyDescent="0.2">
      <c r="A63" s="1964" t="s">
        <v>503</v>
      </c>
      <c r="B63" s="1867"/>
      <c r="C63" s="1867"/>
      <c r="D63" s="1867"/>
      <c r="E63" s="1976" t="s">
        <v>41</v>
      </c>
      <c r="F63" s="1976" t="s">
        <v>42</v>
      </c>
      <c r="G63" s="1976" t="s">
        <v>43</v>
      </c>
      <c r="H63" s="1618"/>
      <c r="I63" s="1752"/>
      <c r="J63" s="1752"/>
      <c r="K63" s="1753"/>
    </row>
    <row r="64" spans="1:23" x14ac:dyDescent="0.2">
      <c r="A64" s="1754" t="s">
        <v>64</v>
      </c>
      <c r="E64" s="1755">
        <f>VA!CP29</f>
        <v>1038.6000000000004</v>
      </c>
      <c r="F64" s="1755">
        <f>VA!CQ29</f>
        <v>1129.2554448529504</v>
      </c>
      <c r="G64" s="1755">
        <f>VA!CR29</f>
        <v>1200.8450081480457</v>
      </c>
      <c r="H64" s="188"/>
      <c r="I64" s="1756" t="s">
        <v>504</v>
      </c>
      <c r="J64" s="1974">
        <f>VA!BF65</f>
        <v>168.33325600000001</v>
      </c>
      <c r="K64" s="1757"/>
    </row>
    <row r="65" spans="1:11" x14ac:dyDescent="0.2">
      <c r="A65" s="1754" t="s">
        <v>505</v>
      </c>
      <c r="E65" s="1758">
        <f>VA!CP71</f>
        <v>3.7390409348645344</v>
      </c>
      <c r="F65" s="1758">
        <f>VA!CQ71</f>
        <v>4.0010856122289784</v>
      </c>
      <c r="G65" s="1758">
        <f>VA!CR71</f>
        <v>4.4716344379742363</v>
      </c>
      <c r="H65" s="188"/>
      <c r="I65" s="1756" t="s">
        <v>506</v>
      </c>
      <c r="J65" s="1975">
        <f>VA!BF206+VA!BF198-VA!BF174-VA!BF173</f>
        <v>2862.6680000000006</v>
      </c>
      <c r="K65" s="1757"/>
    </row>
    <row r="66" spans="1:11" x14ac:dyDescent="0.2">
      <c r="A66" s="1759" t="s">
        <v>507</v>
      </c>
      <c r="E66" s="1760">
        <f>VA!BG463/VA!BG67</f>
        <v>3.5302425355466989</v>
      </c>
      <c r="F66" s="1760">
        <f>VA!BL463/VA!BL67</f>
        <v>3.7480169315613949</v>
      </c>
      <c r="G66" s="1760">
        <f>VA!BQ463/VA!BQ67</f>
        <v>4.2787691049443968</v>
      </c>
      <c r="H66" s="1761"/>
      <c r="I66" s="1762"/>
      <c r="J66" s="1762"/>
      <c r="K66" s="1763"/>
    </row>
    <row r="67" spans="1:11" x14ac:dyDescent="0.2">
      <c r="A67" s="1756"/>
      <c r="E67" s="1764"/>
      <c r="F67" s="1765"/>
      <c r="G67" s="1766"/>
      <c r="H67" s="1766"/>
      <c r="I67" s="1766"/>
      <c r="J67" s="1766"/>
      <c r="K67" s="1766"/>
    </row>
    <row r="68" spans="1:11" x14ac:dyDescent="0.2">
      <c r="A68" s="1767"/>
      <c r="E68" s="1764"/>
      <c r="F68" s="1765"/>
      <c r="G68" s="1766"/>
      <c r="H68" s="1766"/>
      <c r="I68" s="1766"/>
      <c r="J68" s="1766"/>
      <c r="K68" s="1766"/>
    </row>
    <row r="69" spans="1:11" x14ac:dyDescent="0.2">
      <c r="A69" s="1768" t="s">
        <v>508</v>
      </c>
      <c r="E69" s="1769" t="s">
        <v>509</v>
      </c>
      <c r="F69" s="1770" t="s">
        <v>510</v>
      </c>
      <c r="G69" s="1771"/>
      <c r="H69" s="1770" t="s">
        <v>511</v>
      </c>
      <c r="I69" s="1772"/>
      <c r="J69" s="1773" t="s">
        <v>512</v>
      </c>
      <c r="K69" s="1774"/>
    </row>
    <row r="70" spans="1:11" x14ac:dyDescent="0.2">
      <c r="A70" s="1775" t="s">
        <v>513</v>
      </c>
      <c r="E70" s="1776"/>
      <c r="F70" s="1981" t="str">
        <f>F63</f>
        <v>2018E</v>
      </c>
      <c r="G70" s="1778" t="str">
        <f>G63</f>
        <v>2019E</v>
      </c>
      <c r="H70" s="1777" t="str">
        <f>F70</f>
        <v>2018E</v>
      </c>
      <c r="I70" s="1779" t="str">
        <f>G70</f>
        <v>2019E</v>
      </c>
      <c r="J70" s="1778" t="str">
        <f>H70</f>
        <v>2018E</v>
      </c>
      <c r="K70" s="1780" t="str">
        <f>I70</f>
        <v>2019E</v>
      </c>
    </row>
    <row r="71" spans="1:11" x14ac:dyDescent="0.2">
      <c r="A71" s="1781">
        <v>145</v>
      </c>
      <c r="E71" s="1782">
        <f t="shared" ref="E71:E85" si="18">(A71*$J$64)+$J$65</f>
        <v>27270.990120000002</v>
      </c>
      <c r="F71" s="1977">
        <f>$E71/F$64</f>
        <v>24.149531662033457</v>
      </c>
      <c r="G71" s="1783">
        <f>$E71/G$64</f>
        <v>22.709833438086715</v>
      </c>
      <c r="H71" s="1977">
        <f>$A71/F$65</f>
        <v>36.240164308611597</v>
      </c>
      <c r="I71" s="1783">
        <f>$A71/G$65</f>
        <v>32.426622079976795</v>
      </c>
      <c r="J71" s="1977">
        <f>$A71/F$66</f>
        <v>38.687125124483927</v>
      </c>
      <c r="K71" s="1784">
        <f>$A71/G$66</f>
        <v>33.88825067294308</v>
      </c>
    </row>
    <row r="72" spans="1:11" hidden="1" x14ac:dyDescent="0.2">
      <c r="A72" s="1781">
        <f t="shared" ref="A72:A77" si="19">A73+2</f>
        <v>119</v>
      </c>
      <c r="E72" s="1785">
        <f t="shared" si="18"/>
        <v>22894.325464000001</v>
      </c>
      <c r="F72" s="1978">
        <f t="shared" ref="F72:F77" si="20">$E72/F$64</f>
        <v>20.273823401383961</v>
      </c>
      <c r="G72" s="1787">
        <f t="shared" ref="G72:G84" si="21">$E72/G$64</f>
        <v>19.065179360080649</v>
      </c>
      <c r="H72" s="1786">
        <f>$A72/E$65</f>
        <v>31.826343191482437</v>
      </c>
      <c r="I72" s="1787">
        <f t="shared" ref="I72:I85" si="22">$A72/G$65</f>
        <v>26.612193293222337</v>
      </c>
      <c r="J72" s="1786">
        <f>$A72/E$66</f>
        <v>33.70873213434087</v>
      </c>
      <c r="K72" s="1788">
        <f t="shared" ref="K72:K85" si="23">$A72/G$66</f>
        <v>27.811736759173975</v>
      </c>
    </row>
    <row r="73" spans="1:11" hidden="1" x14ac:dyDescent="0.2">
      <c r="A73" s="1781">
        <f t="shared" si="19"/>
        <v>117</v>
      </c>
      <c r="E73" s="1785">
        <f t="shared" si="18"/>
        <v>22557.658952000002</v>
      </c>
      <c r="F73" s="1978">
        <f t="shared" si="20"/>
        <v>19.975691996718616</v>
      </c>
      <c r="G73" s="1787">
        <f t="shared" si="21"/>
        <v>18.784821354080183</v>
      </c>
      <c r="H73" s="1786">
        <f>$A73/E$65</f>
        <v>31.29144666725584</v>
      </c>
      <c r="I73" s="1787">
        <f t="shared" si="22"/>
        <v>26.164929540395068</v>
      </c>
      <c r="J73" s="1786">
        <f>$A73/E$66</f>
        <v>33.142198821158672</v>
      </c>
      <c r="K73" s="1788">
        <f t="shared" si="23"/>
        <v>27.344312611960966</v>
      </c>
    </row>
    <row r="74" spans="1:11" x14ac:dyDescent="0.2">
      <c r="A74" s="1781">
        <f t="shared" si="19"/>
        <v>115</v>
      </c>
      <c r="E74" s="1785">
        <f t="shared" si="18"/>
        <v>22220.992440000002</v>
      </c>
      <c r="F74" s="1978">
        <f t="shared" si="20"/>
        <v>19.677560592053272</v>
      </c>
      <c r="G74" s="1787">
        <f t="shared" ref="G74:G82" si="24">$E74/G$64</f>
        <v>18.504463348079717</v>
      </c>
      <c r="H74" s="1978">
        <f>$A74/F$65</f>
        <v>28.742199279243678</v>
      </c>
      <c r="I74" s="1787">
        <f t="shared" si="22"/>
        <v>25.717665787567803</v>
      </c>
      <c r="J74" s="1978">
        <f>$A74/F$66</f>
        <v>30.682892340107944</v>
      </c>
      <c r="K74" s="1788">
        <f t="shared" si="23"/>
        <v>26.876888464747957</v>
      </c>
    </row>
    <row r="75" spans="1:11" x14ac:dyDescent="0.2">
      <c r="A75" s="1781">
        <f t="shared" si="19"/>
        <v>113</v>
      </c>
      <c r="E75" s="1785">
        <f t="shared" si="18"/>
        <v>21884.325928000002</v>
      </c>
      <c r="F75" s="1978">
        <f t="shared" si="20"/>
        <v>19.379429187387924</v>
      </c>
      <c r="G75" s="1787">
        <f t="shared" si="24"/>
        <v>18.224105342079252</v>
      </c>
      <c r="H75" s="1978">
        <f t="shared" ref="H75:H77" si="25">$A75/F$65</f>
        <v>28.242334943952486</v>
      </c>
      <c r="I75" s="1787">
        <f t="shared" si="22"/>
        <v>25.270402034740538</v>
      </c>
      <c r="J75" s="1978">
        <f t="shared" ref="J75:J77" si="26">$A75/F$66</f>
        <v>30.149276821149545</v>
      </c>
      <c r="K75" s="1788">
        <f t="shared" si="23"/>
        <v>26.409464317534951</v>
      </c>
    </row>
    <row r="76" spans="1:11" x14ac:dyDescent="0.2">
      <c r="A76" s="1781">
        <f t="shared" si="19"/>
        <v>111</v>
      </c>
      <c r="E76" s="1785">
        <f t="shared" si="18"/>
        <v>21547.659416000002</v>
      </c>
      <c r="F76" s="1978">
        <f t="shared" si="20"/>
        <v>19.081297782722579</v>
      </c>
      <c r="G76" s="1787">
        <f t="shared" si="24"/>
        <v>17.943747336078786</v>
      </c>
      <c r="H76" s="1978">
        <f t="shared" si="25"/>
        <v>27.742470608661289</v>
      </c>
      <c r="I76" s="1787">
        <f t="shared" si="22"/>
        <v>24.82313828191327</v>
      </c>
      <c r="J76" s="1978">
        <f t="shared" si="26"/>
        <v>29.615661302191146</v>
      </c>
      <c r="K76" s="1788">
        <f t="shared" si="23"/>
        <v>25.942040170321942</v>
      </c>
    </row>
    <row r="77" spans="1:11" x14ac:dyDescent="0.2">
      <c r="A77" s="1781">
        <f t="shared" si="19"/>
        <v>109</v>
      </c>
      <c r="E77" s="1785">
        <f t="shared" si="18"/>
        <v>21210.992904000002</v>
      </c>
      <c r="F77" s="1978">
        <f t="shared" si="20"/>
        <v>18.783166378057235</v>
      </c>
      <c r="G77" s="1787">
        <f t="shared" si="24"/>
        <v>17.663389330078317</v>
      </c>
      <c r="H77" s="1978">
        <f t="shared" si="25"/>
        <v>27.242606273370097</v>
      </c>
      <c r="I77" s="1787">
        <f t="shared" si="22"/>
        <v>24.375874529086005</v>
      </c>
      <c r="J77" s="1978">
        <f t="shared" si="26"/>
        <v>29.082045783232747</v>
      </c>
      <c r="K77" s="1788">
        <f t="shared" si="23"/>
        <v>25.474616023108933</v>
      </c>
    </row>
    <row r="78" spans="1:11" x14ac:dyDescent="0.2">
      <c r="A78" s="1789">
        <v>107</v>
      </c>
      <c r="E78" s="1790">
        <f t="shared" si="18"/>
        <v>20874.326392000003</v>
      </c>
      <c r="F78" s="1979">
        <f>$E78/F$64</f>
        <v>18.485034973391887</v>
      </c>
      <c r="G78" s="1791">
        <f t="shared" si="24"/>
        <v>17.383031324077852</v>
      </c>
      <c r="H78" s="1979">
        <f>$A78/F$65</f>
        <v>26.7427419380789</v>
      </c>
      <c r="I78" s="1791">
        <f t="shared" si="22"/>
        <v>23.92861077625874</v>
      </c>
      <c r="J78" s="1979">
        <f>$A78/F$66</f>
        <v>28.548430264274348</v>
      </c>
      <c r="K78" s="1792">
        <f>$A78/G$66</f>
        <v>25.007191875895927</v>
      </c>
    </row>
    <row r="79" spans="1:11" x14ac:dyDescent="0.2">
      <c r="A79" s="1781">
        <f>A78-2</f>
        <v>105</v>
      </c>
      <c r="E79" s="1785">
        <f t="shared" si="18"/>
        <v>20537.659880000003</v>
      </c>
      <c r="F79" s="1978">
        <f>$E79/F$64</f>
        <v>18.186903568726542</v>
      </c>
      <c r="G79" s="1787">
        <f t="shared" si="24"/>
        <v>17.102673318077386</v>
      </c>
      <c r="H79" s="1978">
        <f>$A79/F$65</f>
        <v>26.242877602787708</v>
      </c>
      <c r="I79" s="1787">
        <f t="shared" si="22"/>
        <v>23.481347023431471</v>
      </c>
      <c r="J79" s="1978">
        <f>$A79/F$66</f>
        <v>28.014814745315949</v>
      </c>
      <c r="K79" s="1788">
        <f>$A79/G$66</f>
        <v>24.539767728682918</v>
      </c>
    </row>
    <row r="80" spans="1:11" x14ac:dyDescent="0.2">
      <c r="A80" s="1781">
        <f>A79-2</f>
        <v>103</v>
      </c>
      <c r="E80" s="1785">
        <f t="shared" si="18"/>
        <v>20200.993368000003</v>
      </c>
      <c r="F80" s="1978">
        <f t="shared" ref="F80:F82" si="27">$E80/F$64</f>
        <v>17.888772164061198</v>
      </c>
      <c r="G80" s="1787">
        <f t="shared" si="24"/>
        <v>16.82231531207692</v>
      </c>
      <c r="H80" s="1978">
        <f t="shared" ref="H80:H82" si="28">$A80/F$65</f>
        <v>25.743013267496512</v>
      </c>
      <c r="I80" s="1787">
        <f t="shared" si="22"/>
        <v>23.034083270604206</v>
      </c>
      <c r="J80" s="1978">
        <f t="shared" ref="J80:J82" si="29">$A80/F$66</f>
        <v>27.48119922635755</v>
      </c>
      <c r="K80" s="1788">
        <f>$A80/G$66</f>
        <v>24.072343581469909</v>
      </c>
    </row>
    <row r="81" spans="1:11" x14ac:dyDescent="0.2">
      <c r="A81" s="1781">
        <f>A80-4</f>
        <v>99</v>
      </c>
      <c r="E81" s="1785">
        <f t="shared" si="18"/>
        <v>19527.660344000004</v>
      </c>
      <c r="F81" s="1978">
        <f t="shared" si="27"/>
        <v>17.292509354730505</v>
      </c>
      <c r="G81" s="1787">
        <f t="shared" si="24"/>
        <v>16.261599300075986</v>
      </c>
      <c r="H81" s="1978">
        <f t="shared" si="28"/>
        <v>24.743284596914123</v>
      </c>
      <c r="I81" s="1787">
        <f t="shared" si="22"/>
        <v>22.139555764949673</v>
      </c>
      <c r="J81" s="1978">
        <f t="shared" si="29"/>
        <v>26.413968188440752</v>
      </c>
      <c r="K81" s="1788">
        <f>$A81/G$66</f>
        <v>23.137495287043894</v>
      </c>
    </row>
    <row r="82" spans="1:11" x14ac:dyDescent="0.2">
      <c r="A82" s="1781">
        <f>A81-4</f>
        <v>95</v>
      </c>
      <c r="E82" s="1785">
        <f t="shared" si="18"/>
        <v>18854.32732</v>
      </c>
      <c r="F82" s="1978">
        <f t="shared" si="27"/>
        <v>16.696246545399813</v>
      </c>
      <c r="G82" s="1787">
        <f t="shared" si="24"/>
        <v>15.700883288075051</v>
      </c>
      <c r="H82" s="1978">
        <f t="shared" si="28"/>
        <v>23.743555926331734</v>
      </c>
      <c r="I82" s="1787">
        <f t="shared" si="22"/>
        <v>21.245028259295143</v>
      </c>
      <c r="J82" s="1978">
        <f t="shared" si="29"/>
        <v>25.346737150523953</v>
      </c>
      <c r="K82" s="1788">
        <f t="shared" si="23"/>
        <v>22.202646992617879</v>
      </c>
    </row>
    <row r="83" spans="1:11" hidden="1" x14ac:dyDescent="0.2">
      <c r="A83" s="1781">
        <f>A82-4</f>
        <v>91</v>
      </c>
      <c r="E83" s="1785">
        <f t="shared" si="18"/>
        <v>18180.994296000001</v>
      </c>
      <c r="F83" s="1786">
        <f>$E83/E$64</f>
        <v>17.505290098209123</v>
      </c>
      <c r="G83" s="1787">
        <f t="shared" si="21"/>
        <v>15.140167276074118</v>
      </c>
      <c r="H83" s="1786">
        <f>$A83/E$65</f>
        <v>24.337791852310097</v>
      </c>
      <c r="I83" s="1787">
        <f t="shared" si="22"/>
        <v>20.35050075364061</v>
      </c>
      <c r="J83" s="1786">
        <f>$A83/E$66</f>
        <v>25.777265749790079</v>
      </c>
      <c r="K83" s="1788">
        <f t="shared" si="23"/>
        <v>21.267798698191861</v>
      </c>
    </row>
    <row r="84" spans="1:11" hidden="1" x14ac:dyDescent="0.2">
      <c r="A84" s="1781">
        <f>A83-4</f>
        <v>87</v>
      </c>
      <c r="E84" s="1785">
        <f t="shared" si="18"/>
        <v>17507.661272000001</v>
      </c>
      <c r="F84" s="1786">
        <f>$E84/E$64</f>
        <v>16.85698177546697</v>
      </c>
      <c r="G84" s="1787">
        <f t="shared" si="21"/>
        <v>14.579451264073187</v>
      </c>
      <c r="H84" s="1786">
        <f>$A84/E$65</f>
        <v>23.267998803856909</v>
      </c>
      <c r="I84" s="1787">
        <f t="shared" si="22"/>
        <v>19.455973247986076</v>
      </c>
      <c r="J84" s="1786">
        <f>$A84/E$66</f>
        <v>24.644199123425679</v>
      </c>
      <c r="K84" s="1788">
        <f t="shared" si="23"/>
        <v>20.332950403765846</v>
      </c>
    </row>
    <row r="85" spans="1:11" x14ac:dyDescent="0.2">
      <c r="A85" s="1793">
        <v>71</v>
      </c>
      <c r="E85" s="1794">
        <f t="shared" si="18"/>
        <v>14814.329175999999</v>
      </c>
      <c r="F85" s="1980">
        <f>$E85/F$64</f>
        <v>13.118669689415661</v>
      </c>
      <c r="G85" s="1795">
        <f>$E85/G$64</f>
        <v>12.336587216069454</v>
      </c>
      <c r="H85" s="1980">
        <f>$A85/F$65</f>
        <v>17.745183902837404</v>
      </c>
      <c r="I85" s="1795">
        <f t="shared" si="22"/>
        <v>15.877863225367948</v>
      </c>
      <c r="J85" s="1980">
        <f>$A85/F$66</f>
        <v>18.943350923023164</v>
      </c>
      <c r="K85" s="1796">
        <f t="shared" si="23"/>
        <v>16.593557226061783</v>
      </c>
    </row>
    <row r="86" spans="1:11" x14ac:dyDescent="0.2">
      <c r="A86" s="1797"/>
      <c r="E86" s="1766"/>
      <c r="F86" s="1766"/>
      <c r="G86" s="1766"/>
      <c r="H86" s="1766"/>
      <c r="I86" s="1766"/>
      <c r="J86" s="1766"/>
      <c r="K86" s="1766"/>
    </row>
  </sheetData>
  <pageMargins left="0" right="0" top="0" bottom="0" header="0" footer="0"/>
  <pageSetup paperSize="5" scale="67"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dimension ref="A1:BF142"/>
  <sheetViews>
    <sheetView showGridLines="0" workbookViewId="0">
      <pane xSplit="1" ySplit="3" topLeftCell="B4" activePane="bottomRight" state="frozen"/>
      <selection activeCell="M35" sqref="M35"/>
      <selection pane="topRight" activeCell="M35" sqref="M35"/>
      <selection pane="bottomLeft" activeCell="M35" sqref="M35"/>
      <selection pane="bottomRight"/>
    </sheetView>
  </sheetViews>
  <sheetFormatPr defaultRowHeight="15" outlineLevelCol="1" x14ac:dyDescent="0.25"/>
  <cols>
    <col min="1" max="1" width="38.7109375" bestFit="1" customWidth="1"/>
    <col min="2" max="2" width="6.5703125" customWidth="1"/>
    <col min="3" max="3" width="9.28515625" bestFit="1" customWidth="1"/>
    <col min="4" max="4" width="11.28515625" bestFit="1" customWidth="1"/>
    <col min="5" max="5" width="2.7109375" customWidth="1"/>
    <col min="6" max="13" width="7.28515625" hidden="1" customWidth="1" outlineLevel="1"/>
    <col min="14" max="14" width="7.28515625" hidden="1" customWidth="1" outlineLevel="1" collapsed="1"/>
    <col min="15" max="17" width="7.28515625" hidden="1" customWidth="1" outlineLevel="1"/>
    <col min="18" max="18" width="7.28515625" hidden="1" customWidth="1" collapsed="1"/>
    <col min="19" max="20" width="7.28515625" hidden="1" customWidth="1" outlineLevel="1" collapsed="1"/>
    <col min="21" max="22" width="7.28515625" hidden="1" customWidth="1" outlineLevel="1"/>
    <col min="23" max="23" width="7.28515625" customWidth="1" collapsed="1"/>
    <col min="24" max="25" width="7.28515625" hidden="1" customWidth="1" outlineLevel="1" collapsed="1"/>
    <col min="26" max="27" width="7.28515625" hidden="1" customWidth="1" outlineLevel="1"/>
    <col min="28" max="28" width="7.28515625" customWidth="1" collapsed="1"/>
    <col min="29" max="29" width="8.42578125" customWidth="1" outlineLevel="1" collapsed="1"/>
    <col min="30" max="32" width="7.28515625" customWidth="1" outlineLevel="1" collapsed="1"/>
    <col min="33" max="33" width="7.28515625" customWidth="1"/>
    <col min="34" max="37" width="7.28515625" customWidth="1" outlineLevel="1" collapsed="1"/>
    <col min="38" max="38" width="7.28515625" customWidth="1"/>
    <col min="39" max="42" width="7.28515625" customWidth="1" outlineLevel="1" collapsed="1"/>
    <col min="43" max="43" width="7.28515625" customWidth="1"/>
    <col min="44" max="47" width="7.28515625" customWidth="1" outlineLevel="1" collapsed="1"/>
    <col min="48" max="48" width="7.28515625" customWidth="1"/>
    <col min="49" max="52" width="7.28515625" customWidth="1" outlineLevel="1" collapsed="1"/>
    <col min="53" max="53" width="7.28515625" customWidth="1"/>
    <col min="54" max="57" width="7.28515625" customWidth="1" outlineLevel="1" collapsed="1"/>
    <col min="58" max="58" width="7.28515625" customWidth="1"/>
  </cols>
  <sheetData>
    <row r="1" spans="1:58" x14ac:dyDescent="0.25">
      <c r="A1" s="628"/>
      <c r="B1" s="1798"/>
      <c r="C1" s="1798"/>
      <c r="D1" s="1798"/>
      <c r="E1" s="628"/>
      <c r="F1" s="628"/>
      <c r="G1" s="628"/>
      <c r="H1" s="628"/>
      <c r="I1" s="628"/>
      <c r="J1" s="628"/>
      <c r="K1" s="628"/>
      <c r="L1" s="628"/>
      <c r="M1" s="628"/>
      <c r="N1" s="628"/>
      <c r="O1" s="628"/>
      <c r="P1" s="628"/>
      <c r="Q1" s="628"/>
      <c r="R1" s="628"/>
      <c r="S1" s="628"/>
      <c r="T1" s="628"/>
      <c r="U1" s="628"/>
      <c r="V1" s="628"/>
      <c r="W1" s="628"/>
      <c r="X1" s="628"/>
      <c r="Y1" s="628"/>
      <c r="Z1" s="628"/>
      <c r="AA1" s="628"/>
      <c r="AB1" s="628"/>
      <c r="AC1" s="628"/>
      <c r="AD1" s="628"/>
      <c r="AE1" s="628"/>
      <c r="AF1" s="628"/>
      <c r="AG1" s="628"/>
      <c r="AH1" s="628"/>
      <c r="AI1" s="628"/>
      <c r="AJ1" s="628"/>
      <c r="AK1" s="628"/>
      <c r="AL1" s="628"/>
      <c r="AM1" s="628"/>
      <c r="AN1" s="628"/>
      <c r="AO1" s="628"/>
      <c r="AP1" s="628"/>
      <c r="AQ1" s="628"/>
      <c r="AR1" s="628"/>
      <c r="AS1" s="628"/>
      <c r="AT1" s="628"/>
      <c r="AU1" s="628"/>
      <c r="AV1" s="628"/>
      <c r="AW1" s="628"/>
      <c r="AX1" s="628"/>
      <c r="AY1" s="628"/>
      <c r="AZ1" s="628"/>
      <c r="BA1" s="628"/>
      <c r="BB1" s="628"/>
      <c r="BC1" s="628"/>
      <c r="BD1" s="628"/>
      <c r="BE1" s="628"/>
      <c r="BF1" s="628"/>
    </row>
    <row r="2" spans="1:58" x14ac:dyDescent="0.25">
      <c r="A2" s="315" t="s">
        <v>514</v>
      </c>
      <c r="B2" s="1799"/>
      <c r="C2" s="1799"/>
      <c r="D2" s="1799"/>
      <c r="E2" s="1515"/>
      <c r="F2" s="628"/>
      <c r="G2" s="628"/>
      <c r="H2" s="628"/>
      <c r="I2" s="628"/>
      <c r="J2" s="628"/>
      <c r="K2" s="628"/>
      <c r="L2" s="628"/>
      <c r="M2" s="628"/>
      <c r="N2" s="628"/>
      <c r="O2" s="628"/>
      <c r="P2" s="628"/>
      <c r="Q2" s="628"/>
      <c r="R2" s="628"/>
      <c r="S2" s="628"/>
      <c r="T2" s="628"/>
      <c r="U2" s="628"/>
      <c r="V2" s="628"/>
      <c r="W2" s="628"/>
      <c r="X2" s="628"/>
      <c r="Y2" s="628"/>
      <c r="Z2" s="628"/>
      <c r="AA2" s="628"/>
      <c r="AB2" s="628"/>
      <c r="AC2" s="628"/>
      <c r="AD2" s="628"/>
      <c r="AE2" s="628"/>
      <c r="AF2" s="628"/>
      <c r="AG2" s="628"/>
      <c r="AH2" s="628"/>
      <c r="AI2" s="628"/>
      <c r="AJ2" s="628"/>
      <c r="AK2" s="628"/>
      <c r="AL2" s="628"/>
      <c r="AM2" s="628"/>
      <c r="AN2" s="628"/>
      <c r="AO2" s="628"/>
      <c r="AP2" s="628"/>
      <c r="AQ2" s="628"/>
      <c r="AR2" s="628"/>
      <c r="AS2" s="628"/>
      <c r="AT2" s="628"/>
      <c r="AU2" s="628"/>
      <c r="AV2" s="628"/>
      <c r="AW2" s="628"/>
      <c r="AX2" s="628"/>
      <c r="AY2" s="628"/>
      <c r="AZ2" s="628"/>
      <c r="BA2" s="628"/>
      <c r="BB2" s="628"/>
      <c r="BC2" s="628"/>
      <c r="BD2" s="628"/>
      <c r="BE2" s="628"/>
      <c r="BF2" s="628"/>
    </row>
    <row r="3" spans="1:58" x14ac:dyDescent="0.25">
      <c r="A3" s="1799"/>
      <c r="B3" s="1799" t="s">
        <v>515</v>
      </c>
      <c r="C3" s="1799" t="s">
        <v>516</v>
      </c>
      <c r="D3" s="1799" t="s">
        <v>517</v>
      </c>
      <c r="E3" s="1799"/>
      <c r="F3" s="1799" t="s">
        <v>518</v>
      </c>
      <c r="G3" s="1799" t="s">
        <v>519</v>
      </c>
      <c r="H3" s="1800">
        <v>2011</v>
      </c>
      <c r="I3" s="1799" t="s">
        <v>520</v>
      </c>
      <c r="J3" s="1799" t="s">
        <v>521</v>
      </c>
      <c r="K3" s="1799" t="s">
        <v>522</v>
      </c>
      <c r="L3" s="1799" t="s">
        <v>523</v>
      </c>
      <c r="M3" s="1800">
        <v>2012</v>
      </c>
      <c r="N3" s="1799" t="s">
        <v>524</v>
      </c>
      <c r="O3" s="1799" t="s">
        <v>525</v>
      </c>
      <c r="P3" s="1801" t="s">
        <v>526</v>
      </c>
      <c r="Q3" s="1799" t="s">
        <v>527</v>
      </c>
      <c r="R3" s="1800">
        <v>2013</v>
      </c>
      <c r="S3" s="1799" t="str">
        <f>VA!AN1</f>
        <v>1Q14</v>
      </c>
      <c r="T3" s="1799" t="str">
        <f>VA!AO1</f>
        <v>2Q14</v>
      </c>
      <c r="U3" s="1799" t="str">
        <f>VA!AP1</f>
        <v>3Q14</v>
      </c>
      <c r="V3" s="1799" t="str">
        <f>VA!AQ1</f>
        <v>4Q14</v>
      </c>
      <c r="W3" s="1800">
        <v>2014</v>
      </c>
      <c r="X3" s="1799" t="str">
        <f>VA!AS1</f>
        <v>1Q15</v>
      </c>
      <c r="Y3" s="1799" t="str">
        <f>VA!AT1</f>
        <v>2Q15</v>
      </c>
      <c r="Z3" s="1799" t="str">
        <f>VA!AU1</f>
        <v>3Q15</v>
      </c>
      <c r="AA3" s="1799" t="str">
        <f>VA!AV1</f>
        <v>4Q15</v>
      </c>
      <c r="AB3" s="1800">
        <v>2015</v>
      </c>
      <c r="AC3" s="1799" t="str">
        <f>VA!AX1</f>
        <v>1Q16</v>
      </c>
      <c r="AD3" s="1799" t="str">
        <f>VA!AY1</f>
        <v>2Q16</v>
      </c>
      <c r="AE3" s="1799" t="str">
        <f>VA!AZ1</f>
        <v>3Q16</v>
      </c>
      <c r="AF3" s="1799" t="str">
        <f>VA!BA1</f>
        <v>4Q16</v>
      </c>
      <c r="AG3" s="1800">
        <f>VA!BB1</f>
        <v>2016</v>
      </c>
      <c r="AH3" s="1799" t="str">
        <f>VA!BC1</f>
        <v>1Q17</v>
      </c>
      <c r="AI3" s="1799" t="str">
        <f>VA!BD1</f>
        <v>2Q17</v>
      </c>
      <c r="AJ3" s="1799" t="str">
        <f>VA!BE1</f>
        <v>3Q17</v>
      </c>
      <c r="AK3" s="1799" t="str">
        <f>VA!BF1</f>
        <v>4Q17</v>
      </c>
      <c r="AL3" s="1800">
        <f>VA!BG1</f>
        <v>2017</v>
      </c>
      <c r="AM3" s="1799" t="str">
        <f>VA!BH1</f>
        <v>1Q18E</v>
      </c>
      <c r="AN3" s="1799" t="str">
        <f>VA!BI1</f>
        <v>2Q18E</v>
      </c>
      <c r="AO3" s="1799" t="str">
        <f>VA!BJ1</f>
        <v>3Q18E</v>
      </c>
      <c r="AP3" s="1799" t="str">
        <f>VA!BK1</f>
        <v>4Q18E</v>
      </c>
      <c r="AQ3" s="1800" t="str">
        <f>VA!BL1</f>
        <v>2018E</v>
      </c>
      <c r="AR3" s="1799" t="str">
        <f>VA!BM1</f>
        <v>1Q19E</v>
      </c>
      <c r="AS3" s="1799" t="str">
        <f>VA!BN1</f>
        <v>2Q19E</v>
      </c>
      <c r="AT3" s="1799" t="str">
        <f>VA!BO1</f>
        <v>3Q19E</v>
      </c>
      <c r="AU3" s="1799" t="str">
        <f>VA!BP1</f>
        <v>4Q19E</v>
      </c>
      <c r="AV3" s="1800" t="str">
        <f>VA!BQ1</f>
        <v>2019E</v>
      </c>
      <c r="AW3" s="1799" t="str">
        <f>VA!BR1</f>
        <v>1Q20E</v>
      </c>
      <c r="AX3" s="1799" t="str">
        <f>VA!BS1</f>
        <v>2Q20E</v>
      </c>
      <c r="AY3" s="1799" t="str">
        <f>VA!BT1</f>
        <v>3Q20E</v>
      </c>
      <c r="AZ3" s="1799" t="str">
        <f>VA!BU1</f>
        <v>4Q20E</v>
      </c>
      <c r="BA3" s="1800" t="str">
        <f>VA!BV1</f>
        <v>2020E</v>
      </c>
      <c r="BB3" s="1799" t="str">
        <f>VA!BW1</f>
        <v>1Q21E</v>
      </c>
      <c r="BC3" s="1799" t="str">
        <f>VA!BX1</f>
        <v>2Q21E</v>
      </c>
      <c r="BD3" s="1799" t="str">
        <f>VA!BY1</f>
        <v>3Q21E</v>
      </c>
      <c r="BE3" s="1799" t="str">
        <f>VA!BZ1</f>
        <v>4Q21E</v>
      </c>
      <c r="BF3" s="1800" t="str">
        <f>VA!CA1</f>
        <v>2021E</v>
      </c>
    </row>
    <row r="4" spans="1:58" x14ac:dyDescent="0.25">
      <c r="A4" s="1515" t="s">
        <v>528</v>
      </c>
      <c r="B4" s="1799"/>
      <c r="C4" s="1799"/>
      <c r="D4" s="1799"/>
      <c r="E4" s="1515"/>
      <c r="F4" s="628"/>
      <c r="G4" s="628"/>
      <c r="H4" s="1483"/>
      <c r="I4" s="628"/>
      <c r="J4" s="628"/>
      <c r="K4" s="628"/>
      <c r="L4" s="628"/>
      <c r="M4" s="1483"/>
      <c r="N4" s="628"/>
      <c r="O4" s="628"/>
      <c r="P4" s="1802"/>
      <c r="Q4" s="628"/>
      <c r="R4" s="1483"/>
      <c r="S4" s="628"/>
      <c r="T4" s="628"/>
      <c r="U4" s="628"/>
      <c r="V4" s="628"/>
      <c r="W4" s="1483"/>
      <c r="X4" s="628"/>
      <c r="Y4" s="628"/>
      <c r="Z4" s="628"/>
      <c r="AA4" s="628"/>
      <c r="AB4" s="1483"/>
      <c r="AC4" s="628"/>
      <c r="AD4" s="628"/>
      <c r="AE4" s="628"/>
      <c r="AF4" s="628"/>
      <c r="AG4" s="1483"/>
      <c r="AH4" s="628"/>
      <c r="AI4" s="628"/>
      <c r="AJ4" s="628"/>
      <c r="AK4" s="628"/>
      <c r="AL4" s="1483"/>
      <c r="AM4" s="628"/>
      <c r="AN4" s="628"/>
      <c r="AO4" s="628"/>
      <c r="AP4" s="628"/>
      <c r="AQ4" s="1483"/>
      <c r="AR4" s="628"/>
      <c r="AS4" s="628"/>
      <c r="AT4" s="628"/>
      <c r="AU4" s="628"/>
      <c r="AV4" s="1483"/>
      <c r="AW4" s="628"/>
      <c r="AX4" s="628"/>
      <c r="AY4" s="628"/>
      <c r="AZ4" s="628"/>
      <c r="BA4" s="1483"/>
      <c r="BB4" s="628"/>
      <c r="BC4" s="628"/>
      <c r="BD4" s="628"/>
      <c r="BE4" s="628"/>
      <c r="BF4" s="1483"/>
    </row>
    <row r="5" spans="1:58" x14ac:dyDescent="0.25">
      <c r="A5" s="1803" t="s">
        <v>529</v>
      </c>
      <c r="B5" s="1798"/>
      <c r="C5" s="1798" t="s">
        <v>530</v>
      </c>
      <c r="D5" s="1798" t="s">
        <v>530</v>
      </c>
      <c r="E5" s="1803"/>
      <c r="F5" s="1196">
        <v>160</v>
      </c>
      <c r="G5" s="1196">
        <v>0</v>
      </c>
      <c r="H5" s="1484">
        <f>G5</f>
        <v>0</v>
      </c>
      <c r="I5" s="1196">
        <v>125</v>
      </c>
      <c r="J5" s="1196">
        <v>150</v>
      </c>
      <c r="K5" s="1196">
        <v>115</v>
      </c>
      <c r="L5" s="516">
        <v>10</v>
      </c>
      <c r="M5" s="1484">
        <f>L5</f>
        <v>10</v>
      </c>
      <c r="N5" s="1196">
        <v>0</v>
      </c>
      <c r="O5" s="1196">
        <f>N5</f>
        <v>0</v>
      </c>
      <c r="P5" s="1804">
        <f>O5</f>
        <v>0</v>
      </c>
      <c r="Q5" s="636">
        <v>0</v>
      </c>
      <c r="R5" s="1805">
        <f>Q5</f>
        <v>0</v>
      </c>
      <c r="S5" s="1196">
        <v>0</v>
      </c>
      <c r="T5" s="1196">
        <v>0</v>
      </c>
      <c r="U5" s="1196">
        <v>0</v>
      </c>
      <c r="V5" s="1196">
        <f>160</f>
        <v>160</v>
      </c>
      <c r="W5" s="1484">
        <f>V5</f>
        <v>160</v>
      </c>
      <c r="X5" s="1196">
        <v>30</v>
      </c>
      <c r="Y5" s="1196">
        <v>1020</v>
      </c>
      <c r="Z5" s="1196">
        <v>900</v>
      </c>
      <c r="AA5" s="1196">
        <v>870</v>
      </c>
      <c r="AB5" s="1484">
        <f>AA5</f>
        <v>870</v>
      </c>
      <c r="AC5" s="1196">
        <v>705</v>
      </c>
      <c r="AD5" s="1196">
        <v>0</v>
      </c>
      <c r="AE5" s="1196">
        <f>AD5</f>
        <v>0</v>
      </c>
      <c r="AF5" s="1196">
        <v>100</v>
      </c>
      <c r="AG5" s="1484">
        <f>AF5</f>
        <v>100</v>
      </c>
      <c r="AH5" s="1900">
        <v>0</v>
      </c>
      <c r="AI5" s="1900">
        <v>120</v>
      </c>
      <c r="AJ5" s="1951">
        <v>595</v>
      </c>
      <c r="AK5" s="1951">
        <v>715</v>
      </c>
      <c r="AL5" s="1484">
        <f>AK5</f>
        <v>715</v>
      </c>
      <c r="AM5" s="636">
        <f>AK5</f>
        <v>715</v>
      </c>
      <c r="AN5" s="636">
        <f>AL5</f>
        <v>715</v>
      </c>
      <c r="AO5" s="636">
        <f>AM5</f>
        <v>715</v>
      </c>
      <c r="AP5" s="636">
        <f>AN5</f>
        <v>715</v>
      </c>
      <c r="AQ5" s="1484">
        <f>AP5</f>
        <v>715</v>
      </c>
      <c r="AR5" s="636">
        <f>AP5</f>
        <v>715</v>
      </c>
      <c r="AS5" s="636">
        <f>AQ5</f>
        <v>715</v>
      </c>
      <c r="AT5" s="636">
        <f>AR5</f>
        <v>715</v>
      </c>
      <c r="AU5" s="636">
        <f>AS5</f>
        <v>715</v>
      </c>
      <c r="AV5" s="1484">
        <f>AU5</f>
        <v>715</v>
      </c>
      <c r="AW5" s="636">
        <f>AU5</f>
        <v>715</v>
      </c>
      <c r="AX5" s="636">
        <f>AV5</f>
        <v>715</v>
      </c>
      <c r="AY5" s="636">
        <f>AW5</f>
        <v>715</v>
      </c>
      <c r="AZ5" s="636">
        <f>AX5</f>
        <v>715</v>
      </c>
      <c r="BA5" s="1484">
        <f>AZ5</f>
        <v>715</v>
      </c>
      <c r="BB5" s="636">
        <f>AZ5</f>
        <v>715</v>
      </c>
      <c r="BC5" s="636">
        <f>BA5</f>
        <v>715</v>
      </c>
      <c r="BD5" s="636">
        <f>BB5</f>
        <v>715</v>
      </c>
      <c r="BE5" s="636">
        <f>BC5</f>
        <v>715</v>
      </c>
      <c r="BF5" s="1484">
        <f>BE5</f>
        <v>715</v>
      </c>
    </row>
    <row r="6" spans="1:58" hidden="1" x14ac:dyDescent="0.25">
      <c r="A6" s="1803" t="s">
        <v>531</v>
      </c>
      <c r="B6" s="1798"/>
      <c r="C6" s="1798"/>
      <c r="D6" s="1798"/>
      <c r="E6" s="1803"/>
      <c r="F6" s="636"/>
      <c r="G6" s="636"/>
      <c r="H6" s="1484"/>
      <c r="I6" s="1196"/>
      <c r="J6" s="1196"/>
      <c r="K6" s="1196"/>
      <c r="L6" s="636"/>
      <c r="M6" s="1484"/>
      <c r="N6" s="1196"/>
      <c r="O6" s="1196"/>
      <c r="P6" s="1806"/>
      <c r="Q6" s="636"/>
      <c r="R6" s="1484"/>
      <c r="S6" s="1196"/>
      <c r="T6" s="1196"/>
      <c r="U6" s="1196"/>
      <c r="V6" s="1196"/>
      <c r="W6" s="1484"/>
      <c r="X6" s="1196"/>
      <c r="Y6" s="1196"/>
      <c r="Z6" s="1196"/>
      <c r="AA6" s="1196"/>
      <c r="AB6" s="1484"/>
      <c r="AC6" s="1196"/>
      <c r="AD6" s="1196"/>
      <c r="AE6" s="1196"/>
      <c r="AF6" s="1196"/>
      <c r="AG6" s="1484"/>
      <c r="AH6" s="1900">
        <v>0</v>
      </c>
      <c r="AI6" s="1900"/>
      <c r="AJ6" s="636"/>
      <c r="AK6" s="636"/>
      <c r="AL6" s="1484"/>
      <c r="AM6" s="636"/>
      <c r="AN6" s="636"/>
      <c r="AO6" s="636"/>
      <c r="AP6" s="636"/>
      <c r="AQ6" s="1484"/>
      <c r="AR6" s="636"/>
      <c r="AS6" s="636"/>
      <c r="AT6" s="636"/>
      <c r="AU6" s="636"/>
      <c r="AV6" s="1484"/>
      <c r="AW6" s="636"/>
      <c r="AX6" s="636"/>
      <c r="AY6" s="636"/>
      <c r="AZ6" s="636"/>
      <c r="BA6" s="1484"/>
      <c r="BB6" s="636"/>
      <c r="BC6" s="636"/>
      <c r="BD6" s="636"/>
      <c r="BE6" s="636"/>
      <c r="BF6" s="1484"/>
    </row>
    <row r="7" spans="1:58" hidden="1" x14ac:dyDescent="0.25">
      <c r="A7" s="1807" t="s">
        <v>532</v>
      </c>
      <c r="B7" s="1808">
        <v>4.5999999999999999E-2</v>
      </c>
      <c r="C7" s="1809">
        <v>38517</v>
      </c>
      <c r="D7" s="1809">
        <v>40707</v>
      </c>
      <c r="E7" s="1807"/>
      <c r="F7" s="636">
        <v>0</v>
      </c>
      <c r="G7" s="636">
        <v>0</v>
      </c>
      <c r="H7" s="1484">
        <f>G7</f>
        <v>0</v>
      </c>
      <c r="I7" s="1196">
        <v>0</v>
      </c>
      <c r="J7" s="1196">
        <v>0</v>
      </c>
      <c r="K7" s="1196">
        <v>0</v>
      </c>
      <c r="L7" s="636">
        <v>0</v>
      </c>
      <c r="M7" s="1484">
        <v>0</v>
      </c>
      <c r="N7" s="1196"/>
      <c r="O7" s="1196">
        <v>0</v>
      </c>
      <c r="P7" s="1806">
        <v>0</v>
      </c>
      <c r="Q7" s="636">
        <v>0</v>
      </c>
      <c r="R7" s="1484">
        <v>0</v>
      </c>
      <c r="S7" s="1196"/>
      <c r="T7" s="1196"/>
      <c r="U7" s="1196"/>
      <c r="V7" s="1196"/>
      <c r="W7" s="1484">
        <v>0</v>
      </c>
      <c r="X7" s="1196"/>
      <c r="Y7" s="1196"/>
      <c r="Z7" s="1196"/>
      <c r="AA7" s="1196"/>
      <c r="AB7" s="1484">
        <v>0</v>
      </c>
      <c r="AC7" s="1196"/>
      <c r="AD7" s="1196"/>
      <c r="AE7" s="1196"/>
      <c r="AF7" s="1196"/>
      <c r="AG7" s="1484">
        <v>0</v>
      </c>
      <c r="AH7" s="1900">
        <v>0</v>
      </c>
      <c r="AI7" s="1900"/>
      <c r="AJ7" s="636"/>
      <c r="AK7" s="636"/>
      <c r="AL7" s="1484">
        <v>0</v>
      </c>
      <c r="AM7" s="636"/>
      <c r="AN7" s="636"/>
      <c r="AO7" s="636"/>
      <c r="AP7" s="636"/>
      <c r="AQ7" s="1484">
        <v>0</v>
      </c>
      <c r="AR7" s="636"/>
      <c r="AS7" s="636"/>
      <c r="AT7" s="636"/>
      <c r="AU7" s="636"/>
      <c r="AV7" s="1484">
        <v>0</v>
      </c>
      <c r="AW7" s="636"/>
      <c r="AX7" s="636"/>
      <c r="AY7" s="636"/>
      <c r="AZ7" s="636"/>
      <c r="BA7" s="1484">
        <v>0</v>
      </c>
      <c r="BB7" s="636"/>
      <c r="BC7" s="636"/>
      <c r="BD7" s="636"/>
      <c r="BE7" s="636"/>
      <c r="BF7" s="1484">
        <v>0</v>
      </c>
    </row>
    <row r="8" spans="1:58" hidden="1" x14ac:dyDescent="0.25">
      <c r="A8" s="1807" t="s">
        <v>533</v>
      </c>
      <c r="B8" s="1808">
        <v>0.06</v>
      </c>
      <c r="C8" s="1809">
        <v>38937</v>
      </c>
      <c r="D8" s="1809">
        <v>40763</v>
      </c>
      <c r="E8" s="1807"/>
      <c r="F8" s="636">
        <v>0</v>
      </c>
      <c r="G8" s="636">
        <v>0</v>
      </c>
      <c r="H8" s="1484">
        <f>G8</f>
        <v>0</v>
      </c>
      <c r="I8" s="1196">
        <v>0</v>
      </c>
      <c r="J8" s="1196">
        <v>0</v>
      </c>
      <c r="K8" s="1196">
        <v>0</v>
      </c>
      <c r="L8" s="636">
        <v>0</v>
      </c>
      <c r="M8" s="1484">
        <v>0</v>
      </c>
      <c r="N8" s="1196"/>
      <c r="O8" s="1196">
        <v>0</v>
      </c>
      <c r="P8" s="1806">
        <v>0</v>
      </c>
      <c r="Q8" s="636">
        <v>0</v>
      </c>
      <c r="R8" s="1484">
        <v>0</v>
      </c>
      <c r="S8" s="1196"/>
      <c r="T8" s="1196"/>
      <c r="U8" s="1196"/>
      <c r="V8" s="1196"/>
      <c r="W8" s="1484">
        <v>0</v>
      </c>
      <c r="X8" s="1196"/>
      <c r="Y8" s="1196"/>
      <c r="Z8" s="1196"/>
      <c r="AA8" s="1196"/>
      <c r="AB8" s="1484">
        <v>0</v>
      </c>
      <c r="AC8" s="1196"/>
      <c r="AD8" s="1196"/>
      <c r="AE8" s="1196"/>
      <c r="AF8" s="1196"/>
      <c r="AG8" s="1484">
        <v>0</v>
      </c>
      <c r="AH8" s="1900">
        <v>0</v>
      </c>
      <c r="AI8" s="1900"/>
      <c r="AJ8" s="636"/>
      <c r="AK8" s="636"/>
      <c r="AL8" s="1484">
        <v>0</v>
      </c>
      <c r="AM8" s="636"/>
      <c r="AN8" s="636"/>
      <c r="AO8" s="636"/>
      <c r="AP8" s="636"/>
      <c r="AQ8" s="1484">
        <v>0</v>
      </c>
      <c r="AR8" s="636"/>
      <c r="AS8" s="636"/>
      <c r="AT8" s="636"/>
      <c r="AU8" s="636"/>
      <c r="AV8" s="1484">
        <v>0</v>
      </c>
      <c r="AW8" s="636"/>
      <c r="AX8" s="636"/>
      <c r="AY8" s="636"/>
      <c r="AZ8" s="636"/>
      <c r="BA8" s="1484">
        <v>0</v>
      </c>
      <c r="BB8" s="636"/>
      <c r="BC8" s="636"/>
      <c r="BD8" s="636"/>
      <c r="BE8" s="636"/>
      <c r="BF8" s="1484">
        <v>0</v>
      </c>
    </row>
    <row r="9" spans="1:58" x14ac:dyDescent="0.25">
      <c r="A9" s="1807" t="s">
        <v>534</v>
      </c>
      <c r="B9" s="1810">
        <v>6.2799999999999995E-2</v>
      </c>
      <c r="C9" s="1809">
        <v>39567</v>
      </c>
      <c r="D9" s="1809">
        <v>42123</v>
      </c>
      <c r="E9" s="1803"/>
      <c r="F9" s="636"/>
      <c r="G9" s="636"/>
      <c r="H9" s="1484"/>
      <c r="I9" s="1196"/>
      <c r="J9" s="1196">
        <v>15</v>
      </c>
      <c r="K9" s="1196">
        <f t="shared" ref="K9:M10" si="0">J9</f>
        <v>15</v>
      </c>
      <c r="L9" s="1196">
        <f>K9</f>
        <v>15</v>
      </c>
      <c r="M9" s="1484">
        <f t="shared" si="0"/>
        <v>15</v>
      </c>
      <c r="N9" s="1196">
        <v>15</v>
      </c>
      <c r="O9" s="1196">
        <v>0</v>
      </c>
      <c r="P9" s="1804">
        <v>0</v>
      </c>
      <c r="Q9" s="636">
        <v>0</v>
      </c>
      <c r="R9" s="1318">
        <f>Q9</f>
        <v>0</v>
      </c>
      <c r="S9" s="1196">
        <v>0</v>
      </c>
      <c r="T9" s="1196">
        <v>85</v>
      </c>
      <c r="U9" s="1196">
        <f>+T9</f>
        <v>85</v>
      </c>
      <c r="V9" s="1196">
        <f>+U9</f>
        <v>85</v>
      </c>
      <c r="W9" s="1484">
        <f>+V9</f>
        <v>85</v>
      </c>
      <c r="X9" s="1196">
        <f>+W9</f>
        <v>85</v>
      </c>
      <c r="Y9" s="1196">
        <v>0</v>
      </c>
      <c r="Z9" s="1196">
        <f>Y9</f>
        <v>0</v>
      </c>
      <c r="AA9" s="1196">
        <f>Z9</f>
        <v>0</v>
      </c>
      <c r="AB9" s="1484">
        <f>+AA9</f>
        <v>0</v>
      </c>
      <c r="AC9" s="1196">
        <f>AB9</f>
        <v>0</v>
      </c>
      <c r="AD9" s="1196">
        <f>AC9</f>
        <v>0</v>
      </c>
      <c r="AE9" s="1196">
        <f>AD9</f>
        <v>0</v>
      </c>
      <c r="AF9" s="1196">
        <f>AE9</f>
        <v>0</v>
      </c>
      <c r="AG9" s="1484">
        <f>+AF9</f>
        <v>0</v>
      </c>
      <c r="AH9" s="1900">
        <v>0</v>
      </c>
      <c r="AI9" s="1900">
        <v>0</v>
      </c>
      <c r="AJ9" s="1900">
        <v>0</v>
      </c>
      <c r="AK9" s="1900">
        <v>0</v>
      </c>
      <c r="AL9" s="1484">
        <f>+AK9</f>
        <v>0</v>
      </c>
      <c r="AM9" s="636">
        <f>AL9</f>
        <v>0</v>
      </c>
      <c r="AN9" s="636">
        <f>AM9</f>
        <v>0</v>
      </c>
      <c r="AO9" s="636">
        <f>AN9</f>
        <v>0</v>
      </c>
      <c r="AP9" s="636">
        <f>AO9</f>
        <v>0</v>
      </c>
      <c r="AQ9" s="1484">
        <f>+AP9</f>
        <v>0</v>
      </c>
      <c r="AR9" s="636">
        <f>AQ9</f>
        <v>0</v>
      </c>
      <c r="AS9" s="636">
        <f>AR9</f>
        <v>0</v>
      </c>
      <c r="AT9" s="636">
        <f>AS9</f>
        <v>0</v>
      </c>
      <c r="AU9" s="636">
        <f>AT9</f>
        <v>0</v>
      </c>
      <c r="AV9" s="1484">
        <f>+AU9</f>
        <v>0</v>
      </c>
      <c r="AW9" s="636">
        <f>AV9</f>
        <v>0</v>
      </c>
      <c r="AX9" s="636">
        <f>AW9</f>
        <v>0</v>
      </c>
      <c r="AY9" s="636">
        <f>AX9</f>
        <v>0</v>
      </c>
      <c r="AZ9" s="636">
        <f>AY9</f>
        <v>0</v>
      </c>
      <c r="BA9" s="1484">
        <f>+AZ9</f>
        <v>0</v>
      </c>
      <c r="BB9" s="636">
        <f>BA9</f>
        <v>0</v>
      </c>
      <c r="BC9" s="636">
        <f>BB9</f>
        <v>0</v>
      </c>
      <c r="BD9" s="636">
        <f>BC9</f>
        <v>0</v>
      </c>
      <c r="BE9" s="636">
        <f>BD9</f>
        <v>0</v>
      </c>
      <c r="BF9" s="1484">
        <f>+BE9</f>
        <v>0</v>
      </c>
    </row>
    <row r="10" spans="1:58" x14ac:dyDescent="0.25">
      <c r="A10" s="1807" t="s">
        <v>535</v>
      </c>
      <c r="B10" s="1810">
        <v>6.4600000000000005E-2</v>
      </c>
      <c r="C10" s="1809">
        <v>39930</v>
      </c>
      <c r="D10" s="1809">
        <v>41391</v>
      </c>
      <c r="E10" s="1803"/>
      <c r="F10" s="636"/>
      <c r="G10" s="636"/>
      <c r="H10" s="1484"/>
      <c r="I10" s="1196"/>
      <c r="J10" s="1196">
        <v>30</v>
      </c>
      <c r="K10" s="1196">
        <f t="shared" si="0"/>
        <v>30</v>
      </c>
      <c r="L10" s="1196">
        <f>K10</f>
        <v>30</v>
      </c>
      <c r="M10" s="1484">
        <f t="shared" si="0"/>
        <v>30</v>
      </c>
      <c r="N10" s="1196">
        <v>30</v>
      </c>
      <c r="O10" s="1196">
        <v>0</v>
      </c>
      <c r="P10" s="1804">
        <v>0</v>
      </c>
      <c r="Q10" s="636">
        <v>0</v>
      </c>
      <c r="R10" s="1318">
        <f>Q10</f>
        <v>0</v>
      </c>
      <c r="S10" s="1196">
        <v>0</v>
      </c>
      <c r="T10" s="1196">
        <v>0</v>
      </c>
      <c r="U10" s="1196">
        <v>0</v>
      </c>
      <c r="V10" s="1196">
        <v>0</v>
      </c>
      <c r="W10" s="1484">
        <v>0</v>
      </c>
      <c r="X10" s="1196">
        <v>0</v>
      </c>
      <c r="Y10" s="1196">
        <v>0</v>
      </c>
      <c r="Z10" s="1196">
        <v>0</v>
      </c>
      <c r="AA10" s="1196">
        <v>0</v>
      </c>
      <c r="AB10" s="1484">
        <v>0</v>
      </c>
      <c r="AC10" s="1196">
        <v>0</v>
      </c>
      <c r="AD10" s="1196">
        <v>0</v>
      </c>
      <c r="AE10" s="1196">
        <v>0</v>
      </c>
      <c r="AF10" s="1196">
        <v>0</v>
      </c>
      <c r="AG10" s="1484">
        <v>0</v>
      </c>
      <c r="AH10" s="1900">
        <v>0</v>
      </c>
      <c r="AI10" s="1900">
        <v>0</v>
      </c>
      <c r="AJ10" s="1900">
        <v>0</v>
      </c>
      <c r="AK10" s="1900">
        <v>0</v>
      </c>
      <c r="AL10" s="1484">
        <v>0</v>
      </c>
      <c r="AM10" s="636">
        <v>0</v>
      </c>
      <c r="AN10" s="636">
        <v>0</v>
      </c>
      <c r="AO10" s="636">
        <v>0</v>
      </c>
      <c r="AP10" s="636">
        <v>0</v>
      </c>
      <c r="AQ10" s="1484">
        <v>0</v>
      </c>
      <c r="AR10" s="636">
        <v>0</v>
      </c>
      <c r="AS10" s="636">
        <v>0</v>
      </c>
      <c r="AT10" s="636">
        <v>0</v>
      </c>
      <c r="AU10" s="636">
        <v>0</v>
      </c>
      <c r="AV10" s="1484">
        <v>0</v>
      </c>
      <c r="AW10" s="636">
        <v>0</v>
      </c>
      <c r="AX10" s="636">
        <v>0</v>
      </c>
      <c r="AY10" s="636">
        <v>0</v>
      </c>
      <c r="AZ10" s="636">
        <v>0</v>
      </c>
      <c r="BA10" s="1484">
        <v>0</v>
      </c>
      <c r="BB10" s="636">
        <v>0</v>
      </c>
      <c r="BC10" s="636">
        <v>0</v>
      </c>
      <c r="BD10" s="636">
        <v>0</v>
      </c>
      <c r="BE10" s="636">
        <v>0</v>
      </c>
      <c r="BF10" s="1484">
        <v>0</v>
      </c>
    </row>
    <row r="11" spans="1:58" x14ac:dyDescent="0.25">
      <c r="A11" s="1807" t="s">
        <v>536</v>
      </c>
      <c r="B11" s="1810">
        <v>6.13E-2</v>
      </c>
      <c r="C11" s="1809">
        <v>38937</v>
      </c>
      <c r="D11" s="1809">
        <v>41494</v>
      </c>
      <c r="E11" s="628"/>
      <c r="F11" s="1196"/>
      <c r="G11" s="1196"/>
      <c r="H11" s="1484"/>
      <c r="I11" s="1196"/>
      <c r="J11" s="1196"/>
      <c r="K11" s="1196">
        <v>75</v>
      </c>
      <c r="L11" s="1196">
        <v>75</v>
      </c>
      <c r="M11" s="1484">
        <f>L11</f>
        <v>75</v>
      </c>
      <c r="N11" s="1196">
        <v>75</v>
      </c>
      <c r="O11" s="1196">
        <f>N11</f>
        <v>75</v>
      </c>
      <c r="P11" s="1804">
        <v>0</v>
      </c>
      <c r="Q11" s="636">
        <v>0</v>
      </c>
      <c r="R11" s="1318">
        <f>Q11</f>
        <v>0</v>
      </c>
      <c r="S11" s="1196">
        <v>0</v>
      </c>
      <c r="T11" s="1196">
        <v>0</v>
      </c>
      <c r="U11" s="1196">
        <v>0</v>
      </c>
      <c r="V11" s="1196">
        <v>0</v>
      </c>
      <c r="W11" s="1318">
        <v>0</v>
      </c>
      <c r="X11" s="1196">
        <v>0</v>
      </c>
      <c r="Y11" s="1196">
        <v>0</v>
      </c>
      <c r="Z11" s="1196">
        <v>0</v>
      </c>
      <c r="AA11" s="1196">
        <v>0</v>
      </c>
      <c r="AB11" s="1318">
        <v>0</v>
      </c>
      <c r="AC11" s="1196">
        <v>0</v>
      </c>
      <c r="AD11" s="1196">
        <v>0</v>
      </c>
      <c r="AE11" s="1196">
        <v>0</v>
      </c>
      <c r="AF11" s="1196">
        <v>0</v>
      </c>
      <c r="AG11" s="1318">
        <v>0</v>
      </c>
      <c r="AH11" s="1900">
        <v>0</v>
      </c>
      <c r="AI11" s="1900">
        <v>0</v>
      </c>
      <c r="AJ11" s="1900">
        <v>0</v>
      </c>
      <c r="AK11" s="1900">
        <v>0</v>
      </c>
      <c r="AL11" s="1318">
        <v>0</v>
      </c>
      <c r="AM11" s="636">
        <v>0</v>
      </c>
      <c r="AN11" s="636">
        <v>0</v>
      </c>
      <c r="AO11" s="636">
        <v>0</v>
      </c>
      <c r="AP11" s="636">
        <v>0</v>
      </c>
      <c r="AQ11" s="1318">
        <v>0</v>
      </c>
      <c r="AR11" s="636">
        <v>0</v>
      </c>
      <c r="AS11" s="636">
        <v>0</v>
      </c>
      <c r="AT11" s="636">
        <v>0</v>
      </c>
      <c r="AU11" s="636">
        <v>0</v>
      </c>
      <c r="AV11" s="1318">
        <v>0</v>
      </c>
      <c r="AW11" s="636">
        <v>0</v>
      </c>
      <c r="AX11" s="636">
        <v>0</v>
      </c>
      <c r="AY11" s="636">
        <v>0</v>
      </c>
      <c r="AZ11" s="636">
        <v>0</v>
      </c>
      <c r="BA11" s="1318">
        <v>0</v>
      </c>
      <c r="BB11" s="636">
        <v>0</v>
      </c>
      <c r="BC11" s="636">
        <v>0</v>
      </c>
      <c r="BD11" s="636">
        <v>0</v>
      </c>
      <c r="BE11" s="636">
        <v>0</v>
      </c>
      <c r="BF11" s="1318">
        <v>0</v>
      </c>
    </row>
    <row r="12" spans="1:58" x14ac:dyDescent="0.25">
      <c r="A12" s="1807" t="s">
        <v>537</v>
      </c>
      <c r="B12" s="1810">
        <v>5.8400000000000001E-2</v>
      </c>
      <c r="C12" s="1809">
        <v>39381</v>
      </c>
      <c r="D12" s="1809">
        <v>41573</v>
      </c>
      <c r="E12" s="628"/>
      <c r="F12" s="1196"/>
      <c r="G12" s="1196"/>
      <c r="H12" s="1484"/>
      <c r="I12" s="1196"/>
      <c r="J12" s="1196"/>
      <c r="K12" s="1196"/>
      <c r="L12" s="1196">
        <v>17.5</v>
      </c>
      <c r="M12" s="1484">
        <f>L12</f>
        <v>17.5</v>
      </c>
      <c r="N12" s="1196">
        <v>17.5</v>
      </c>
      <c r="O12" s="1196">
        <f>N12</f>
        <v>17.5</v>
      </c>
      <c r="P12" s="1804">
        <f>O12</f>
        <v>17.5</v>
      </c>
      <c r="Q12" s="636">
        <v>0</v>
      </c>
      <c r="R12" s="1318">
        <f>Q12</f>
        <v>0</v>
      </c>
      <c r="S12" s="1196">
        <v>0</v>
      </c>
      <c r="T12" s="1196">
        <v>0</v>
      </c>
      <c r="U12" s="1196">
        <v>0</v>
      </c>
      <c r="V12" s="1196">
        <v>17.5</v>
      </c>
      <c r="W12" s="1318">
        <f>V12</f>
        <v>17.5</v>
      </c>
      <c r="X12" s="1196">
        <f>W12</f>
        <v>17.5</v>
      </c>
      <c r="Y12" s="1196">
        <v>0</v>
      </c>
      <c r="Z12" s="1196">
        <f t="shared" ref="Z12:AL12" si="1">Y12</f>
        <v>0</v>
      </c>
      <c r="AA12" s="1196">
        <f t="shared" si="1"/>
        <v>0</v>
      </c>
      <c r="AB12" s="1318">
        <f t="shared" si="1"/>
        <v>0</v>
      </c>
      <c r="AC12" s="1196">
        <f t="shared" si="1"/>
        <v>0</v>
      </c>
      <c r="AD12" s="1196">
        <f t="shared" si="1"/>
        <v>0</v>
      </c>
      <c r="AE12" s="1196">
        <f t="shared" si="1"/>
        <v>0</v>
      </c>
      <c r="AF12" s="1196">
        <f t="shared" si="1"/>
        <v>0</v>
      </c>
      <c r="AG12" s="1318">
        <f t="shared" si="1"/>
        <v>0</v>
      </c>
      <c r="AH12" s="1900">
        <v>0</v>
      </c>
      <c r="AI12" s="1900">
        <v>0</v>
      </c>
      <c r="AJ12" s="1900">
        <v>0</v>
      </c>
      <c r="AK12" s="1900">
        <v>0</v>
      </c>
      <c r="AL12" s="1318">
        <f t="shared" si="1"/>
        <v>0</v>
      </c>
      <c r="AM12" s="636">
        <f t="shared" ref="AM12:BF12" si="2">AL12</f>
        <v>0</v>
      </c>
      <c r="AN12" s="636">
        <f t="shared" si="2"/>
        <v>0</v>
      </c>
      <c r="AO12" s="636">
        <f t="shared" si="2"/>
        <v>0</v>
      </c>
      <c r="AP12" s="636">
        <f t="shared" si="2"/>
        <v>0</v>
      </c>
      <c r="AQ12" s="1318">
        <f t="shared" si="2"/>
        <v>0</v>
      </c>
      <c r="AR12" s="636">
        <f t="shared" si="2"/>
        <v>0</v>
      </c>
      <c r="AS12" s="636">
        <f t="shared" si="2"/>
        <v>0</v>
      </c>
      <c r="AT12" s="636">
        <f t="shared" si="2"/>
        <v>0</v>
      </c>
      <c r="AU12" s="636">
        <f t="shared" si="2"/>
        <v>0</v>
      </c>
      <c r="AV12" s="1318">
        <f t="shared" si="2"/>
        <v>0</v>
      </c>
      <c r="AW12" s="636">
        <f t="shared" si="2"/>
        <v>0</v>
      </c>
      <c r="AX12" s="636">
        <f t="shared" si="2"/>
        <v>0</v>
      </c>
      <c r="AY12" s="636">
        <f t="shared" si="2"/>
        <v>0</v>
      </c>
      <c r="AZ12" s="636">
        <f t="shared" si="2"/>
        <v>0</v>
      </c>
      <c r="BA12" s="1318">
        <f t="shared" si="2"/>
        <v>0</v>
      </c>
      <c r="BB12" s="636">
        <f t="shared" si="2"/>
        <v>0</v>
      </c>
      <c r="BC12" s="636">
        <f t="shared" si="2"/>
        <v>0</v>
      </c>
      <c r="BD12" s="636">
        <f t="shared" si="2"/>
        <v>0</v>
      </c>
      <c r="BE12" s="636">
        <f t="shared" si="2"/>
        <v>0</v>
      </c>
      <c r="BF12" s="1318">
        <f t="shared" si="2"/>
        <v>0</v>
      </c>
    </row>
    <row r="13" spans="1:58" x14ac:dyDescent="0.25">
      <c r="A13" s="1811" t="s">
        <v>538</v>
      </c>
      <c r="B13" s="1812">
        <v>6.8500000000000005E-2</v>
      </c>
      <c r="C13" s="1813">
        <v>39979</v>
      </c>
      <c r="D13" s="1813">
        <v>42536</v>
      </c>
      <c r="E13" s="1803"/>
      <c r="F13" s="1196">
        <v>0</v>
      </c>
      <c r="G13" s="1196">
        <v>0</v>
      </c>
      <c r="H13" s="14">
        <v>0</v>
      </c>
      <c r="I13" s="1196">
        <v>0</v>
      </c>
      <c r="J13" s="1196">
        <v>0</v>
      </c>
      <c r="K13" s="1196">
        <v>0</v>
      </c>
      <c r="L13" s="1196">
        <v>0</v>
      </c>
      <c r="M13" s="1484">
        <v>0</v>
      </c>
      <c r="N13" s="1196">
        <v>0</v>
      </c>
      <c r="O13" s="1196">
        <v>0</v>
      </c>
      <c r="P13" s="14">
        <v>0</v>
      </c>
      <c r="Q13" s="1196">
        <v>0</v>
      </c>
      <c r="R13" s="1318">
        <v>0</v>
      </c>
      <c r="S13" s="14">
        <v>0</v>
      </c>
      <c r="T13" s="14">
        <v>0</v>
      </c>
      <c r="U13" s="14">
        <v>0</v>
      </c>
      <c r="V13" s="14">
        <v>0</v>
      </c>
      <c r="W13" s="1318">
        <v>0</v>
      </c>
      <c r="X13" s="1317">
        <v>0</v>
      </c>
      <c r="Y13" s="1317">
        <v>0</v>
      </c>
      <c r="Z13" s="1317">
        <v>0</v>
      </c>
      <c r="AA13" s="1317">
        <v>0</v>
      </c>
      <c r="AB13" s="1318">
        <f>AA13</f>
        <v>0</v>
      </c>
      <c r="AC13" s="1196">
        <v>0</v>
      </c>
      <c r="AD13" s="1196">
        <v>0</v>
      </c>
      <c r="AE13" s="1196">
        <v>0</v>
      </c>
      <c r="AF13" s="1196">
        <v>0</v>
      </c>
      <c r="AG13" s="1484">
        <v>0</v>
      </c>
      <c r="AH13" s="1900">
        <v>0</v>
      </c>
      <c r="AI13" s="1900">
        <v>0</v>
      </c>
      <c r="AJ13" s="1900">
        <v>0</v>
      </c>
      <c r="AK13" s="1900">
        <v>0</v>
      </c>
      <c r="AL13" s="1484">
        <v>0</v>
      </c>
      <c r="AM13" s="636">
        <v>0</v>
      </c>
      <c r="AN13" s="636">
        <v>0</v>
      </c>
      <c r="AO13" s="636">
        <v>0</v>
      </c>
      <c r="AP13" s="636">
        <v>0</v>
      </c>
      <c r="AQ13" s="1484">
        <v>0</v>
      </c>
      <c r="AR13" s="636">
        <v>0</v>
      </c>
      <c r="AS13" s="636">
        <v>0</v>
      </c>
      <c r="AT13" s="636">
        <v>0</v>
      </c>
      <c r="AU13" s="636">
        <v>0</v>
      </c>
      <c r="AV13" s="1484">
        <v>0</v>
      </c>
      <c r="AW13" s="636">
        <v>0</v>
      </c>
      <c r="AX13" s="636">
        <v>0</v>
      </c>
      <c r="AY13" s="636">
        <v>0</v>
      </c>
      <c r="AZ13" s="636">
        <v>0</v>
      </c>
      <c r="BA13" s="1484">
        <v>0</v>
      </c>
      <c r="BB13" s="636">
        <v>0</v>
      </c>
      <c r="BC13" s="636">
        <v>0</v>
      </c>
      <c r="BD13" s="636">
        <v>0</v>
      </c>
      <c r="BE13" s="636">
        <v>0</v>
      </c>
      <c r="BF13" s="1484">
        <v>0</v>
      </c>
    </row>
    <row r="14" spans="1:58" x14ac:dyDescent="0.25">
      <c r="A14" s="1807" t="s">
        <v>539</v>
      </c>
      <c r="B14" s="1808">
        <v>6.3500000000000001E-2</v>
      </c>
      <c r="C14" s="1798"/>
      <c r="D14" s="1809">
        <v>42123</v>
      </c>
      <c r="E14" s="1803"/>
      <c r="F14" s="636"/>
      <c r="G14" s="636"/>
      <c r="H14" s="1484"/>
      <c r="I14" s="1196"/>
      <c r="J14" s="1196"/>
      <c r="K14" s="1196">
        <v>25</v>
      </c>
      <c r="L14" s="1196">
        <v>25</v>
      </c>
      <c r="M14" s="1484">
        <f>L14</f>
        <v>25</v>
      </c>
      <c r="N14" s="1196">
        <v>25</v>
      </c>
      <c r="O14" s="1196">
        <f>N14</f>
        <v>25</v>
      </c>
      <c r="P14" s="1804">
        <v>0</v>
      </c>
      <c r="Q14" s="636">
        <v>0</v>
      </c>
      <c r="R14" s="1318">
        <f>Q14</f>
        <v>0</v>
      </c>
      <c r="S14" s="1196">
        <v>0</v>
      </c>
      <c r="T14" s="1196">
        <v>50</v>
      </c>
      <c r="U14" s="1196">
        <f>+T14</f>
        <v>50</v>
      </c>
      <c r="V14" s="1196">
        <f>+U14</f>
        <v>50</v>
      </c>
      <c r="W14" s="1484">
        <f>+V14</f>
        <v>50</v>
      </c>
      <c r="X14" s="1196">
        <v>50</v>
      </c>
      <c r="Y14" s="1196">
        <v>0</v>
      </c>
      <c r="Z14" s="1196">
        <f t="shared" ref="Z14:AL14" si="3">+Y14</f>
        <v>0</v>
      </c>
      <c r="AA14" s="1196">
        <f t="shared" si="3"/>
        <v>0</v>
      </c>
      <c r="AB14" s="1484">
        <f t="shared" si="3"/>
        <v>0</v>
      </c>
      <c r="AC14" s="1196">
        <f t="shared" si="3"/>
        <v>0</v>
      </c>
      <c r="AD14" s="1196">
        <f t="shared" si="3"/>
        <v>0</v>
      </c>
      <c r="AE14" s="1196">
        <f t="shared" si="3"/>
        <v>0</v>
      </c>
      <c r="AF14" s="1196">
        <f t="shared" si="3"/>
        <v>0</v>
      </c>
      <c r="AG14" s="1484">
        <f t="shared" si="3"/>
        <v>0</v>
      </c>
      <c r="AH14" s="1900">
        <v>0</v>
      </c>
      <c r="AI14" s="1900">
        <v>0</v>
      </c>
      <c r="AJ14" s="1900">
        <v>0</v>
      </c>
      <c r="AK14" s="1900">
        <v>0</v>
      </c>
      <c r="AL14" s="1484">
        <f t="shared" si="3"/>
        <v>0</v>
      </c>
      <c r="AM14" s="636">
        <f t="shared" ref="AM14:BF14" si="4">+AL14</f>
        <v>0</v>
      </c>
      <c r="AN14" s="636">
        <f t="shared" si="4"/>
        <v>0</v>
      </c>
      <c r="AO14" s="636">
        <f t="shared" si="4"/>
        <v>0</v>
      </c>
      <c r="AP14" s="636">
        <f t="shared" si="4"/>
        <v>0</v>
      </c>
      <c r="AQ14" s="1484">
        <f t="shared" si="4"/>
        <v>0</v>
      </c>
      <c r="AR14" s="636">
        <f t="shared" si="4"/>
        <v>0</v>
      </c>
      <c r="AS14" s="636">
        <f t="shared" si="4"/>
        <v>0</v>
      </c>
      <c r="AT14" s="636">
        <f t="shared" si="4"/>
        <v>0</v>
      </c>
      <c r="AU14" s="636">
        <f t="shared" si="4"/>
        <v>0</v>
      </c>
      <c r="AV14" s="1484">
        <f t="shared" si="4"/>
        <v>0</v>
      </c>
      <c r="AW14" s="636">
        <f t="shared" si="4"/>
        <v>0</v>
      </c>
      <c r="AX14" s="636">
        <f t="shared" si="4"/>
        <v>0</v>
      </c>
      <c r="AY14" s="636">
        <f t="shared" si="4"/>
        <v>0</v>
      </c>
      <c r="AZ14" s="636">
        <f t="shared" si="4"/>
        <v>0</v>
      </c>
      <c r="BA14" s="1484">
        <f t="shared" si="4"/>
        <v>0</v>
      </c>
      <c r="BB14" s="636">
        <f t="shared" si="4"/>
        <v>0</v>
      </c>
      <c r="BC14" s="636">
        <f t="shared" si="4"/>
        <v>0</v>
      </c>
      <c r="BD14" s="636">
        <f t="shared" si="4"/>
        <v>0</v>
      </c>
      <c r="BE14" s="636">
        <f t="shared" si="4"/>
        <v>0</v>
      </c>
      <c r="BF14" s="1484">
        <f t="shared" si="4"/>
        <v>0</v>
      </c>
    </row>
    <row r="15" spans="1:58" x14ac:dyDescent="0.25">
      <c r="A15" s="1807" t="s">
        <v>540</v>
      </c>
      <c r="B15" s="1808">
        <v>6.0299999999999999E-2</v>
      </c>
      <c r="C15" s="1809">
        <v>38937</v>
      </c>
      <c r="D15" s="1809">
        <v>40763</v>
      </c>
      <c r="E15" s="1807"/>
      <c r="F15" s="636">
        <v>0</v>
      </c>
      <c r="G15" s="636">
        <v>0</v>
      </c>
      <c r="H15" s="1484">
        <f>G15</f>
        <v>0</v>
      </c>
      <c r="I15" s="1196">
        <v>0</v>
      </c>
      <c r="J15" s="1196">
        <v>0</v>
      </c>
      <c r="K15" s="1196">
        <v>0</v>
      </c>
      <c r="L15" s="1196">
        <v>0</v>
      </c>
      <c r="M15" s="1484">
        <v>0</v>
      </c>
      <c r="N15" s="1196"/>
      <c r="O15" s="1196">
        <v>0</v>
      </c>
      <c r="P15" s="1804">
        <v>0</v>
      </c>
      <c r="Q15" s="636">
        <v>0</v>
      </c>
      <c r="R15" s="1484">
        <v>0</v>
      </c>
      <c r="S15" s="1196">
        <v>0</v>
      </c>
      <c r="T15" s="1196">
        <v>0</v>
      </c>
      <c r="U15" s="1196">
        <v>0</v>
      </c>
      <c r="V15" s="1196">
        <v>0</v>
      </c>
      <c r="W15" s="1484">
        <v>0</v>
      </c>
      <c r="X15" s="1196">
        <v>0</v>
      </c>
      <c r="Y15" s="1196">
        <v>0</v>
      </c>
      <c r="Z15" s="1196">
        <v>0</v>
      </c>
      <c r="AA15" s="1196">
        <v>0</v>
      </c>
      <c r="AB15" s="1484">
        <v>0</v>
      </c>
      <c r="AC15" s="1196">
        <v>0</v>
      </c>
      <c r="AD15" s="1196">
        <v>0</v>
      </c>
      <c r="AE15" s="1196">
        <v>0</v>
      </c>
      <c r="AF15" s="1196">
        <v>0</v>
      </c>
      <c r="AG15" s="1484">
        <v>0</v>
      </c>
      <c r="AH15" s="1900">
        <v>0</v>
      </c>
      <c r="AI15" s="1900">
        <v>0</v>
      </c>
      <c r="AJ15" s="1900">
        <v>0</v>
      </c>
      <c r="AK15" s="1900">
        <v>0</v>
      </c>
      <c r="AL15" s="1484">
        <v>0</v>
      </c>
      <c r="AM15" s="636">
        <v>0</v>
      </c>
      <c r="AN15" s="636">
        <v>0</v>
      </c>
      <c r="AO15" s="636">
        <v>0</v>
      </c>
      <c r="AP15" s="636">
        <v>0</v>
      </c>
      <c r="AQ15" s="1484">
        <v>0</v>
      </c>
      <c r="AR15" s="636">
        <v>0</v>
      </c>
      <c r="AS15" s="636">
        <v>0</v>
      </c>
      <c r="AT15" s="636">
        <v>0</v>
      </c>
      <c r="AU15" s="636">
        <v>0</v>
      </c>
      <c r="AV15" s="1484">
        <v>0</v>
      </c>
      <c r="AW15" s="636">
        <v>0</v>
      </c>
      <c r="AX15" s="636">
        <v>0</v>
      </c>
      <c r="AY15" s="636">
        <v>0</v>
      </c>
      <c r="AZ15" s="636">
        <v>0</v>
      </c>
      <c r="BA15" s="1484">
        <v>0</v>
      </c>
      <c r="BB15" s="636">
        <v>0</v>
      </c>
      <c r="BC15" s="636">
        <v>0</v>
      </c>
      <c r="BD15" s="636">
        <v>0</v>
      </c>
      <c r="BE15" s="636">
        <v>0</v>
      </c>
      <c r="BF15" s="1484">
        <v>0</v>
      </c>
    </row>
    <row r="16" spans="1:58" x14ac:dyDescent="0.25">
      <c r="A16" s="1807" t="s">
        <v>541</v>
      </c>
      <c r="B16" s="1810">
        <v>5.8700000000000002E-2</v>
      </c>
      <c r="C16" s="1809">
        <v>39381</v>
      </c>
      <c r="D16" s="1809">
        <v>41573</v>
      </c>
      <c r="E16" s="1807"/>
      <c r="F16" s="636"/>
      <c r="G16" s="636"/>
      <c r="H16" s="1484"/>
      <c r="I16" s="1196"/>
      <c r="J16" s="1196"/>
      <c r="K16" s="1196"/>
      <c r="L16" s="1196">
        <v>17.5</v>
      </c>
      <c r="M16" s="1484">
        <f t="shared" ref="M16:P17" si="5">L16</f>
        <v>17.5</v>
      </c>
      <c r="N16" s="1196">
        <v>17.5</v>
      </c>
      <c r="O16" s="1196">
        <f t="shared" si="5"/>
        <v>17.5</v>
      </c>
      <c r="P16" s="1804">
        <f t="shared" si="5"/>
        <v>17.5</v>
      </c>
      <c r="Q16" s="636">
        <v>0</v>
      </c>
      <c r="R16" s="1318">
        <f>Q16</f>
        <v>0</v>
      </c>
      <c r="S16" s="1196">
        <v>0</v>
      </c>
      <c r="T16" s="1196">
        <v>0</v>
      </c>
      <c r="U16" s="1196">
        <v>0</v>
      </c>
      <c r="V16" s="1196">
        <v>17.5</v>
      </c>
      <c r="W16" s="1318">
        <f>V16</f>
        <v>17.5</v>
      </c>
      <c r="X16" s="1196">
        <f>W16</f>
        <v>17.5</v>
      </c>
      <c r="Y16" s="1196">
        <v>0</v>
      </c>
      <c r="Z16" s="1196">
        <f t="shared" ref="Z16:AL17" si="6">Y16</f>
        <v>0</v>
      </c>
      <c r="AA16" s="1196">
        <f t="shared" si="6"/>
        <v>0</v>
      </c>
      <c r="AB16" s="1318">
        <f t="shared" si="6"/>
        <v>0</v>
      </c>
      <c r="AC16" s="1196">
        <f t="shared" si="6"/>
        <v>0</v>
      </c>
      <c r="AD16" s="1196">
        <f t="shared" si="6"/>
        <v>0</v>
      </c>
      <c r="AE16" s="1196">
        <f t="shared" si="6"/>
        <v>0</v>
      </c>
      <c r="AF16" s="1196">
        <f t="shared" si="6"/>
        <v>0</v>
      </c>
      <c r="AG16" s="1318">
        <f t="shared" si="6"/>
        <v>0</v>
      </c>
      <c r="AH16" s="1900">
        <v>0</v>
      </c>
      <c r="AI16" s="1900">
        <v>0</v>
      </c>
      <c r="AJ16" s="1900">
        <v>0</v>
      </c>
      <c r="AK16" s="1900">
        <v>0</v>
      </c>
      <c r="AL16" s="1318">
        <f t="shared" si="6"/>
        <v>0</v>
      </c>
      <c r="AM16" s="636">
        <f t="shared" ref="AM16:BF16" si="7">AL16</f>
        <v>0</v>
      </c>
      <c r="AN16" s="636">
        <f t="shared" si="7"/>
        <v>0</v>
      </c>
      <c r="AO16" s="636">
        <f t="shared" si="7"/>
        <v>0</v>
      </c>
      <c r="AP16" s="636">
        <f t="shared" si="7"/>
        <v>0</v>
      </c>
      <c r="AQ16" s="1318">
        <f t="shared" si="7"/>
        <v>0</v>
      </c>
      <c r="AR16" s="636">
        <f t="shared" si="7"/>
        <v>0</v>
      </c>
      <c r="AS16" s="636">
        <f t="shared" si="7"/>
        <v>0</v>
      </c>
      <c r="AT16" s="636">
        <f t="shared" si="7"/>
        <v>0</v>
      </c>
      <c r="AU16" s="636">
        <f t="shared" si="7"/>
        <v>0</v>
      </c>
      <c r="AV16" s="1318">
        <f t="shared" si="7"/>
        <v>0</v>
      </c>
      <c r="AW16" s="636">
        <f t="shared" si="7"/>
        <v>0</v>
      </c>
      <c r="AX16" s="636">
        <f t="shared" si="7"/>
        <v>0</v>
      </c>
      <c r="AY16" s="636">
        <f t="shared" si="7"/>
        <v>0</v>
      </c>
      <c r="AZ16" s="636">
        <f t="shared" si="7"/>
        <v>0</v>
      </c>
      <c r="BA16" s="1318">
        <f t="shared" si="7"/>
        <v>0</v>
      </c>
      <c r="BB16" s="636">
        <f t="shared" si="7"/>
        <v>0</v>
      </c>
      <c r="BC16" s="636">
        <f t="shared" si="7"/>
        <v>0</v>
      </c>
      <c r="BD16" s="636">
        <f t="shared" si="7"/>
        <v>0</v>
      </c>
      <c r="BE16" s="636">
        <f t="shared" si="7"/>
        <v>0</v>
      </c>
      <c r="BF16" s="1318">
        <f t="shared" si="7"/>
        <v>0</v>
      </c>
    </row>
    <row r="17" spans="1:58" x14ac:dyDescent="0.25">
      <c r="A17" s="1803" t="s">
        <v>542</v>
      </c>
      <c r="B17" s="1798"/>
      <c r="C17" s="1798" t="s">
        <v>530</v>
      </c>
      <c r="D17" s="1798" t="s">
        <v>530</v>
      </c>
      <c r="E17" s="1803"/>
      <c r="F17" s="1196">
        <v>5.67</v>
      </c>
      <c r="G17" s="1196">
        <v>5.5540000000000003</v>
      </c>
      <c r="H17" s="1484">
        <f>G17</f>
        <v>5.5540000000000003</v>
      </c>
      <c r="I17" s="1196">
        <v>5.4779999999999998</v>
      </c>
      <c r="J17" s="1196">
        <v>6.7830000000000004</v>
      </c>
      <c r="K17" s="1196">
        <v>5.7939999999999996</v>
      </c>
      <c r="L17" s="1196">
        <v>5.2629999999999999</v>
      </c>
      <c r="M17" s="1484">
        <f t="shared" si="5"/>
        <v>5.2629999999999999</v>
      </c>
      <c r="N17" s="1196">
        <v>3.9790000000000001</v>
      </c>
      <c r="O17" s="1196">
        <v>2.87</v>
      </c>
      <c r="P17" s="1804">
        <v>4.4589999999999996</v>
      </c>
      <c r="Q17" s="636">
        <v>4.4480000000000004</v>
      </c>
      <c r="R17" s="1484">
        <f>Q17</f>
        <v>4.4480000000000004</v>
      </c>
      <c r="S17" s="1196">
        <v>4.3170000000000002</v>
      </c>
      <c r="T17" s="1196">
        <v>4.7809999999999997</v>
      </c>
      <c r="U17" s="1196">
        <v>5.4550000000000001</v>
      </c>
      <c r="V17" s="1196">
        <v>6.0579999999999998</v>
      </c>
      <c r="W17" s="1484">
        <f>V17</f>
        <v>6.0579999999999998</v>
      </c>
      <c r="X17" s="1196">
        <v>5.8780000000000001</v>
      </c>
      <c r="Y17" s="1196">
        <v>5.7969999999999997</v>
      </c>
      <c r="Z17" s="1196">
        <v>5.4729999999999999</v>
      </c>
      <c r="AA17" s="1196">
        <v>4.8109999999999999</v>
      </c>
      <c r="AB17" s="1484">
        <f t="shared" si="6"/>
        <v>4.8109999999999999</v>
      </c>
      <c r="AC17" s="1196">
        <v>4.1429999999999998</v>
      </c>
      <c r="AD17" s="1196">
        <v>2.2559999999999998</v>
      </c>
      <c r="AE17" s="1196">
        <v>6.899</v>
      </c>
      <c r="AF17" s="1196">
        <v>6.8</v>
      </c>
      <c r="AG17" s="1484">
        <f t="shared" si="6"/>
        <v>6.8</v>
      </c>
      <c r="AH17" s="1900">
        <v>6.6</v>
      </c>
      <c r="AI17" s="1900">
        <v>6.8</v>
      </c>
      <c r="AJ17" s="1951">
        <v>7.9</v>
      </c>
      <c r="AK17" s="1951">
        <v>9.4</v>
      </c>
      <c r="AL17" s="1484">
        <f>AK17</f>
        <v>9.4</v>
      </c>
      <c r="AM17" s="636">
        <f t="shared" ref="AM17:BF17" si="8">AL17</f>
        <v>9.4</v>
      </c>
      <c r="AN17" s="636">
        <f t="shared" si="8"/>
        <v>9.4</v>
      </c>
      <c r="AO17" s="636">
        <f t="shared" si="8"/>
        <v>9.4</v>
      </c>
      <c r="AP17" s="636">
        <f t="shared" si="8"/>
        <v>9.4</v>
      </c>
      <c r="AQ17" s="1484">
        <f t="shared" si="8"/>
        <v>9.4</v>
      </c>
      <c r="AR17" s="636">
        <f t="shared" si="8"/>
        <v>9.4</v>
      </c>
      <c r="AS17" s="636">
        <f t="shared" si="8"/>
        <v>9.4</v>
      </c>
      <c r="AT17" s="636">
        <f t="shared" si="8"/>
        <v>9.4</v>
      </c>
      <c r="AU17" s="636">
        <f t="shared" si="8"/>
        <v>9.4</v>
      </c>
      <c r="AV17" s="1484">
        <f t="shared" si="8"/>
        <v>9.4</v>
      </c>
      <c r="AW17" s="636">
        <f t="shared" si="8"/>
        <v>9.4</v>
      </c>
      <c r="AX17" s="636">
        <f t="shared" si="8"/>
        <v>9.4</v>
      </c>
      <c r="AY17" s="636">
        <f t="shared" si="8"/>
        <v>9.4</v>
      </c>
      <c r="AZ17" s="636">
        <f t="shared" si="8"/>
        <v>9.4</v>
      </c>
      <c r="BA17" s="1484">
        <f t="shared" si="8"/>
        <v>9.4</v>
      </c>
      <c r="BB17" s="636">
        <f t="shared" si="8"/>
        <v>9.4</v>
      </c>
      <c r="BC17" s="636">
        <f t="shared" si="8"/>
        <v>9.4</v>
      </c>
      <c r="BD17" s="636">
        <f t="shared" si="8"/>
        <v>9.4</v>
      </c>
      <c r="BE17" s="636">
        <f t="shared" si="8"/>
        <v>9.4</v>
      </c>
      <c r="BF17" s="1484">
        <f t="shared" si="8"/>
        <v>9.4</v>
      </c>
    </row>
    <row r="18" spans="1:58" x14ac:dyDescent="0.25">
      <c r="A18" s="628"/>
      <c r="B18" s="1798"/>
      <c r="C18" s="1798"/>
      <c r="D18" s="1798"/>
      <c r="E18" s="628"/>
      <c r="F18" s="636"/>
      <c r="G18" s="636"/>
      <c r="H18" s="1484"/>
      <c r="I18" s="636"/>
      <c r="J18" s="636"/>
      <c r="K18" s="636"/>
      <c r="L18" s="636"/>
      <c r="M18" s="1484"/>
      <c r="N18" s="636"/>
      <c r="O18" s="636"/>
      <c r="P18" s="1806"/>
      <c r="Q18" s="636"/>
      <c r="R18" s="1484"/>
      <c r="S18" s="636"/>
      <c r="T18" s="636"/>
      <c r="U18" s="636"/>
      <c r="V18" s="636"/>
      <c r="W18" s="1484"/>
      <c r="X18" s="636"/>
      <c r="Y18" s="636"/>
      <c r="Z18" s="636"/>
      <c r="AA18" s="636"/>
      <c r="AB18" s="1484"/>
      <c r="AC18" s="636"/>
      <c r="AD18" s="636"/>
      <c r="AE18" s="636"/>
      <c r="AF18" s="636"/>
      <c r="AG18" s="1484"/>
      <c r="AH18" s="636"/>
      <c r="AI18" s="636"/>
      <c r="AJ18" s="636"/>
      <c r="AK18" s="636"/>
      <c r="AL18" s="1484"/>
      <c r="AM18" s="636"/>
      <c r="AN18" s="636"/>
      <c r="AO18" s="636"/>
      <c r="AP18" s="636"/>
      <c r="AQ18" s="1484"/>
      <c r="AR18" s="636"/>
      <c r="AS18" s="636"/>
      <c r="AT18" s="636"/>
      <c r="AU18" s="636"/>
      <c r="AV18" s="1484"/>
      <c r="AW18" s="636"/>
      <c r="AX18" s="636"/>
      <c r="AY18" s="636"/>
      <c r="AZ18" s="636"/>
      <c r="BA18" s="1484"/>
      <c r="BB18" s="636"/>
      <c r="BC18" s="636"/>
      <c r="BD18" s="636"/>
      <c r="BE18" s="636"/>
      <c r="BF18" s="1484"/>
    </row>
    <row r="19" spans="1:58" x14ac:dyDescent="0.25">
      <c r="A19" s="1814" t="s">
        <v>543</v>
      </c>
      <c r="B19" s="1799"/>
      <c r="C19" s="1799"/>
      <c r="D19" s="1799"/>
      <c r="E19" s="1814"/>
      <c r="F19" s="1223">
        <f>SUM(F5:F17)</f>
        <v>165.67</v>
      </c>
      <c r="G19" s="1223">
        <f>SUM(G5:G17)</f>
        <v>5.5540000000000003</v>
      </c>
      <c r="H19" s="1815">
        <f>SUM(H5:H17)</f>
        <v>5.5540000000000003</v>
      </c>
      <c r="I19" s="1240">
        <f>SUM(I5:I17)</f>
        <v>130.47800000000001</v>
      </c>
      <c r="J19" s="1240">
        <f>SUM(J5:J17)</f>
        <v>201.78299999999999</v>
      </c>
      <c r="K19" s="1240">
        <f t="shared" ref="K19:Q19" si="9">SUM(K5:K17)</f>
        <v>265.79399999999998</v>
      </c>
      <c r="L19" s="1240">
        <f>SUM(L5:L17)</f>
        <v>195.26300000000001</v>
      </c>
      <c r="M19" s="1815">
        <f>SUM(M5:M17)</f>
        <v>195.26300000000001</v>
      </c>
      <c r="N19" s="1240">
        <f t="shared" si="9"/>
        <v>183.97900000000001</v>
      </c>
      <c r="O19" s="1240">
        <f t="shared" si="9"/>
        <v>137.87</v>
      </c>
      <c r="P19" s="1816">
        <f t="shared" si="9"/>
        <v>39.459000000000003</v>
      </c>
      <c r="Q19" s="1240">
        <f t="shared" si="9"/>
        <v>4.4480000000000004</v>
      </c>
      <c r="R19" s="1815">
        <f>SUM(R5:R17)</f>
        <v>4.4480000000000004</v>
      </c>
      <c r="S19" s="1240">
        <f t="shared" ref="S19:AF19" si="10">SUM(S5:S17)</f>
        <v>4.3170000000000002</v>
      </c>
      <c r="T19" s="1240">
        <f t="shared" si="10"/>
        <v>139.78100000000001</v>
      </c>
      <c r="U19" s="1240">
        <f t="shared" si="10"/>
        <v>140.45500000000001</v>
      </c>
      <c r="V19" s="1240">
        <f t="shared" si="10"/>
        <v>336.05799999999999</v>
      </c>
      <c r="W19" s="1815">
        <f t="shared" si="10"/>
        <v>336.05799999999999</v>
      </c>
      <c r="X19" s="1240">
        <f>SUM(X5:X17)</f>
        <v>205.87799999999999</v>
      </c>
      <c r="Y19" s="1240">
        <f>SUM(Y5:Y17)</f>
        <v>1025.797</v>
      </c>
      <c r="Z19" s="1240">
        <f>SUM(Z5:Z17)</f>
        <v>905.47299999999996</v>
      </c>
      <c r="AA19" s="1240">
        <f>SUM(AA5:AA17)</f>
        <v>874.81100000000004</v>
      </c>
      <c r="AB19" s="1815">
        <f t="shared" si="10"/>
        <v>874.81100000000004</v>
      </c>
      <c r="AC19" s="1240">
        <f t="shared" si="10"/>
        <v>709.14300000000003</v>
      </c>
      <c r="AD19" s="1240">
        <f>SUM(AD5:AD17)</f>
        <v>2.2559999999999998</v>
      </c>
      <c r="AE19" s="1240">
        <f>SUM(AE5:AE17)</f>
        <v>6.899</v>
      </c>
      <c r="AF19" s="1240">
        <f t="shared" si="10"/>
        <v>106.8</v>
      </c>
      <c r="AG19" s="1815">
        <f t="shared" ref="AG19:AM19" si="11">SUM(AG5:AG17)</f>
        <v>106.8</v>
      </c>
      <c r="AH19" s="1240">
        <f t="shared" si="11"/>
        <v>6.6</v>
      </c>
      <c r="AI19" s="1240">
        <f t="shared" si="11"/>
        <v>126.8</v>
      </c>
      <c r="AJ19" s="1240">
        <f t="shared" si="11"/>
        <v>602.9</v>
      </c>
      <c r="AK19" s="1240">
        <f t="shared" si="11"/>
        <v>724.4</v>
      </c>
      <c r="AL19" s="1815">
        <f t="shared" si="11"/>
        <v>724.4</v>
      </c>
      <c r="AM19" s="1240">
        <f t="shared" si="11"/>
        <v>724.4</v>
      </c>
      <c r="AN19" s="1240">
        <f>SUM(AN5:AN17)</f>
        <v>724.4</v>
      </c>
      <c r="AO19" s="1240">
        <f>SUM(AO5:AO17)</f>
        <v>724.4</v>
      </c>
      <c r="AP19" s="1240">
        <f>SUM(AP5:AP17)</f>
        <v>724.4</v>
      </c>
      <c r="AQ19" s="1815">
        <f>SUM(AQ5:AQ17)</f>
        <v>724.4</v>
      </c>
      <c r="AR19" s="1240">
        <f>SUM(AR5:AR17)</f>
        <v>724.4</v>
      </c>
      <c r="AS19" s="1240">
        <f t="shared" ref="AS19:BA19" si="12">SUM(AS5:AS17)</f>
        <v>724.4</v>
      </c>
      <c r="AT19" s="1240">
        <f t="shared" si="12"/>
        <v>724.4</v>
      </c>
      <c r="AU19" s="1240">
        <f t="shared" si="12"/>
        <v>724.4</v>
      </c>
      <c r="AV19" s="1815">
        <f t="shared" si="12"/>
        <v>724.4</v>
      </c>
      <c r="AW19" s="1240">
        <f t="shared" si="12"/>
        <v>724.4</v>
      </c>
      <c r="AX19" s="1240">
        <f t="shared" si="12"/>
        <v>724.4</v>
      </c>
      <c r="AY19" s="1240">
        <f t="shared" si="12"/>
        <v>724.4</v>
      </c>
      <c r="AZ19" s="1240">
        <f t="shared" si="12"/>
        <v>724.4</v>
      </c>
      <c r="BA19" s="1815">
        <f t="shared" si="12"/>
        <v>724.4</v>
      </c>
      <c r="BB19" s="1240">
        <f>SUM(BB5:BB17)</f>
        <v>724.4</v>
      </c>
      <c r="BC19" s="1240">
        <f>SUM(BC5:BC17)</f>
        <v>724.4</v>
      </c>
      <c r="BD19" s="1240">
        <f>SUM(BD5:BD17)</f>
        <v>724.4</v>
      </c>
      <c r="BE19" s="1240">
        <f>SUM(BE5:BE17)</f>
        <v>724.4</v>
      </c>
      <c r="BF19" s="1815">
        <f>SUM(BF5:BF17)</f>
        <v>724.4</v>
      </c>
    </row>
    <row r="20" spans="1:58" s="1824" customFormat="1" ht="12.75" x14ac:dyDescent="0.2">
      <c r="A20" s="1817" t="s">
        <v>544</v>
      </c>
      <c r="B20" s="1818"/>
      <c r="C20" s="1818"/>
      <c r="D20" s="1818"/>
      <c r="E20" s="1819"/>
      <c r="F20" s="1820">
        <f>VA!AA198</f>
        <v>165.67</v>
      </c>
      <c r="G20" s="1820">
        <f>VA!AB198</f>
        <v>5.5540000000000003</v>
      </c>
      <c r="H20" s="1821">
        <f>VA!AC198</f>
        <v>5.5540000000000003</v>
      </c>
      <c r="I20" s="1822">
        <f>VA!AD198</f>
        <v>130.47800000000001</v>
      </c>
      <c r="J20" s="1822">
        <f>VA!AE198</f>
        <v>201.78299999999999</v>
      </c>
      <c r="K20" s="1822">
        <f>VA!AF198</f>
        <v>265.79399999999998</v>
      </c>
      <c r="L20" s="1822">
        <f>VA!AG198</f>
        <v>195.26300000000001</v>
      </c>
      <c r="M20" s="1821">
        <f>VA!AH198</f>
        <v>195.26300000000001</v>
      </c>
      <c r="N20" s="1822">
        <f>VA!AI198</f>
        <v>183.97900000000001</v>
      </c>
      <c r="O20" s="1822">
        <f>VA!AJ198</f>
        <v>137.87</v>
      </c>
      <c r="P20" s="1823">
        <f>VA!AK198</f>
        <v>39.459000000000003</v>
      </c>
      <c r="Q20" s="1822">
        <f>VA!AL198</f>
        <v>4.4480000000000004</v>
      </c>
      <c r="R20" s="1821">
        <f>VA!AM198</f>
        <v>4.4480000000000004</v>
      </c>
      <c r="S20" s="1822">
        <f>VA!AN198</f>
        <v>4.3170000000000002</v>
      </c>
      <c r="T20" s="1822">
        <f>VA!AO198</f>
        <v>139.78100000000001</v>
      </c>
      <c r="U20" s="1822">
        <f>VA!AP198</f>
        <v>140.45500000000001</v>
      </c>
      <c r="V20" s="1822">
        <f>VA!AQ198</f>
        <v>336.05799999999999</v>
      </c>
      <c r="W20" s="1821">
        <f>VA!AR198</f>
        <v>336.05799999999999</v>
      </c>
      <c r="X20" s="1822">
        <f>VA!AS198</f>
        <v>205.87799999999999</v>
      </c>
      <c r="Y20" s="1822">
        <f>VA!AT198</f>
        <v>1025.797</v>
      </c>
      <c r="Z20" s="1822">
        <f>VA!AU198</f>
        <v>905.47299999999996</v>
      </c>
      <c r="AA20" s="1822">
        <f>VA!AV198</f>
        <v>874.81100000000004</v>
      </c>
      <c r="AB20" s="1821">
        <f>VA!AW198</f>
        <v>874.81100000000004</v>
      </c>
      <c r="AC20" s="1822">
        <f>VA!AX198</f>
        <v>709.14300000000003</v>
      </c>
      <c r="AD20" s="1822">
        <f>VA!AY198</f>
        <v>2.2559999999999998</v>
      </c>
      <c r="AE20" s="1822">
        <f>VA!AZ198</f>
        <v>6.899</v>
      </c>
      <c r="AF20" s="1822">
        <f>VA!BA198</f>
        <v>106.8</v>
      </c>
      <c r="AG20" s="1821">
        <f>VA!BB198</f>
        <v>106.8</v>
      </c>
      <c r="AH20" s="1822">
        <f>VA!BC198</f>
        <v>6.6</v>
      </c>
      <c r="AI20" s="1822">
        <f>VA!BD198</f>
        <v>126.8</v>
      </c>
      <c r="AJ20" s="1822">
        <f>VA!BE198</f>
        <v>602.9</v>
      </c>
      <c r="AK20" s="1822">
        <f>VA!BF198</f>
        <v>724.4</v>
      </c>
      <c r="AL20" s="1821">
        <f>VA!BG198</f>
        <v>724.4</v>
      </c>
      <c r="AM20" s="1822">
        <f>VA!BH198</f>
        <v>724.4</v>
      </c>
      <c r="AN20" s="1822">
        <f>VA!BI198</f>
        <v>724.4</v>
      </c>
      <c r="AO20" s="1822">
        <f>VA!BJ198</f>
        <v>724.4</v>
      </c>
      <c r="AP20" s="1822">
        <f>VA!BK198</f>
        <v>724.4</v>
      </c>
      <c r="AQ20" s="1821">
        <f>VA!BL198</f>
        <v>724.4</v>
      </c>
      <c r="AR20" s="1822">
        <f>VA!BM198</f>
        <v>724.4</v>
      </c>
      <c r="AS20" s="1822">
        <f>VA!BN198</f>
        <v>724.4</v>
      </c>
      <c r="AT20" s="1822">
        <f>VA!BO198</f>
        <v>724.4</v>
      </c>
      <c r="AU20" s="1822">
        <f>VA!BP198</f>
        <v>724.4</v>
      </c>
      <c r="AV20" s="1821">
        <f>VA!BQ198</f>
        <v>724.4</v>
      </c>
      <c r="AW20" s="1822">
        <f>VA!BR198</f>
        <v>724.4</v>
      </c>
      <c r="AX20" s="1822">
        <f>VA!BS198</f>
        <v>724.4</v>
      </c>
      <c r="AY20" s="1822">
        <f>VA!BT198</f>
        <v>724.4</v>
      </c>
      <c r="AZ20" s="1822">
        <f>VA!BU198</f>
        <v>724.4</v>
      </c>
      <c r="BA20" s="1821">
        <f>VA!BV198</f>
        <v>724.4</v>
      </c>
      <c r="BB20" s="1822">
        <f>VA!BW198</f>
        <v>724.4</v>
      </c>
      <c r="BC20" s="1822">
        <f>VA!BX198</f>
        <v>724.4</v>
      </c>
      <c r="BD20" s="1822">
        <f>VA!BY198</f>
        <v>724.4</v>
      </c>
      <c r="BE20" s="1822">
        <f>VA!BZ198</f>
        <v>724.4</v>
      </c>
      <c r="BF20" s="1821">
        <f>VA!CA198</f>
        <v>724.4</v>
      </c>
    </row>
    <row r="21" spans="1:58" x14ac:dyDescent="0.25">
      <c r="A21" s="628"/>
      <c r="B21" s="1798"/>
      <c r="C21" s="1798"/>
      <c r="D21" s="1798"/>
      <c r="E21" s="628"/>
      <c r="F21" s="636"/>
      <c r="G21" s="636"/>
      <c r="H21" s="1484"/>
      <c r="I21" s="636"/>
      <c r="J21" s="636"/>
      <c r="K21" s="636"/>
      <c r="L21" s="636"/>
      <c r="M21" s="1484"/>
      <c r="N21" s="636"/>
      <c r="O21" s="636"/>
      <c r="P21" s="636"/>
      <c r="Q21" s="636"/>
      <c r="R21" s="1484"/>
      <c r="S21" s="636"/>
      <c r="T21" s="636"/>
      <c r="U21" s="636"/>
      <c r="V21" s="636"/>
      <c r="W21" s="1484"/>
      <c r="X21" s="636"/>
      <c r="Y21" s="636"/>
      <c r="Z21" s="636"/>
      <c r="AA21" s="636"/>
      <c r="AB21" s="1484"/>
      <c r="AC21" s="636"/>
      <c r="AD21" s="636"/>
      <c r="AE21" s="636"/>
      <c r="AF21" s="636"/>
      <c r="AG21" s="1484"/>
      <c r="AH21" s="636"/>
      <c r="AI21" s="636"/>
      <c r="AJ21" s="636"/>
      <c r="AK21" s="636"/>
      <c r="AL21" s="1484"/>
      <c r="AM21" s="636"/>
      <c r="AN21" s="636"/>
      <c r="AO21" s="636"/>
      <c r="AP21" s="636"/>
      <c r="AQ21" s="1484"/>
      <c r="AR21" s="636"/>
      <c r="AS21" s="636"/>
      <c r="AT21" s="636"/>
      <c r="AU21" s="636"/>
      <c r="AV21" s="1484"/>
      <c r="AW21" s="636"/>
      <c r="AX21" s="636"/>
      <c r="AY21" s="636"/>
      <c r="AZ21" s="636"/>
      <c r="BA21" s="1484"/>
      <c r="BB21" s="636"/>
      <c r="BC21" s="636"/>
      <c r="BD21" s="636"/>
      <c r="BE21" s="636"/>
      <c r="BF21" s="1484"/>
    </row>
    <row r="22" spans="1:58" x14ac:dyDescent="0.25">
      <c r="A22" s="1515" t="s">
        <v>545</v>
      </c>
      <c r="B22" s="1825"/>
      <c r="C22" s="1798"/>
      <c r="D22" s="1798"/>
      <c r="E22" s="628"/>
      <c r="F22" s="636"/>
      <c r="G22" s="636"/>
      <c r="H22" s="1484"/>
      <c r="I22" s="636"/>
      <c r="J22" s="636"/>
      <c r="K22" s="636"/>
      <c r="L22" s="636"/>
      <c r="M22" s="1484"/>
      <c r="N22" s="636"/>
      <c r="O22" s="636"/>
      <c r="P22" s="636"/>
      <c r="Q22" s="636"/>
      <c r="R22" s="1484"/>
      <c r="S22" s="636"/>
      <c r="T22" s="636"/>
      <c r="U22" s="636"/>
      <c r="V22" s="636"/>
      <c r="W22" s="1484"/>
      <c r="X22" s="636"/>
      <c r="Y22" s="636"/>
      <c r="Z22" s="636"/>
      <c r="AA22" s="636"/>
      <c r="AB22" s="1484"/>
      <c r="AC22" s="636"/>
      <c r="AD22" s="636"/>
      <c r="AE22" s="636"/>
      <c r="AF22" s="636"/>
      <c r="AG22" s="1484"/>
      <c r="AH22" s="636"/>
      <c r="AI22" s="636"/>
      <c r="AJ22" s="636"/>
      <c r="AK22" s="636"/>
      <c r="AL22" s="1484"/>
      <c r="AM22" s="636"/>
      <c r="AN22" s="636"/>
      <c r="AO22" s="636"/>
      <c r="AP22" s="636"/>
      <c r="AQ22" s="1484"/>
      <c r="AR22" s="636"/>
      <c r="AS22" s="636"/>
      <c r="AT22" s="636"/>
      <c r="AU22" s="636"/>
      <c r="AV22" s="1484"/>
      <c r="AW22" s="636"/>
      <c r="AX22" s="636"/>
      <c r="AY22" s="636"/>
      <c r="AZ22" s="636"/>
      <c r="BA22" s="1484"/>
      <c r="BB22" s="636"/>
      <c r="BC22" s="636"/>
      <c r="BD22" s="636"/>
      <c r="BE22" s="636"/>
      <c r="BF22" s="1484"/>
    </row>
    <row r="23" spans="1:58" x14ac:dyDescent="0.25">
      <c r="A23" s="1803" t="s">
        <v>546</v>
      </c>
      <c r="B23" s="1825"/>
      <c r="C23" s="1798"/>
      <c r="D23" s="1798"/>
      <c r="E23" s="628"/>
      <c r="F23" s="636"/>
      <c r="G23" s="636"/>
      <c r="H23" s="1484"/>
      <c r="I23" s="636"/>
      <c r="J23" s="636"/>
      <c r="K23" s="636"/>
      <c r="L23" s="636"/>
      <c r="M23" s="1484"/>
      <c r="N23" s="636"/>
      <c r="O23" s="636"/>
      <c r="P23" s="636"/>
      <c r="Q23" s="636"/>
      <c r="R23" s="1484"/>
      <c r="S23" s="636"/>
      <c r="T23" s="636"/>
      <c r="U23" s="636"/>
      <c r="V23" s="636"/>
      <c r="W23" s="1484"/>
      <c r="X23" s="636"/>
      <c r="Y23" s="636"/>
      <c r="Z23" s="636"/>
      <c r="AA23" s="636"/>
      <c r="AB23" s="1484"/>
      <c r="AC23" s="636"/>
      <c r="AD23" s="636"/>
      <c r="AE23" s="636"/>
      <c r="AF23" s="636"/>
      <c r="AG23" s="1484"/>
      <c r="AH23" s="636"/>
      <c r="AI23" s="636"/>
      <c r="AJ23" s="636"/>
      <c r="AK23" s="636"/>
      <c r="AL23" s="1484"/>
      <c r="AM23" s="636"/>
      <c r="AN23" s="636"/>
      <c r="AO23" s="636"/>
      <c r="AP23" s="636"/>
      <c r="AQ23" s="1484"/>
      <c r="AR23" s="636"/>
      <c r="AS23" s="636"/>
      <c r="AT23" s="636"/>
      <c r="AU23" s="636"/>
      <c r="AV23" s="1484"/>
      <c r="AW23" s="636"/>
      <c r="AX23" s="636"/>
      <c r="AY23" s="636"/>
      <c r="AZ23" s="636"/>
      <c r="BA23" s="1484"/>
      <c r="BB23" s="636"/>
      <c r="BC23" s="636"/>
      <c r="BD23" s="636"/>
      <c r="BE23" s="636"/>
      <c r="BF23" s="1484"/>
    </row>
    <row r="24" spans="1:58" x14ac:dyDescent="0.25">
      <c r="A24" s="1807" t="s">
        <v>547</v>
      </c>
      <c r="B24" s="1810">
        <v>5.8000000000000003E-2</v>
      </c>
      <c r="C24" s="1809">
        <v>40639</v>
      </c>
      <c r="D24" s="1809">
        <v>44317</v>
      </c>
      <c r="E24" s="628"/>
      <c r="F24" s="1196">
        <v>449.00700000000001</v>
      </c>
      <c r="G24" s="1196">
        <v>449.03300000000002</v>
      </c>
      <c r="H24" s="1484">
        <f>G24</f>
        <v>449.03300000000002</v>
      </c>
      <c r="I24" s="1196">
        <v>449.05900000000003</v>
      </c>
      <c r="J24" s="1196">
        <v>449.08499999999998</v>
      </c>
      <c r="K24" s="1196">
        <v>449.11200000000002</v>
      </c>
      <c r="L24" s="1196">
        <v>449.13799999999998</v>
      </c>
      <c r="M24" s="1484">
        <f>L24</f>
        <v>449.13799999999998</v>
      </c>
      <c r="N24" s="1196">
        <v>449.16399999999999</v>
      </c>
      <c r="O24" s="1196">
        <v>449.19</v>
      </c>
      <c r="P24" s="1826">
        <v>449.21600000000001</v>
      </c>
      <c r="Q24" s="636">
        <v>449.24299999999999</v>
      </c>
      <c r="R24" s="1484">
        <f>Q24</f>
        <v>449.24299999999999</v>
      </c>
      <c r="S24" s="1196">
        <v>449.26799999999997</v>
      </c>
      <c r="T24" s="1196">
        <v>449.29399999999998</v>
      </c>
      <c r="U24" s="1196">
        <v>449.32</v>
      </c>
      <c r="V24" s="1196">
        <v>449.346</v>
      </c>
      <c r="W24" s="1484">
        <f>R24</f>
        <v>449.24299999999999</v>
      </c>
      <c r="X24" s="1196">
        <v>449.37200000000001</v>
      </c>
      <c r="Y24" s="1196">
        <v>449.39800000000002</v>
      </c>
      <c r="Z24" s="1196">
        <v>449.42500000000001</v>
      </c>
      <c r="AA24" s="1196">
        <v>449.452</v>
      </c>
      <c r="AB24" s="1484">
        <f>AA24</f>
        <v>449.452</v>
      </c>
      <c r="AC24" s="1196">
        <v>447.245</v>
      </c>
      <c r="AD24" s="1196">
        <v>447.38299999999998</v>
      </c>
      <c r="AE24" s="1196">
        <v>447.52</v>
      </c>
      <c r="AF24" s="1196">
        <v>447.6</v>
      </c>
      <c r="AG24" s="1484">
        <f t="shared" ref="AG24:AL26" si="13">AF24</f>
        <v>447.6</v>
      </c>
      <c r="AH24" s="1900">
        <v>447.8</v>
      </c>
      <c r="AI24" s="1900">
        <v>447.9</v>
      </c>
      <c r="AJ24" s="1951">
        <v>448.1</v>
      </c>
      <c r="AK24" s="1951">
        <v>448.2</v>
      </c>
      <c r="AL24" s="1484">
        <f t="shared" si="13"/>
        <v>448.2</v>
      </c>
      <c r="AM24" s="636">
        <f t="shared" ref="AM24:AN26" si="14">AL24</f>
        <v>448.2</v>
      </c>
      <c r="AN24" s="636">
        <f t="shared" si="14"/>
        <v>448.2</v>
      </c>
      <c r="AO24" s="636">
        <f>AN24</f>
        <v>448.2</v>
      </c>
      <c r="AP24" s="636">
        <f t="shared" ref="AP24:AQ26" si="15">AO24</f>
        <v>448.2</v>
      </c>
      <c r="AQ24" s="1484">
        <f t="shared" si="15"/>
        <v>448.2</v>
      </c>
      <c r="AR24" s="636">
        <f t="shared" ref="AR24:AT26" si="16">AQ24</f>
        <v>448.2</v>
      </c>
      <c r="AS24" s="636">
        <f t="shared" si="16"/>
        <v>448.2</v>
      </c>
      <c r="AT24" s="636">
        <f t="shared" si="16"/>
        <v>448.2</v>
      </c>
      <c r="AU24" s="636">
        <f t="shared" ref="AU24:AV26" si="17">AT24</f>
        <v>448.2</v>
      </c>
      <c r="AV24" s="1484">
        <f t="shared" si="17"/>
        <v>448.2</v>
      </c>
      <c r="AW24" s="636">
        <f t="shared" ref="AW24:AY26" si="18">AV24</f>
        <v>448.2</v>
      </c>
      <c r="AX24" s="636">
        <f t="shared" si="18"/>
        <v>448.2</v>
      </c>
      <c r="AY24" s="636">
        <f t="shared" si="18"/>
        <v>448.2</v>
      </c>
      <c r="AZ24" s="636">
        <f t="shared" ref="AZ24:BA26" si="19">AY24</f>
        <v>448.2</v>
      </c>
      <c r="BA24" s="1484">
        <f t="shared" si="19"/>
        <v>448.2</v>
      </c>
      <c r="BB24" s="636">
        <f t="shared" ref="BB24:BF26" si="20">BA24</f>
        <v>448.2</v>
      </c>
      <c r="BC24" s="636">
        <f t="shared" si="20"/>
        <v>448.2</v>
      </c>
      <c r="BD24" s="636">
        <f t="shared" si="20"/>
        <v>448.2</v>
      </c>
      <c r="BE24" s="636">
        <f t="shared" si="20"/>
        <v>448.2</v>
      </c>
      <c r="BF24" s="1484">
        <f t="shared" si="20"/>
        <v>448.2</v>
      </c>
    </row>
    <row r="25" spans="1:58" x14ac:dyDescent="0.25">
      <c r="A25" s="1803" t="s">
        <v>548</v>
      </c>
      <c r="B25" s="1827">
        <v>4.8750000000000002E-2</v>
      </c>
      <c r="C25" s="1809">
        <v>40885</v>
      </c>
      <c r="D25" s="1809">
        <v>43480</v>
      </c>
      <c r="E25" s="628"/>
      <c r="F25" s="1196">
        <v>0</v>
      </c>
      <c r="G25" s="1196">
        <v>247.624</v>
      </c>
      <c r="H25" s="1484">
        <f>G25</f>
        <v>247.624</v>
      </c>
      <c r="I25" s="1196">
        <v>247.709</v>
      </c>
      <c r="J25" s="1196">
        <v>247.79300000000001</v>
      </c>
      <c r="K25" s="1196">
        <v>247.87299999999999</v>
      </c>
      <c r="L25" s="1196">
        <v>247.96299999999999</v>
      </c>
      <c r="M25" s="1484">
        <f>L25</f>
        <v>247.96299999999999</v>
      </c>
      <c r="N25" s="1196">
        <v>248.048</v>
      </c>
      <c r="O25" s="1196">
        <v>248.13300000000001</v>
      </c>
      <c r="P25" s="1804">
        <v>248.21700000000001</v>
      </c>
      <c r="Q25" s="636">
        <v>248.30099999999999</v>
      </c>
      <c r="R25" s="1484">
        <f>Q25</f>
        <v>248.30099999999999</v>
      </c>
      <c r="S25" s="1196">
        <v>248.386</v>
      </c>
      <c r="T25" s="1196">
        <v>248.47</v>
      </c>
      <c r="U25" s="1196">
        <v>248.55500000000001</v>
      </c>
      <c r="V25" s="1196">
        <v>248.63900000000001</v>
      </c>
      <c r="W25" s="1484">
        <f>R25</f>
        <v>248.30099999999999</v>
      </c>
      <c r="X25" s="1196">
        <v>248.72399999999999</v>
      </c>
      <c r="Y25" s="1196">
        <v>248.809</v>
      </c>
      <c r="Z25" s="1196">
        <v>248.893</v>
      </c>
      <c r="AA25" s="1196">
        <v>248.977</v>
      </c>
      <c r="AB25" s="1484">
        <f>AA25</f>
        <v>248.977</v>
      </c>
      <c r="AC25" s="1196">
        <v>248.16399999999999</v>
      </c>
      <c r="AD25" s="1196">
        <v>248.33</v>
      </c>
      <c r="AE25" s="1196">
        <v>248.49600000000001</v>
      </c>
      <c r="AF25" s="1196">
        <v>248.6</v>
      </c>
      <c r="AG25" s="1484">
        <f t="shared" si="13"/>
        <v>248.6</v>
      </c>
      <c r="AH25" s="1900">
        <v>248.8</v>
      </c>
      <c r="AI25" s="1900">
        <v>249</v>
      </c>
      <c r="AJ25" s="1951">
        <v>249.2</v>
      </c>
      <c r="AK25" s="1951">
        <v>249.3</v>
      </c>
      <c r="AL25" s="1484">
        <f t="shared" si="13"/>
        <v>249.3</v>
      </c>
      <c r="AM25" s="636">
        <f t="shared" si="14"/>
        <v>249.3</v>
      </c>
      <c r="AN25" s="636">
        <f t="shared" si="14"/>
        <v>249.3</v>
      </c>
      <c r="AO25" s="636">
        <f>AN25</f>
        <v>249.3</v>
      </c>
      <c r="AP25" s="636">
        <f t="shared" si="15"/>
        <v>249.3</v>
      </c>
      <c r="AQ25" s="1484">
        <f t="shared" si="15"/>
        <v>249.3</v>
      </c>
      <c r="AR25" s="636">
        <f t="shared" si="16"/>
        <v>249.3</v>
      </c>
      <c r="AS25" s="636">
        <f t="shared" si="16"/>
        <v>249.3</v>
      </c>
      <c r="AT25" s="636">
        <f t="shared" si="16"/>
        <v>249.3</v>
      </c>
      <c r="AU25" s="636">
        <f t="shared" si="17"/>
        <v>249.3</v>
      </c>
      <c r="AV25" s="1484">
        <f t="shared" si="17"/>
        <v>249.3</v>
      </c>
      <c r="AW25" s="636">
        <f t="shared" si="18"/>
        <v>249.3</v>
      </c>
      <c r="AX25" s="636">
        <f t="shared" si="18"/>
        <v>249.3</v>
      </c>
      <c r="AY25" s="636">
        <f t="shared" si="18"/>
        <v>249.3</v>
      </c>
      <c r="AZ25" s="636">
        <f t="shared" si="19"/>
        <v>249.3</v>
      </c>
      <c r="BA25" s="1484">
        <f t="shared" si="19"/>
        <v>249.3</v>
      </c>
      <c r="BB25" s="636">
        <f t="shared" si="20"/>
        <v>249.3</v>
      </c>
      <c r="BC25" s="636">
        <f t="shared" si="20"/>
        <v>249.3</v>
      </c>
      <c r="BD25" s="636">
        <f t="shared" si="20"/>
        <v>249.3</v>
      </c>
      <c r="BE25" s="636">
        <f t="shared" si="20"/>
        <v>249.3</v>
      </c>
      <c r="BF25" s="1484">
        <f t="shared" si="20"/>
        <v>249.3</v>
      </c>
    </row>
    <row r="26" spans="1:58" x14ac:dyDescent="0.25">
      <c r="A26" s="1807" t="s">
        <v>549</v>
      </c>
      <c r="B26" s="1828">
        <v>4.1250000000000002E-2</v>
      </c>
      <c r="C26" s="1809">
        <v>41157</v>
      </c>
      <c r="D26" s="1809">
        <v>44809</v>
      </c>
      <c r="E26" s="628"/>
      <c r="F26" s="636"/>
      <c r="G26" s="636"/>
      <c r="H26" s="1484"/>
      <c r="I26" s="636"/>
      <c r="J26" s="636"/>
      <c r="K26" s="1196">
        <v>347.238</v>
      </c>
      <c r="L26" s="1196">
        <v>347.30799999999999</v>
      </c>
      <c r="M26" s="1484">
        <f>L26</f>
        <v>347.30799999999999</v>
      </c>
      <c r="N26" s="1196">
        <v>347.37700000000001</v>
      </c>
      <c r="O26" s="1196">
        <v>347.44600000000003</v>
      </c>
      <c r="P26" s="1804">
        <v>347.51600000000002</v>
      </c>
      <c r="Q26" s="636">
        <v>347.58499999999998</v>
      </c>
      <c r="R26" s="1484">
        <f>Q26</f>
        <v>347.58499999999998</v>
      </c>
      <c r="S26" s="1196">
        <v>347.65499999999997</v>
      </c>
      <c r="T26" s="1196">
        <v>347.72500000000002</v>
      </c>
      <c r="U26" s="1196">
        <v>347.79300000000001</v>
      </c>
      <c r="V26" s="1196">
        <v>347.863</v>
      </c>
      <c r="W26" s="1484">
        <f>R26</f>
        <v>347.58499999999998</v>
      </c>
      <c r="X26" s="1196">
        <v>347.93299999999999</v>
      </c>
      <c r="Y26" s="1196">
        <v>348.00200000000001</v>
      </c>
      <c r="Z26" s="1196">
        <v>348.07100000000003</v>
      </c>
      <c r="AA26" s="1196">
        <v>348.14</v>
      </c>
      <c r="AB26" s="1484">
        <f>AA26</f>
        <v>348.14</v>
      </c>
      <c r="AC26" s="1196">
        <v>346.03699999999998</v>
      </c>
      <c r="AD26" s="1196">
        <v>346.19099999999997</v>
      </c>
      <c r="AE26" s="1196">
        <v>346.34500000000003</v>
      </c>
      <c r="AF26" s="1196">
        <v>346.5</v>
      </c>
      <c r="AG26" s="1484">
        <f t="shared" si="13"/>
        <v>346.5</v>
      </c>
      <c r="AH26" s="1900">
        <v>346.7</v>
      </c>
      <c r="AI26" s="1900">
        <v>346.8</v>
      </c>
      <c r="AJ26" s="1951">
        <v>347</v>
      </c>
      <c r="AK26" s="1951">
        <v>347.1</v>
      </c>
      <c r="AL26" s="1484">
        <f t="shared" si="13"/>
        <v>347.1</v>
      </c>
      <c r="AM26" s="636">
        <f t="shared" si="14"/>
        <v>347.1</v>
      </c>
      <c r="AN26" s="636">
        <f t="shared" si="14"/>
        <v>347.1</v>
      </c>
      <c r="AO26" s="636">
        <f>AN26</f>
        <v>347.1</v>
      </c>
      <c r="AP26" s="636">
        <f t="shared" si="15"/>
        <v>347.1</v>
      </c>
      <c r="AQ26" s="1484">
        <f t="shared" si="15"/>
        <v>347.1</v>
      </c>
      <c r="AR26" s="636">
        <f t="shared" si="16"/>
        <v>347.1</v>
      </c>
      <c r="AS26" s="636">
        <f t="shared" si="16"/>
        <v>347.1</v>
      </c>
      <c r="AT26" s="636">
        <f t="shared" si="16"/>
        <v>347.1</v>
      </c>
      <c r="AU26" s="636">
        <f t="shared" si="17"/>
        <v>347.1</v>
      </c>
      <c r="AV26" s="1484">
        <f t="shared" si="17"/>
        <v>347.1</v>
      </c>
      <c r="AW26" s="636">
        <f t="shared" si="18"/>
        <v>347.1</v>
      </c>
      <c r="AX26" s="636">
        <f t="shared" si="18"/>
        <v>347.1</v>
      </c>
      <c r="AY26" s="636">
        <f t="shared" si="18"/>
        <v>347.1</v>
      </c>
      <c r="AZ26" s="636">
        <f t="shared" si="19"/>
        <v>347.1</v>
      </c>
      <c r="BA26" s="1484">
        <f t="shared" si="19"/>
        <v>347.1</v>
      </c>
      <c r="BB26" s="636">
        <f t="shared" si="20"/>
        <v>347.1</v>
      </c>
      <c r="BC26" s="636">
        <f t="shared" si="20"/>
        <v>347.1</v>
      </c>
      <c r="BD26" s="636">
        <f t="shared" si="20"/>
        <v>347.1</v>
      </c>
      <c r="BE26" s="636">
        <f t="shared" si="20"/>
        <v>347.1</v>
      </c>
      <c r="BF26" s="1484">
        <f t="shared" si="20"/>
        <v>347.1</v>
      </c>
    </row>
    <row r="27" spans="1:58" hidden="1" x14ac:dyDescent="0.25">
      <c r="A27" s="1807"/>
      <c r="B27" s="1810"/>
      <c r="C27" s="1798"/>
      <c r="D27" s="1798"/>
      <c r="E27" s="628"/>
      <c r="F27" s="636"/>
      <c r="G27" s="636"/>
      <c r="H27" s="1484"/>
      <c r="I27" s="636"/>
      <c r="J27" s="636"/>
      <c r="K27" s="636"/>
      <c r="L27" s="636"/>
      <c r="M27" s="1484"/>
      <c r="N27" s="636"/>
      <c r="O27" s="636"/>
      <c r="P27" s="636"/>
      <c r="Q27" s="636"/>
      <c r="R27" s="1484"/>
      <c r="S27" s="636"/>
      <c r="T27" s="636"/>
      <c r="U27" s="636"/>
      <c r="V27" s="636"/>
      <c r="W27" s="1484"/>
      <c r="X27" s="636"/>
      <c r="Y27" s="636"/>
      <c r="Z27" s="636"/>
      <c r="AA27" s="636"/>
      <c r="AB27" s="1484"/>
      <c r="AC27" s="636"/>
      <c r="AD27" s="636"/>
      <c r="AE27" s="636"/>
      <c r="AF27" s="636"/>
      <c r="AG27" s="1484">
        <f t="shared" ref="AG27:AG50" si="21">AF27</f>
        <v>0</v>
      </c>
      <c r="AH27" s="636"/>
      <c r="AI27" s="636"/>
      <c r="AJ27" s="636"/>
      <c r="AK27" s="636"/>
      <c r="AL27" s="1484"/>
      <c r="AM27" s="636"/>
      <c r="AN27" s="636"/>
      <c r="AO27" s="636"/>
      <c r="AP27" s="636"/>
      <c r="AQ27" s="1484"/>
      <c r="AR27" s="636"/>
      <c r="AS27" s="636"/>
      <c r="AT27" s="636"/>
      <c r="AU27" s="636"/>
      <c r="AV27" s="1484"/>
      <c r="AW27" s="636"/>
      <c r="AX27" s="636"/>
      <c r="AY27" s="636"/>
      <c r="AZ27" s="636"/>
      <c r="BA27" s="1484"/>
      <c r="BB27" s="636"/>
      <c r="BC27" s="636"/>
      <c r="BD27" s="636"/>
      <c r="BE27" s="636"/>
      <c r="BF27" s="1484"/>
    </row>
    <row r="28" spans="1:58" hidden="1" x14ac:dyDescent="0.25">
      <c r="A28" s="1803" t="s">
        <v>531</v>
      </c>
      <c r="B28" s="1810"/>
      <c r="C28" s="1798"/>
      <c r="D28" s="1798"/>
      <c r="E28" s="628"/>
      <c r="F28" s="636"/>
      <c r="G28" s="636"/>
      <c r="H28" s="1484"/>
      <c r="I28" s="636"/>
      <c r="J28" s="636"/>
      <c r="K28" s="636"/>
      <c r="L28" s="636"/>
      <c r="M28" s="1484"/>
      <c r="N28" s="636"/>
      <c r="O28" s="636"/>
      <c r="P28" s="1806"/>
      <c r="Q28" s="636"/>
      <c r="R28" s="1484"/>
      <c r="S28" s="636"/>
      <c r="T28" s="636"/>
      <c r="U28" s="636"/>
      <c r="V28" s="636"/>
      <c r="W28" s="1484"/>
      <c r="X28" s="636"/>
      <c r="Y28" s="636"/>
      <c r="Z28" s="636"/>
      <c r="AA28" s="636"/>
      <c r="AB28" s="1484"/>
      <c r="AC28" s="636"/>
      <c r="AD28" s="636"/>
      <c r="AE28" s="636"/>
      <c r="AF28" s="636"/>
      <c r="AG28" s="1484">
        <f t="shared" si="21"/>
        <v>0</v>
      </c>
      <c r="AH28" s="636"/>
      <c r="AI28" s="636"/>
      <c r="AJ28" s="636"/>
      <c r="AK28" s="636"/>
      <c r="AL28" s="1484"/>
      <c r="AM28" s="636"/>
      <c r="AN28" s="636"/>
      <c r="AO28" s="636"/>
      <c r="AP28" s="636"/>
      <c r="AQ28" s="1484"/>
      <c r="AR28" s="636"/>
      <c r="AS28" s="636"/>
      <c r="AT28" s="636"/>
      <c r="AU28" s="636"/>
      <c r="AV28" s="1484"/>
      <c r="AW28" s="636"/>
      <c r="AX28" s="636"/>
      <c r="AY28" s="636"/>
      <c r="AZ28" s="636"/>
      <c r="BA28" s="1484"/>
      <c r="BB28" s="636"/>
      <c r="BC28" s="636"/>
      <c r="BD28" s="636"/>
      <c r="BE28" s="636"/>
      <c r="BF28" s="1484"/>
    </row>
    <row r="29" spans="1:58" hidden="1" x14ac:dyDescent="0.25">
      <c r="A29" s="1807" t="s">
        <v>550</v>
      </c>
      <c r="B29" s="1810">
        <v>6.13E-2</v>
      </c>
      <c r="C29" s="1809">
        <v>38937</v>
      </c>
      <c r="D29" s="1809">
        <v>41494</v>
      </c>
      <c r="E29" s="628"/>
      <c r="F29" s="1196">
        <v>75</v>
      </c>
      <c r="G29" s="1196">
        <v>75</v>
      </c>
      <c r="H29" s="1484">
        <f t="shared" ref="H29:M29" si="22">G29</f>
        <v>75</v>
      </c>
      <c r="I29" s="1196">
        <v>75</v>
      </c>
      <c r="J29" s="1196">
        <v>75</v>
      </c>
      <c r="K29" s="1196">
        <v>0</v>
      </c>
      <c r="L29" s="1196">
        <f t="shared" si="22"/>
        <v>0</v>
      </c>
      <c r="M29" s="1484">
        <f t="shared" si="22"/>
        <v>0</v>
      </c>
      <c r="N29" s="1196">
        <f>M29</f>
        <v>0</v>
      </c>
      <c r="O29" s="1196">
        <f>N29</f>
        <v>0</v>
      </c>
      <c r="P29" s="1806">
        <v>0</v>
      </c>
      <c r="Q29" s="636">
        <v>0</v>
      </c>
      <c r="R29" s="1318">
        <f>Q29</f>
        <v>0</v>
      </c>
      <c r="S29" s="1196">
        <v>0</v>
      </c>
      <c r="T29" s="1196">
        <v>0</v>
      </c>
      <c r="U29" s="1196">
        <v>0</v>
      </c>
      <c r="V29" s="1196">
        <v>0</v>
      </c>
      <c r="W29" s="1318">
        <v>0</v>
      </c>
      <c r="X29" s="1196">
        <v>0</v>
      </c>
      <c r="Y29" s="1196">
        <v>0</v>
      </c>
      <c r="Z29" s="1196">
        <v>0</v>
      </c>
      <c r="AA29" s="1829">
        <f>Z29</f>
        <v>0</v>
      </c>
      <c r="AB29" s="1316">
        <v>0</v>
      </c>
      <c r="AC29" s="1196">
        <v>0</v>
      </c>
      <c r="AD29" s="1196">
        <f t="shared" ref="AD29:AF33" si="23">AC29</f>
        <v>0</v>
      </c>
      <c r="AE29" s="1196">
        <f t="shared" si="23"/>
        <v>0</v>
      </c>
      <c r="AF29" s="636">
        <f t="shared" si="23"/>
        <v>0</v>
      </c>
      <c r="AG29" s="1484">
        <f t="shared" si="21"/>
        <v>0</v>
      </c>
      <c r="AH29" s="636">
        <f t="shared" ref="AH29:AK33" si="24">AG29</f>
        <v>0</v>
      </c>
      <c r="AI29" s="636">
        <f t="shared" si="24"/>
        <v>0</v>
      </c>
      <c r="AJ29" s="636">
        <f t="shared" si="24"/>
        <v>0</v>
      </c>
      <c r="AK29" s="636">
        <f t="shared" si="24"/>
        <v>0</v>
      </c>
      <c r="AL29" s="1318">
        <v>0</v>
      </c>
      <c r="AM29" s="636">
        <f t="shared" ref="AM29:AN33" si="25">AL29</f>
        <v>0</v>
      </c>
      <c r="AN29" s="636">
        <f t="shared" si="25"/>
        <v>0</v>
      </c>
      <c r="AO29" s="636">
        <f t="shared" ref="AO29:AP33" si="26">AN29</f>
        <v>0</v>
      </c>
      <c r="AP29" s="636">
        <f t="shared" si="26"/>
        <v>0</v>
      </c>
      <c r="AQ29" s="1318">
        <v>0</v>
      </c>
      <c r="AR29" s="636">
        <f t="shared" ref="AR29:AU33" si="27">AQ29</f>
        <v>0</v>
      </c>
      <c r="AS29" s="636">
        <f t="shared" si="27"/>
        <v>0</v>
      </c>
      <c r="AT29" s="636">
        <f t="shared" si="27"/>
        <v>0</v>
      </c>
      <c r="AU29" s="636">
        <f t="shared" si="27"/>
        <v>0</v>
      </c>
      <c r="AV29" s="1318">
        <v>0</v>
      </c>
      <c r="AW29" s="636">
        <f t="shared" ref="AW29:AZ33" si="28">AV29</f>
        <v>0</v>
      </c>
      <c r="AX29" s="636">
        <f t="shared" si="28"/>
        <v>0</v>
      </c>
      <c r="AY29" s="636">
        <f t="shared" si="28"/>
        <v>0</v>
      </c>
      <c r="AZ29" s="636">
        <f t="shared" si="28"/>
        <v>0</v>
      </c>
      <c r="BA29" s="1318">
        <v>0</v>
      </c>
      <c r="BB29" s="636">
        <f t="shared" ref="BB29:BE33" si="29">BA29</f>
        <v>0</v>
      </c>
      <c r="BC29" s="636">
        <f t="shared" si="29"/>
        <v>0</v>
      </c>
      <c r="BD29" s="636">
        <f t="shared" si="29"/>
        <v>0</v>
      </c>
      <c r="BE29" s="636">
        <f t="shared" si="29"/>
        <v>0</v>
      </c>
      <c r="BF29" s="1318">
        <v>0</v>
      </c>
    </row>
    <row r="30" spans="1:58" hidden="1" x14ac:dyDescent="0.25">
      <c r="A30" s="1807" t="s">
        <v>551</v>
      </c>
      <c r="B30" s="1810">
        <v>5.8400000000000001E-2</v>
      </c>
      <c r="C30" s="1809">
        <v>39381</v>
      </c>
      <c r="D30" s="1809">
        <v>41573</v>
      </c>
      <c r="E30" s="628"/>
      <c r="F30" s="1196">
        <v>17.5</v>
      </c>
      <c r="G30" s="1196">
        <v>17.5</v>
      </c>
      <c r="H30" s="1484">
        <f>G30</f>
        <v>17.5</v>
      </c>
      <c r="I30" s="1196">
        <v>17.5</v>
      </c>
      <c r="J30" s="1196">
        <v>17.5</v>
      </c>
      <c r="K30" s="1196">
        <v>17.5</v>
      </c>
      <c r="L30" s="1196">
        <v>0</v>
      </c>
      <c r="M30" s="1484">
        <f>L30</f>
        <v>0</v>
      </c>
      <c r="N30" s="1196">
        <v>0</v>
      </c>
      <c r="O30" s="1196">
        <f>N30</f>
        <v>0</v>
      </c>
      <c r="P30" s="1806">
        <f>O30</f>
        <v>0</v>
      </c>
      <c r="Q30" s="636">
        <v>0</v>
      </c>
      <c r="R30" s="1318">
        <f>Q30</f>
        <v>0</v>
      </c>
      <c r="S30" s="1196">
        <v>0</v>
      </c>
      <c r="T30" s="1196">
        <v>0</v>
      </c>
      <c r="U30" s="1196">
        <v>0</v>
      </c>
      <c r="V30" s="1196">
        <v>0</v>
      </c>
      <c r="W30" s="1318">
        <v>0</v>
      </c>
      <c r="X30" s="1196">
        <v>0</v>
      </c>
      <c r="Y30" s="1196">
        <v>0</v>
      </c>
      <c r="Z30" s="1196">
        <v>0</v>
      </c>
      <c r="AA30" s="1829">
        <f>Z30</f>
        <v>0</v>
      </c>
      <c r="AB30" s="1316">
        <v>0</v>
      </c>
      <c r="AC30" s="1196">
        <v>0</v>
      </c>
      <c r="AD30" s="1196">
        <f t="shared" si="23"/>
        <v>0</v>
      </c>
      <c r="AE30" s="1196">
        <f t="shared" si="23"/>
        <v>0</v>
      </c>
      <c r="AF30" s="636">
        <f t="shared" si="23"/>
        <v>0</v>
      </c>
      <c r="AG30" s="1484">
        <f t="shared" si="21"/>
        <v>0</v>
      </c>
      <c r="AH30" s="636">
        <f t="shared" si="24"/>
        <v>0</v>
      </c>
      <c r="AI30" s="636">
        <f t="shared" si="24"/>
        <v>0</v>
      </c>
      <c r="AJ30" s="636">
        <f t="shared" si="24"/>
        <v>0</v>
      </c>
      <c r="AK30" s="636">
        <f t="shared" si="24"/>
        <v>0</v>
      </c>
      <c r="AL30" s="1318">
        <v>0</v>
      </c>
      <c r="AM30" s="636">
        <f t="shared" si="25"/>
        <v>0</v>
      </c>
      <c r="AN30" s="636">
        <f t="shared" si="25"/>
        <v>0</v>
      </c>
      <c r="AO30" s="636">
        <f t="shared" si="26"/>
        <v>0</v>
      </c>
      <c r="AP30" s="636">
        <f t="shared" si="26"/>
        <v>0</v>
      </c>
      <c r="AQ30" s="1318">
        <v>0</v>
      </c>
      <c r="AR30" s="636">
        <f t="shared" si="27"/>
        <v>0</v>
      </c>
      <c r="AS30" s="636">
        <f t="shared" si="27"/>
        <v>0</v>
      </c>
      <c r="AT30" s="636">
        <f t="shared" si="27"/>
        <v>0</v>
      </c>
      <c r="AU30" s="636">
        <f t="shared" si="27"/>
        <v>0</v>
      </c>
      <c r="AV30" s="1318">
        <v>0</v>
      </c>
      <c r="AW30" s="636">
        <f t="shared" si="28"/>
        <v>0</v>
      </c>
      <c r="AX30" s="636">
        <f t="shared" si="28"/>
        <v>0</v>
      </c>
      <c r="AY30" s="636">
        <f t="shared" si="28"/>
        <v>0</v>
      </c>
      <c r="AZ30" s="636">
        <f t="shared" si="28"/>
        <v>0</v>
      </c>
      <c r="BA30" s="1318">
        <v>0</v>
      </c>
      <c r="BB30" s="636">
        <f t="shared" si="29"/>
        <v>0</v>
      </c>
      <c r="BC30" s="636">
        <f t="shared" si="29"/>
        <v>0</v>
      </c>
      <c r="BD30" s="636">
        <f t="shared" si="29"/>
        <v>0</v>
      </c>
      <c r="BE30" s="636">
        <f t="shared" si="29"/>
        <v>0</v>
      </c>
      <c r="BF30" s="1318">
        <v>0</v>
      </c>
    </row>
    <row r="31" spans="1:58" hidden="1" x14ac:dyDescent="0.25">
      <c r="A31" s="1807" t="s">
        <v>551</v>
      </c>
      <c r="B31" s="1810">
        <v>5.8400000000000001E-2</v>
      </c>
      <c r="C31" s="1809">
        <v>39381</v>
      </c>
      <c r="D31" s="1809">
        <v>42303</v>
      </c>
      <c r="E31" s="628"/>
      <c r="F31" s="1196">
        <v>17.5</v>
      </c>
      <c r="G31" s="1196">
        <v>17.5</v>
      </c>
      <c r="H31" s="1484">
        <f>G31</f>
        <v>17.5</v>
      </c>
      <c r="I31" s="1196">
        <v>17.5</v>
      </c>
      <c r="J31" s="1196">
        <v>17.5</v>
      </c>
      <c r="K31" s="1196">
        <v>17.5</v>
      </c>
      <c r="L31" s="1196">
        <f>K31</f>
        <v>17.5</v>
      </c>
      <c r="M31" s="1484">
        <f>L31</f>
        <v>17.5</v>
      </c>
      <c r="N31" s="1196">
        <v>17.5</v>
      </c>
      <c r="O31" s="1196">
        <v>17.5</v>
      </c>
      <c r="P31" s="1804">
        <f>O31</f>
        <v>17.5</v>
      </c>
      <c r="Q31" s="636">
        <f>P31</f>
        <v>17.5</v>
      </c>
      <c r="R31" s="1318">
        <f>Q31</f>
        <v>17.5</v>
      </c>
      <c r="S31" s="1196">
        <f>R31</f>
        <v>17.5</v>
      </c>
      <c r="T31" s="1196">
        <f>S31</f>
        <v>17.5</v>
      </c>
      <c r="U31" s="1196">
        <v>17.5</v>
      </c>
      <c r="V31" s="1196">
        <v>0</v>
      </c>
      <c r="W31" s="1318">
        <f>R31</f>
        <v>17.5</v>
      </c>
      <c r="X31" s="1196">
        <v>0</v>
      </c>
      <c r="Y31" s="1196">
        <v>0</v>
      </c>
      <c r="Z31" s="1196">
        <v>0</v>
      </c>
      <c r="AA31" s="1829">
        <f>Z31</f>
        <v>0</v>
      </c>
      <c r="AB31" s="1316">
        <f>AA31</f>
        <v>0</v>
      </c>
      <c r="AC31" s="1196">
        <v>0</v>
      </c>
      <c r="AD31" s="1196">
        <f t="shared" si="23"/>
        <v>0</v>
      </c>
      <c r="AE31" s="1196">
        <f t="shared" si="23"/>
        <v>0</v>
      </c>
      <c r="AF31" s="636">
        <f t="shared" si="23"/>
        <v>0</v>
      </c>
      <c r="AG31" s="1484">
        <f t="shared" si="21"/>
        <v>0</v>
      </c>
      <c r="AH31" s="636">
        <f t="shared" si="24"/>
        <v>0</v>
      </c>
      <c r="AI31" s="636">
        <f t="shared" si="24"/>
        <v>0</v>
      </c>
      <c r="AJ31" s="636">
        <f t="shared" si="24"/>
        <v>0</v>
      </c>
      <c r="AK31" s="636">
        <f t="shared" si="24"/>
        <v>0</v>
      </c>
      <c r="AL31" s="1318">
        <f>AK31</f>
        <v>0</v>
      </c>
      <c r="AM31" s="636">
        <f t="shared" si="25"/>
        <v>0</v>
      </c>
      <c r="AN31" s="636">
        <f t="shared" si="25"/>
        <v>0</v>
      </c>
      <c r="AO31" s="636">
        <f t="shared" si="26"/>
        <v>0</v>
      </c>
      <c r="AP31" s="636">
        <f t="shared" si="26"/>
        <v>0</v>
      </c>
      <c r="AQ31" s="1318">
        <f>AP31</f>
        <v>0</v>
      </c>
      <c r="AR31" s="636">
        <f t="shared" si="27"/>
        <v>0</v>
      </c>
      <c r="AS31" s="636">
        <f t="shared" si="27"/>
        <v>0</v>
      </c>
      <c r="AT31" s="636">
        <f t="shared" si="27"/>
        <v>0</v>
      </c>
      <c r="AU31" s="636">
        <f t="shared" si="27"/>
        <v>0</v>
      </c>
      <c r="AV31" s="1318">
        <f>AU31</f>
        <v>0</v>
      </c>
      <c r="AW31" s="636">
        <f t="shared" si="28"/>
        <v>0</v>
      </c>
      <c r="AX31" s="636">
        <f t="shared" si="28"/>
        <v>0</v>
      </c>
      <c r="AY31" s="636">
        <f t="shared" si="28"/>
        <v>0</v>
      </c>
      <c r="AZ31" s="636">
        <f t="shared" si="28"/>
        <v>0</v>
      </c>
      <c r="BA31" s="1318">
        <f>AZ31</f>
        <v>0</v>
      </c>
      <c r="BB31" s="636">
        <f t="shared" si="29"/>
        <v>0</v>
      </c>
      <c r="BC31" s="636">
        <f t="shared" si="29"/>
        <v>0</v>
      </c>
      <c r="BD31" s="636">
        <f t="shared" si="29"/>
        <v>0</v>
      </c>
      <c r="BE31" s="636">
        <f t="shared" si="29"/>
        <v>0</v>
      </c>
      <c r="BF31" s="1318">
        <f>BE31</f>
        <v>0</v>
      </c>
    </row>
    <row r="32" spans="1:58" hidden="1" x14ac:dyDescent="0.25">
      <c r="A32" s="1807" t="s">
        <v>552</v>
      </c>
      <c r="B32" s="1810">
        <v>6.2799999999999995E-2</v>
      </c>
      <c r="C32" s="1809">
        <v>39567</v>
      </c>
      <c r="D32" s="1809">
        <v>41393</v>
      </c>
      <c r="E32" s="628"/>
      <c r="F32" s="1196">
        <v>15</v>
      </c>
      <c r="G32" s="1196">
        <v>15</v>
      </c>
      <c r="H32" s="1484">
        <f>G32</f>
        <v>15</v>
      </c>
      <c r="I32" s="1196">
        <v>15</v>
      </c>
      <c r="J32" s="1196">
        <v>0</v>
      </c>
      <c r="K32" s="1196">
        <v>0</v>
      </c>
      <c r="L32" s="1196">
        <v>0</v>
      </c>
      <c r="M32" s="1484">
        <v>0</v>
      </c>
      <c r="N32" s="1196">
        <v>0</v>
      </c>
      <c r="O32" s="1196">
        <v>0</v>
      </c>
      <c r="P32" s="1806">
        <v>0</v>
      </c>
      <c r="Q32" s="636">
        <v>0</v>
      </c>
      <c r="R32" s="1318">
        <v>0</v>
      </c>
      <c r="S32" s="1196">
        <v>0</v>
      </c>
      <c r="T32" s="1196">
        <v>0</v>
      </c>
      <c r="U32" s="1196">
        <v>0</v>
      </c>
      <c r="V32" s="1196">
        <v>0</v>
      </c>
      <c r="W32" s="1318">
        <v>0</v>
      </c>
      <c r="X32" s="1196">
        <v>0</v>
      </c>
      <c r="Y32" s="1196">
        <v>0</v>
      </c>
      <c r="Z32" s="1196">
        <v>0</v>
      </c>
      <c r="AA32" s="1829">
        <f>Z32</f>
        <v>0</v>
      </c>
      <c r="AB32" s="1316">
        <v>0</v>
      </c>
      <c r="AC32" s="1196">
        <v>0</v>
      </c>
      <c r="AD32" s="1196">
        <f t="shared" si="23"/>
        <v>0</v>
      </c>
      <c r="AE32" s="1196">
        <f t="shared" si="23"/>
        <v>0</v>
      </c>
      <c r="AF32" s="636">
        <f t="shared" si="23"/>
        <v>0</v>
      </c>
      <c r="AG32" s="1484">
        <f t="shared" si="21"/>
        <v>0</v>
      </c>
      <c r="AH32" s="636">
        <f t="shared" si="24"/>
        <v>0</v>
      </c>
      <c r="AI32" s="636">
        <f t="shared" si="24"/>
        <v>0</v>
      </c>
      <c r="AJ32" s="636">
        <f t="shared" si="24"/>
        <v>0</v>
      </c>
      <c r="AK32" s="636">
        <f t="shared" si="24"/>
        <v>0</v>
      </c>
      <c r="AL32" s="1318">
        <v>0</v>
      </c>
      <c r="AM32" s="636">
        <f t="shared" si="25"/>
        <v>0</v>
      </c>
      <c r="AN32" s="636">
        <f t="shared" si="25"/>
        <v>0</v>
      </c>
      <c r="AO32" s="636">
        <f t="shared" si="26"/>
        <v>0</v>
      </c>
      <c r="AP32" s="636">
        <f t="shared" si="26"/>
        <v>0</v>
      </c>
      <c r="AQ32" s="1318">
        <v>0</v>
      </c>
      <c r="AR32" s="636">
        <f t="shared" si="27"/>
        <v>0</v>
      </c>
      <c r="AS32" s="636">
        <f t="shared" si="27"/>
        <v>0</v>
      </c>
      <c r="AT32" s="636">
        <f t="shared" si="27"/>
        <v>0</v>
      </c>
      <c r="AU32" s="636">
        <f t="shared" si="27"/>
        <v>0</v>
      </c>
      <c r="AV32" s="1318">
        <v>0</v>
      </c>
      <c r="AW32" s="636">
        <f t="shared" si="28"/>
        <v>0</v>
      </c>
      <c r="AX32" s="636">
        <f t="shared" si="28"/>
        <v>0</v>
      </c>
      <c r="AY32" s="636">
        <f t="shared" si="28"/>
        <v>0</v>
      </c>
      <c r="AZ32" s="636">
        <f t="shared" si="28"/>
        <v>0</v>
      </c>
      <c r="BA32" s="1318">
        <v>0</v>
      </c>
      <c r="BB32" s="636">
        <f t="shared" si="29"/>
        <v>0</v>
      </c>
      <c r="BC32" s="636">
        <f t="shared" si="29"/>
        <v>0</v>
      </c>
      <c r="BD32" s="636">
        <f t="shared" si="29"/>
        <v>0</v>
      </c>
      <c r="BE32" s="636">
        <f t="shared" si="29"/>
        <v>0</v>
      </c>
      <c r="BF32" s="1318">
        <v>0</v>
      </c>
    </row>
    <row r="33" spans="1:58" hidden="1" x14ac:dyDescent="0.25">
      <c r="A33" s="1807" t="s">
        <v>552</v>
      </c>
      <c r="B33" s="1810">
        <v>6.2799999999999995E-2</v>
      </c>
      <c r="C33" s="1809">
        <v>39567</v>
      </c>
      <c r="D33" s="1809">
        <v>42123</v>
      </c>
      <c r="E33" s="628"/>
      <c r="F33" s="1196">
        <v>85</v>
      </c>
      <c r="G33" s="1196">
        <v>85</v>
      </c>
      <c r="H33" s="1484">
        <f>G33</f>
        <v>85</v>
      </c>
      <c r="I33" s="1196">
        <v>85</v>
      </c>
      <c r="J33" s="1196">
        <v>85</v>
      </c>
      <c r="K33" s="1196">
        <v>85</v>
      </c>
      <c r="L33" s="1196">
        <f>K33</f>
        <v>85</v>
      </c>
      <c r="M33" s="1484">
        <f>L33</f>
        <v>85</v>
      </c>
      <c r="N33" s="1196">
        <v>85</v>
      </c>
      <c r="O33" s="1196">
        <v>85</v>
      </c>
      <c r="P33" s="1804">
        <f t="shared" ref="P33:S34" si="30">O33</f>
        <v>85</v>
      </c>
      <c r="Q33" s="636">
        <f t="shared" si="30"/>
        <v>85</v>
      </c>
      <c r="R33" s="1318">
        <f t="shared" si="30"/>
        <v>85</v>
      </c>
      <c r="S33" s="1196">
        <f t="shared" si="30"/>
        <v>85</v>
      </c>
      <c r="T33" s="1196">
        <v>0</v>
      </c>
      <c r="U33" s="1196">
        <v>0</v>
      </c>
      <c r="V33" s="1196">
        <f>U33</f>
        <v>0</v>
      </c>
      <c r="W33" s="1318">
        <f>+V33</f>
        <v>0</v>
      </c>
      <c r="X33" s="1196">
        <f>W33</f>
        <v>0</v>
      </c>
      <c r="Y33" s="1196">
        <v>0</v>
      </c>
      <c r="Z33" s="1196">
        <v>0</v>
      </c>
      <c r="AA33" s="1829">
        <f>Z33</f>
        <v>0</v>
      </c>
      <c r="AB33" s="1316">
        <v>0</v>
      </c>
      <c r="AC33" s="1196">
        <v>0</v>
      </c>
      <c r="AD33" s="1196">
        <f t="shared" si="23"/>
        <v>0</v>
      </c>
      <c r="AE33" s="1196">
        <f t="shared" si="23"/>
        <v>0</v>
      </c>
      <c r="AF33" s="636">
        <f t="shared" si="23"/>
        <v>0</v>
      </c>
      <c r="AG33" s="1484">
        <f t="shared" si="21"/>
        <v>0</v>
      </c>
      <c r="AH33" s="636">
        <f t="shared" si="24"/>
        <v>0</v>
      </c>
      <c r="AI33" s="636">
        <f t="shared" si="24"/>
        <v>0</v>
      </c>
      <c r="AJ33" s="636">
        <f t="shared" si="24"/>
        <v>0</v>
      </c>
      <c r="AK33" s="636">
        <f t="shared" si="24"/>
        <v>0</v>
      </c>
      <c r="AL33" s="1318">
        <v>0</v>
      </c>
      <c r="AM33" s="636">
        <f t="shared" si="25"/>
        <v>0</v>
      </c>
      <c r="AN33" s="636">
        <f t="shared" si="25"/>
        <v>0</v>
      </c>
      <c r="AO33" s="636">
        <f t="shared" si="26"/>
        <v>0</v>
      </c>
      <c r="AP33" s="636">
        <f t="shared" si="26"/>
        <v>0</v>
      </c>
      <c r="AQ33" s="1318">
        <v>0</v>
      </c>
      <c r="AR33" s="636">
        <f t="shared" si="27"/>
        <v>0</v>
      </c>
      <c r="AS33" s="636">
        <f t="shared" si="27"/>
        <v>0</v>
      </c>
      <c r="AT33" s="636">
        <f t="shared" si="27"/>
        <v>0</v>
      </c>
      <c r="AU33" s="636">
        <f t="shared" si="27"/>
        <v>0</v>
      </c>
      <c r="AV33" s="1318">
        <v>0</v>
      </c>
      <c r="AW33" s="636">
        <f t="shared" si="28"/>
        <v>0</v>
      </c>
      <c r="AX33" s="636">
        <f t="shared" si="28"/>
        <v>0</v>
      </c>
      <c r="AY33" s="636">
        <f t="shared" si="28"/>
        <v>0</v>
      </c>
      <c r="AZ33" s="636">
        <f t="shared" si="28"/>
        <v>0</v>
      </c>
      <c r="BA33" s="1318">
        <v>0</v>
      </c>
      <c r="BB33" s="636">
        <f t="shared" si="29"/>
        <v>0</v>
      </c>
      <c r="BC33" s="636">
        <f t="shared" si="29"/>
        <v>0</v>
      </c>
      <c r="BD33" s="636">
        <f t="shared" si="29"/>
        <v>0</v>
      </c>
      <c r="BE33" s="636">
        <f t="shared" si="29"/>
        <v>0</v>
      </c>
      <c r="BF33" s="1318">
        <v>0</v>
      </c>
    </row>
    <row r="34" spans="1:58" hidden="1" x14ac:dyDescent="0.25">
      <c r="A34" s="1811" t="s">
        <v>538</v>
      </c>
      <c r="B34" s="1812">
        <v>6.8500000000000005E-2</v>
      </c>
      <c r="C34" s="1813">
        <v>39979</v>
      </c>
      <c r="D34" s="1813">
        <v>42536</v>
      </c>
      <c r="E34" s="628"/>
      <c r="F34" s="1196">
        <v>50</v>
      </c>
      <c r="G34" s="1196">
        <v>50</v>
      </c>
      <c r="H34" s="1484">
        <f>G34</f>
        <v>50</v>
      </c>
      <c r="I34" s="1196">
        <v>50</v>
      </c>
      <c r="J34" s="1196">
        <v>50</v>
      </c>
      <c r="K34" s="1196">
        <v>50</v>
      </c>
      <c r="L34" s="1196">
        <f>K34</f>
        <v>50</v>
      </c>
      <c r="M34" s="1484">
        <f>L34</f>
        <v>50</v>
      </c>
      <c r="N34" s="1196">
        <v>50</v>
      </c>
      <c r="O34" s="1196">
        <f>N34</f>
        <v>50</v>
      </c>
      <c r="P34" s="1804">
        <f t="shared" si="30"/>
        <v>50</v>
      </c>
      <c r="Q34" s="636">
        <f t="shared" si="30"/>
        <v>50</v>
      </c>
      <c r="R34" s="1318">
        <f t="shared" si="30"/>
        <v>50</v>
      </c>
      <c r="S34" s="1196">
        <f t="shared" si="30"/>
        <v>50</v>
      </c>
      <c r="T34" s="1196">
        <v>50</v>
      </c>
      <c r="U34" s="1196">
        <f>T34</f>
        <v>50</v>
      </c>
      <c r="V34" s="1196">
        <v>50</v>
      </c>
      <c r="W34" s="1318">
        <f>R34</f>
        <v>50</v>
      </c>
      <c r="X34" s="1196">
        <f>W34</f>
        <v>50</v>
      </c>
      <c r="Y34" s="1196">
        <v>0</v>
      </c>
      <c r="Z34" s="1196">
        <v>0</v>
      </c>
      <c r="AA34" s="1829">
        <v>0</v>
      </c>
      <c r="AB34" s="1316">
        <v>0</v>
      </c>
      <c r="AC34" s="1196">
        <v>0</v>
      </c>
      <c r="AD34" s="1196">
        <v>0</v>
      </c>
      <c r="AE34" s="1196">
        <v>0</v>
      </c>
      <c r="AF34" s="636">
        <v>0</v>
      </c>
      <c r="AG34" s="1484">
        <f t="shared" si="21"/>
        <v>0</v>
      </c>
      <c r="AH34" s="636">
        <v>0</v>
      </c>
      <c r="AI34" s="636">
        <v>0</v>
      </c>
      <c r="AJ34" s="636">
        <v>0</v>
      </c>
      <c r="AK34" s="636">
        <v>0</v>
      </c>
      <c r="AL34" s="1318">
        <v>0</v>
      </c>
      <c r="AM34" s="636">
        <v>0</v>
      </c>
      <c r="AN34" s="636">
        <v>0</v>
      </c>
      <c r="AO34" s="636">
        <v>0</v>
      </c>
      <c r="AP34" s="636">
        <v>0</v>
      </c>
      <c r="AQ34" s="1318">
        <v>0</v>
      </c>
      <c r="AR34" s="636">
        <v>0</v>
      </c>
      <c r="AS34" s="636">
        <v>0</v>
      </c>
      <c r="AT34" s="636">
        <v>0</v>
      </c>
      <c r="AU34" s="636">
        <v>0</v>
      </c>
      <c r="AV34" s="1318">
        <v>0</v>
      </c>
      <c r="AW34" s="636">
        <v>0</v>
      </c>
      <c r="AX34" s="636">
        <v>0</v>
      </c>
      <c r="AY34" s="636">
        <v>0</v>
      </c>
      <c r="AZ34" s="636">
        <v>0</v>
      </c>
      <c r="BA34" s="1318">
        <v>0</v>
      </c>
      <c r="BB34" s="636">
        <v>0</v>
      </c>
      <c r="BC34" s="636">
        <v>0</v>
      </c>
      <c r="BD34" s="636">
        <v>0</v>
      </c>
      <c r="BE34" s="636">
        <v>0</v>
      </c>
      <c r="BF34" s="1318">
        <v>0</v>
      </c>
    </row>
    <row r="35" spans="1:58" hidden="1" x14ac:dyDescent="0.25">
      <c r="A35" s="1807"/>
      <c r="B35" s="1810"/>
      <c r="C35" s="1809"/>
      <c r="D35" s="1809"/>
      <c r="E35" s="628"/>
      <c r="F35" s="636"/>
      <c r="G35" s="636"/>
      <c r="H35" s="1484"/>
      <c r="I35" s="636"/>
      <c r="J35" s="636"/>
      <c r="K35" s="636"/>
      <c r="L35" s="636"/>
      <c r="M35" s="1484"/>
      <c r="N35" s="636"/>
      <c r="O35" s="636"/>
      <c r="P35" s="1806"/>
      <c r="Q35" s="636"/>
      <c r="R35" s="1318"/>
      <c r="S35" s="636"/>
      <c r="T35" s="636"/>
      <c r="U35" s="636"/>
      <c r="V35" s="636"/>
      <c r="W35" s="1318"/>
      <c r="X35" s="636"/>
      <c r="Y35" s="636"/>
      <c r="Z35" s="636"/>
      <c r="AA35" s="1829"/>
      <c r="AB35" s="1316"/>
      <c r="AC35" s="1196"/>
      <c r="AD35" s="636"/>
      <c r="AE35" s="636"/>
      <c r="AF35" s="636"/>
      <c r="AG35" s="1484">
        <f t="shared" si="21"/>
        <v>0</v>
      </c>
      <c r="AH35" s="636"/>
      <c r="AI35" s="636"/>
      <c r="AJ35" s="636"/>
      <c r="AK35" s="636"/>
      <c r="AL35" s="1318"/>
      <c r="AM35" s="636"/>
      <c r="AN35" s="636"/>
      <c r="AO35" s="636"/>
      <c r="AP35" s="636"/>
      <c r="AQ35" s="1318"/>
      <c r="AR35" s="636"/>
      <c r="AS35" s="636"/>
      <c r="AT35" s="636"/>
      <c r="AU35" s="636"/>
      <c r="AV35" s="1318"/>
      <c r="AW35" s="636"/>
      <c r="AX35" s="636"/>
      <c r="AY35" s="636"/>
      <c r="AZ35" s="636"/>
      <c r="BA35" s="1318"/>
      <c r="BB35" s="636"/>
      <c r="BC35" s="636"/>
      <c r="BD35" s="636"/>
      <c r="BE35" s="636"/>
      <c r="BF35" s="1318"/>
    </row>
    <row r="36" spans="1:58" hidden="1" x14ac:dyDescent="0.25">
      <c r="A36" s="1807"/>
      <c r="B36" s="1810"/>
      <c r="C36" s="1798"/>
      <c r="D36" s="1798"/>
      <c r="E36" s="628"/>
      <c r="F36" s="636"/>
      <c r="G36" s="636"/>
      <c r="H36" s="1484"/>
      <c r="I36" s="636"/>
      <c r="J36" s="636"/>
      <c r="K36" s="636"/>
      <c r="L36" s="636"/>
      <c r="M36" s="1484"/>
      <c r="N36" s="636"/>
      <c r="O36" s="636"/>
      <c r="P36" s="1806"/>
      <c r="Q36" s="636"/>
      <c r="R36" s="1318"/>
      <c r="S36" s="636"/>
      <c r="T36" s="636"/>
      <c r="U36" s="636"/>
      <c r="V36" s="636"/>
      <c r="W36" s="1318"/>
      <c r="X36" s="636"/>
      <c r="Y36" s="636"/>
      <c r="Z36" s="636"/>
      <c r="AA36" s="1829"/>
      <c r="AB36" s="1316"/>
      <c r="AC36" s="1196"/>
      <c r="AD36" s="636"/>
      <c r="AE36" s="636"/>
      <c r="AF36" s="636"/>
      <c r="AG36" s="1484">
        <f t="shared" si="21"/>
        <v>0</v>
      </c>
      <c r="AH36" s="636"/>
      <c r="AI36" s="636"/>
      <c r="AJ36" s="636"/>
      <c r="AK36" s="636"/>
      <c r="AL36" s="1318"/>
      <c r="AM36" s="636"/>
      <c r="AN36" s="636"/>
      <c r="AO36" s="636"/>
      <c r="AP36" s="636"/>
      <c r="AQ36" s="1318"/>
      <c r="AR36" s="636"/>
      <c r="AS36" s="636"/>
      <c r="AT36" s="636"/>
      <c r="AU36" s="636"/>
      <c r="AV36" s="1318"/>
      <c r="AW36" s="636"/>
      <c r="AX36" s="636"/>
      <c r="AY36" s="636"/>
      <c r="AZ36" s="636"/>
      <c r="BA36" s="1318"/>
      <c r="BB36" s="636"/>
      <c r="BC36" s="636"/>
      <c r="BD36" s="636"/>
      <c r="BE36" s="636"/>
      <c r="BF36" s="1318"/>
    </row>
    <row r="37" spans="1:58" hidden="1" x14ac:dyDescent="0.25">
      <c r="A37" s="1807"/>
      <c r="B37" s="1810"/>
      <c r="C37" s="1798"/>
      <c r="D37" s="1798"/>
      <c r="E37" s="628"/>
      <c r="F37" s="636"/>
      <c r="G37" s="636"/>
      <c r="H37" s="1484"/>
      <c r="I37" s="636"/>
      <c r="J37" s="636"/>
      <c r="K37" s="636"/>
      <c r="L37" s="636"/>
      <c r="M37" s="1484"/>
      <c r="N37" s="636"/>
      <c r="O37" s="636"/>
      <c r="P37" s="1806"/>
      <c r="Q37" s="636"/>
      <c r="R37" s="1318"/>
      <c r="S37" s="636"/>
      <c r="T37" s="636"/>
      <c r="U37" s="636"/>
      <c r="V37" s="636"/>
      <c r="W37" s="1318"/>
      <c r="X37" s="636"/>
      <c r="Y37" s="636"/>
      <c r="Z37" s="636"/>
      <c r="AA37" s="1829"/>
      <c r="AB37" s="1316"/>
      <c r="AC37" s="1196"/>
      <c r="AD37" s="636"/>
      <c r="AE37" s="636"/>
      <c r="AF37" s="636"/>
      <c r="AG37" s="1484">
        <f t="shared" si="21"/>
        <v>0</v>
      </c>
      <c r="AH37" s="636"/>
      <c r="AI37" s="636"/>
      <c r="AJ37" s="636"/>
      <c r="AK37" s="636"/>
      <c r="AL37" s="1318"/>
      <c r="AM37" s="636"/>
      <c r="AN37" s="636"/>
      <c r="AO37" s="636"/>
      <c r="AP37" s="636"/>
      <c r="AQ37" s="1318"/>
      <c r="AR37" s="636"/>
      <c r="AS37" s="636"/>
      <c r="AT37" s="636"/>
      <c r="AU37" s="636"/>
      <c r="AV37" s="1318"/>
      <c r="AW37" s="636"/>
      <c r="AX37" s="636"/>
      <c r="AY37" s="636"/>
      <c r="AZ37" s="636"/>
      <c r="BA37" s="1318"/>
      <c r="BB37" s="636"/>
      <c r="BC37" s="636"/>
      <c r="BD37" s="636"/>
      <c r="BE37" s="636"/>
      <c r="BF37" s="1318"/>
    </row>
    <row r="38" spans="1:58" hidden="1" x14ac:dyDescent="0.25">
      <c r="A38" s="1803" t="s">
        <v>553</v>
      </c>
      <c r="B38" s="1810"/>
      <c r="C38" s="1798"/>
      <c r="D38" s="1798"/>
      <c r="E38" s="628"/>
      <c r="F38" s="636"/>
      <c r="G38" s="636"/>
      <c r="H38" s="1484"/>
      <c r="I38" s="636"/>
      <c r="J38" s="636"/>
      <c r="K38" s="636"/>
      <c r="L38" s="636"/>
      <c r="M38" s="1484"/>
      <c r="N38" s="636"/>
      <c r="O38" s="636"/>
      <c r="P38" s="636"/>
      <c r="Q38" s="636"/>
      <c r="R38" s="1318"/>
      <c r="S38" s="636"/>
      <c r="T38" s="636"/>
      <c r="U38" s="636"/>
      <c r="V38" s="636"/>
      <c r="W38" s="1318"/>
      <c r="X38" s="636"/>
      <c r="Y38" s="636"/>
      <c r="Z38" s="636"/>
      <c r="AA38" s="1829"/>
      <c r="AB38" s="1316"/>
      <c r="AC38" s="1196"/>
      <c r="AD38" s="636"/>
      <c r="AE38" s="636"/>
      <c r="AF38" s="636"/>
      <c r="AG38" s="1484">
        <f t="shared" si="21"/>
        <v>0</v>
      </c>
      <c r="AH38" s="636"/>
      <c r="AI38" s="636"/>
      <c r="AJ38" s="636"/>
      <c r="AK38" s="636"/>
      <c r="AL38" s="1318"/>
      <c r="AM38" s="636"/>
      <c r="AN38" s="636"/>
      <c r="AO38" s="636"/>
      <c r="AP38" s="636"/>
      <c r="AQ38" s="1318"/>
      <c r="AR38" s="636"/>
      <c r="AS38" s="636"/>
      <c r="AT38" s="636"/>
      <c r="AU38" s="636"/>
      <c r="AV38" s="1318"/>
      <c r="AW38" s="636"/>
      <c r="AX38" s="636"/>
      <c r="AY38" s="636"/>
      <c r="AZ38" s="636"/>
      <c r="BA38" s="1318"/>
      <c r="BB38" s="636"/>
      <c r="BC38" s="636"/>
      <c r="BD38" s="636"/>
      <c r="BE38" s="636"/>
      <c r="BF38" s="1318"/>
    </row>
    <row r="39" spans="1:58" hidden="1" x14ac:dyDescent="0.25">
      <c r="A39" s="1807" t="s">
        <v>554</v>
      </c>
      <c r="B39" s="1810">
        <v>6.1600000000000002E-2</v>
      </c>
      <c r="C39" s="1809">
        <v>38937</v>
      </c>
      <c r="D39" s="1809">
        <v>41494</v>
      </c>
      <c r="E39" s="628"/>
      <c r="F39" s="1196">
        <v>25</v>
      </c>
      <c r="G39" s="1196">
        <v>25</v>
      </c>
      <c r="H39" s="1484">
        <f t="shared" ref="H39:M39" si="31">G39</f>
        <v>25</v>
      </c>
      <c r="I39" s="1196">
        <v>25</v>
      </c>
      <c r="J39" s="1196">
        <v>25</v>
      </c>
      <c r="K39" s="1196">
        <v>0</v>
      </c>
      <c r="L39" s="1196">
        <f t="shared" si="31"/>
        <v>0</v>
      </c>
      <c r="M39" s="1484">
        <f t="shared" si="31"/>
        <v>0</v>
      </c>
      <c r="N39" s="1196">
        <v>0</v>
      </c>
      <c r="O39" s="1196">
        <f>N39</f>
        <v>0</v>
      </c>
      <c r="P39" s="1806">
        <v>0</v>
      </c>
      <c r="Q39" s="636">
        <v>0</v>
      </c>
      <c r="R39" s="1318">
        <f>Q39</f>
        <v>0</v>
      </c>
      <c r="S39" s="1196">
        <v>0</v>
      </c>
      <c r="T39" s="1196">
        <v>0</v>
      </c>
      <c r="U39" s="1196">
        <v>0</v>
      </c>
      <c r="V39" s="1196">
        <v>0</v>
      </c>
      <c r="W39" s="1318">
        <v>0</v>
      </c>
      <c r="X39" s="1196">
        <v>0</v>
      </c>
      <c r="Y39" s="1196">
        <f>X39</f>
        <v>0</v>
      </c>
      <c r="Z39" s="1196">
        <v>0</v>
      </c>
      <c r="AA39" s="1829">
        <v>0</v>
      </c>
      <c r="AB39" s="1316">
        <v>0</v>
      </c>
      <c r="AC39" s="1196">
        <v>0</v>
      </c>
      <c r="AD39" s="1196">
        <f>AC39</f>
        <v>0</v>
      </c>
      <c r="AE39" s="1196">
        <f>AD39</f>
        <v>0</v>
      </c>
      <c r="AF39" s="636">
        <f>AE39</f>
        <v>0</v>
      </c>
      <c r="AG39" s="1484">
        <f t="shared" si="21"/>
        <v>0</v>
      </c>
      <c r="AH39" s="636">
        <f>AG39</f>
        <v>0</v>
      </c>
      <c r="AI39" s="636">
        <f>AH39</f>
        <v>0</v>
      </c>
      <c r="AJ39" s="636">
        <f>AI39</f>
        <v>0</v>
      </c>
      <c r="AK39" s="636">
        <f>AJ39</f>
        <v>0</v>
      </c>
      <c r="AL39" s="1318">
        <v>0</v>
      </c>
      <c r="AM39" s="636">
        <f>AL39</f>
        <v>0</v>
      </c>
      <c r="AN39" s="636">
        <f>AM39</f>
        <v>0</v>
      </c>
      <c r="AO39" s="636">
        <f>AN39</f>
        <v>0</v>
      </c>
      <c r="AP39" s="636">
        <f>AO39</f>
        <v>0</v>
      </c>
      <c r="AQ39" s="1318">
        <v>0</v>
      </c>
      <c r="AR39" s="636">
        <f>AQ39</f>
        <v>0</v>
      </c>
      <c r="AS39" s="636">
        <f>AR39</f>
        <v>0</v>
      </c>
      <c r="AT39" s="636">
        <f>AS39</f>
        <v>0</v>
      </c>
      <c r="AU39" s="636">
        <f>AT39</f>
        <v>0</v>
      </c>
      <c r="AV39" s="1318">
        <v>0</v>
      </c>
      <c r="AW39" s="636">
        <f>AV39</f>
        <v>0</v>
      </c>
      <c r="AX39" s="636">
        <f>AW39</f>
        <v>0</v>
      </c>
      <c r="AY39" s="636">
        <f>AX39</f>
        <v>0</v>
      </c>
      <c r="AZ39" s="636">
        <f>AY39</f>
        <v>0</v>
      </c>
      <c r="BA39" s="1318">
        <v>0</v>
      </c>
      <c r="BB39" s="636">
        <f>BA39</f>
        <v>0</v>
      </c>
      <c r="BC39" s="636">
        <f>BB39</f>
        <v>0</v>
      </c>
      <c r="BD39" s="636">
        <f>BC39</f>
        <v>0</v>
      </c>
      <c r="BE39" s="636">
        <f>BD39</f>
        <v>0</v>
      </c>
      <c r="BF39" s="1318">
        <v>0</v>
      </c>
    </row>
    <row r="40" spans="1:58" hidden="1" x14ac:dyDescent="0.25">
      <c r="A40" s="1807"/>
      <c r="B40" s="1810"/>
      <c r="C40" s="1809"/>
      <c r="D40" s="1809"/>
      <c r="E40" s="628"/>
      <c r="F40" s="636"/>
      <c r="G40" s="636"/>
      <c r="H40" s="1484"/>
      <c r="I40" s="636"/>
      <c r="J40" s="636"/>
      <c r="K40" s="636"/>
      <c r="L40" s="636"/>
      <c r="M40" s="1484"/>
      <c r="N40" s="636"/>
      <c r="O40" s="636"/>
      <c r="P40" s="636"/>
      <c r="Q40" s="636"/>
      <c r="R40" s="1318"/>
      <c r="S40" s="636"/>
      <c r="T40" s="636"/>
      <c r="U40" s="636"/>
      <c r="V40" s="636"/>
      <c r="W40" s="1318"/>
      <c r="X40" s="636"/>
      <c r="Y40" s="1196"/>
      <c r="Z40" s="636"/>
      <c r="AA40" s="1829"/>
      <c r="AB40" s="1316"/>
      <c r="AC40" s="1196"/>
      <c r="AD40" s="1196"/>
      <c r="AE40" s="1196"/>
      <c r="AF40" s="636"/>
      <c r="AG40" s="1484">
        <f t="shared" si="21"/>
        <v>0</v>
      </c>
      <c r="AH40" s="636"/>
      <c r="AI40" s="636"/>
      <c r="AJ40" s="636"/>
      <c r="AK40" s="636"/>
      <c r="AL40" s="1318"/>
      <c r="AM40" s="636"/>
      <c r="AN40" s="636"/>
      <c r="AO40" s="636"/>
      <c r="AP40" s="636"/>
      <c r="AQ40" s="1318"/>
      <c r="AR40" s="636"/>
      <c r="AS40" s="636"/>
      <c r="AT40" s="636"/>
      <c r="AU40" s="636"/>
      <c r="AV40" s="1318"/>
      <c r="AW40" s="636"/>
      <c r="AX40" s="636"/>
      <c r="AY40" s="636"/>
      <c r="AZ40" s="636"/>
      <c r="BA40" s="1318"/>
      <c r="BB40" s="636"/>
      <c r="BC40" s="636"/>
      <c r="BD40" s="636"/>
      <c r="BE40" s="636"/>
      <c r="BF40" s="1318"/>
    </row>
    <row r="41" spans="1:58" hidden="1" x14ac:dyDescent="0.25">
      <c r="A41" s="1807"/>
      <c r="B41" s="1810"/>
      <c r="C41" s="1798"/>
      <c r="D41" s="1798"/>
      <c r="E41" s="628"/>
      <c r="F41" s="636"/>
      <c r="G41" s="636"/>
      <c r="H41" s="1484"/>
      <c r="I41" s="636"/>
      <c r="J41" s="636"/>
      <c r="K41" s="636"/>
      <c r="L41" s="636"/>
      <c r="M41" s="1484"/>
      <c r="N41" s="636"/>
      <c r="O41" s="636"/>
      <c r="P41" s="636"/>
      <c r="Q41" s="636"/>
      <c r="R41" s="1318"/>
      <c r="S41" s="636"/>
      <c r="T41" s="636"/>
      <c r="U41" s="636"/>
      <c r="V41" s="636"/>
      <c r="W41" s="1318"/>
      <c r="X41" s="636"/>
      <c r="Y41" s="1196"/>
      <c r="Z41" s="636"/>
      <c r="AA41" s="1829"/>
      <c r="AB41" s="1316"/>
      <c r="AC41" s="1196"/>
      <c r="AD41" s="1196"/>
      <c r="AE41" s="1196"/>
      <c r="AF41" s="636"/>
      <c r="AG41" s="1484">
        <f t="shared" si="21"/>
        <v>0</v>
      </c>
      <c r="AH41" s="636"/>
      <c r="AI41" s="636"/>
      <c r="AJ41" s="636"/>
      <c r="AK41" s="636"/>
      <c r="AL41" s="1318"/>
      <c r="AM41" s="636"/>
      <c r="AN41" s="636"/>
      <c r="AO41" s="636"/>
      <c r="AP41" s="636"/>
      <c r="AQ41" s="1318"/>
      <c r="AR41" s="636"/>
      <c r="AS41" s="636"/>
      <c r="AT41" s="636"/>
      <c r="AU41" s="636"/>
      <c r="AV41" s="1318"/>
      <c r="AW41" s="636"/>
      <c r="AX41" s="636"/>
      <c r="AY41" s="636"/>
      <c r="AZ41" s="636"/>
      <c r="BA41" s="1318"/>
      <c r="BB41" s="636"/>
      <c r="BC41" s="636"/>
      <c r="BD41" s="636"/>
      <c r="BE41" s="636"/>
      <c r="BF41" s="1318"/>
    </row>
    <row r="42" spans="1:58" hidden="1" x14ac:dyDescent="0.25">
      <c r="A42" s="1807"/>
      <c r="B42" s="1810"/>
      <c r="C42" s="1798"/>
      <c r="D42" s="1798"/>
      <c r="E42" s="628"/>
      <c r="F42" s="636"/>
      <c r="G42" s="636"/>
      <c r="H42" s="1484"/>
      <c r="I42" s="636"/>
      <c r="J42" s="636"/>
      <c r="K42" s="636"/>
      <c r="L42" s="636"/>
      <c r="M42" s="1484"/>
      <c r="N42" s="636"/>
      <c r="O42" s="636"/>
      <c r="P42" s="636"/>
      <c r="Q42" s="636"/>
      <c r="R42" s="1318"/>
      <c r="S42" s="636"/>
      <c r="T42" s="636"/>
      <c r="U42" s="636"/>
      <c r="V42" s="636"/>
      <c r="W42" s="1318"/>
      <c r="X42" s="636"/>
      <c r="Y42" s="1196"/>
      <c r="Z42" s="636"/>
      <c r="AA42" s="1829"/>
      <c r="AB42" s="1316"/>
      <c r="AC42" s="1196"/>
      <c r="AD42" s="1196"/>
      <c r="AE42" s="1196"/>
      <c r="AF42" s="636"/>
      <c r="AG42" s="1484">
        <f t="shared" si="21"/>
        <v>0</v>
      </c>
      <c r="AH42" s="636"/>
      <c r="AI42" s="636"/>
      <c r="AJ42" s="636"/>
      <c r="AK42" s="636"/>
      <c r="AL42" s="1318"/>
      <c r="AM42" s="636"/>
      <c r="AN42" s="636"/>
      <c r="AO42" s="636"/>
      <c r="AP42" s="636"/>
      <c r="AQ42" s="1318"/>
      <c r="AR42" s="636"/>
      <c r="AS42" s="636"/>
      <c r="AT42" s="636"/>
      <c r="AU42" s="636"/>
      <c r="AV42" s="1318"/>
      <c r="AW42" s="636"/>
      <c r="AX42" s="636"/>
      <c r="AY42" s="636"/>
      <c r="AZ42" s="636"/>
      <c r="BA42" s="1318"/>
      <c r="BB42" s="636"/>
      <c r="BC42" s="636"/>
      <c r="BD42" s="636"/>
      <c r="BE42" s="636"/>
      <c r="BF42" s="1318"/>
    </row>
    <row r="43" spans="1:58" hidden="1" x14ac:dyDescent="0.25">
      <c r="A43" s="1803" t="s">
        <v>555</v>
      </c>
      <c r="B43" s="1810"/>
      <c r="C43" s="1798"/>
      <c r="D43" s="1798"/>
      <c r="E43" s="628"/>
      <c r="F43" s="636"/>
      <c r="G43" s="636"/>
      <c r="H43" s="1484"/>
      <c r="I43" s="636"/>
      <c r="J43" s="636"/>
      <c r="K43" s="636"/>
      <c r="L43" s="636"/>
      <c r="M43" s="1484"/>
      <c r="N43" s="636"/>
      <c r="O43" s="636"/>
      <c r="P43" s="636"/>
      <c r="Q43" s="636"/>
      <c r="R43" s="1318"/>
      <c r="S43" s="636"/>
      <c r="T43" s="636"/>
      <c r="U43" s="636"/>
      <c r="V43" s="636"/>
      <c r="W43" s="1318"/>
      <c r="X43" s="636"/>
      <c r="Y43" s="1196"/>
      <c r="Z43" s="636"/>
      <c r="AA43" s="1829"/>
      <c r="AB43" s="1316"/>
      <c r="AC43" s="1196"/>
      <c r="AD43" s="1196"/>
      <c r="AE43" s="1196"/>
      <c r="AF43" s="636"/>
      <c r="AG43" s="1484">
        <f t="shared" si="21"/>
        <v>0</v>
      </c>
      <c r="AH43" s="636"/>
      <c r="AI43" s="636"/>
      <c r="AJ43" s="636"/>
      <c r="AK43" s="636"/>
      <c r="AL43" s="1318"/>
      <c r="AM43" s="636"/>
      <c r="AN43" s="636"/>
      <c r="AO43" s="636"/>
      <c r="AP43" s="636"/>
      <c r="AQ43" s="1318"/>
      <c r="AR43" s="636"/>
      <c r="AS43" s="636"/>
      <c r="AT43" s="636"/>
      <c r="AU43" s="636"/>
      <c r="AV43" s="1318"/>
      <c r="AW43" s="636"/>
      <c r="AX43" s="636"/>
      <c r="AY43" s="636"/>
      <c r="AZ43" s="636"/>
      <c r="BA43" s="1318"/>
      <c r="BB43" s="636"/>
      <c r="BC43" s="636"/>
      <c r="BD43" s="636"/>
      <c r="BE43" s="636"/>
      <c r="BF43" s="1318"/>
    </row>
    <row r="44" spans="1:58" hidden="1" x14ac:dyDescent="0.25">
      <c r="A44" s="1807" t="s">
        <v>556</v>
      </c>
      <c r="B44" s="1810">
        <v>5.8700000000000002E-2</v>
      </c>
      <c r="C44" s="1809">
        <v>39381</v>
      </c>
      <c r="D44" s="1809">
        <v>41573</v>
      </c>
      <c r="E44" s="628"/>
      <c r="F44" s="1196">
        <v>17.5</v>
      </c>
      <c r="G44" s="1196">
        <v>17.5</v>
      </c>
      <c r="H44" s="1484">
        <f>G44</f>
        <v>17.5</v>
      </c>
      <c r="I44" s="1196">
        <v>17.5</v>
      </c>
      <c r="J44" s="1196">
        <v>17.5</v>
      </c>
      <c r="K44" s="1196">
        <v>17.5</v>
      </c>
      <c r="L44" s="1196">
        <v>0</v>
      </c>
      <c r="M44" s="1484">
        <f>L44</f>
        <v>0</v>
      </c>
      <c r="N44" s="1196">
        <v>0</v>
      </c>
      <c r="O44" s="1196">
        <f>N44</f>
        <v>0</v>
      </c>
      <c r="P44" s="1806">
        <f>O44</f>
        <v>0</v>
      </c>
      <c r="Q44" s="636">
        <v>0</v>
      </c>
      <c r="R44" s="1318">
        <f>Q44</f>
        <v>0</v>
      </c>
      <c r="S44" s="1196">
        <v>0</v>
      </c>
      <c r="T44" s="1196">
        <v>0</v>
      </c>
      <c r="U44" s="1196">
        <v>0</v>
      </c>
      <c r="V44" s="1196">
        <v>0</v>
      </c>
      <c r="W44" s="1318">
        <v>0</v>
      </c>
      <c r="X44" s="1196">
        <v>0</v>
      </c>
      <c r="Y44" s="1196">
        <f t="shared" ref="Y44:AA46" si="32">X44</f>
        <v>0</v>
      </c>
      <c r="Z44" s="1196">
        <f t="shared" si="32"/>
        <v>0</v>
      </c>
      <c r="AA44" s="1829">
        <f t="shared" si="32"/>
        <v>0</v>
      </c>
      <c r="AB44" s="1316">
        <v>0</v>
      </c>
      <c r="AC44" s="1196">
        <v>0</v>
      </c>
      <c r="AD44" s="1196">
        <f t="shared" ref="AD44:AF46" si="33">AC44</f>
        <v>0</v>
      </c>
      <c r="AE44" s="1196">
        <f t="shared" si="33"/>
        <v>0</v>
      </c>
      <c r="AF44" s="636">
        <f t="shared" si="33"/>
        <v>0</v>
      </c>
      <c r="AG44" s="1484">
        <f t="shared" si="21"/>
        <v>0</v>
      </c>
      <c r="AH44" s="636">
        <f t="shared" ref="AH44:AK46" si="34">AG44</f>
        <v>0</v>
      </c>
      <c r="AI44" s="636">
        <f t="shared" si="34"/>
        <v>0</v>
      </c>
      <c r="AJ44" s="636">
        <f t="shared" si="34"/>
        <v>0</v>
      </c>
      <c r="AK44" s="636">
        <f t="shared" si="34"/>
        <v>0</v>
      </c>
      <c r="AL44" s="1318">
        <v>0</v>
      </c>
      <c r="AM44" s="636">
        <f t="shared" ref="AM44:AN46" si="35">AL44</f>
        <v>0</v>
      </c>
      <c r="AN44" s="636">
        <f t="shared" si="35"/>
        <v>0</v>
      </c>
      <c r="AO44" s="636">
        <f t="shared" ref="AO44:AP46" si="36">AN44</f>
        <v>0</v>
      </c>
      <c r="AP44" s="636">
        <f t="shared" si="36"/>
        <v>0</v>
      </c>
      <c r="AQ44" s="1318">
        <v>0</v>
      </c>
      <c r="AR44" s="636">
        <f t="shared" ref="AR44:AU46" si="37">AQ44</f>
        <v>0</v>
      </c>
      <c r="AS44" s="636">
        <f t="shared" si="37"/>
        <v>0</v>
      </c>
      <c r="AT44" s="636">
        <f t="shared" si="37"/>
        <v>0</v>
      </c>
      <c r="AU44" s="636">
        <f t="shared" si="37"/>
        <v>0</v>
      </c>
      <c r="AV44" s="1318">
        <v>0</v>
      </c>
      <c r="AW44" s="636">
        <f t="shared" ref="AW44:AZ46" si="38">AV44</f>
        <v>0</v>
      </c>
      <c r="AX44" s="636">
        <f t="shared" si="38"/>
        <v>0</v>
      </c>
      <c r="AY44" s="636">
        <f t="shared" si="38"/>
        <v>0</v>
      </c>
      <c r="AZ44" s="636">
        <f t="shared" si="38"/>
        <v>0</v>
      </c>
      <c r="BA44" s="1318">
        <v>0</v>
      </c>
      <c r="BB44" s="636">
        <f t="shared" ref="BB44:BE46" si="39">BA44</f>
        <v>0</v>
      </c>
      <c r="BC44" s="636">
        <f t="shared" si="39"/>
        <v>0</v>
      </c>
      <c r="BD44" s="636">
        <f t="shared" si="39"/>
        <v>0</v>
      </c>
      <c r="BE44" s="636">
        <f t="shared" si="39"/>
        <v>0</v>
      </c>
      <c r="BF44" s="1318">
        <v>0</v>
      </c>
    </row>
    <row r="45" spans="1:58" hidden="1" x14ac:dyDescent="0.25">
      <c r="A45" s="1807" t="s">
        <v>556</v>
      </c>
      <c r="B45" s="1810">
        <v>5.8700000000000002E-2</v>
      </c>
      <c r="C45" s="1809">
        <v>39381</v>
      </c>
      <c r="D45" s="1809">
        <v>42303</v>
      </c>
      <c r="E45" s="628"/>
      <c r="F45" s="1196">
        <v>17.5</v>
      </c>
      <c r="G45" s="1196">
        <v>17.5</v>
      </c>
      <c r="H45" s="1484">
        <f>G45</f>
        <v>17.5</v>
      </c>
      <c r="I45" s="1196">
        <v>17.5</v>
      </c>
      <c r="J45" s="1196">
        <v>17.5</v>
      </c>
      <c r="K45" s="1196">
        <v>17.5</v>
      </c>
      <c r="L45" s="1196">
        <f>K45</f>
        <v>17.5</v>
      </c>
      <c r="M45" s="1484">
        <f>L45</f>
        <v>17.5</v>
      </c>
      <c r="N45" s="1196">
        <v>17.5</v>
      </c>
      <c r="O45" s="1196">
        <v>17.5</v>
      </c>
      <c r="P45" s="1804">
        <f>O45</f>
        <v>17.5</v>
      </c>
      <c r="Q45" s="636">
        <v>17.5</v>
      </c>
      <c r="R45" s="1318">
        <f>Q45</f>
        <v>17.5</v>
      </c>
      <c r="S45" s="1196">
        <f t="shared" ref="S45:V46" si="40">R45</f>
        <v>17.5</v>
      </c>
      <c r="T45" s="1196">
        <f t="shared" si="40"/>
        <v>17.5</v>
      </c>
      <c r="U45" s="1196">
        <f t="shared" si="40"/>
        <v>17.5</v>
      </c>
      <c r="V45" s="1196">
        <v>0</v>
      </c>
      <c r="W45" s="1318">
        <f>R45</f>
        <v>17.5</v>
      </c>
      <c r="X45" s="1196">
        <v>0</v>
      </c>
      <c r="Y45" s="1196">
        <f t="shared" si="32"/>
        <v>0</v>
      </c>
      <c r="Z45" s="1196">
        <f t="shared" si="32"/>
        <v>0</v>
      </c>
      <c r="AA45" s="1829">
        <f t="shared" si="32"/>
        <v>0</v>
      </c>
      <c r="AB45" s="1316">
        <f>AA45</f>
        <v>0</v>
      </c>
      <c r="AC45" s="1196">
        <v>0</v>
      </c>
      <c r="AD45" s="1196">
        <f t="shared" si="33"/>
        <v>0</v>
      </c>
      <c r="AE45" s="1196">
        <f t="shared" si="33"/>
        <v>0</v>
      </c>
      <c r="AF45" s="636">
        <f t="shared" si="33"/>
        <v>0</v>
      </c>
      <c r="AG45" s="1484">
        <f t="shared" si="21"/>
        <v>0</v>
      </c>
      <c r="AH45" s="636">
        <f t="shared" si="34"/>
        <v>0</v>
      </c>
      <c r="AI45" s="636">
        <f t="shared" si="34"/>
        <v>0</v>
      </c>
      <c r="AJ45" s="636">
        <f t="shared" si="34"/>
        <v>0</v>
      </c>
      <c r="AK45" s="636">
        <f t="shared" si="34"/>
        <v>0</v>
      </c>
      <c r="AL45" s="1318">
        <f>AK45</f>
        <v>0</v>
      </c>
      <c r="AM45" s="636">
        <f t="shared" si="35"/>
        <v>0</v>
      </c>
      <c r="AN45" s="636">
        <f t="shared" si="35"/>
        <v>0</v>
      </c>
      <c r="AO45" s="636">
        <f t="shared" si="36"/>
        <v>0</v>
      </c>
      <c r="AP45" s="636">
        <f t="shared" si="36"/>
        <v>0</v>
      </c>
      <c r="AQ45" s="1318">
        <f>AP45</f>
        <v>0</v>
      </c>
      <c r="AR45" s="636">
        <f t="shared" si="37"/>
        <v>0</v>
      </c>
      <c r="AS45" s="636">
        <f t="shared" si="37"/>
        <v>0</v>
      </c>
      <c r="AT45" s="636">
        <f t="shared" si="37"/>
        <v>0</v>
      </c>
      <c r="AU45" s="636">
        <f t="shared" si="37"/>
        <v>0</v>
      </c>
      <c r="AV45" s="1318">
        <f>AU45</f>
        <v>0</v>
      </c>
      <c r="AW45" s="636">
        <f t="shared" si="38"/>
        <v>0</v>
      </c>
      <c r="AX45" s="636">
        <f t="shared" si="38"/>
        <v>0</v>
      </c>
      <c r="AY45" s="636">
        <f t="shared" si="38"/>
        <v>0</v>
      </c>
      <c r="AZ45" s="636">
        <f t="shared" si="38"/>
        <v>0</v>
      </c>
      <c r="BA45" s="1318">
        <f>AZ45</f>
        <v>0</v>
      </c>
      <c r="BB45" s="636">
        <f t="shared" si="39"/>
        <v>0</v>
      </c>
      <c r="BC45" s="636">
        <f t="shared" si="39"/>
        <v>0</v>
      </c>
      <c r="BD45" s="636">
        <f t="shared" si="39"/>
        <v>0</v>
      </c>
      <c r="BE45" s="636">
        <f t="shared" si="39"/>
        <v>0</v>
      </c>
      <c r="BF45" s="1318">
        <f>BE45</f>
        <v>0</v>
      </c>
    </row>
    <row r="46" spans="1:58" hidden="1" x14ac:dyDescent="0.25">
      <c r="A46" s="1807" t="s">
        <v>554</v>
      </c>
      <c r="B46" s="1810">
        <v>6.3500000000000001E-2</v>
      </c>
      <c r="C46" s="1809">
        <v>39567</v>
      </c>
      <c r="D46" s="1809">
        <v>42123</v>
      </c>
      <c r="E46" s="628"/>
      <c r="F46" s="1196">
        <v>50</v>
      </c>
      <c r="G46" s="1196">
        <v>50</v>
      </c>
      <c r="H46" s="1484">
        <f t="shared" ref="H46:M46" si="41">G46</f>
        <v>50</v>
      </c>
      <c r="I46" s="1196">
        <v>50</v>
      </c>
      <c r="J46" s="1196">
        <v>50</v>
      </c>
      <c r="K46" s="1196">
        <v>50</v>
      </c>
      <c r="L46" s="1196">
        <f t="shared" si="41"/>
        <v>50</v>
      </c>
      <c r="M46" s="1484">
        <f t="shared" si="41"/>
        <v>50</v>
      </c>
      <c r="N46" s="1196">
        <v>50</v>
      </c>
      <c r="O46" s="1196">
        <v>50</v>
      </c>
      <c r="P46" s="1804">
        <v>50</v>
      </c>
      <c r="Q46" s="636">
        <v>50</v>
      </c>
      <c r="R46" s="1318">
        <f>Q46</f>
        <v>50</v>
      </c>
      <c r="S46" s="1196">
        <f t="shared" si="40"/>
        <v>50</v>
      </c>
      <c r="T46" s="1196">
        <v>0</v>
      </c>
      <c r="U46" s="1196">
        <v>0</v>
      </c>
      <c r="V46" s="1196">
        <f t="shared" si="40"/>
        <v>0</v>
      </c>
      <c r="W46" s="1318">
        <v>0</v>
      </c>
      <c r="X46" s="1196">
        <v>0</v>
      </c>
      <c r="Y46" s="1196">
        <f t="shared" si="32"/>
        <v>0</v>
      </c>
      <c r="Z46" s="1196">
        <f t="shared" si="32"/>
        <v>0</v>
      </c>
      <c r="AA46" s="1829">
        <f t="shared" si="32"/>
        <v>0</v>
      </c>
      <c r="AB46" s="1316">
        <v>0</v>
      </c>
      <c r="AC46" s="1196">
        <v>0</v>
      </c>
      <c r="AD46" s="1196">
        <f t="shared" si="33"/>
        <v>0</v>
      </c>
      <c r="AE46" s="1196">
        <f t="shared" si="33"/>
        <v>0</v>
      </c>
      <c r="AF46" s="636">
        <f t="shared" si="33"/>
        <v>0</v>
      </c>
      <c r="AG46" s="1484">
        <f t="shared" si="21"/>
        <v>0</v>
      </c>
      <c r="AH46" s="636">
        <f t="shared" si="34"/>
        <v>0</v>
      </c>
      <c r="AI46" s="636">
        <f t="shared" si="34"/>
        <v>0</v>
      </c>
      <c r="AJ46" s="636">
        <f t="shared" si="34"/>
        <v>0</v>
      </c>
      <c r="AK46" s="636">
        <f t="shared" si="34"/>
        <v>0</v>
      </c>
      <c r="AL46" s="1318">
        <v>0</v>
      </c>
      <c r="AM46" s="636">
        <f t="shared" si="35"/>
        <v>0</v>
      </c>
      <c r="AN46" s="636">
        <f t="shared" si="35"/>
        <v>0</v>
      </c>
      <c r="AO46" s="636">
        <f t="shared" si="36"/>
        <v>0</v>
      </c>
      <c r="AP46" s="636">
        <f t="shared" si="36"/>
        <v>0</v>
      </c>
      <c r="AQ46" s="1318">
        <v>0</v>
      </c>
      <c r="AR46" s="636">
        <f t="shared" si="37"/>
        <v>0</v>
      </c>
      <c r="AS46" s="636">
        <f t="shared" si="37"/>
        <v>0</v>
      </c>
      <c r="AT46" s="636">
        <f t="shared" si="37"/>
        <v>0</v>
      </c>
      <c r="AU46" s="636">
        <f t="shared" si="37"/>
        <v>0</v>
      </c>
      <c r="AV46" s="1318">
        <v>0</v>
      </c>
      <c r="AW46" s="636">
        <f t="shared" si="38"/>
        <v>0</v>
      </c>
      <c r="AX46" s="636">
        <f t="shared" si="38"/>
        <v>0</v>
      </c>
      <c r="AY46" s="636">
        <f t="shared" si="38"/>
        <v>0</v>
      </c>
      <c r="AZ46" s="636">
        <f t="shared" si="38"/>
        <v>0</v>
      </c>
      <c r="BA46" s="1318">
        <v>0</v>
      </c>
      <c r="BB46" s="636">
        <f t="shared" si="39"/>
        <v>0</v>
      </c>
      <c r="BC46" s="636">
        <f t="shared" si="39"/>
        <v>0</v>
      </c>
      <c r="BD46" s="636">
        <f t="shared" si="39"/>
        <v>0</v>
      </c>
      <c r="BE46" s="636">
        <f t="shared" si="39"/>
        <v>0</v>
      </c>
      <c r="BF46" s="1318">
        <v>0</v>
      </c>
    </row>
    <row r="47" spans="1:58" hidden="1" x14ac:dyDescent="0.25">
      <c r="A47" s="1807"/>
      <c r="B47" s="1810"/>
      <c r="C47" s="1809"/>
      <c r="D47" s="1809"/>
      <c r="E47" s="628"/>
      <c r="F47" s="1196"/>
      <c r="G47" s="1196"/>
      <c r="H47" s="1484"/>
      <c r="I47" s="636"/>
      <c r="J47" s="636"/>
      <c r="K47" s="636"/>
      <c r="L47" s="636"/>
      <c r="M47" s="1484"/>
      <c r="N47" s="636"/>
      <c r="O47" s="636"/>
      <c r="P47" s="636"/>
      <c r="Q47" s="636"/>
      <c r="R47" s="1318"/>
      <c r="S47" s="636"/>
      <c r="T47" s="636"/>
      <c r="U47" s="636"/>
      <c r="V47" s="636"/>
      <c r="W47" s="1318"/>
      <c r="X47" s="636"/>
      <c r="Y47" s="1196"/>
      <c r="Z47" s="636"/>
      <c r="AA47" s="1829"/>
      <c r="AB47" s="1316"/>
      <c r="AC47" s="1196"/>
      <c r="AD47" s="1196"/>
      <c r="AE47" s="1196"/>
      <c r="AF47" s="636"/>
      <c r="AG47" s="1484">
        <f t="shared" si="21"/>
        <v>0</v>
      </c>
      <c r="AH47" s="636"/>
      <c r="AI47" s="636"/>
      <c r="AJ47" s="636"/>
      <c r="AK47" s="636"/>
      <c r="AL47" s="1318"/>
      <c r="AM47" s="636"/>
      <c r="AN47" s="636"/>
      <c r="AO47" s="636"/>
      <c r="AP47" s="636"/>
      <c r="AQ47" s="1318"/>
      <c r="AR47" s="636"/>
      <c r="AS47" s="636"/>
      <c r="AT47" s="636"/>
      <c r="AU47" s="636"/>
      <c r="AV47" s="1318"/>
      <c r="AW47" s="636"/>
      <c r="AX47" s="636"/>
      <c r="AY47" s="636"/>
      <c r="AZ47" s="636"/>
      <c r="BA47" s="1318"/>
      <c r="BB47" s="636"/>
      <c r="BC47" s="636"/>
      <c r="BD47" s="636"/>
      <c r="BE47" s="636"/>
      <c r="BF47" s="1318"/>
    </row>
    <row r="48" spans="1:58" hidden="1" x14ac:dyDescent="0.25">
      <c r="A48" s="1803"/>
      <c r="B48" s="1810"/>
      <c r="C48" s="1798"/>
      <c r="D48" s="1798"/>
      <c r="E48" s="628"/>
      <c r="F48" s="1196"/>
      <c r="G48" s="1196"/>
      <c r="H48" s="1484"/>
      <c r="I48" s="636"/>
      <c r="J48" s="636"/>
      <c r="K48" s="636"/>
      <c r="L48" s="636"/>
      <c r="M48" s="1484"/>
      <c r="N48" s="636"/>
      <c r="O48" s="636"/>
      <c r="P48" s="636"/>
      <c r="Q48" s="636"/>
      <c r="R48" s="1318"/>
      <c r="S48" s="636"/>
      <c r="T48" s="636"/>
      <c r="U48" s="636"/>
      <c r="V48" s="636"/>
      <c r="W48" s="1318"/>
      <c r="X48" s="636"/>
      <c r="Y48" s="1196"/>
      <c r="Z48" s="636"/>
      <c r="AA48" s="1829"/>
      <c r="AB48" s="1316"/>
      <c r="AC48" s="1196"/>
      <c r="AD48" s="1196"/>
      <c r="AE48" s="1196"/>
      <c r="AF48" s="636"/>
      <c r="AG48" s="1484">
        <f t="shared" si="21"/>
        <v>0</v>
      </c>
      <c r="AH48" s="636"/>
      <c r="AI48" s="636"/>
      <c r="AJ48" s="636"/>
      <c r="AK48" s="636"/>
      <c r="AL48" s="1318"/>
      <c r="AM48" s="636"/>
      <c r="AN48" s="636"/>
      <c r="AO48" s="636"/>
      <c r="AP48" s="636"/>
      <c r="AQ48" s="1318"/>
      <c r="AR48" s="636"/>
      <c r="AS48" s="636"/>
      <c r="AT48" s="636"/>
      <c r="AU48" s="636"/>
      <c r="AV48" s="1318"/>
      <c r="AW48" s="636"/>
      <c r="AX48" s="636"/>
      <c r="AY48" s="636"/>
      <c r="AZ48" s="636"/>
      <c r="BA48" s="1318"/>
      <c r="BB48" s="636"/>
      <c r="BC48" s="636"/>
      <c r="BD48" s="636"/>
      <c r="BE48" s="636"/>
      <c r="BF48" s="1318"/>
    </row>
    <row r="49" spans="1:58" hidden="1" x14ac:dyDescent="0.25">
      <c r="A49" s="1803"/>
      <c r="B49" s="1810"/>
      <c r="C49" s="1798"/>
      <c r="D49" s="1798"/>
      <c r="E49" s="628"/>
      <c r="F49" s="1196"/>
      <c r="G49" s="1196"/>
      <c r="H49" s="1484"/>
      <c r="I49" s="636"/>
      <c r="J49" s="636"/>
      <c r="K49" s="636"/>
      <c r="L49" s="636"/>
      <c r="M49" s="1484"/>
      <c r="N49" s="636"/>
      <c r="O49" s="636"/>
      <c r="P49" s="636"/>
      <c r="Q49" s="636"/>
      <c r="R49" s="1318"/>
      <c r="S49" s="636"/>
      <c r="T49" s="636"/>
      <c r="U49" s="636"/>
      <c r="V49" s="636"/>
      <c r="W49" s="1318"/>
      <c r="X49" s="636"/>
      <c r="Y49" s="1196"/>
      <c r="Z49" s="636"/>
      <c r="AA49" s="1829"/>
      <c r="AB49" s="1316"/>
      <c r="AC49" s="1196"/>
      <c r="AD49" s="1196"/>
      <c r="AE49" s="1196"/>
      <c r="AF49" s="636"/>
      <c r="AG49" s="1484">
        <f t="shared" si="21"/>
        <v>0</v>
      </c>
      <c r="AH49" s="636"/>
      <c r="AI49" s="636"/>
      <c r="AJ49" s="636"/>
      <c r="AK49" s="636"/>
      <c r="AL49" s="1318"/>
      <c r="AM49" s="636"/>
      <c r="AN49" s="636"/>
      <c r="AO49" s="636"/>
      <c r="AP49" s="636"/>
      <c r="AQ49" s="1318"/>
      <c r="AR49" s="636"/>
      <c r="AS49" s="636"/>
      <c r="AT49" s="636"/>
      <c r="AU49" s="636"/>
      <c r="AV49" s="1318"/>
      <c r="AW49" s="636"/>
      <c r="AX49" s="636"/>
      <c r="AY49" s="636"/>
      <c r="AZ49" s="636"/>
      <c r="BA49" s="1318"/>
      <c r="BB49" s="636"/>
      <c r="BC49" s="636"/>
      <c r="BD49" s="636"/>
      <c r="BE49" s="636"/>
      <c r="BF49" s="1318"/>
    </row>
    <row r="50" spans="1:58" hidden="1" x14ac:dyDescent="0.25">
      <c r="A50" s="1803" t="s">
        <v>535</v>
      </c>
      <c r="B50" s="1810">
        <v>6.4600000000000005E-2</v>
      </c>
      <c r="C50" s="1809">
        <v>39930</v>
      </c>
      <c r="D50" s="1809">
        <v>41391</v>
      </c>
      <c r="E50" s="628"/>
      <c r="F50" s="1196">
        <v>30</v>
      </c>
      <c r="G50" s="1196">
        <v>30</v>
      </c>
      <c r="H50" s="1484">
        <f>G50</f>
        <v>30</v>
      </c>
      <c r="I50" s="1196">
        <v>30</v>
      </c>
      <c r="J50" s="1196">
        <v>0</v>
      </c>
      <c r="K50" s="1196">
        <v>0</v>
      </c>
      <c r="L50" s="1196">
        <f t="shared" ref="L50:Q50" si="42">K50</f>
        <v>0</v>
      </c>
      <c r="M50" s="1484">
        <f t="shared" si="42"/>
        <v>0</v>
      </c>
      <c r="N50" s="1196">
        <f>M50</f>
        <v>0</v>
      </c>
      <c r="O50" s="1196">
        <f t="shared" si="42"/>
        <v>0</v>
      </c>
      <c r="P50" s="1806">
        <f t="shared" si="42"/>
        <v>0</v>
      </c>
      <c r="Q50" s="636">
        <f t="shared" si="42"/>
        <v>0</v>
      </c>
      <c r="R50" s="1318">
        <f>Q50</f>
        <v>0</v>
      </c>
      <c r="S50" s="1196">
        <v>0</v>
      </c>
      <c r="T50" s="1196">
        <v>0</v>
      </c>
      <c r="U50" s="1196">
        <v>0</v>
      </c>
      <c r="V50" s="1196">
        <v>0</v>
      </c>
      <c r="W50" s="1318">
        <v>0</v>
      </c>
      <c r="X50" s="1196">
        <v>0</v>
      </c>
      <c r="Y50" s="1196">
        <f>X50</f>
        <v>0</v>
      </c>
      <c r="Z50" s="1196">
        <v>0</v>
      </c>
      <c r="AA50" s="1829">
        <f>Z50</f>
        <v>0</v>
      </c>
      <c r="AB50" s="1316">
        <v>0</v>
      </c>
      <c r="AC50" s="1196">
        <v>0</v>
      </c>
      <c r="AD50" s="1196">
        <f>AC50</f>
        <v>0</v>
      </c>
      <c r="AE50" s="1196">
        <f>AD50</f>
        <v>0</v>
      </c>
      <c r="AF50" s="636">
        <f>AE50</f>
        <v>0</v>
      </c>
      <c r="AG50" s="1484">
        <f t="shared" si="21"/>
        <v>0</v>
      </c>
      <c r="AH50" s="636">
        <f>AG50</f>
        <v>0</v>
      </c>
      <c r="AI50" s="636">
        <f>AH50</f>
        <v>0</v>
      </c>
      <c r="AJ50" s="636">
        <f>AI50</f>
        <v>0</v>
      </c>
      <c r="AK50" s="636">
        <f>AJ50</f>
        <v>0</v>
      </c>
      <c r="AL50" s="1318">
        <v>0</v>
      </c>
      <c r="AM50" s="636">
        <f>AL50</f>
        <v>0</v>
      </c>
      <c r="AN50" s="636">
        <f>AM50</f>
        <v>0</v>
      </c>
      <c r="AO50" s="636">
        <f>AN50</f>
        <v>0</v>
      </c>
      <c r="AP50" s="636">
        <f>AO50</f>
        <v>0</v>
      </c>
      <c r="AQ50" s="1318">
        <v>0</v>
      </c>
      <c r="AR50" s="636">
        <f>AQ50</f>
        <v>0</v>
      </c>
      <c r="AS50" s="636">
        <f>AR50</f>
        <v>0</v>
      </c>
      <c r="AT50" s="636">
        <f>AS50</f>
        <v>0</v>
      </c>
      <c r="AU50" s="636">
        <f>AT50</f>
        <v>0</v>
      </c>
      <c r="AV50" s="1318">
        <v>0</v>
      </c>
      <c r="AW50" s="636">
        <f>AV50</f>
        <v>0</v>
      </c>
      <c r="AX50" s="636">
        <f>AW50</f>
        <v>0</v>
      </c>
      <c r="AY50" s="636">
        <f>AX50</f>
        <v>0</v>
      </c>
      <c r="AZ50" s="636">
        <f>AY50</f>
        <v>0</v>
      </c>
      <c r="BA50" s="1318">
        <v>0</v>
      </c>
      <c r="BB50" s="636">
        <f>BA50</f>
        <v>0</v>
      </c>
      <c r="BC50" s="636">
        <f>BB50</f>
        <v>0</v>
      </c>
      <c r="BD50" s="636">
        <f>BC50</f>
        <v>0</v>
      </c>
      <c r="BE50" s="636">
        <f>BD50</f>
        <v>0</v>
      </c>
      <c r="BF50" s="1318">
        <v>0</v>
      </c>
    </row>
    <row r="51" spans="1:58" x14ac:dyDescent="0.25">
      <c r="A51" s="1803"/>
      <c r="B51" s="1810"/>
      <c r="C51" s="1809"/>
      <c r="D51" s="1809"/>
      <c r="E51" s="628"/>
      <c r="F51" s="636"/>
      <c r="G51" s="636"/>
      <c r="H51" s="1484"/>
      <c r="I51" s="636"/>
      <c r="J51" s="1196"/>
      <c r="K51" s="636"/>
      <c r="L51" s="636"/>
      <c r="M51" s="1484"/>
      <c r="N51" s="636"/>
      <c r="O51" s="636"/>
      <c r="P51" s="636"/>
      <c r="Q51" s="636"/>
      <c r="R51" s="1484"/>
      <c r="S51" s="636"/>
      <c r="T51" s="636"/>
      <c r="U51" s="636"/>
      <c r="V51" s="636"/>
      <c r="W51" s="1484"/>
      <c r="X51" s="636"/>
      <c r="Y51" s="636"/>
      <c r="Z51" s="636"/>
      <c r="AA51" s="1829"/>
      <c r="AB51" s="1316"/>
      <c r="AC51" s="636"/>
      <c r="AD51" s="1196"/>
      <c r="AE51" s="1196"/>
      <c r="AF51" s="636"/>
      <c r="AG51" s="1484"/>
      <c r="AH51" s="636"/>
      <c r="AI51" s="636"/>
      <c r="AJ51" s="636"/>
      <c r="AK51" s="636"/>
      <c r="AL51" s="1318"/>
      <c r="AM51" s="636"/>
      <c r="AN51" s="636"/>
      <c r="AO51" s="636"/>
      <c r="AP51" s="636"/>
      <c r="AQ51" s="1318"/>
      <c r="AR51" s="636"/>
      <c r="AS51" s="636"/>
      <c r="AT51" s="636"/>
      <c r="AU51" s="636"/>
      <c r="AV51" s="1318"/>
      <c r="AW51" s="636"/>
      <c r="AX51" s="636"/>
      <c r="AY51" s="636"/>
      <c r="AZ51" s="636"/>
      <c r="BA51" s="1318"/>
      <c r="BB51" s="636"/>
      <c r="BC51" s="636"/>
      <c r="BD51" s="636"/>
      <c r="BE51" s="636"/>
      <c r="BF51" s="1318"/>
    </row>
    <row r="52" spans="1:58" x14ac:dyDescent="0.25">
      <c r="A52" s="1803" t="s">
        <v>557</v>
      </c>
      <c r="B52" s="1810">
        <v>0.04</v>
      </c>
      <c r="C52" s="1809">
        <v>42139</v>
      </c>
      <c r="D52" s="1809">
        <v>45792</v>
      </c>
      <c r="E52" s="628"/>
      <c r="F52" s="636"/>
      <c r="G52" s="636"/>
      <c r="H52" s="1484"/>
      <c r="I52" s="636"/>
      <c r="J52" s="1196"/>
      <c r="K52" s="636"/>
      <c r="L52" s="636"/>
      <c r="M52" s="1484"/>
      <c r="N52" s="636"/>
      <c r="O52" s="636"/>
      <c r="P52" s="636"/>
      <c r="Q52" s="636"/>
      <c r="R52" s="1484"/>
      <c r="S52" s="636"/>
      <c r="T52" s="636"/>
      <c r="U52" s="636"/>
      <c r="V52" s="636"/>
      <c r="W52" s="1484"/>
      <c r="X52" s="636"/>
      <c r="Y52" s="1196">
        <v>895.22699999999998</v>
      </c>
      <c r="Z52" s="1196">
        <v>895.34799999999996</v>
      </c>
      <c r="AA52" s="1196">
        <v>895.46799999999996</v>
      </c>
      <c r="AB52" s="1318">
        <f>AA52</f>
        <v>895.46799999999996</v>
      </c>
      <c r="AC52" s="1196">
        <v>888.69100000000003</v>
      </c>
      <c r="AD52" s="1196">
        <v>889.00099999999998</v>
      </c>
      <c r="AE52" s="1196">
        <v>889.31100000000004</v>
      </c>
      <c r="AF52" s="1196">
        <v>889.6</v>
      </c>
      <c r="AG52" s="1484">
        <f t="shared" ref="AG52:AL53" si="43">AF52</f>
        <v>889.6</v>
      </c>
      <c r="AH52" s="1900">
        <v>889.9</v>
      </c>
      <c r="AI52" s="1900">
        <v>890.2</v>
      </c>
      <c r="AJ52" s="1951">
        <v>890.5</v>
      </c>
      <c r="AK52" s="1951">
        <v>890.9</v>
      </c>
      <c r="AL52" s="1318">
        <f t="shared" si="43"/>
        <v>890.9</v>
      </c>
      <c r="AM52" s="636">
        <f t="shared" ref="AM52:BF52" si="44">AL52</f>
        <v>890.9</v>
      </c>
      <c r="AN52" s="636">
        <f t="shared" si="44"/>
        <v>890.9</v>
      </c>
      <c r="AO52" s="636">
        <f t="shared" si="44"/>
        <v>890.9</v>
      </c>
      <c r="AP52" s="636">
        <f t="shared" si="44"/>
        <v>890.9</v>
      </c>
      <c r="AQ52" s="1318">
        <f t="shared" si="44"/>
        <v>890.9</v>
      </c>
      <c r="AR52" s="636">
        <f t="shared" si="44"/>
        <v>890.9</v>
      </c>
      <c r="AS52" s="636">
        <f t="shared" si="44"/>
        <v>890.9</v>
      </c>
      <c r="AT52" s="636">
        <f t="shared" si="44"/>
        <v>890.9</v>
      </c>
      <c r="AU52" s="636">
        <f t="shared" si="44"/>
        <v>890.9</v>
      </c>
      <c r="AV52" s="1318">
        <f t="shared" si="44"/>
        <v>890.9</v>
      </c>
      <c r="AW52" s="636">
        <f t="shared" si="44"/>
        <v>890.9</v>
      </c>
      <c r="AX52" s="636">
        <f t="shared" si="44"/>
        <v>890.9</v>
      </c>
      <c r="AY52" s="636">
        <f t="shared" si="44"/>
        <v>890.9</v>
      </c>
      <c r="AZ52" s="636">
        <f t="shared" si="44"/>
        <v>890.9</v>
      </c>
      <c r="BA52" s="1318">
        <f t="shared" si="44"/>
        <v>890.9</v>
      </c>
      <c r="BB52" s="636">
        <f t="shared" si="44"/>
        <v>890.9</v>
      </c>
      <c r="BC52" s="636">
        <f t="shared" si="44"/>
        <v>890.9</v>
      </c>
      <c r="BD52" s="636">
        <f t="shared" si="44"/>
        <v>890.9</v>
      </c>
      <c r="BE52" s="636">
        <f t="shared" si="44"/>
        <v>890.9</v>
      </c>
      <c r="BF52" s="1318">
        <f t="shared" si="44"/>
        <v>890.9</v>
      </c>
    </row>
    <row r="53" spans="1:58" x14ac:dyDescent="0.25">
      <c r="A53" s="1803" t="s">
        <v>558</v>
      </c>
      <c r="B53" s="1810">
        <v>5.5E-2</v>
      </c>
      <c r="C53" s="1809">
        <v>42139</v>
      </c>
      <c r="D53" s="1809">
        <v>53097</v>
      </c>
      <c r="E53" s="628"/>
      <c r="F53" s="636"/>
      <c r="G53" s="636"/>
      <c r="H53" s="1484"/>
      <c r="I53" s="636"/>
      <c r="J53" s="1196"/>
      <c r="K53" s="636"/>
      <c r="L53" s="636"/>
      <c r="M53" s="1484"/>
      <c r="N53" s="636"/>
      <c r="O53" s="636"/>
      <c r="P53" s="636"/>
      <c r="Q53" s="636"/>
      <c r="R53" s="1484"/>
      <c r="S53" s="636"/>
      <c r="T53" s="636"/>
      <c r="U53" s="636"/>
      <c r="V53" s="636"/>
      <c r="W53" s="1484"/>
      <c r="X53" s="636"/>
      <c r="Y53" s="1196">
        <v>348.80500000000001</v>
      </c>
      <c r="Z53" s="1196">
        <v>348.815</v>
      </c>
      <c r="AA53" s="1196">
        <v>348.82499999999999</v>
      </c>
      <c r="AB53" s="1318">
        <f>AA53</f>
        <v>348.82499999999999</v>
      </c>
      <c r="AC53" s="1196">
        <v>344.81799999999998</v>
      </c>
      <c r="AD53" s="1196">
        <v>344.86200000000002</v>
      </c>
      <c r="AE53" s="1196">
        <v>344.90600000000001</v>
      </c>
      <c r="AF53" s="1196">
        <v>345</v>
      </c>
      <c r="AG53" s="1484">
        <f t="shared" si="43"/>
        <v>345</v>
      </c>
      <c r="AH53" s="1900">
        <v>345</v>
      </c>
      <c r="AI53" s="1900">
        <v>345</v>
      </c>
      <c r="AJ53" s="1951">
        <v>345.1</v>
      </c>
      <c r="AK53" s="1951">
        <v>345.1</v>
      </c>
      <c r="AL53" s="1318">
        <f t="shared" si="43"/>
        <v>345.1</v>
      </c>
      <c r="AM53" s="636">
        <f t="shared" ref="AM53:BF53" si="45">AL53</f>
        <v>345.1</v>
      </c>
      <c r="AN53" s="636">
        <f t="shared" si="45"/>
        <v>345.1</v>
      </c>
      <c r="AO53" s="636">
        <f t="shared" si="45"/>
        <v>345.1</v>
      </c>
      <c r="AP53" s="636">
        <f t="shared" si="45"/>
        <v>345.1</v>
      </c>
      <c r="AQ53" s="1318">
        <f t="shared" si="45"/>
        <v>345.1</v>
      </c>
      <c r="AR53" s="636">
        <f t="shared" si="45"/>
        <v>345.1</v>
      </c>
      <c r="AS53" s="636">
        <f t="shared" si="45"/>
        <v>345.1</v>
      </c>
      <c r="AT53" s="636">
        <f t="shared" si="45"/>
        <v>345.1</v>
      </c>
      <c r="AU53" s="636">
        <f t="shared" si="45"/>
        <v>345.1</v>
      </c>
      <c r="AV53" s="1318">
        <f t="shared" si="45"/>
        <v>345.1</v>
      </c>
      <c r="AW53" s="636">
        <f t="shared" si="45"/>
        <v>345.1</v>
      </c>
      <c r="AX53" s="636">
        <f t="shared" si="45"/>
        <v>345.1</v>
      </c>
      <c r="AY53" s="636">
        <f t="shared" si="45"/>
        <v>345.1</v>
      </c>
      <c r="AZ53" s="636">
        <f t="shared" si="45"/>
        <v>345.1</v>
      </c>
      <c r="BA53" s="1318">
        <f t="shared" si="45"/>
        <v>345.1</v>
      </c>
      <c r="BB53" s="636">
        <f t="shared" si="45"/>
        <v>345.1</v>
      </c>
      <c r="BC53" s="636">
        <f t="shared" si="45"/>
        <v>345.1</v>
      </c>
      <c r="BD53" s="636">
        <f t="shared" si="45"/>
        <v>345.1</v>
      </c>
      <c r="BE53" s="636">
        <f t="shared" si="45"/>
        <v>345.1</v>
      </c>
      <c r="BF53" s="1318">
        <f t="shared" si="45"/>
        <v>345.1</v>
      </c>
    </row>
    <row r="54" spans="1:58" x14ac:dyDescent="0.25">
      <c r="A54" s="1803"/>
      <c r="B54" s="1810"/>
      <c r="C54" s="1798"/>
      <c r="D54" s="1798"/>
      <c r="E54" s="628"/>
      <c r="F54" s="1196"/>
      <c r="G54" s="1196"/>
      <c r="H54" s="1484"/>
      <c r="I54" s="636"/>
      <c r="J54" s="1196"/>
      <c r="K54" s="636"/>
      <c r="L54" s="636"/>
      <c r="M54" s="1484"/>
      <c r="N54" s="636"/>
      <c r="O54" s="636"/>
      <c r="P54" s="636"/>
      <c r="Q54" s="636"/>
      <c r="R54" s="1484"/>
      <c r="S54" s="636"/>
      <c r="T54" s="636"/>
      <c r="U54" s="636"/>
      <c r="V54" s="636"/>
      <c r="W54" s="1484"/>
      <c r="X54" s="636"/>
      <c r="Y54" s="636"/>
      <c r="Z54" s="636"/>
      <c r="AA54" s="636"/>
      <c r="AB54" s="1484"/>
      <c r="AC54" s="636"/>
      <c r="AD54" s="636"/>
      <c r="AE54" s="636"/>
      <c r="AF54" s="636"/>
      <c r="AG54" s="1484"/>
      <c r="AH54" s="636"/>
      <c r="AI54" s="636"/>
      <c r="AJ54" s="636"/>
      <c r="AK54" s="636"/>
      <c r="AL54" s="1484"/>
      <c r="AM54" s="636"/>
      <c r="AN54" s="636"/>
      <c r="AO54" s="636"/>
      <c r="AP54" s="636"/>
      <c r="AQ54" s="1484"/>
      <c r="AR54" s="636"/>
      <c r="AS54" s="636"/>
      <c r="AT54" s="636"/>
      <c r="AU54" s="636"/>
      <c r="AV54" s="1484"/>
      <c r="AW54" s="636"/>
      <c r="AX54" s="636"/>
      <c r="AY54" s="636"/>
      <c r="AZ54" s="636"/>
      <c r="BA54" s="1484"/>
      <c r="BB54" s="636"/>
      <c r="BC54" s="636"/>
      <c r="BD54" s="636"/>
      <c r="BE54" s="636"/>
      <c r="BF54" s="1484"/>
    </row>
    <row r="55" spans="1:58" x14ac:dyDescent="0.25">
      <c r="A55" s="1803" t="s">
        <v>542</v>
      </c>
      <c r="B55" s="1810"/>
      <c r="C55" s="1809" t="s">
        <v>530</v>
      </c>
      <c r="D55" s="1809" t="s">
        <v>530</v>
      </c>
      <c r="E55" s="628"/>
      <c r="F55" s="636">
        <v>4.5730000000000004</v>
      </c>
      <c r="G55" s="636">
        <f>1.506+2.169</f>
        <v>3.6749999999999998</v>
      </c>
      <c r="H55" s="1484">
        <f>G55</f>
        <v>3.6749999999999998</v>
      </c>
      <c r="I55" s="636">
        <v>2.5169999999999999</v>
      </c>
      <c r="J55" s="1196">
        <v>2.5169999999999999</v>
      </c>
      <c r="K55" s="636">
        <v>2.4550000000000001</v>
      </c>
      <c r="L55" s="636">
        <v>1.7529999999999999</v>
      </c>
      <c r="M55" s="1484">
        <f>L55</f>
        <v>1.7529999999999999</v>
      </c>
      <c r="N55" s="636">
        <v>1.8779999999999999</v>
      </c>
      <c r="O55" s="636">
        <v>2.141</v>
      </c>
      <c r="P55" s="636">
        <v>6.2210000000000001</v>
      </c>
      <c r="Q55" s="636">
        <v>6.31</v>
      </c>
      <c r="R55" s="1484">
        <f>Q55</f>
        <v>6.31</v>
      </c>
      <c r="S55" s="636">
        <v>5.6829999999999998</v>
      </c>
      <c r="T55" s="636">
        <v>5.1559999999999997</v>
      </c>
      <c r="U55" s="636">
        <v>5.5369999999999999</v>
      </c>
      <c r="V55" s="636">
        <v>5.0259999999999998</v>
      </c>
      <c r="W55" s="1484">
        <f>R55</f>
        <v>6.31</v>
      </c>
      <c r="X55" s="636">
        <v>4.3289999999999997</v>
      </c>
      <c r="Y55" s="1196">
        <v>3.6230000000000002</v>
      </c>
      <c r="Z55" s="1196">
        <v>2.34</v>
      </c>
      <c r="AA55" s="1196">
        <v>2.3170000000000002</v>
      </c>
      <c r="AB55" s="1318">
        <f>AA55</f>
        <v>2.3170000000000002</v>
      </c>
      <c r="AC55" s="1196">
        <f>2.164-5.24</f>
        <v>-3.0760000000000001</v>
      </c>
      <c r="AD55" s="1196">
        <f>1.973-4.708</f>
        <v>-2.7350000000000003</v>
      </c>
      <c r="AE55" s="1196">
        <f>7.332-4.467</f>
        <v>2.8650000000000002</v>
      </c>
      <c r="AF55" s="1196">
        <f>7.1-4.2</f>
        <v>2.8999999999999995</v>
      </c>
      <c r="AG55" s="1484">
        <f t="shared" ref="AG55:AL55" si="46">AF55</f>
        <v>2.8999999999999995</v>
      </c>
      <c r="AH55" s="1900">
        <f>6.8-4</f>
        <v>2.8</v>
      </c>
      <c r="AI55" s="1900">
        <f>1.9-4.2</f>
        <v>-2.3000000000000003</v>
      </c>
      <c r="AJ55" s="1951">
        <f>3.1-4.2</f>
        <v>-1.1000000000000001</v>
      </c>
      <c r="AK55" s="1951">
        <f>7.6-3.8</f>
        <v>3.8</v>
      </c>
      <c r="AL55" s="1318">
        <f t="shared" si="46"/>
        <v>3.8</v>
      </c>
      <c r="AM55" s="636">
        <f t="shared" ref="AM55:BF55" si="47">AL55</f>
        <v>3.8</v>
      </c>
      <c r="AN55" s="636">
        <f t="shared" si="47"/>
        <v>3.8</v>
      </c>
      <c r="AO55" s="636">
        <f t="shared" si="47"/>
        <v>3.8</v>
      </c>
      <c r="AP55" s="636">
        <f t="shared" si="47"/>
        <v>3.8</v>
      </c>
      <c r="AQ55" s="1318">
        <f t="shared" si="47"/>
        <v>3.8</v>
      </c>
      <c r="AR55" s="636">
        <f t="shared" si="47"/>
        <v>3.8</v>
      </c>
      <c r="AS55" s="636">
        <f t="shared" si="47"/>
        <v>3.8</v>
      </c>
      <c r="AT55" s="636">
        <f t="shared" si="47"/>
        <v>3.8</v>
      </c>
      <c r="AU55" s="636">
        <f t="shared" si="47"/>
        <v>3.8</v>
      </c>
      <c r="AV55" s="1318">
        <f t="shared" si="47"/>
        <v>3.8</v>
      </c>
      <c r="AW55" s="636">
        <f t="shared" si="47"/>
        <v>3.8</v>
      </c>
      <c r="AX55" s="636">
        <f t="shared" si="47"/>
        <v>3.8</v>
      </c>
      <c r="AY55" s="636">
        <f t="shared" si="47"/>
        <v>3.8</v>
      </c>
      <c r="AZ55" s="636">
        <f t="shared" si="47"/>
        <v>3.8</v>
      </c>
      <c r="BA55" s="1318">
        <f t="shared" si="47"/>
        <v>3.8</v>
      </c>
      <c r="BB55" s="636">
        <f t="shared" si="47"/>
        <v>3.8</v>
      </c>
      <c r="BC55" s="636">
        <f t="shared" si="47"/>
        <v>3.8</v>
      </c>
      <c r="BD55" s="636">
        <f t="shared" si="47"/>
        <v>3.8</v>
      </c>
      <c r="BE55" s="636">
        <f t="shared" si="47"/>
        <v>3.8</v>
      </c>
      <c r="BF55" s="1318">
        <f t="shared" si="47"/>
        <v>3.8</v>
      </c>
    </row>
    <row r="56" spans="1:58" x14ac:dyDescent="0.25">
      <c r="A56" s="628"/>
      <c r="B56" s="1810"/>
      <c r="C56" s="1798"/>
      <c r="D56" s="1798"/>
      <c r="E56" s="628"/>
      <c r="F56" s="636"/>
      <c r="G56" s="636"/>
      <c r="H56" s="1484"/>
      <c r="I56" s="636"/>
      <c r="J56" s="1196"/>
      <c r="K56" s="636"/>
      <c r="L56" s="636"/>
      <c r="M56" s="1484"/>
      <c r="N56" s="636"/>
      <c r="O56" s="636"/>
      <c r="P56" s="636"/>
      <c r="Q56" s="636"/>
      <c r="R56" s="1484"/>
      <c r="S56" s="636"/>
      <c r="T56" s="636"/>
      <c r="U56" s="636"/>
      <c r="V56" s="636"/>
      <c r="W56" s="1484"/>
      <c r="X56" s="636"/>
      <c r="Y56" s="636"/>
      <c r="Z56" s="636"/>
      <c r="AA56" s="636"/>
      <c r="AB56" s="1484"/>
      <c r="AC56" s="636"/>
      <c r="AD56" s="636"/>
      <c r="AE56" s="636"/>
      <c r="AF56" s="636"/>
      <c r="AG56" s="1484"/>
      <c r="AH56" s="636"/>
      <c r="AI56" s="636"/>
      <c r="AJ56" s="636"/>
      <c r="AK56" s="636"/>
      <c r="AL56" s="1484"/>
      <c r="AM56" s="636"/>
      <c r="AN56" s="636"/>
      <c r="AO56" s="636"/>
      <c r="AP56" s="636"/>
      <c r="AQ56" s="1484"/>
      <c r="AR56" s="636"/>
      <c r="AS56" s="636"/>
      <c r="AT56" s="636"/>
      <c r="AU56" s="636"/>
      <c r="AV56" s="1484"/>
      <c r="AW56" s="636"/>
      <c r="AX56" s="636"/>
      <c r="AY56" s="636"/>
      <c r="AZ56" s="636"/>
      <c r="BA56" s="1484"/>
      <c r="BB56" s="636"/>
      <c r="BC56" s="636"/>
      <c r="BD56" s="636"/>
      <c r="BE56" s="636"/>
      <c r="BF56" s="1484"/>
    </row>
    <row r="57" spans="1:58" x14ac:dyDescent="0.25">
      <c r="A57" s="1515" t="s">
        <v>559</v>
      </c>
      <c r="B57" s="1825"/>
      <c r="C57" s="1799"/>
      <c r="D57" s="1799"/>
      <c r="E57" s="1515"/>
      <c r="F57" s="1223">
        <f>SUM(F24:F55)</f>
        <v>853.58</v>
      </c>
      <c r="G57" s="1223">
        <f t="shared" ref="G57:AF57" si="48">SUM(G24:G55)</f>
        <v>1100.3320000000001</v>
      </c>
      <c r="H57" s="1815">
        <f t="shared" si="48"/>
        <v>1100.3320000000001</v>
      </c>
      <c r="I57" s="1223">
        <f t="shared" si="48"/>
        <v>1099.2850000000001</v>
      </c>
      <c r="J57" s="1223">
        <f t="shared" si="48"/>
        <v>1054.395</v>
      </c>
      <c r="K57" s="1223">
        <f t="shared" si="48"/>
        <v>1301.6779999999999</v>
      </c>
      <c r="L57" s="1223">
        <f t="shared" si="48"/>
        <v>1266.162</v>
      </c>
      <c r="M57" s="1815">
        <f>SUM(M24:M55)</f>
        <v>1266.162</v>
      </c>
      <c r="N57" s="1223">
        <f>SUM(N24:N55)</f>
        <v>1266.4669999999999</v>
      </c>
      <c r="O57" s="1830">
        <f>SUM(O24:O55)</f>
        <v>1266.9100000000001</v>
      </c>
      <c r="P57" s="1223">
        <f>SUM(P24:P55)</f>
        <v>1271.17</v>
      </c>
      <c r="Q57" s="1223">
        <f>SUM(Q24:Q55)</f>
        <v>1271.4389999999999</v>
      </c>
      <c r="R57" s="1815">
        <f t="shared" si="48"/>
        <v>1271.4389999999999</v>
      </c>
      <c r="S57" s="1223">
        <f t="shared" si="48"/>
        <v>1270.992</v>
      </c>
      <c r="T57" s="1223">
        <f>SUM(T24:T55)</f>
        <v>1135.645</v>
      </c>
      <c r="U57" s="1830">
        <f t="shared" si="48"/>
        <v>1136.2050000000002</v>
      </c>
      <c r="V57" s="1223">
        <f t="shared" si="48"/>
        <v>1100.874</v>
      </c>
      <c r="W57" s="1815">
        <f>V57</f>
        <v>1100.874</v>
      </c>
      <c r="X57" s="1223">
        <f t="shared" ref="X57:AC57" si="49">SUM(X24:X55)</f>
        <v>1100.3579999999999</v>
      </c>
      <c r="Y57" s="1830">
        <f t="shared" si="49"/>
        <v>2293.864</v>
      </c>
      <c r="Z57" s="1830">
        <f t="shared" si="49"/>
        <v>2292.8920000000003</v>
      </c>
      <c r="AA57" s="1223">
        <f t="shared" si="49"/>
        <v>2293.1789999999996</v>
      </c>
      <c r="AB57" s="1815">
        <f t="shared" si="49"/>
        <v>2293.1789999999996</v>
      </c>
      <c r="AC57" s="1831">
        <f t="shared" si="49"/>
        <v>2271.8789999999999</v>
      </c>
      <c r="AD57" s="1223">
        <f t="shared" si="48"/>
        <v>2273.0319999999997</v>
      </c>
      <c r="AE57" s="1223">
        <f t="shared" si="48"/>
        <v>2279.4429999999998</v>
      </c>
      <c r="AF57" s="1223">
        <f t="shared" si="48"/>
        <v>2280.2000000000003</v>
      </c>
      <c r="AG57" s="1815">
        <f>SUM(AG24:AG55)</f>
        <v>2280.2000000000003</v>
      </c>
      <c r="AH57" s="1223">
        <f t="shared" ref="AH57:AM57" si="50">SUM(AH24:AH55)</f>
        <v>2281</v>
      </c>
      <c r="AI57" s="1223">
        <f t="shared" si="50"/>
        <v>2276.6</v>
      </c>
      <c r="AJ57" s="1223">
        <f t="shared" si="50"/>
        <v>2278.8000000000002</v>
      </c>
      <c r="AK57" s="1223">
        <f t="shared" si="50"/>
        <v>2284.4</v>
      </c>
      <c r="AL57" s="1815">
        <f t="shared" si="50"/>
        <v>2284.4</v>
      </c>
      <c r="AM57" s="1223">
        <f t="shared" si="50"/>
        <v>2284.4</v>
      </c>
      <c r="AN57" s="1223">
        <f>SUM(AN24:AN55)</f>
        <v>2284.4</v>
      </c>
      <c r="AO57" s="1223">
        <f>SUM(AO24:AO55)</f>
        <v>2284.4</v>
      </c>
      <c r="AP57" s="1223">
        <f>SUM(AP24:AP55)</f>
        <v>2284.4</v>
      </c>
      <c r="AQ57" s="1815">
        <f>SUM(AQ24:AQ55)</f>
        <v>2284.4</v>
      </c>
      <c r="AR57" s="1223">
        <f>SUM(AR24:AR55)</f>
        <v>2284.4</v>
      </c>
      <c r="AS57" s="1223">
        <f t="shared" ref="AS57:BA57" si="51">SUM(AS24:AS55)</f>
        <v>2284.4</v>
      </c>
      <c r="AT57" s="1223">
        <f t="shared" si="51"/>
        <v>2284.4</v>
      </c>
      <c r="AU57" s="1223">
        <f t="shared" si="51"/>
        <v>2284.4</v>
      </c>
      <c r="AV57" s="1815">
        <f t="shared" si="51"/>
        <v>2284.4</v>
      </c>
      <c r="AW57" s="1223">
        <f t="shared" si="51"/>
        <v>2284.4</v>
      </c>
      <c r="AX57" s="1223">
        <f t="shared" si="51"/>
        <v>2284.4</v>
      </c>
      <c r="AY57" s="1223">
        <f t="shared" si="51"/>
        <v>2284.4</v>
      </c>
      <c r="AZ57" s="1223">
        <f t="shared" si="51"/>
        <v>2284.4</v>
      </c>
      <c r="BA57" s="1815">
        <f t="shared" si="51"/>
        <v>2284.4</v>
      </c>
      <c r="BB57" s="1223">
        <f>SUM(BB24:BB55)</f>
        <v>2284.4</v>
      </c>
      <c r="BC57" s="1223">
        <f>SUM(BC24:BC55)</f>
        <v>2284.4</v>
      </c>
      <c r="BD57" s="1223">
        <f>SUM(BD24:BD55)</f>
        <v>2284.4</v>
      </c>
      <c r="BE57" s="1223">
        <f>SUM(BE24:BE55)</f>
        <v>2284.4</v>
      </c>
      <c r="BF57" s="1815">
        <f>SUM(BF24:BF55)</f>
        <v>2284.4</v>
      </c>
    </row>
    <row r="58" spans="1:58" x14ac:dyDescent="0.25">
      <c r="A58" s="1803" t="s">
        <v>560</v>
      </c>
      <c r="B58" s="1798"/>
      <c r="C58" s="1798"/>
      <c r="D58" s="1798"/>
      <c r="E58" s="628"/>
      <c r="F58" s="636"/>
      <c r="G58" s="636">
        <f t="shared" ref="G58:Q58" si="52">G57-F57</f>
        <v>246.75200000000007</v>
      </c>
      <c r="H58" s="1484">
        <f t="shared" si="52"/>
        <v>0</v>
      </c>
      <c r="I58" s="636">
        <f t="shared" si="52"/>
        <v>-1.0470000000000255</v>
      </c>
      <c r="J58" s="636">
        <f t="shared" si="52"/>
        <v>-44.8900000000001</v>
      </c>
      <c r="K58" s="636">
        <f t="shared" si="52"/>
        <v>247.2829999999999</v>
      </c>
      <c r="L58" s="636">
        <f t="shared" si="52"/>
        <v>-35.515999999999849</v>
      </c>
      <c r="M58" s="1484">
        <f t="shared" si="52"/>
        <v>0</v>
      </c>
      <c r="N58" s="636">
        <f t="shared" si="52"/>
        <v>0.30499999999983629</v>
      </c>
      <c r="O58" s="636">
        <f t="shared" si="52"/>
        <v>0.443000000000211</v>
      </c>
      <c r="P58" s="636">
        <f t="shared" si="52"/>
        <v>4.2599999999999909</v>
      </c>
      <c r="Q58" s="636">
        <f t="shared" si="52"/>
        <v>0.26899999999977808</v>
      </c>
      <c r="R58" s="1484">
        <f>R57-M57</f>
        <v>5.2769999999998163</v>
      </c>
      <c r="S58" s="636">
        <f>S57-R57</f>
        <v>-0.44699999999988904</v>
      </c>
      <c r="T58" s="636">
        <f>T57-S57</f>
        <v>-135.34699999999998</v>
      </c>
      <c r="U58" s="636">
        <f>U57-T57</f>
        <v>0.5600000000001728</v>
      </c>
      <c r="V58" s="636">
        <f>V57-U57</f>
        <v>-35.331000000000131</v>
      </c>
      <c r="W58" s="1484">
        <f>SUM(S58:V58)</f>
        <v>-170.56499999999983</v>
      </c>
      <c r="X58" s="636">
        <f>X57-W57</f>
        <v>-0.5160000000000764</v>
      </c>
      <c r="Y58" s="636">
        <f>Y57-X57</f>
        <v>1193.5060000000001</v>
      </c>
      <c r="Z58" s="636">
        <f>Z57-Y57</f>
        <v>-0.97199999999975262</v>
      </c>
      <c r="AA58" s="636">
        <f>AA57-Z57</f>
        <v>0.28699999999935244</v>
      </c>
      <c r="AB58" s="1484">
        <f>AB57-W57</f>
        <v>1192.3049999999996</v>
      </c>
      <c r="AC58" s="636">
        <f>AC57-AB57</f>
        <v>-21.299999999999727</v>
      </c>
      <c r="AD58" s="636">
        <f>AD57-AC57</f>
        <v>1.1529999999997926</v>
      </c>
      <c r="AE58" s="636">
        <f>AE57-AD57</f>
        <v>6.4110000000000582</v>
      </c>
      <c r="AF58" s="636">
        <f>AF57-AE57</f>
        <v>0.75700000000051659</v>
      </c>
      <c r="AG58" s="1484">
        <f>AG57-AB57</f>
        <v>-12.97899999999936</v>
      </c>
      <c r="AH58" s="636">
        <f>AH57-AG57</f>
        <v>0.79999999999972715</v>
      </c>
      <c r="AI58" s="636">
        <f>AI57-AH57</f>
        <v>-4.4000000000000909</v>
      </c>
      <c r="AJ58" s="636">
        <f>AJ57-AI57</f>
        <v>2.2000000000002728</v>
      </c>
      <c r="AK58" s="636">
        <f>AK57-AJ57</f>
        <v>5.5999999999999091</v>
      </c>
      <c r="AL58" s="1484">
        <f>AL57-AG57</f>
        <v>4.1999999999998181</v>
      </c>
      <c r="AM58" s="636">
        <f>AM57-AL57</f>
        <v>0</v>
      </c>
      <c r="AN58" s="636">
        <f>AN57-AM57</f>
        <v>0</v>
      </c>
      <c r="AO58" s="636">
        <f>AO57-AN57</f>
        <v>0</v>
      </c>
      <c r="AP58" s="636">
        <f>AP57-AO57</f>
        <v>0</v>
      </c>
      <c r="AQ58" s="1484">
        <f>AQ57-AL57</f>
        <v>0</v>
      </c>
      <c r="AR58" s="636">
        <f>AR57-AQ57</f>
        <v>0</v>
      </c>
      <c r="AS58" s="636">
        <f>AS57-AR57</f>
        <v>0</v>
      </c>
      <c r="AT58" s="636">
        <f>AT57-AS57</f>
        <v>0</v>
      </c>
      <c r="AU58" s="636">
        <f>AU57-AT57</f>
        <v>0</v>
      </c>
      <c r="AV58" s="1484">
        <f>AV57-AQ57</f>
        <v>0</v>
      </c>
      <c r="AW58" s="636">
        <f>AW57-AV57</f>
        <v>0</v>
      </c>
      <c r="AX58" s="636">
        <f>AX57-AW57</f>
        <v>0</v>
      </c>
      <c r="AY58" s="636">
        <f>AY57-AX57</f>
        <v>0</v>
      </c>
      <c r="AZ58" s="636">
        <f>AZ57-AY57</f>
        <v>0</v>
      </c>
      <c r="BA58" s="1484">
        <f>BA57-AV57</f>
        <v>0</v>
      </c>
      <c r="BB58" s="636">
        <f>BB57-BA57</f>
        <v>0</v>
      </c>
      <c r="BC58" s="636">
        <f>BC57-BB57</f>
        <v>0</v>
      </c>
      <c r="BD58" s="636">
        <f>BD57-BC57</f>
        <v>0</v>
      </c>
      <c r="BE58" s="636">
        <f>BE57-BD57</f>
        <v>0</v>
      </c>
      <c r="BF58" s="1484">
        <f>BF57-BA57</f>
        <v>0</v>
      </c>
    </row>
    <row r="59" spans="1:58" x14ac:dyDescent="0.25">
      <c r="A59" s="628"/>
      <c r="B59" s="1798"/>
      <c r="C59" s="1798"/>
      <c r="D59" s="1798"/>
      <c r="E59" s="628"/>
      <c r="F59" s="636"/>
      <c r="G59" s="636"/>
      <c r="H59" s="1484"/>
      <c r="I59" s="636"/>
      <c r="J59" s="636"/>
      <c r="K59" s="636"/>
      <c r="L59" s="636"/>
      <c r="M59" s="1484"/>
      <c r="N59" s="636"/>
      <c r="O59" s="636"/>
      <c r="P59" s="636"/>
      <c r="Q59" s="636"/>
      <c r="R59" s="1484"/>
      <c r="S59" s="636"/>
      <c r="T59" s="636"/>
      <c r="U59" s="636"/>
      <c r="V59" s="636"/>
      <c r="W59" s="1484"/>
      <c r="X59" s="636"/>
      <c r="Y59" s="636"/>
      <c r="Z59" s="636"/>
      <c r="AA59" s="636"/>
      <c r="AB59" s="1484"/>
      <c r="AC59" s="636"/>
      <c r="AD59" s="636"/>
      <c r="AE59" s="636"/>
      <c r="AF59" s="636"/>
      <c r="AG59" s="1484"/>
      <c r="AH59" s="636"/>
      <c r="AI59" s="636"/>
      <c r="AJ59" s="636"/>
      <c r="AK59" s="636"/>
      <c r="AL59" s="1484"/>
      <c r="AM59" s="636"/>
      <c r="AN59" s="636"/>
      <c r="AO59" s="636"/>
      <c r="AP59" s="636"/>
      <c r="AQ59" s="1484"/>
      <c r="AR59" s="636"/>
      <c r="AS59" s="636"/>
      <c r="AT59" s="636"/>
      <c r="AU59" s="636"/>
      <c r="AV59" s="1484"/>
      <c r="AW59" s="636"/>
      <c r="AX59" s="636"/>
      <c r="AY59" s="636"/>
      <c r="AZ59" s="636"/>
      <c r="BA59" s="1484"/>
      <c r="BB59" s="636"/>
      <c r="BC59" s="636"/>
      <c r="BD59" s="636"/>
      <c r="BE59" s="636"/>
      <c r="BF59" s="1484"/>
    </row>
    <row r="60" spans="1:58" x14ac:dyDescent="0.25">
      <c r="A60" s="1832" t="s">
        <v>561</v>
      </c>
      <c r="B60" s="1810"/>
      <c r="C60" s="1798"/>
      <c r="D60" s="1798"/>
      <c r="E60" s="628"/>
      <c r="F60" s="1833">
        <f>VA!AA206</f>
        <v>853.58</v>
      </c>
      <c r="G60" s="1833">
        <f>VA!AB206</f>
        <v>1100.3320000000001</v>
      </c>
      <c r="H60" s="1834">
        <f>VA!AC206</f>
        <v>1100.3320000000001</v>
      </c>
      <c r="I60" s="1833">
        <f>VA!AD206</f>
        <v>1099.2850000000001</v>
      </c>
      <c r="J60" s="1833">
        <f>VA!AE206</f>
        <v>1054.395</v>
      </c>
      <c r="K60" s="1833">
        <f>VA!AF206</f>
        <v>1301.683</v>
      </c>
      <c r="L60" s="1833">
        <f>VA!AG206</f>
        <v>1266.162</v>
      </c>
      <c r="M60" s="1834">
        <f>VA!AH206</f>
        <v>1266.162</v>
      </c>
      <c r="N60" s="1833">
        <f>VA!AI206</f>
        <v>1266.4670000000001</v>
      </c>
      <c r="O60" s="1833">
        <f>VA!AJ206</f>
        <v>1266.9100000000001</v>
      </c>
      <c r="P60" s="1833">
        <f>VA!AK206</f>
        <v>1271.17</v>
      </c>
      <c r="Q60" s="1833">
        <f>VA!AL206</f>
        <v>1271.4390000000001</v>
      </c>
      <c r="R60" s="1834">
        <f>VA!AM206</f>
        <v>1271.4390000000001</v>
      </c>
      <c r="S60" s="1833">
        <f>VA!AN206</f>
        <v>1270.992</v>
      </c>
      <c r="T60" s="1833">
        <f>VA!AO206</f>
        <v>1135.645</v>
      </c>
      <c r="U60" s="1833">
        <f>VA!AP206</f>
        <v>1136.2049999999999</v>
      </c>
      <c r="V60" s="1833">
        <f>VA!AQ206</f>
        <v>1100.874</v>
      </c>
      <c r="W60" s="1834">
        <f>VA!AR206</f>
        <v>1100.874</v>
      </c>
      <c r="X60" s="1833">
        <f>VA!AS206</f>
        <v>1100.3579999999999</v>
      </c>
      <c r="Y60" s="1833">
        <f>VA!AT206</f>
        <v>2293.864</v>
      </c>
      <c r="Z60" s="1833">
        <f>VA!AU206</f>
        <v>2292.8919999999998</v>
      </c>
      <c r="AA60" s="1833">
        <f>VA!AV206</f>
        <v>2293.1790000000001</v>
      </c>
      <c r="AB60" s="1834">
        <f>VA!AW206</f>
        <v>2293.1790000000001</v>
      </c>
      <c r="AC60" s="1833">
        <f>VA!AX206</f>
        <v>2271.8789999999999</v>
      </c>
      <c r="AD60" s="1833">
        <f>VA!AY206</f>
        <v>2273.0320000000002</v>
      </c>
      <c r="AE60" s="1833">
        <f>VA!AZ206</f>
        <v>2279.4430000000002</v>
      </c>
      <c r="AF60" s="1833">
        <f>VA!BA206</f>
        <v>2280.1999999999998</v>
      </c>
      <c r="AG60" s="1834">
        <f>VA!BB206</f>
        <v>2280.1999999999998</v>
      </c>
      <c r="AH60" s="1833">
        <f>VA!BC206</f>
        <v>2281</v>
      </c>
      <c r="AI60" s="1833">
        <f>VA!BD206</f>
        <v>2276.6</v>
      </c>
      <c r="AJ60" s="1833">
        <f>VA!BE206</f>
        <v>2278.8000000000002</v>
      </c>
      <c r="AK60" s="1833">
        <f>VA!BF206</f>
        <v>2284.4</v>
      </c>
      <c r="AL60" s="1834">
        <f>VA!BG206</f>
        <v>2284.4</v>
      </c>
      <c r="AM60" s="1833">
        <f>VA!BH206</f>
        <v>2284.4</v>
      </c>
      <c r="AN60" s="1833">
        <f>VA!BI206</f>
        <v>2284.4</v>
      </c>
      <c r="AO60" s="1833">
        <f>VA!BJ206</f>
        <v>2284.4</v>
      </c>
      <c r="AP60" s="1833">
        <f>VA!BK206</f>
        <v>2284.4</v>
      </c>
      <c r="AQ60" s="1834">
        <f>VA!BL206</f>
        <v>2284.4</v>
      </c>
      <c r="AR60" s="1833">
        <f>VA!BM206</f>
        <v>2284.4</v>
      </c>
      <c r="AS60" s="1833">
        <f>VA!BN206</f>
        <v>2284.4</v>
      </c>
      <c r="AT60" s="1833">
        <f>VA!BO206</f>
        <v>2284.4</v>
      </c>
      <c r="AU60" s="1833">
        <f>VA!BP206</f>
        <v>2284.4</v>
      </c>
      <c r="AV60" s="1834">
        <f>VA!BQ206</f>
        <v>2284.4</v>
      </c>
      <c r="AW60" s="1833">
        <f>VA!BR206</f>
        <v>2284.4</v>
      </c>
      <c r="AX60" s="1833">
        <f>VA!BS206</f>
        <v>2284.4</v>
      </c>
      <c r="AY60" s="1833">
        <f>VA!BT206</f>
        <v>2284.4</v>
      </c>
      <c r="AZ60" s="1833">
        <f>VA!BU206</f>
        <v>2284.4</v>
      </c>
      <c r="BA60" s="1834">
        <f>VA!BV206</f>
        <v>2284.4</v>
      </c>
      <c r="BB60" s="1833">
        <f>VA!BW206</f>
        <v>2284.4</v>
      </c>
      <c r="BC60" s="1833">
        <f>VA!BX206</f>
        <v>2284.4</v>
      </c>
      <c r="BD60" s="1833">
        <f>VA!BY206</f>
        <v>2284.4</v>
      </c>
      <c r="BE60" s="1833">
        <f>VA!BZ206</f>
        <v>2284.4</v>
      </c>
      <c r="BF60" s="1834">
        <f>VA!CA206</f>
        <v>2284.4</v>
      </c>
    </row>
    <row r="61" spans="1:58" s="677" customFormat="1" ht="12.75" x14ac:dyDescent="0.2">
      <c r="A61" s="1803" t="s">
        <v>560</v>
      </c>
      <c r="B61" s="1798"/>
      <c r="C61" s="1798"/>
      <c r="D61" s="1798"/>
      <c r="E61" s="628"/>
      <c r="F61" s="636"/>
      <c r="G61" s="636">
        <f t="shared" ref="G61:M61" si="53">G60-F60</f>
        <v>246.75200000000007</v>
      </c>
      <c r="H61" s="1484">
        <f t="shared" si="53"/>
        <v>0</v>
      </c>
      <c r="I61" s="636">
        <f t="shared" si="53"/>
        <v>-1.0470000000000255</v>
      </c>
      <c r="J61" s="636">
        <f t="shared" si="53"/>
        <v>-44.8900000000001</v>
      </c>
      <c r="K61" s="636">
        <f>K60-J60</f>
        <v>247.28800000000001</v>
      </c>
      <c r="L61" s="636">
        <f>L60-K60</f>
        <v>-35.520999999999958</v>
      </c>
      <c r="M61" s="1484">
        <f t="shared" si="53"/>
        <v>0</v>
      </c>
      <c r="N61" s="636">
        <f>N60-M60</f>
        <v>0.30500000000006366</v>
      </c>
      <c r="O61" s="636">
        <f>O60-N60</f>
        <v>0.44299999999998363</v>
      </c>
      <c r="P61" s="636">
        <f>P60-O60</f>
        <v>4.2599999999999909</v>
      </c>
      <c r="Q61" s="636">
        <f>Q60-P60</f>
        <v>0.26900000000000546</v>
      </c>
      <c r="R61" s="1484">
        <f>R60-M60</f>
        <v>5.2770000000000437</v>
      </c>
      <c r="S61" s="636">
        <f>S60-R60</f>
        <v>-0.44700000000011642</v>
      </c>
      <c r="T61" s="636">
        <f>T60-S60</f>
        <v>-135.34699999999998</v>
      </c>
      <c r="U61" s="636">
        <f>U60-T60</f>
        <v>0.55999999999994543</v>
      </c>
      <c r="V61" s="636">
        <f>V60-U60</f>
        <v>-35.330999999999904</v>
      </c>
      <c r="W61" s="1484">
        <f>W60-R60</f>
        <v>-170.56500000000005</v>
      </c>
      <c r="X61" s="636">
        <f>X60-W60</f>
        <v>-0.5160000000000764</v>
      </c>
      <c r="Y61" s="636">
        <f>Y60-X60</f>
        <v>1193.5060000000001</v>
      </c>
      <c r="Z61" s="636">
        <f>Z60-Y60</f>
        <v>-0.97200000000020736</v>
      </c>
      <c r="AA61" s="636">
        <f>AA60-Z60</f>
        <v>0.28700000000026193</v>
      </c>
      <c r="AB61" s="1484">
        <f>AB60-W60</f>
        <v>1192.3050000000001</v>
      </c>
      <c r="AC61" s="636">
        <f>AC60-AB60</f>
        <v>-21.300000000000182</v>
      </c>
      <c r="AD61" s="636">
        <f>AD60-AC60</f>
        <v>1.1530000000002474</v>
      </c>
      <c r="AE61" s="636">
        <f>AE60-AD60</f>
        <v>6.4110000000000582</v>
      </c>
      <c r="AF61" s="636">
        <f>AF60-AE60</f>
        <v>0.7569999999996071</v>
      </c>
      <c r="AG61" s="1484">
        <f>AG60-AB60</f>
        <v>-12.979000000000269</v>
      </c>
      <c r="AH61" s="636">
        <f>AH60-AG60</f>
        <v>0.8000000000001819</v>
      </c>
      <c r="AI61" s="636">
        <f>AI60-AH60</f>
        <v>-4.4000000000000909</v>
      </c>
      <c r="AJ61" s="636">
        <f>AJ60-AI60</f>
        <v>2.2000000000002728</v>
      </c>
      <c r="AK61" s="636">
        <f>AK60-AJ60</f>
        <v>5.5999999999999091</v>
      </c>
      <c r="AL61" s="1484">
        <f>AL60-AG60</f>
        <v>4.2000000000002728</v>
      </c>
      <c r="AM61" s="636">
        <f>AM60-AL60</f>
        <v>0</v>
      </c>
      <c r="AN61" s="636">
        <f>AN60-AM60</f>
        <v>0</v>
      </c>
      <c r="AO61" s="636">
        <f>AO60-AN60</f>
        <v>0</v>
      </c>
      <c r="AP61" s="636">
        <f>AP60-AO60</f>
        <v>0</v>
      </c>
      <c r="AQ61" s="1484">
        <f>AQ60-AL60</f>
        <v>0</v>
      </c>
      <c r="AR61" s="636">
        <f>AR60-AQ60</f>
        <v>0</v>
      </c>
      <c r="AS61" s="636">
        <f>AS60-AR60</f>
        <v>0</v>
      </c>
      <c r="AT61" s="636">
        <f>AT60-AS60</f>
        <v>0</v>
      </c>
      <c r="AU61" s="636">
        <f>AU60-AT60</f>
        <v>0</v>
      </c>
      <c r="AV61" s="1484">
        <f>AV60-AQ60</f>
        <v>0</v>
      </c>
      <c r="AW61" s="636">
        <f>AW60-AV60</f>
        <v>0</v>
      </c>
      <c r="AX61" s="636">
        <f>AX60-AW60</f>
        <v>0</v>
      </c>
      <c r="AY61" s="636">
        <f>AY60-AX60</f>
        <v>0</v>
      </c>
      <c r="AZ61" s="636">
        <f>AZ60-AY60</f>
        <v>0</v>
      </c>
      <c r="BA61" s="1484">
        <f>BA60-AV60</f>
        <v>0</v>
      </c>
      <c r="BB61" s="636">
        <f>BB60-BA60</f>
        <v>0</v>
      </c>
      <c r="BC61" s="636">
        <f>BC60-BB60</f>
        <v>0</v>
      </c>
      <c r="BD61" s="636">
        <f>BD60-BC60</f>
        <v>0</v>
      </c>
      <c r="BE61" s="636">
        <f>BE60-BD60</f>
        <v>0</v>
      </c>
      <c r="BF61" s="1484">
        <f>BF60-BA60</f>
        <v>0</v>
      </c>
    </row>
    <row r="62" spans="1:58" x14ac:dyDescent="0.25">
      <c r="A62" s="628"/>
      <c r="B62" s="1798"/>
      <c r="C62" s="1798"/>
      <c r="D62" s="1798"/>
      <c r="E62" s="628"/>
      <c r="F62" s="636"/>
      <c r="G62" s="636"/>
      <c r="H62" s="1484"/>
      <c r="I62" s="636"/>
      <c r="J62" s="636"/>
      <c r="K62" s="636"/>
      <c r="L62" s="636"/>
      <c r="M62" s="1484"/>
      <c r="N62" s="636"/>
      <c r="O62" s="636"/>
      <c r="P62" s="636"/>
      <c r="Q62" s="636"/>
      <c r="R62" s="1484"/>
      <c r="S62" s="636"/>
      <c r="T62" s="636"/>
      <c r="U62" s="636"/>
      <c r="V62" s="636"/>
      <c r="W62" s="1484"/>
      <c r="X62" s="636"/>
      <c r="Y62" s="636"/>
      <c r="Z62" s="636"/>
      <c r="AA62" s="636"/>
      <c r="AB62" s="1484"/>
      <c r="AC62" s="636"/>
      <c r="AD62" s="636"/>
      <c r="AE62" s="636"/>
      <c r="AF62" s="636"/>
      <c r="AG62" s="1484"/>
      <c r="AH62" s="636"/>
      <c r="AI62" s="636"/>
      <c r="AJ62" s="636"/>
      <c r="AK62" s="636"/>
      <c r="AL62" s="1484"/>
      <c r="AM62" s="636"/>
      <c r="AN62" s="636"/>
      <c r="AO62" s="636"/>
      <c r="AP62" s="636"/>
      <c r="AQ62" s="1484"/>
      <c r="AR62" s="636"/>
      <c r="AS62" s="636"/>
      <c r="AT62" s="636"/>
      <c r="AU62" s="636"/>
      <c r="AV62" s="1484"/>
      <c r="AW62" s="636"/>
      <c r="AX62" s="636"/>
      <c r="AY62" s="636"/>
      <c r="AZ62" s="636"/>
      <c r="BA62" s="1484"/>
      <c r="BB62" s="636"/>
      <c r="BC62" s="636"/>
      <c r="BD62" s="636"/>
      <c r="BE62" s="636"/>
      <c r="BF62" s="1484"/>
    </row>
    <row r="63" spans="1:58" x14ac:dyDescent="0.25">
      <c r="A63" s="1515" t="s">
        <v>275</v>
      </c>
      <c r="B63" s="1798"/>
      <c r="C63" s="1798"/>
      <c r="D63" s="1798"/>
      <c r="E63" s="628"/>
      <c r="F63" s="1223">
        <f>F57+F19</f>
        <v>1019.25</v>
      </c>
      <c r="G63" s="1223">
        <f t="shared" ref="G63:AG63" si="54">G57+G19</f>
        <v>1105.8860000000002</v>
      </c>
      <c r="H63" s="1815">
        <f t="shared" si="54"/>
        <v>1105.8860000000002</v>
      </c>
      <c r="I63" s="1223">
        <f t="shared" si="54"/>
        <v>1229.7630000000001</v>
      </c>
      <c r="J63" s="1223">
        <f t="shared" si="54"/>
        <v>1256.1779999999999</v>
      </c>
      <c r="K63" s="1223">
        <f t="shared" si="54"/>
        <v>1567.4719999999998</v>
      </c>
      <c r="L63" s="1223">
        <f t="shared" si="54"/>
        <v>1461.425</v>
      </c>
      <c r="M63" s="1815">
        <f t="shared" si="54"/>
        <v>1461.425</v>
      </c>
      <c r="N63" s="1223">
        <f t="shared" si="54"/>
        <v>1450.4459999999999</v>
      </c>
      <c r="O63" s="1830">
        <f t="shared" si="54"/>
        <v>1404.7800000000002</v>
      </c>
      <c r="P63" s="1223">
        <f t="shared" si="54"/>
        <v>1310.6290000000001</v>
      </c>
      <c r="Q63" s="1223">
        <f t="shared" si="54"/>
        <v>1275.8869999999999</v>
      </c>
      <c r="R63" s="1815">
        <f t="shared" si="54"/>
        <v>1275.8869999999999</v>
      </c>
      <c r="S63" s="1223">
        <f t="shared" si="54"/>
        <v>1275.309</v>
      </c>
      <c r="T63" s="1223">
        <f t="shared" si="54"/>
        <v>1275.4259999999999</v>
      </c>
      <c r="U63" s="1830">
        <f t="shared" si="54"/>
        <v>1276.6600000000001</v>
      </c>
      <c r="V63" s="1223">
        <f t="shared" si="54"/>
        <v>1436.932</v>
      </c>
      <c r="W63" s="1815">
        <f t="shared" si="54"/>
        <v>1436.932</v>
      </c>
      <c r="X63" s="1223">
        <f t="shared" si="54"/>
        <v>1306.2359999999999</v>
      </c>
      <c r="Y63" s="1223">
        <f t="shared" si="54"/>
        <v>3319.6610000000001</v>
      </c>
      <c r="Z63" s="1830">
        <f t="shared" si="54"/>
        <v>3198.3650000000002</v>
      </c>
      <c r="AA63" s="1223">
        <f t="shared" si="54"/>
        <v>3167.99</v>
      </c>
      <c r="AB63" s="1815">
        <f>AB57+AB19</f>
        <v>3167.99</v>
      </c>
      <c r="AC63" s="1223">
        <f t="shared" si="54"/>
        <v>2981.0219999999999</v>
      </c>
      <c r="AD63" s="1223">
        <f t="shared" si="54"/>
        <v>2275.2879999999996</v>
      </c>
      <c r="AE63" s="1223">
        <f t="shared" si="54"/>
        <v>2286.3419999999996</v>
      </c>
      <c r="AF63" s="1223">
        <f>AF57+AF19</f>
        <v>2387.0000000000005</v>
      </c>
      <c r="AG63" s="1815">
        <f t="shared" si="54"/>
        <v>2387.0000000000005</v>
      </c>
      <c r="AH63" s="1223">
        <f t="shared" ref="AH63:BF63" si="55">AH57+AH19</f>
        <v>2287.6</v>
      </c>
      <c r="AI63" s="1223">
        <f t="shared" si="55"/>
        <v>2403.4</v>
      </c>
      <c r="AJ63" s="1223">
        <f t="shared" si="55"/>
        <v>2881.7000000000003</v>
      </c>
      <c r="AK63" s="1223">
        <f t="shared" si="55"/>
        <v>3008.8</v>
      </c>
      <c r="AL63" s="1815">
        <f t="shared" si="55"/>
        <v>3008.8</v>
      </c>
      <c r="AM63" s="1223">
        <f t="shared" si="55"/>
        <v>3008.8</v>
      </c>
      <c r="AN63" s="1223">
        <f t="shared" si="55"/>
        <v>3008.8</v>
      </c>
      <c r="AO63" s="1223">
        <f t="shared" si="55"/>
        <v>3008.8</v>
      </c>
      <c r="AP63" s="1223">
        <f t="shared" si="55"/>
        <v>3008.8</v>
      </c>
      <c r="AQ63" s="1815">
        <f t="shared" si="55"/>
        <v>3008.8</v>
      </c>
      <c r="AR63" s="1223">
        <f t="shared" si="55"/>
        <v>3008.8</v>
      </c>
      <c r="AS63" s="1223">
        <f t="shared" si="55"/>
        <v>3008.8</v>
      </c>
      <c r="AT63" s="1223">
        <f t="shared" si="55"/>
        <v>3008.8</v>
      </c>
      <c r="AU63" s="1223">
        <f t="shared" si="55"/>
        <v>3008.8</v>
      </c>
      <c r="AV63" s="1815">
        <f t="shared" si="55"/>
        <v>3008.8</v>
      </c>
      <c r="AW63" s="1223">
        <f t="shared" si="55"/>
        <v>3008.8</v>
      </c>
      <c r="AX63" s="1223">
        <f t="shared" si="55"/>
        <v>3008.8</v>
      </c>
      <c r="AY63" s="1223">
        <f t="shared" si="55"/>
        <v>3008.8</v>
      </c>
      <c r="AZ63" s="1223">
        <f t="shared" si="55"/>
        <v>3008.8</v>
      </c>
      <c r="BA63" s="1815">
        <f t="shared" si="55"/>
        <v>3008.8</v>
      </c>
      <c r="BB63" s="1223">
        <f t="shared" si="55"/>
        <v>3008.8</v>
      </c>
      <c r="BC63" s="1223">
        <f t="shared" si="55"/>
        <v>3008.8</v>
      </c>
      <c r="BD63" s="1223">
        <f t="shared" si="55"/>
        <v>3008.8</v>
      </c>
      <c r="BE63" s="1223">
        <f t="shared" si="55"/>
        <v>3008.8</v>
      </c>
      <c r="BF63" s="1815">
        <f t="shared" si="55"/>
        <v>3008.8</v>
      </c>
    </row>
    <row r="64" spans="1:58" s="1838" customFormat="1" ht="12.75" x14ac:dyDescent="0.2">
      <c r="A64" s="1817" t="s">
        <v>562</v>
      </c>
      <c r="B64" s="1835"/>
      <c r="C64" s="1835"/>
      <c r="D64" s="1835"/>
      <c r="E64" s="1836"/>
      <c r="F64" s="1820">
        <f>F63-F60-F20</f>
        <v>0</v>
      </c>
      <c r="G64" s="1820">
        <f t="shared" ref="G64:AM64" si="56">G63-G60-G20</f>
        <v>8.7041485130612273E-14</v>
      </c>
      <c r="H64" s="1821">
        <f t="shared" si="56"/>
        <v>8.7041485130612273E-14</v>
      </c>
      <c r="I64" s="1820">
        <f t="shared" si="56"/>
        <v>0</v>
      </c>
      <c r="J64" s="1820">
        <f t="shared" si="56"/>
        <v>0</v>
      </c>
      <c r="K64" s="1820">
        <f t="shared" si="56"/>
        <v>-5.0000000002228262E-3</v>
      </c>
      <c r="L64" s="1820">
        <f t="shared" si="56"/>
        <v>0</v>
      </c>
      <c r="M64" s="1821">
        <f t="shared" si="56"/>
        <v>0</v>
      </c>
      <c r="N64" s="1820">
        <f t="shared" si="56"/>
        <v>0</v>
      </c>
      <c r="O64" s="1820">
        <f t="shared" si="56"/>
        <v>0</v>
      </c>
      <c r="P64" s="1820">
        <f t="shared" si="56"/>
        <v>5.6843418860808015E-14</v>
      </c>
      <c r="Q64" s="1820">
        <f t="shared" si="56"/>
        <v>-1.3500311979441904E-13</v>
      </c>
      <c r="R64" s="1821">
        <f t="shared" si="56"/>
        <v>-1.3500311979441904E-13</v>
      </c>
      <c r="S64" s="1820">
        <f t="shared" si="56"/>
        <v>7.1054273576010019E-15</v>
      </c>
      <c r="T64" s="1820">
        <f t="shared" si="56"/>
        <v>0</v>
      </c>
      <c r="U64" s="1820">
        <f t="shared" si="56"/>
        <v>0</v>
      </c>
      <c r="V64" s="1820">
        <f t="shared" si="56"/>
        <v>0</v>
      </c>
      <c r="W64" s="1821">
        <f t="shared" si="56"/>
        <v>0</v>
      </c>
      <c r="X64" s="1820">
        <f t="shared" si="56"/>
        <v>0</v>
      </c>
      <c r="Y64" s="1820">
        <f t="shared" si="56"/>
        <v>0</v>
      </c>
      <c r="Z64" s="1820">
        <f t="shared" si="56"/>
        <v>0</v>
      </c>
      <c r="AA64" s="1820">
        <f t="shared" si="56"/>
        <v>0</v>
      </c>
      <c r="AB64" s="1821">
        <f>AB63-AB60-AB20</f>
        <v>0</v>
      </c>
      <c r="AC64" s="1820">
        <f t="shared" si="56"/>
        <v>0</v>
      </c>
      <c r="AD64" s="1837">
        <f>AD63-AD60-AD20</f>
        <v>-5.9641180882863409E-13</v>
      </c>
      <c r="AE64" s="1820">
        <f t="shared" si="56"/>
        <v>-5.6754601018838002E-13</v>
      </c>
      <c r="AF64" s="1820">
        <f t="shared" si="56"/>
        <v>6.3948846218409017E-13</v>
      </c>
      <c r="AG64" s="1821">
        <f t="shared" si="56"/>
        <v>6.3948846218409017E-13</v>
      </c>
      <c r="AH64" s="1837">
        <f t="shared" si="56"/>
        <v>-9.0594198809412774E-14</v>
      </c>
      <c r="AI64" s="1837">
        <f t="shared" si="56"/>
        <v>1.8474111129762605E-13</v>
      </c>
      <c r="AJ64" s="1820">
        <f t="shared" si="56"/>
        <v>0</v>
      </c>
      <c r="AK64" s="1820">
        <f t="shared" si="56"/>
        <v>0</v>
      </c>
      <c r="AL64" s="1821">
        <f t="shared" si="56"/>
        <v>0</v>
      </c>
      <c r="AM64" s="1820">
        <f t="shared" si="56"/>
        <v>0</v>
      </c>
      <c r="AN64" s="1820">
        <f>AN63-AN60-AN20</f>
        <v>0</v>
      </c>
      <c r="AO64" s="1820">
        <f>AO63-AO60-AO20</f>
        <v>0</v>
      </c>
      <c r="AP64" s="1820">
        <f>AP63-AP60-AP20</f>
        <v>0</v>
      </c>
      <c r="AQ64" s="1821">
        <f>AQ63-AQ60-AQ20</f>
        <v>0</v>
      </c>
      <c r="AR64" s="1820">
        <f>AR63-AR60-AR20</f>
        <v>0</v>
      </c>
      <c r="AS64" s="1820">
        <f t="shared" ref="AS64:BA64" si="57">AS63-AS60-AS20</f>
        <v>0</v>
      </c>
      <c r="AT64" s="1820">
        <f t="shared" si="57"/>
        <v>0</v>
      </c>
      <c r="AU64" s="1820">
        <f t="shared" si="57"/>
        <v>0</v>
      </c>
      <c r="AV64" s="1821">
        <f t="shared" si="57"/>
        <v>0</v>
      </c>
      <c r="AW64" s="1820">
        <f t="shared" si="57"/>
        <v>0</v>
      </c>
      <c r="AX64" s="1820">
        <f t="shared" si="57"/>
        <v>0</v>
      </c>
      <c r="AY64" s="1820">
        <f t="shared" si="57"/>
        <v>0</v>
      </c>
      <c r="AZ64" s="1820">
        <f t="shared" si="57"/>
        <v>0</v>
      </c>
      <c r="BA64" s="1821">
        <f t="shared" si="57"/>
        <v>0</v>
      </c>
      <c r="BB64" s="1820">
        <f>BB63-BB60-BB20</f>
        <v>0</v>
      </c>
      <c r="BC64" s="1820">
        <f>BC63-BC60-BC20</f>
        <v>0</v>
      </c>
      <c r="BD64" s="1820">
        <f>BD63-BD60-BD20</f>
        <v>0</v>
      </c>
      <c r="BE64" s="1820">
        <f>BE63-BE60-BE20</f>
        <v>0</v>
      </c>
      <c r="BF64" s="1821">
        <f>BF63-BF60-BF20</f>
        <v>0</v>
      </c>
    </row>
    <row r="65" spans="1:58" x14ac:dyDescent="0.25">
      <c r="A65" s="1839"/>
      <c r="B65" s="1798"/>
      <c r="C65" s="1798"/>
      <c r="D65" s="1798"/>
      <c r="E65" s="628"/>
      <c r="F65" s="636"/>
      <c r="G65" s="636"/>
      <c r="H65" s="1484"/>
      <c r="I65" s="636"/>
      <c r="J65" s="636"/>
      <c r="K65" s="636"/>
      <c r="L65" s="636"/>
      <c r="M65" s="1484"/>
      <c r="N65" s="636"/>
      <c r="O65" s="636"/>
      <c r="P65" s="636"/>
      <c r="Q65" s="636"/>
      <c r="R65" s="1484"/>
      <c r="S65" s="636"/>
      <c r="T65" s="636"/>
      <c r="U65" s="636"/>
      <c r="V65" s="636"/>
      <c r="W65" s="1484"/>
      <c r="X65" s="636"/>
      <c r="Y65" s="636"/>
      <c r="Z65" s="636"/>
      <c r="AA65" s="636"/>
      <c r="AB65" s="1484"/>
      <c r="AC65" s="636"/>
      <c r="AD65" s="636"/>
      <c r="AE65" s="636"/>
      <c r="AF65" s="636"/>
      <c r="AG65" s="1484"/>
      <c r="AH65" s="636"/>
      <c r="AI65" s="636"/>
      <c r="AJ65" s="636"/>
      <c r="AK65" s="636"/>
      <c r="AL65" s="1484"/>
      <c r="AM65" s="636"/>
      <c r="AN65" s="636"/>
      <c r="AO65" s="636"/>
      <c r="AP65" s="636"/>
      <c r="AQ65" s="1484"/>
      <c r="AR65" s="636"/>
      <c r="AS65" s="636"/>
      <c r="AT65" s="636"/>
      <c r="AU65" s="636"/>
      <c r="AV65" s="1484"/>
      <c r="AW65" s="636"/>
      <c r="AX65" s="636"/>
      <c r="AY65" s="636"/>
      <c r="AZ65" s="636"/>
      <c r="BA65" s="1484"/>
      <c r="BB65" s="636"/>
      <c r="BC65" s="636"/>
      <c r="BD65" s="636"/>
      <c r="BE65" s="636"/>
      <c r="BF65" s="1484"/>
    </row>
    <row r="66" spans="1:58" x14ac:dyDescent="0.25">
      <c r="A66" s="1515" t="s">
        <v>274</v>
      </c>
      <c r="B66" s="1798"/>
      <c r="C66" s="1798"/>
      <c r="D66" s="1798"/>
      <c r="E66" s="628"/>
      <c r="F66" s="636"/>
      <c r="G66" s="636"/>
      <c r="H66" s="1484"/>
      <c r="I66" s="636"/>
      <c r="J66" s="636"/>
      <c r="K66" s="636"/>
      <c r="L66" s="636"/>
      <c r="M66" s="1484"/>
      <c r="N66" s="636"/>
      <c r="O66" s="636"/>
      <c r="P66" s="636"/>
      <c r="Q66" s="636"/>
      <c r="R66" s="1484"/>
      <c r="S66" s="636"/>
      <c r="T66" s="636"/>
      <c r="U66" s="636"/>
      <c r="V66" s="636"/>
      <c r="W66" s="1484"/>
      <c r="X66" s="636"/>
      <c r="Y66" s="636"/>
      <c r="Z66" s="636"/>
      <c r="AA66" s="636"/>
      <c r="AB66" s="1484"/>
      <c r="AC66" s="636"/>
      <c r="AD66" s="636"/>
      <c r="AE66" s="636"/>
      <c r="AF66" s="636"/>
      <c r="AG66" s="1484"/>
      <c r="AH66" s="636"/>
      <c r="AI66" s="636"/>
      <c r="AJ66" s="636"/>
      <c r="AK66" s="636"/>
      <c r="AL66" s="1484"/>
      <c r="AM66" s="636"/>
      <c r="AN66" s="636"/>
      <c r="AO66" s="636"/>
      <c r="AP66" s="636"/>
      <c r="AQ66" s="1484"/>
      <c r="AR66" s="636"/>
      <c r="AS66" s="636"/>
      <c r="AT66" s="636"/>
      <c r="AU66" s="636"/>
      <c r="AV66" s="1484"/>
      <c r="AW66" s="636"/>
      <c r="AX66" s="636"/>
      <c r="AY66" s="636"/>
      <c r="AZ66" s="636"/>
      <c r="BA66" s="1484"/>
      <c r="BB66" s="636"/>
      <c r="BC66" s="636"/>
      <c r="BD66" s="636"/>
      <c r="BE66" s="636"/>
      <c r="BF66" s="1484"/>
    </row>
    <row r="67" spans="1:58" x14ac:dyDescent="0.25">
      <c r="A67" s="1803" t="s">
        <v>563</v>
      </c>
      <c r="B67" s="1798"/>
      <c r="C67" s="1798" t="s">
        <v>530</v>
      </c>
      <c r="D67" s="1798" t="s">
        <v>530</v>
      </c>
      <c r="E67" s="628"/>
      <c r="F67" s="636">
        <f>F19*F68/4</f>
        <v>1.7602437499999999</v>
      </c>
      <c r="G67" s="636">
        <f>(F19*2/3+G19*1/3)*G68/4</f>
        <v>1.19316625</v>
      </c>
      <c r="H67" s="1484"/>
      <c r="I67" s="636">
        <f>AVERAGE(I19,H19)*I68/4</f>
        <v>0.55977167999999999</v>
      </c>
      <c r="J67" s="636">
        <f>AVERAGE(J19,I19)*J68/4</f>
        <v>2.2705886087499998</v>
      </c>
      <c r="K67" s="636">
        <f>(J19*2+K19)/3*K68/4</f>
        <v>3.5531860000000002</v>
      </c>
      <c r="L67" s="636">
        <f>L19*L68/4</f>
        <v>3.9692086325</v>
      </c>
      <c r="M67" s="1484">
        <f>SUM(I67:L67)</f>
        <v>10.35275492125</v>
      </c>
      <c r="N67" s="636">
        <f>N19*N68/4</f>
        <v>3.445006775</v>
      </c>
      <c r="O67" s="636">
        <f>O19*O68/4</f>
        <v>3.0434802500000004</v>
      </c>
      <c r="P67" s="636">
        <v>1.96</v>
      </c>
      <c r="Q67" s="636">
        <v>0.92</v>
      </c>
      <c r="R67" s="1484">
        <f>SUM(N67:Q67)</f>
        <v>9.3684870250000003</v>
      </c>
      <c r="S67" s="636">
        <f>S19*S68/4</f>
        <v>8.0835825E-2</v>
      </c>
      <c r="T67" s="636">
        <f>T19*T68/4/3</f>
        <v>0.87363124999999997</v>
      </c>
      <c r="U67" s="636">
        <f>U19*U68/4</f>
        <v>2.6335312500000003</v>
      </c>
      <c r="V67" s="636">
        <f>V19*V68/4</f>
        <v>3.57061625</v>
      </c>
      <c r="W67" s="1484">
        <f>SUM(S67:V67)</f>
        <v>7.1586145749999996</v>
      </c>
      <c r="X67" s="636">
        <f>X19*X68/4</f>
        <v>3.8602124999999994</v>
      </c>
      <c r="Y67" s="636">
        <f>Y19*Y68/4</f>
        <v>8.4628252499999999</v>
      </c>
      <c r="Z67" s="636">
        <f>Z19*Z68/4</f>
        <v>4.5273649999999996</v>
      </c>
      <c r="AA67" s="636">
        <f>AA19*AA68/4</f>
        <v>4.3740550000000002</v>
      </c>
      <c r="AB67" s="1484">
        <f>AB19*AB68</f>
        <v>17.496220000000001</v>
      </c>
      <c r="AC67" s="636">
        <f>AC19*AC68/4</f>
        <v>4.4321437500000007</v>
      </c>
      <c r="AD67" s="636">
        <f>AD19*AD68/4</f>
        <v>1.41E-2</v>
      </c>
      <c r="AE67" s="636">
        <f>AE19*AE68/4</f>
        <v>4.3118750000000004E-2</v>
      </c>
      <c r="AF67" s="636">
        <f>AF19*AF68/4</f>
        <v>0.66749999999999998</v>
      </c>
      <c r="AG67" s="1484">
        <f>SUM(AC67:AF67)</f>
        <v>5.1568625000000008</v>
      </c>
      <c r="AH67" s="636">
        <f>AH19*AH68/4</f>
        <v>5.7750000000000003E-2</v>
      </c>
      <c r="AI67" s="636">
        <f>AI19*AI68/4</f>
        <v>1.1095000000000002</v>
      </c>
      <c r="AJ67" s="636">
        <f>AJ19*AJ68/4</f>
        <v>5.2753750000000004</v>
      </c>
      <c r="AK67" s="636">
        <f>AK19*AK68/4</f>
        <v>6.3385000000000007</v>
      </c>
      <c r="AL67" s="1484">
        <f>SUM(AH67:AK67)</f>
        <v>12.781125000000001</v>
      </c>
      <c r="AM67" s="636">
        <f>AM19*AM68/4</f>
        <v>6.3385000000000007</v>
      </c>
      <c r="AN67" s="636">
        <f>AN19*AN68/4</f>
        <v>6.3385000000000007</v>
      </c>
      <c r="AO67" s="636">
        <f>AO19*AO68/4</f>
        <v>6.3385000000000007</v>
      </c>
      <c r="AP67" s="636">
        <f>AP19*AP68/4</f>
        <v>6.3385000000000007</v>
      </c>
      <c r="AQ67" s="1484">
        <f>SUM(AM67:AP67)</f>
        <v>25.354000000000003</v>
      </c>
      <c r="AR67" s="636">
        <f>AR19*AR68/4</f>
        <v>6.3385000000000007</v>
      </c>
      <c r="AS67" s="636">
        <f>AS19*AS68/4</f>
        <v>6.3385000000000007</v>
      </c>
      <c r="AT67" s="636">
        <f>AT19*AT68/4</f>
        <v>6.3385000000000007</v>
      </c>
      <c r="AU67" s="636">
        <f>AU19*AU68/4</f>
        <v>6.3385000000000007</v>
      </c>
      <c r="AV67" s="1484">
        <f>SUM(AR67:AU67)</f>
        <v>25.354000000000003</v>
      </c>
      <c r="AW67" s="636">
        <f>AW19*AW68/4</f>
        <v>6.3385000000000007</v>
      </c>
      <c r="AX67" s="636">
        <f>AX19*AX68/4</f>
        <v>6.3385000000000007</v>
      </c>
      <c r="AY67" s="636">
        <f>AY19*AY68/4</f>
        <v>6.3385000000000007</v>
      </c>
      <c r="AZ67" s="636">
        <f>AZ19*AZ68/4</f>
        <v>6.3385000000000007</v>
      </c>
      <c r="BA67" s="1484">
        <f>SUM(AW67:AZ67)</f>
        <v>25.354000000000003</v>
      </c>
      <c r="BB67" s="636">
        <f>BB19*BB68/4</f>
        <v>6.3385000000000007</v>
      </c>
      <c r="BC67" s="636">
        <f>BC19*BC68/4</f>
        <v>6.3385000000000007</v>
      </c>
      <c r="BD67" s="636">
        <f>BD19*BD68/4</f>
        <v>6.3385000000000007</v>
      </c>
      <c r="BE67" s="636">
        <f>BE19*BE68/4</f>
        <v>6.3385000000000007</v>
      </c>
      <c r="BF67" s="1484">
        <f>SUM(BB67:BE67)</f>
        <v>25.354000000000003</v>
      </c>
    </row>
    <row r="68" spans="1:58" x14ac:dyDescent="0.25">
      <c r="A68" s="1807" t="s">
        <v>564</v>
      </c>
      <c r="B68" s="1798"/>
      <c r="C68" s="1798"/>
      <c r="D68" s="1798"/>
      <c r="E68" s="628"/>
      <c r="F68" s="1840">
        <v>4.2500000000000003E-2</v>
      </c>
      <c r="G68" s="1840">
        <v>4.2500000000000003E-2</v>
      </c>
      <c r="H68" s="1841"/>
      <c r="I68" s="1840">
        <v>3.2919999999999998E-2</v>
      </c>
      <c r="J68" s="1840">
        <v>5.4670000000000003E-2</v>
      </c>
      <c r="K68" s="1840">
        <v>6.3700000000000007E-2</v>
      </c>
      <c r="L68" s="1840">
        <v>8.1309999999999993E-2</v>
      </c>
      <c r="M68" s="1842"/>
      <c r="N68" s="1840">
        <v>7.4899999999999994E-2</v>
      </c>
      <c r="O68" s="1840">
        <v>8.8300000000000003E-2</v>
      </c>
      <c r="P68" s="1840">
        <v>8.8300000000000003E-2</v>
      </c>
      <c r="Q68" s="1840">
        <v>8.8300000000000003E-2</v>
      </c>
      <c r="R68" s="1842"/>
      <c r="S68" s="1840">
        <v>7.4899999999999994E-2</v>
      </c>
      <c r="T68" s="1840">
        <v>7.4999999999999997E-2</v>
      </c>
      <c r="U68" s="1840">
        <v>7.4999999999999997E-2</v>
      </c>
      <c r="V68" s="1840">
        <v>4.2500000000000003E-2</v>
      </c>
      <c r="W68" s="1842"/>
      <c r="X68" s="1840">
        <v>7.4999999999999997E-2</v>
      </c>
      <c r="Y68" s="1840">
        <v>3.3000000000000002E-2</v>
      </c>
      <c r="Z68" s="1840">
        <v>0.02</v>
      </c>
      <c r="AA68" s="1840">
        <f t="shared" ref="AA68:AG68" si="58">Z68</f>
        <v>0.02</v>
      </c>
      <c r="AB68" s="1842">
        <f t="shared" si="58"/>
        <v>0.02</v>
      </c>
      <c r="AC68" s="1840">
        <v>2.5000000000000001E-2</v>
      </c>
      <c r="AD68" s="1840">
        <f>AC68</f>
        <v>2.5000000000000001E-2</v>
      </c>
      <c r="AE68" s="1840">
        <f>AD68</f>
        <v>2.5000000000000001E-2</v>
      </c>
      <c r="AF68" s="1840">
        <f>AE68</f>
        <v>2.5000000000000001E-2</v>
      </c>
      <c r="AG68" s="1842">
        <f t="shared" si="58"/>
        <v>2.5000000000000001E-2</v>
      </c>
      <c r="AH68" s="1840">
        <v>3.5000000000000003E-2</v>
      </c>
      <c r="AI68" s="1840">
        <v>3.5000000000000003E-2</v>
      </c>
      <c r="AJ68" s="1840">
        <v>3.5000000000000003E-2</v>
      </c>
      <c r="AK68" s="1840">
        <v>3.5000000000000003E-2</v>
      </c>
      <c r="AL68" s="1842">
        <f t="shared" ref="AL68:BF68" si="59">AK68</f>
        <v>3.5000000000000003E-2</v>
      </c>
      <c r="AM68" s="1840">
        <f t="shared" si="59"/>
        <v>3.5000000000000003E-2</v>
      </c>
      <c r="AN68" s="1840">
        <f t="shared" si="59"/>
        <v>3.5000000000000003E-2</v>
      </c>
      <c r="AO68" s="1840">
        <f t="shared" si="59"/>
        <v>3.5000000000000003E-2</v>
      </c>
      <c r="AP68" s="1840">
        <f t="shared" si="59"/>
        <v>3.5000000000000003E-2</v>
      </c>
      <c r="AQ68" s="1842">
        <f t="shared" si="59"/>
        <v>3.5000000000000003E-2</v>
      </c>
      <c r="AR68" s="1840">
        <f t="shared" si="59"/>
        <v>3.5000000000000003E-2</v>
      </c>
      <c r="AS68" s="1840">
        <f t="shared" si="59"/>
        <v>3.5000000000000003E-2</v>
      </c>
      <c r="AT68" s="1840">
        <f t="shared" si="59"/>
        <v>3.5000000000000003E-2</v>
      </c>
      <c r="AU68" s="1840">
        <f t="shared" si="59"/>
        <v>3.5000000000000003E-2</v>
      </c>
      <c r="AV68" s="1842">
        <f t="shared" si="59"/>
        <v>3.5000000000000003E-2</v>
      </c>
      <c r="AW68" s="1840">
        <f t="shared" si="59"/>
        <v>3.5000000000000003E-2</v>
      </c>
      <c r="AX68" s="1840">
        <f t="shared" si="59"/>
        <v>3.5000000000000003E-2</v>
      </c>
      <c r="AY68" s="1840">
        <f t="shared" si="59"/>
        <v>3.5000000000000003E-2</v>
      </c>
      <c r="AZ68" s="1840">
        <f t="shared" si="59"/>
        <v>3.5000000000000003E-2</v>
      </c>
      <c r="BA68" s="1842">
        <f t="shared" si="59"/>
        <v>3.5000000000000003E-2</v>
      </c>
      <c r="BB68" s="1840">
        <f t="shared" si="59"/>
        <v>3.5000000000000003E-2</v>
      </c>
      <c r="BC68" s="1840">
        <f t="shared" si="59"/>
        <v>3.5000000000000003E-2</v>
      </c>
      <c r="BD68" s="1840">
        <f t="shared" si="59"/>
        <v>3.5000000000000003E-2</v>
      </c>
      <c r="BE68" s="1840">
        <f t="shared" si="59"/>
        <v>3.5000000000000003E-2</v>
      </c>
      <c r="BF68" s="1842">
        <f t="shared" si="59"/>
        <v>3.5000000000000003E-2</v>
      </c>
    </row>
    <row r="69" spans="1:58" x14ac:dyDescent="0.25">
      <c r="A69" s="1803" t="s">
        <v>546</v>
      </c>
      <c r="B69" s="1798"/>
      <c r="C69" s="1798"/>
      <c r="D69" s="1798"/>
      <c r="E69" s="628"/>
      <c r="F69" s="636"/>
      <c r="G69" s="636"/>
      <c r="H69" s="1484"/>
      <c r="I69" s="636"/>
      <c r="J69" s="636"/>
      <c r="K69" s="636"/>
      <c r="L69" s="636"/>
      <c r="M69" s="1484"/>
      <c r="N69" s="636"/>
      <c r="O69" s="636"/>
      <c r="P69" s="636"/>
      <c r="Q69" s="636"/>
      <c r="R69" s="1484"/>
      <c r="S69" s="636"/>
      <c r="T69" s="636"/>
      <c r="U69" s="636"/>
      <c r="V69" s="636"/>
      <c r="W69" s="1484"/>
      <c r="X69" s="636"/>
      <c r="Y69" s="636"/>
      <c r="Z69" s="636"/>
      <c r="AA69" s="636"/>
      <c r="AB69" s="1484"/>
      <c r="AC69" s="636"/>
      <c r="AD69" s="636"/>
      <c r="AE69" s="636"/>
      <c r="AF69" s="636"/>
      <c r="AG69" s="1484"/>
      <c r="AH69" s="636"/>
      <c r="AI69" s="636"/>
      <c r="AJ69" s="636"/>
      <c r="AK69" s="636"/>
      <c r="AL69" s="1484"/>
      <c r="AM69" s="636"/>
      <c r="AN69" s="636"/>
      <c r="AO69" s="636"/>
      <c r="AP69" s="636"/>
      <c r="AQ69" s="1484"/>
      <c r="AR69" s="636"/>
      <c r="AS69" s="636"/>
      <c r="AT69" s="636"/>
      <c r="AU69" s="636"/>
      <c r="AV69" s="1484"/>
      <c r="AW69" s="636"/>
      <c r="AX69" s="636"/>
      <c r="AY69" s="636"/>
      <c r="AZ69" s="636"/>
      <c r="BA69" s="1484"/>
      <c r="BB69" s="636"/>
      <c r="BC69" s="636"/>
      <c r="BD69" s="636"/>
      <c r="BE69" s="636"/>
      <c r="BF69" s="1484"/>
    </row>
    <row r="70" spans="1:58" x14ac:dyDescent="0.25">
      <c r="A70" s="1807" t="s">
        <v>565</v>
      </c>
      <c r="B70" s="1798"/>
      <c r="C70" s="1809">
        <v>40639</v>
      </c>
      <c r="D70" s="1809">
        <v>44317</v>
      </c>
      <c r="E70" s="628"/>
      <c r="F70" s="636">
        <f>F24*$B$24/4</f>
        <v>6.5106015000000008</v>
      </c>
      <c r="G70" s="636">
        <f>G24*$B$24/4</f>
        <v>6.5109785000000002</v>
      </c>
      <c r="H70" s="1484"/>
      <c r="I70" s="636">
        <f>I24*$B$24/4</f>
        <v>6.5113555000000005</v>
      </c>
      <c r="J70" s="636">
        <f>J24*$B$24/4</f>
        <v>6.5117324999999999</v>
      </c>
      <c r="K70" s="636">
        <f>K24*$B$24/4</f>
        <v>6.5121240000000009</v>
      </c>
      <c r="L70" s="636">
        <f>L24*$B$24/4</f>
        <v>6.5125010000000003</v>
      </c>
      <c r="M70" s="1484">
        <f>SUM(I70:L70)</f>
        <v>26.047713000000002</v>
      </c>
      <c r="N70" s="636">
        <f>N24*$B$24/4</f>
        <v>6.5128779999999997</v>
      </c>
      <c r="O70" s="636">
        <f>O24*$B$24/4</f>
        <v>6.513255</v>
      </c>
      <c r="P70" s="636">
        <f>P24*$B$24/4</f>
        <v>6.5136320000000003</v>
      </c>
      <c r="Q70" s="636">
        <f>Q24*$B$24/4</f>
        <v>6.5140235000000004</v>
      </c>
      <c r="R70" s="1484">
        <f>SUM(N70:Q70)</f>
        <v>26.0537885</v>
      </c>
      <c r="S70" s="636">
        <f>S24*$B$24/4</f>
        <v>6.514386</v>
      </c>
      <c r="T70" s="636">
        <f>T24*$B$24/4</f>
        <v>6.5147630000000003</v>
      </c>
      <c r="U70" s="636">
        <f>U24*$B$24/4</f>
        <v>6.5151400000000006</v>
      </c>
      <c r="V70" s="636">
        <f>V24*$B$24/4</f>
        <v>6.515517</v>
      </c>
      <c r="W70" s="1484">
        <f>W24*$B$24</f>
        <v>26.056094000000002</v>
      </c>
      <c r="X70" s="636">
        <f>X24*$B$24/4</f>
        <v>6.5158940000000003</v>
      </c>
      <c r="Y70" s="636">
        <f>Y24*$B$24/4</f>
        <v>6.5162710000000006</v>
      </c>
      <c r="Z70" s="636">
        <f>Z24*$B$24/4</f>
        <v>6.5166625000000007</v>
      </c>
      <c r="AA70" s="636">
        <f>AA24*$B$24/4</f>
        <v>6.5170539999999999</v>
      </c>
      <c r="AB70" s="1484">
        <f>AB24*$B$24</f>
        <v>26.068216</v>
      </c>
      <c r="AC70" s="636">
        <f>AC24*$B$24/4</f>
        <v>6.4850525000000001</v>
      </c>
      <c r="AD70" s="636">
        <f>AD24*$B$24/4</f>
        <v>6.4870535</v>
      </c>
      <c r="AE70" s="636">
        <f>AE24*$B$24/4</f>
        <v>6.4890400000000001</v>
      </c>
      <c r="AF70" s="636">
        <f>AF24*$B$24/4</f>
        <v>6.4902000000000006</v>
      </c>
      <c r="AG70" s="1484">
        <f>SUM(AC70:AF70)</f>
        <v>25.951346000000001</v>
      </c>
      <c r="AH70" s="636">
        <f>AH24*$B$24/4</f>
        <v>6.4931000000000001</v>
      </c>
      <c r="AI70" s="636">
        <f>AI24*$B$24/4</f>
        <v>6.4945500000000003</v>
      </c>
      <c r="AJ70" s="636">
        <f>AJ24*$B$24/4</f>
        <v>6.4974500000000006</v>
      </c>
      <c r="AK70" s="636">
        <f>AK24*$B$24/4</f>
        <v>6.4988999999999999</v>
      </c>
      <c r="AL70" s="1484">
        <f>SUM(AH70:AK70)</f>
        <v>25.984000000000002</v>
      </c>
      <c r="AM70" s="636">
        <f>AM24*$B$24/4</f>
        <v>6.4988999999999999</v>
      </c>
      <c r="AN70" s="636">
        <f>AN24*$B$24/4</f>
        <v>6.4988999999999999</v>
      </c>
      <c r="AO70" s="636">
        <f>AO24*$B$24/4</f>
        <v>6.4988999999999999</v>
      </c>
      <c r="AP70" s="636">
        <f>AP24*$B$24/4</f>
        <v>6.4988999999999999</v>
      </c>
      <c r="AQ70" s="1484">
        <f>SUM(AM70:AP70)</f>
        <v>25.9956</v>
      </c>
      <c r="AR70" s="636">
        <f>AR24*$B$24/4</f>
        <v>6.4988999999999999</v>
      </c>
      <c r="AS70" s="636">
        <f>AS24*$B$24/4</f>
        <v>6.4988999999999999</v>
      </c>
      <c r="AT70" s="636">
        <f>AT24*$B$24/4</f>
        <v>6.4988999999999999</v>
      </c>
      <c r="AU70" s="636">
        <f>AU24*$B$24/4</f>
        <v>6.4988999999999999</v>
      </c>
      <c r="AV70" s="1484">
        <f>SUM(AR70:AU70)</f>
        <v>25.9956</v>
      </c>
      <c r="AW70" s="636">
        <f>AW24*$B$24/4</f>
        <v>6.4988999999999999</v>
      </c>
      <c r="AX70" s="636">
        <f>AX24*$B$24/4</f>
        <v>6.4988999999999999</v>
      </c>
      <c r="AY70" s="636">
        <f>AY24*$B$24/4</f>
        <v>6.4988999999999999</v>
      </c>
      <c r="AZ70" s="636">
        <f>AZ24*$B$24/4</f>
        <v>6.4988999999999999</v>
      </c>
      <c r="BA70" s="1484">
        <f>SUM(AW70:AZ70)</f>
        <v>25.9956</v>
      </c>
      <c r="BB70" s="636">
        <f>BB24*$B$24/4</f>
        <v>6.4988999999999999</v>
      </c>
      <c r="BC70" s="636">
        <f>BC24*$B$24/4</f>
        <v>6.4988999999999999</v>
      </c>
      <c r="BD70" s="636">
        <f>BD24*$B$24/4</f>
        <v>6.4988999999999999</v>
      </c>
      <c r="BE70" s="636">
        <f>BE24*$B$24/4</f>
        <v>6.4988999999999999</v>
      </c>
      <c r="BF70" s="1484">
        <f>SUM(BB70:BE70)</f>
        <v>25.9956</v>
      </c>
    </row>
    <row r="71" spans="1:58" x14ac:dyDescent="0.25">
      <c r="A71" s="1807" t="s">
        <v>549</v>
      </c>
      <c r="B71" s="1798"/>
      <c r="C71" s="1809">
        <v>41157</v>
      </c>
      <c r="D71" s="1809">
        <v>44809</v>
      </c>
      <c r="E71" s="628"/>
      <c r="F71" s="636"/>
      <c r="G71" s="636"/>
      <c r="H71" s="1484"/>
      <c r="I71" s="636"/>
      <c r="J71" s="636"/>
      <c r="K71" s="636">
        <f>K26*$B$26/4*(25/90)</f>
        <v>0.9946921875000001</v>
      </c>
      <c r="L71" s="636">
        <f>L26*$B$26/4</f>
        <v>3.5816137500000003</v>
      </c>
      <c r="M71" s="1484">
        <f>SUM(I71:L71)</f>
        <v>4.5763059375000008</v>
      </c>
      <c r="N71" s="636">
        <f>N26*$B$26/4</f>
        <v>3.5823253125000001</v>
      </c>
      <c r="O71" s="636">
        <f>O26*$B$26/4</f>
        <v>3.5830368750000003</v>
      </c>
      <c r="P71" s="636">
        <f>P26*$B$26/4</f>
        <v>3.5837587500000003</v>
      </c>
      <c r="Q71" s="636">
        <f>Q26*$B$26/4</f>
        <v>3.5844703125000001</v>
      </c>
      <c r="R71" s="1484">
        <f>SUM(N71:Q71)</f>
        <v>14.333591250000001</v>
      </c>
      <c r="S71" s="636">
        <f>S26*$B$26/4</f>
        <v>3.5851921874999997</v>
      </c>
      <c r="T71" s="636">
        <f>T26*$B$26/4</f>
        <v>3.5859140625000006</v>
      </c>
      <c r="U71" s="636">
        <f>U26*$B$26/4</f>
        <v>3.5866153125000002</v>
      </c>
      <c r="V71" s="636">
        <f>V26*$B$26/4</f>
        <v>3.5873371875000002</v>
      </c>
      <c r="W71" s="1484">
        <f>W26*$B$26</f>
        <v>14.337881250000001</v>
      </c>
      <c r="X71" s="636">
        <f>X26*$B$26/4</f>
        <v>3.5880590625000002</v>
      </c>
      <c r="Y71" s="636">
        <f>Y26*$B$26/4</f>
        <v>3.5887706250000004</v>
      </c>
      <c r="Z71" s="636">
        <f>Z26*$B$26/4</f>
        <v>3.5894821875000003</v>
      </c>
      <c r="AA71" s="636">
        <f>AA26*$B$26/4</f>
        <v>3.5901937500000001</v>
      </c>
      <c r="AB71" s="1484">
        <f>AB26*$B$26</f>
        <v>14.360775</v>
      </c>
      <c r="AC71" s="636">
        <f>AC26*$B$26/4</f>
        <v>3.5685065625000001</v>
      </c>
      <c r="AD71" s="636">
        <f>AD26*$B$26/4</f>
        <v>3.5700946874999997</v>
      </c>
      <c r="AE71" s="636">
        <f>AE26*$B$26/4</f>
        <v>3.5716828125000006</v>
      </c>
      <c r="AF71" s="636">
        <f>AF26*$B$26/4</f>
        <v>3.57328125</v>
      </c>
      <c r="AG71" s="1484">
        <f>AG26*$B$26</f>
        <v>14.293125</v>
      </c>
      <c r="AH71" s="636">
        <f>AH26*$B$26/4</f>
        <v>3.57534375</v>
      </c>
      <c r="AI71" s="636">
        <f>AI26*$B$26/4</f>
        <v>3.5763750000000001</v>
      </c>
      <c r="AJ71" s="636">
        <f>AJ26*$B$26/4</f>
        <v>3.5784375000000002</v>
      </c>
      <c r="AK71" s="636">
        <f>AK26*$B$26/4</f>
        <v>3.5794687500000002</v>
      </c>
      <c r="AL71" s="1484">
        <f>AL26*$B$26</f>
        <v>14.317875000000001</v>
      </c>
      <c r="AM71" s="636">
        <f>AM26*$B$26/4</f>
        <v>3.5794687500000002</v>
      </c>
      <c r="AN71" s="636">
        <f>AN26*$B$26/4</f>
        <v>3.5794687500000002</v>
      </c>
      <c r="AO71" s="636">
        <f>AO26*$B$26/4</f>
        <v>3.5794687500000002</v>
      </c>
      <c r="AP71" s="636">
        <f>AP26*$B$26/4</f>
        <v>3.5794687500000002</v>
      </c>
      <c r="AQ71" s="1484">
        <f>AQ26*$B$26</f>
        <v>14.317875000000001</v>
      </c>
      <c r="AR71" s="636">
        <f>AR26*$B$26/4</f>
        <v>3.5794687500000002</v>
      </c>
      <c r="AS71" s="636">
        <f>AS26*$B$26/4</f>
        <v>3.5794687500000002</v>
      </c>
      <c r="AT71" s="636">
        <f>AT26*$B$26/4</f>
        <v>3.5794687500000002</v>
      </c>
      <c r="AU71" s="636">
        <f>AU26*$B$26/4</f>
        <v>3.5794687500000002</v>
      </c>
      <c r="AV71" s="1484">
        <f>AV26*$B$26</f>
        <v>14.317875000000001</v>
      </c>
      <c r="AW71" s="636">
        <f>AW26*$B$26/4</f>
        <v>3.5794687500000002</v>
      </c>
      <c r="AX71" s="636">
        <f>AX26*$B$26/4</f>
        <v>3.5794687500000002</v>
      </c>
      <c r="AY71" s="636">
        <f>AY26*$B$26/4</f>
        <v>3.5794687500000002</v>
      </c>
      <c r="AZ71" s="636">
        <f>AZ26*$B$26/4</f>
        <v>3.5794687500000002</v>
      </c>
      <c r="BA71" s="1484">
        <f>BA26*$B$26</f>
        <v>14.317875000000001</v>
      </c>
      <c r="BB71" s="636">
        <f>BB26*$B$26/4</f>
        <v>3.5794687500000002</v>
      </c>
      <c r="BC71" s="636">
        <f>BC26*$B$26/4</f>
        <v>3.5794687500000002</v>
      </c>
      <c r="BD71" s="636">
        <f>BD26*$B$26/4</f>
        <v>3.5794687500000002</v>
      </c>
      <c r="BE71" s="636">
        <f>BE26*$B$26/4</f>
        <v>3.5794687500000002</v>
      </c>
      <c r="BF71" s="1484">
        <f>BF26*$B$26</f>
        <v>14.317875000000001</v>
      </c>
    </row>
    <row r="72" spans="1:58" x14ac:dyDescent="0.25">
      <c r="A72" s="1803" t="s">
        <v>548</v>
      </c>
      <c r="B72" s="1798"/>
      <c r="C72" s="1809">
        <v>40885</v>
      </c>
      <c r="D72" s="1809">
        <v>43480</v>
      </c>
      <c r="E72" s="628"/>
      <c r="F72" s="636">
        <f>F25*$B$25/4</f>
        <v>0</v>
      </c>
      <c r="G72" s="636">
        <f>G25*$B$25*(23/365)</f>
        <v>0.76068057534246591</v>
      </c>
      <c r="H72" s="1484"/>
      <c r="I72" s="636">
        <f>I25*$B$25/4</f>
        <v>3.0189534375</v>
      </c>
      <c r="J72" s="636">
        <f>J25*$B$25/4</f>
        <v>3.0199771875000003</v>
      </c>
      <c r="K72" s="636">
        <f>K25*$B$25/4</f>
        <v>3.0209521874999998</v>
      </c>
      <c r="L72" s="636">
        <f>L25*$B$25/4</f>
        <v>3.0220490624999998</v>
      </c>
      <c r="M72" s="1484">
        <f>SUM(I72:L72)</f>
        <v>12.081931874999999</v>
      </c>
      <c r="N72" s="636">
        <f>N25*$B$25/4</f>
        <v>3.023085</v>
      </c>
      <c r="O72" s="636">
        <f>O25*$B$25/4</f>
        <v>3.0241209375000002</v>
      </c>
      <c r="P72" s="636">
        <f>P25*$B$25/4</f>
        <v>3.0251446875000001</v>
      </c>
      <c r="Q72" s="636">
        <f>Q25*$B$25/4</f>
        <v>3.0261684375</v>
      </c>
      <c r="R72" s="1484">
        <f>SUM(N72:Q72)</f>
        <v>12.098519062499999</v>
      </c>
      <c r="S72" s="636">
        <f>S25*$B$25/4</f>
        <v>3.0272043750000002</v>
      </c>
      <c r="T72" s="636">
        <f>T25*$B$25/4</f>
        <v>3.028228125</v>
      </c>
      <c r="U72" s="636">
        <f>U25*$B$25/4</f>
        <v>3.0292640625000002</v>
      </c>
      <c r="V72" s="636">
        <f>V25*$B$25/4</f>
        <v>3.0302878125000001</v>
      </c>
      <c r="W72" s="1484">
        <f>W25*$B$25</f>
        <v>12.10467375</v>
      </c>
      <c r="X72" s="636">
        <f>X25*$B$25/4</f>
        <v>3.0313237499999999</v>
      </c>
      <c r="Y72" s="636">
        <f>Y25*$B$25/4</f>
        <v>3.0323596875000001</v>
      </c>
      <c r="Z72" s="636">
        <f>Z25*$B$25/4</f>
        <v>3.0333834374999999</v>
      </c>
      <c r="AA72" s="636">
        <f>AA25*$B$25/4</f>
        <v>3.0344071875000003</v>
      </c>
      <c r="AB72" s="1484">
        <f>AB25*$B$25</f>
        <v>12.137628750000001</v>
      </c>
      <c r="AC72" s="636">
        <f>AC25*$B$25/4</f>
        <v>3.0244987499999998</v>
      </c>
      <c r="AD72" s="636">
        <f>AD25*$B$25/4</f>
        <v>3.0265218750000003</v>
      </c>
      <c r="AE72" s="636">
        <f>AE25*$B$25/4</f>
        <v>3.0285450000000003</v>
      </c>
      <c r="AF72" s="636">
        <f>AF25*$B$25/4</f>
        <v>3.0298125000000002</v>
      </c>
      <c r="AG72" s="1484">
        <f>AG25*$B$25</f>
        <v>12.119250000000001</v>
      </c>
      <c r="AH72" s="636">
        <f>AH25*$B$25/4</f>
        <v>3.0322500000000003</v>
      </c>
      <c r="AI72" s="636">
        <f>AI25*$B$25/4</f>
        <v>3.0346875</v>
      </c>
      <c r="AJ72" s="636">
        <f>AJ25*$B$25/4</f>
        <v>3.0371250000000001</v>
      </c>
      <c r="AK72" s="636">
        <f>AK25*$B$25/4</f>
        <v>3.0383437500000001</v>
      </c>
      <c r="AL72" s="1484">
        <f>AL25*$B$25</f>
        <v>12.153375</v>
      </c>
      <c r="AM72" s="636">
        <f>AM25*$B$25/4</f>
        <v>3.0383437500000001</v>
      </c>
      <c r="AN72" s="636">
        <f>AN25*$B$25/4</f>
        <v>3.0383437500000001</v>
      </c>
      <c r="AO72" s="636">
        <f>AO25*$B$25/4</f>
        <v>3.0383437500000001</v>
      </c>
      <c r="AP72" s="636">
        <f>AP25*$B$25/4</f>
        <v>3.0383437500000001</v>
      </c>
      <c r="AQ72" s="1484">
        <f>AQ25*$B$25</f>
        <v>12.153375</v>
      </c>
      <c r="AR72" s="636">
        <f>AR25*$B$25/4</f>
        <v>3.0383437500000001</v>
      </c>
      <c r="AS72" s="636">
        <f>AS25*$B$25/4</f>
        <v>3.0383437500000001</v>
      </c>
      <c r="AT72" s="636">
        <f>AT25*$B$25/4</f>
        <v>3.0383437500000001</v>
      </c>
      <c r="AU72" s="636">
        <f>AU25*$B$25/4</f>
        <v>3.0383437500000001</v>
      </c>
      <c r="AV72" s="1484">
        <f>AV25*$B$25</f>
        <v>12.153375</v>
      </c>
      <c r="AW72" s="636">
        <f>AW25*$B$25/4</f>
        <v>3.0383437500000001</v>
      </c>
      <c r="AX72" s="636">
        <f>AX25*$B$25/4</f>
        <v>3.0383437500000001</v>
      </c>
      <c r="AY72" s="636">
        <f>AY25*$B$25/4</f>
        <v>3.0383437500000001</v>
      </c>
      <c r="AZ72" s="636">
        <f>AZ25*$B$25/4</f>
        <v>3.0383437500000001</v>
      </c>
      <c r="BA72" s="1484">
        <f>BA25*$B$25</f>
        <v>12.153375</v>
      </c>
      <c r="BB72" s="636">
        <f>BB25*$B$25/4</f>
        <v>3.0383437500000001</v>
      </c>
      <c r="BC72" s="636">
        <f>BC25*$B$25/4</f>
        <v>3.0383437500000001</v>
      </c>
      <c r="BD72" s="636">
        <f>BD25*$B$25/4</f>
        <v>3.0383437500000001</v>
      </c>
      <c r="BE72" s="636">
        <f>BE25*$B$25/4</f>
        <v>3.0383437500000001</v>
      </c>
      <c r="BF72" s="1484">
        <f>BF25*$B$25</f>
        <v>12.153375</v>
      </c>
    </row>
    <row r="73" spans="1:58" hidden="1" x14ac:dyDescent="0.25">
      <c r="A73" s="1803"/>
      <c r="B73" s="1798"/>
      <c r="C73" s="1809"/>
      <c r="D73" s="1809"/>
      <c r="E73" s="628"/>
      <c r="F73" s="636"/>
      <c r="G73" s="636"/>
      <c r="H73" s="1484"/>
      <c r="I73" s="636"/>
      <c r="J73" s="636"/>
      <c r="K73" s="636"/>
      <c r="L73" s="636"/>
      <c r="M73" s="1484"/>
      <c r="N73" s="636"/>
      <c r="O73" s="636"/>
      <c r="P73" s="636"/>
      <c r="Q73" s="636"/>
      <c r="R73" s="1484"/>
      <c r="S73" s="636"/>
      <c r="T73" s="636"/>
      <c r="U73" s="636"/>
      <c r="V73" s="636"/>
      <c r="W73" s="1484"/>
      <c r="X73" s="636"/>
      <c r="Y73" s="636"/>
      <c r="Z73" s="636"/>
      <c r="AA73" s="636"/>
      <c r="AB73" s="1484"/>
      <c r="AC73" s="636"/>
      <c r="AD73" s="636"/>
      <c r="AE73" s="636"/>
      <c r="AF73" s="636"/>
      <c r="AG73" s="1484"/>
      <c r="AH73" s="636"/>
      <c r="AI73" s="636"/>
      <c r="AJ73" s="636"/>
      <c r="AK73" s="636"/>
      <c r="AL73" s="1484"/>
      <c r="AM73" s="636"/>
      <c r="AN73" s="636"/>
      <c r="AO73" s="636"/>
      <c r="AP73" s="636"/>
      <c r="AQ73" s="1484"/>
      <c r="AR73" s="636"/>
      <c r="AS73" s="636"/>
      <c r="AT73" s="636"/>
      <c r="AU73" s="636"/>
      <c r="AV73" s="1484"/>
      <c r="AW73" s="636"/>
      <c r="AX73" s="636"/>
      <c r="AY73" s="636"/>
      <c r="AZ73" s="636"/>
      <c r="BA73" s="1484"/>
      <c r="BB73" s="636"/>
      <c r="BC73" s="636"/>
      <c r="BD73" s="636"/>
      <c r="BE73" s="636"/>
      <c r="BF73" s="1484"/>
    </row>
    <row r="74" spans="1:58" hidden="1" x14ac:dyDescent="0.25">
      <c r="A74" s="1803" t="s">
        <v>531</v>
      </c>
      <c r="B74" s="1798"/>
      <c r="C74" s="1798"/>
      <c r="D74" s="1798"/>
      <c r="E74" s="628"/>
      <c r="F74" s="636"/>
      <c r="G74" s="636"/>
      <c r="H74" s="1484"/>
      <c r="I74" s="636"/>
      <c r="J74" s="636"/>
      <c r="K74" s="636"/>
      <c r="L74" s="636"/>
      <c r="M74" s="1484"/>
      <c r="N74" s="636"/>
      <c r="O74" s="636"/>
      <c r="P74" s="636"/>
      <c r="Q74" s="636"/>
      <c r="R74" s="1484"/>
      <c r="S74" s="636"/>
      <c r="T74" s="636"/>
      <c r="U74" s="636"/>
      <c r="V74" s="636"/>
      <c r="W74" s="1484"/>
      <c r="X74" s="636"/>
      <c r="Y74" s="636"/>
      <c r="Z74" s="636"/>
      <c r="AA74" s="636"/>
      <c r="AB74" s="1484"/>
      <c r="AC74" s="636"/>
      <c r="AD74" s="636"/>
      <c r="AE74" s="636"/>
      <c r="AF74" s="636"/>
      <c r="AG74" s="1484"/>
      <c r="AH74" s="636"/>
      <c r="AI74" s="636"/>
      <c r="AJ74" s="636"/>
      <c r="AK74" s="636"/>
      <c r="AL74" s="1484"/>
      <c r="AM74" s="636"/>
      <c r="AN74" s="636"/>
      <c r="AO74" s="636"/>
      <c r="AP74" s="636"/>
      <c r="AQ74" s="1484"/>
      <c r="AR74" s="636"/>
      <c r="AS74" s="636"/>
      <c r="AT74" s="636"/>
      <c r="AU74" s="636"/>
      <c r="AV74" s="1484"/>
      <c r="AW74" s="636"/>
      <c r="AX74" s="636"/>
      <c r="AY74" s="636"/>
      <c r="AZ74" s="636"/>
      <c r="BA74" s="1484"/>
      <c r="BB74" s="636"/>
      <c r="BC74" s="636"/>
      <c r="BD74" s="636"/>
      <c r="BE74" s="636"/>
      <c r="BF74" s="1484"/>
    </row>
    <row r="75" spans="1:58" hidden="1" x14ac:dyDescent="0.25">
      <c r="A75" s="1807" t="s">
        <v>550</v>
      </c>
      <c r="B75" s="1798"/>
      <c r="C75" s="1809">
        <v>38937</v>
      </c>
      <c r="D75" s="1809">
        <v>41494</v>
      </c>
      <c r="E75" s="628"/>
      <c r="F75" s="636">
        <f>F29*$B$29/4</f>
        <v>1.149375</v>
      </c>
      <c r="G75" s="636">
        <f t="shared" ref="G75:L75" si="60">G29*$B$29/4</f>
        <v>1.149375</v>
      </c>
      <c r="H75" s="1484"/>
      <c r="I75" s="636">
        <f t="shared" si="60"/>
        <v>1.149375</v>
      </c>
      <c r="J75" s="636">
        <f t="shared" si="60"/>
        <v>1.149375</v>
      </c>
      <c r="K75" s="636">
        <f t="shared" si="60"/>
        <v>0</v>
      </c>
      <c r="L75" s="636">
        <f t="shared" si="60"/>
        <v>0</v>
      </c>
      <c r="M75" s="1484">
        <f t="shared" ref="M75:M80" si="61">SUM(I75:L75)</f>
        <v>2.2987500000000001</v>
      </c>
      <c r="N75" s="1843">
        <f>N29*$B$29/4</f>
        <v>0</v>
      </c>
      <c r="O75" s="636">
        <f>O29*$B$29/4</f>
        <v>0</v>
      </c>
      <c r="P75" s="636">
        <f>P29*$B$29/4</f>
        <v>0</v>
      </c>
      <c r="Q75" s="636">
        <f>Q29*$B$29/4</f>
        <v>0</v>
      </c>
      <c r="R75" s="1484">
        <f t="shared" ref="R75:R80" si="62">SUM(N75:Q75)</f>
        <v>0</v>
      </c>
      <c r="S75" s="1843">
        <f>S29*$B$29/4</f>
        <v>0</v>
      </c>
      <c r="T75" s="636">
        <f>T29*$B$29/4</f>
        <v>0</v>
      </c>
      <c r="U75" s="636">
        <f>U29*$B$29/4</f>
        <v>0</v>
      </c>
      <c r="V75" s="636">
        <f>V29*$B$29/4</f>
        <v>0</v>
      </c>
      <c r="W75" s="1484">
        <f>W29*$B$29</f>
        <v>0</v>
      </c>
      <c r="X75" s="1843">
        <f>X29*$B$29/4</f>
        <v>0</v>
      </c>
      <c r="Y75" s="636">
        <f>Y29*$B$29/4</f>
        <v>0</v>
      </c>
      <c r="Z75" s="636">
        <f>Z29*$B$29/4</f>
        <v>0</v>
      </c>
      <c r="AA75" s="636">
        <f>AA29*$B$29/4</f>
        <v>0</v>
      </c>
      <c r="AB75" s="1484">
        <f>AB29*$B$29</f>
        <v>0</v>
      </c>
      <c r="AC75" s="636">
        <f>AC29*$B$29/4</f>
        <v>0</v>
      </c>
      <c r="AD75" s="636">
        <f>AD29*$B$29/4</f>
        <v>0</v>
      </c>
      <c r="AE75" s="636">
        <f>AE29*$B$29/4</f>
        <v>0</v>
      </c>
      <c r="AF75" s="636">
        <f>AF29*$B$29/4</f>
        <v>0</v>
      </c>
      <c r="AG75" s="1484">
        <f t="shared" ref="AG75:AG80" si="63">SUM(AC75:AF75)</f>
        <v>0</v>
      </c>
      <c r="AH75" s="636">
        <f>AH29*$B$29/4</f>
        <v>0</v>
      </c>
      <c r="AI75" s="636">
        <f>AI29*$B$29/4</f>
        <v>0</v>
      </c>
      <c r="AJ75" s="636">
        <f>AJ29*$B$29/4</f>
        <v>0</v>
      </c>
      <c r="AK75" s="636">
        <f>AK29*$B$29/4</f>
        <v>0</v>
      </c>
      <c r="AL75" s="1484">
        <f t="shared" ref="AL75:AL80" si="64">SUM(AH75:AK75)</f>
        <v>0</v>
      </c>
      <c r="AM75" s="636">
        <f>AM29*$B$29/4</f>
        <v>0</v>
      </c>
      <c r="AN75" s="636">
        <f>AN29*$B$29/4</f>
        <v>0</v>
      </c>
      <c r="AO75" s="636">
        <f>AO29*$B$29/4</f>
        <v>0</v>
      </c>
      <c r="AP75" s="636">
        <f>AP29*$B$29/4</f>
        <v>0</v>
      </c>
      <c r="AQ75" s="1484">
        <f t="shared" ref="AQ75:AQ80" si="65">SUM(AM75:AP75)</f>
        <v>0</v>
      </c>
      <c r="AR75" s="636">
        <f>AR29*$B$29/4</f>
        <v>0</v>
      </c>
      <c r="AS75" s="636">
        <f>AS29*$B$29/4</f>
        <v>0</v>
      </c>
      <c r="AT75" s="636">
        <f>AT29*$B$29/4</f>
        <v>0</v>
      </c>
      <c r="AU75" s="636">
        <f>AU29*$B$29/4</f>
        <v>0</v>
      </c>
      <c r="AV75" s="1484">
        <f t="shared" ref="AV75:AV80" si="66">SUM(AR75:AU75)</f>
        <v>0</v>
      </c>
      <c r="AW75" s="636">
        <f>AW29*$B$29/4</f>
        <v>0</v>
      </c>
      <c r="AX75" s="636">
        <f>AX29*$B$29/4</f>
        <v>0</v>
      </c>
      <c r="AY75" s="636">
        <f>AY29*$B$29/4</f>
        <v>0</v>
      </c>
      <c r="AZ75" s="636">
        <f>AZ29*$B$29/4</f>
        <v>0</v>
      </c>
      <c r="BA75" s="1484">
        <f t="shared" ref="BA75:BA80" si="67">SUM(AW75:AZ75)</f>
        <v>0</v>
      </c>
      <c r="BB75" s="636">
        <f>BB29*$B$29/4</f>
        <v>0</v>
      </c>
      <c r="BC75" s="636">
        <f>BC29*$B$29/4</f>
        <v>0</v>
      </c>
      <c r="BD75" s="636">
        <f>BD29*$B$29/4</f>
        <v>0</v>
      </c>
      <c r="BE75" s="636">
        <f>BE29*$B$29/4</f>
        <v>0</v>
      </c>
      <c r="BF75" s="1484">
        <f t="shared" ref="BF75:BF80" si="68">SUM(BB75:BE75)</f>
        <v>0</v>
      </c>
    </row>
    <row r="76" spans="1:58" hidden="1" x14ac:dyDescent="0.25">
      <c r="A76" s="1807" t="s">
        <v>551</v>
      </c>
      <c r="B76" s="1798"/>
      <c r="C76" s="1809">
        <v>39381</v>
      </c>
      <c r="D76" s="1809">
        <v>41573</v>
      </c>
      <c r="E76" s="628"/>
      <c r="F76" s="636">
        <f>F30*$B$30/4</f>
        <v>0.2555</v>
      </c>
      <c r="G76" s="636">
        <f t="shared" ref="G76:L76" si="69">G30*$B$30/4</f>
        <v>0.2555</v>
      </c>
      <c r="H76" s="1484"/>
      <c r="I76" s="636">
        <f t="shared" si="69"/>
        <v>0.2555</v>
      </c>
      <c r="J76" s="636">
        <f t="shared" si="69"/>
        <v>0.2555</v>
      </c>
      <c r="K76" s="636">
        <f t="shared" si="69"/>
        <v>0.2555</v>
      </c>
      <c r="L76" s="636">
        <f t="shared" si="69"/>
        <v>0</v>
      </c>
      <c r="M76" s="1484">
        <f t="shared" si="61"/>
        <v>0.76649999999999996</v>
      </c>
      <c r="N76" s="636">
        <f>N30*$B$30/4</f>
        <v>0</v>
      </c>
      <c r="O76" s="636">
        <f>O30*$B$30/4</f>
        <v>0</v>
      </c>
      <c r="P76" s="636">
        <f>P30*$B$30/4</f>
        <v>0</v>
      </c>
      <c r="Q76" s="636">
        <f>Q30*$B$30/4</f>
        <v>0</v>
      </c>
      <c r="R76" s="1484">
        <f t="shared" si="62"/>
        <v>0</v>
      </c>
      <c r="S76" s="636">
        <f>S30*$B$30/4</f>
        <v>0</v>
      </c>
      <c r="T76" s="636">
        <f>T30*$B$30/4</f>
        <v>0</v>
      </c>
      <c r="U76" s="636">
        <f>U30*$B$30/4</f>
        <v>0</v>
      </c>
      <c r="V76" s="636">
        <f>V30*$B$30/4</f>
        <v>0</v>
      </c>
      <c r="W76" s="1484">
        <f>W30*$B$30</f>
        <v>0</v>
      </c>
      <c r="X76" s="636">
        <f>X30*$B$30/4</f>
        <v>0</v>
      </c>
      <c r="Y76" s="636">
        <f>Y30*$B$30/4</f>
        <v>0</v>
      </c>
      <c r="Z76" s="636">
        <f>Z30*$B$30/4</f>
        <v>0</v>
      </c>
      <c r="AA76" s="636">
        <f>AA30*$B$30/4</f>
        <v>0</v>
      </c>
      <c r="AB76" s="1484">
        <f>AB30*$B$30</f>
        <v>0</v>
      </c>
      <c r="AC76" s="636">
        <f>AC30*$B$30/4</f>
        <v>0</v>
      </c>
      <c r="AD76" s="636">
        <f>AD30*$B$30/4</f>
        <v>0</v>
      </c>
      <c r="AE76" s="636">
        <f>AE30*$B$30/4</f>
        <v>0</v>
      </c>
      <c r="AF76" s="636">
        <f>AF30*$B$30/4</f>
        <v>0</v>
      </c>
      <c r="AG76" s="1484">
        <f t="shared" si="63"/>
        <v>0</v>
      </c>
      <c r="AH76" s="636">
        <f>AH30*$B$30/4</f>
        <v>0</v>
      </c>
      <c r="AI76" s="636">
        <f>AI30*$B$30/4</f>
        <v>0</v>
      </c>
      <c r="AJ76" s="636">
        <f>AJ30*$B$30/4</f>
        <v>0</v>
      </c>
      <c r="AK76" s="636">
        <f>AK30*$B$30/4</f>
        <v>0</v>
      </c>
      <c r="AL76" s="1484">
        <f t="shared" si="64"/>
        <v>0</v>
      </c>
      <c r="AM76" s="636">
        <f>AM30*$B$30/4</f>
        <v>0</v>
      </c>
      <c r="AN76" s="636">
        <f>AN30*$B$30/4</f>
        <v>0</v>
      </c>
      <c r="AO76" s="636">
        <f>AO30*$B$30/4</f>
        <v>0</v>
      </c>
      <c r="AP76" s="636">
        <f>AP30*$B$30/4</f>
        <v>0</v>
      </c>
      <c r="AQ76" s="1484">
        <f t="shared" si="65"/>
        <v>0</v>
      </c>
      <c r="AR76" s="636">
        <f>AR30*$B$30/4</f>
        <v>0</v>
      </c>
      <c r="AS76" s="636">
        <f>AS30*$B$30/4</f>
        <v>0</v>
      </c>
      <c r="AT76" s="636">
        <f>AT30*$B$30/4</f>
        <v>0</v>
      </c>
      <c r="AU76" s="636">
        <f>AU30*$B$30/4</f>
        <v>0</v>
      </c>
      <c r="AV76" s="1484">
        <f t="shared" si="66"/>
        <v>0</v>
      </c>
      <c r="AW76" s="636">
        <f>AW30*$B$30/4</f>
        <v>0</v>
      </c>
      <c r="AX76" s="636">
        <f>AX30*$B$30/4</f>
        <v>0</v>
      </c>
      <c r="AY76" s="636">
        <f>AY30*$B$30/4</f>
        <v>0</v>
      </c>
      <c r="AZ76" s="636">
        <f>AZ30*$B$30/4</f>
        <v>0</v>
      </c>
      <c r="BA76" s="1484">
        <f t="shared" si="67"/>
        <v>0</v>
      </c>
      <c r="BB76" s="636">
        <f>BB30*$B$30/4</f>
        <v>0</v>
      </c>
      <c r="BC76" s="636">
        <f>BC30*$B$30/4</f>
        <v>0</v>
      </c>
      <c r="BD76" s="636">
        <f>BD30*$B$30/4</f>
        <v>0</v>
      </c>
      <c r="BE76" s="636">
        <f>BE30*$B$30/4</f>
        <v>0</v>
      </c>
      <c r="BF76" s="1484">
        <f t="shared" si="68"/>
        <v>0</v>
      </c>
    </row>
    <row r="77" spans="1:58" hidden="1" x14ac:dyDescent="0.25">
      <c r="A77" s="1807" t="s">
        <v>551</v>
      </c>
      <c r="B77" s="1798"/>
      <c r="C77" s="1809">
        <v>39381</v>
      </c>
      <c r="D77" s="1809">
        <v>42303</v>
      </c>
      <c r="E77" s="628"/>
      <c r="F77" s="636">
        <f>F31*$B$31/4</f>
        <v>0.2555</v>
      </c>
      <c r="G77" s="636">
        <f t="shared" ref="G77:L77" si="70">G31*$B$31/4</f>
        <v>0.2555</v>
      </c>
      <c r="H77" s="1484"/>
      <c r="I77" s="636">
        <f t="shared" si="70"/>
        <v>0.2555</v>
      </c>
      <c r="J77" s="636">
        <f t="shared" si="70"/>
        <v>0.2555</v>
      </c>
      <c r="K77" s="636">
        <f t="shared" si="70"/>
        <v>0.2555</v>
      </c>
      <c r="L77" s="636">
        <f t="shared" si="70"/>
        <v>0.2555</v>
      </c>
      <c r="M77" s="1484">
        <f t="shared" si="61"/>
        <v>1.022</v>
      </c>
      <c r="N77" s="636">
        <f>N31*$B$31/4</f>
        <v>0.2555</v>
      </c>
      <c r="O77" s="636">
        <f>O31*$B$31/4</f>
        <v>0.2555</v>
      </c>
      <c r="P77" s="636">
        <f>P31*$B$31/4</f>
        <v>0.2555</v>
      </c>
      <c r="Q77" s="636">
        <f>Q31*$B$31/4</f>
        <v>0.2555</v>
      </c>
      <c r="R77" s="1484">
        <f t="shared" si="62"/>
        <v>1.022</v>
      </c>
      <c r="S77" s="636">
        <f>S31*$B$31/4</f>
        <v>0.2555</v>
      </c>
      <c r="T77" s="636">
        <f>T31*$B$31/4</f>
        <v>0.2555</v>
      </c>
      <c r="U77" s="636">
        <f>U31*$B$31/4</f>
        <v>0.2555</v>
      </c>
      <c r="V77" s="636">
        <f>V31*$B$31/4</f>
        <v>0</v>
      </c>
      <c r="W77" s="1484">
        <f>W31*$B$31</f>
        <v>1.022</v>
      </c>
      <c r="X77" s="636">
        <f>X31*$B$31/4</f>
        <v>0</v>
      </c>
      <c r="Y77" s="636">
        <f>Y31*$B$31/4</f>
        <v>0</v>
      </c>
      <c r="Z77" s="636">
        <f>Z31*$B$31/4</f>
        <v>0</v>
      </c>
      <c r="AA77" s="636">
        <f>AA31*$B$31/4</f>
        <v>0</v>
      </c>
      <c r="AB77" s="1484">
        <f>(AB31*$B31)*(1/12)+(W31*$B31)*(11/12)</f>
        <v>0.9368333333333333</v>
      </c>
      <c r="AC77" s="636">
        <f>AC31*$B$31/4</f>
        <v>0</v>
      </c>
      <c r="AD77" s="636">
        <f>AD31*$B$31/4</f>
        <v>0</v>
      </c>
      <c r="AE77" s="636">
        <f>AE31*$B$31/4</f>
        <v>0</v>
      </c>
      <c r="AF77" s="636">
        <f>AF31*$B$31/4</f>
        <v>0</v>
      </c>
      <c r="AG77" s="1484">
        <f t="shared" si="63"/>
        <v>0</v>
      </c>
      <c r="AH77" s="636">
        <f>AH31*$B$31/4</f>
        <v>0</v>
      </c>
      <c r="AI77" s="636">
        <f>AI31*$B$31/4</f>
        <v>0</v>
      </c>
      <c r="AJ77" s="636">
        <f>AJ31*$B$31/4</f>
        <v>0</v>
      </c>
      <c r="AK77" s="636">
        <f>AK31*$B$31/4</f>
        <v>0</v>
      </c>
      <c r="AL77" s="1484">
        <f t="shared" si="64"/>
        <v>0</v>
      </c>
      <c r="AM77" s="636">
        <f>AM31*$B$31/4</f>
        <v>0</v>
      </c>
      <c r="AN77" s="636">
        <f>AN31*$B$31/4</f>
        <v>0</v>
      </c>
      <c r="AO77" s="636">
        <f>AO31*$B$31/4</f>
        <v>0</v>
      </c>
      <c r="AP77" s="636">
        <f>AP31*$B$31/4</f>
        <v>0</v>
      </c>
      <c r="AQ77" s="1484">
        <f t="shared" si="65"/>
        <v>0</v>
      </c>
      <c r="AR77" s="636">
        <f>AR31*$B$31/4</f>
        <v>0</v>
      </c>
      <c r="AS77" s="636">
        <f>AS31*$B$31/4</f>
        <v>0</v>
      </c>
      <c r="AT77" s="636">
        <f>AT31*$B$31/4</f>
        <v>0</v>
      </c>
      <c r="AU77" s="636">
        <f>AU31*$B$31/4</f>
        <v>0</v>
      </c>
      <c r="AV77" s="1484">
        <f t="shared" si="66"/>
        <v>0</v>
      </c>
      <c r="AW77" s="636">
        <f>AW31*$B$31/4</f>
        <v>0</v>
      </c>
      <c r="AX77" s="636">
        <f>AX31*$B$31/4</f>
        <v>0</v>
      </c>
      <c r="AY77" s="636">
        <f>AY31*$B$31/4</f>
        <v>0</v>
      </c>
      <c r="AZ77" s="636">
        <f>AZ31*$B$31/4</f>
        <v>0</v>
      </c>
      <c r="BA77" s="1484">
        <f t="shared" si="67"/>
        <v>0</v>
      </c>
      <c r="BB77" s="636">
        <f>BB31*$B$31/4</f>
        <v>0</v>
      </c>
      <c r="BC77" s="636">
        <f>BC31*$B$31/4</f>
        <v>0</v>
      </c>
      <c r="BD77" s="636">
        <f>BD31*$B$31/4</f>
        <v>0</v>
      </c>
      <c r="BE77" s="636">
        <f>BE31*$B$31/4</f>
        <v>0</v>
      </c>
      <c r="BF77" s="1484">
        <f t="shared" si="68"/>
        <v>0</v>
      </c>
    </row>
    <row r="78" spans="1:58" hidden="1" x14ac:dyDescent="0.25">
      <c r="A78" s="1807" t="s">
        <v>552</v>
      </c>
      <c r="B78" s="1798"/>
      <c r="C78" s="1809">
        <v>39567</v>
      </c>
      <c r="D78" s="1809">
        <v>41393</v>
      </c>
      <c r="E78" s="628"/>
      <c r="F78" s="636">
        <f>F32*$B$32/4</f>
        <v>0.23549999999999999</v>
      </c>
      <c r="G78" s="636">
        <f t="shared" ref="G78:L78" si="71">G32*$B$32/4</f>
        <v>0.23549999999999999</v>
      </c>
      <c r="H78" s="1484"/>
      <c r="I78" s="636">
        <f t="shared" si="71"/>
        <v>0.23549999999999999</v>
      </c>
      <c r="J78" s="636">
        <f t="shared" si="71"/>
        <v>0</v>
      </c>
      <c r="K78" s="636">
        <f t="shared" si="71"/>
        <v>0</v>
      </c>
      <c r="L78" s="636">
        <f t="shared" si="71"/>
        <v>0</v>
      </c>
      <c r="M78" s="1484">
        <f t="shared" si="61"/>
        <v>0.23549999999999999</v>
      </c>
      <c r="N78" s="636">
        <f>N32*$B$32/4</f>
        <v>0</v>
      </c>
      <c r="O78" s="636">
        <f>O32*$B$32/4</f>
        <v>0</v>
      </c>
      <c r="P78" s="636">
        <f>P32*$B$32/4</f>
        <v>0</v>
      </c>
      <c r="Q78" s="636">
        <f>Q32*$B$32/4</f>
        <v>0</v>
      </c>
      <c r="R78" s="1484">
        <f t="shared" si="62"/>
        <v>0</v>
      </c>
      <c r="S78" s="636">
        <f>S32*$B$32/4</f>
        <v>0</v>
      </c>
      <c r="T78" s="636">
        <f>T32*$B$32/4</f>
        <v>0</v>
      </c>
      <c r="U78" s="636">
        <f>U32*$B$32/4</f>
        <v>0</v>
      </c>
      <c r="V78" s="636">
        <f>V32*$B$32/4</f>
        <v>0</v>
      </c>
      <c r="W78" s="1484">
        <f>W32*$B$32</f>
        <v>0</v>
      </c>
      <c r="X78" s="636">
        <f>X32*$B$32/4</f>
        <v>0</v>
      </c>
      <c r="Y78" s="636">
        <f>Y32*$B$32/4</f>
        <v>0</v>
      </c>
      <c r="Z78" s="636">
        <f>Z32*$B$32/4</f>
        <v>0</v>
      </c>
      <c r="AA78" s="636">
        <f>AA32*$B$32/4</f>
        <v>0</v>
      </c>
      <c r="AB78" s="1484">
        <f>AB32*$B$32</f>
        <v>0</v>
      </c>
      <c r="AC78" s="636">
        <f>AC32*$B$32/4</f>
        <v>0</v>
      </c>
      <c r="AD78" s="636">
        <f>AD32*$B$32/4</f>
        <v>0</v>
      </c>
      <c r="AE78" s="636">
        <f>AE32*$B$32/4</f>
        <v>0</v>
      </c>
      <c r="AF78" s="636">
        <f>AF32*$B$32/4</f>
        <v>0</v>
      </c>
      <c r="AG78" s="1484">
        <f t="shared" si="63"/>
        <v>0</v>
      </c>
      <c r="AH78" s="636">
        <f>AH32*$B$32/4</f>
        <v>0</v>
      </c>
      <c r="AI78" s="636">
        <f>AI32*$B$32/4</f>
        <v>0</v>
      </c>
      <c r="AJ78" s="636">
        <f>AJ32*$B$32/4</f>
        <v>0</v>
      </c>
      <c r="AK78" s="636">
        <f>AK32*$B$32/4</f>
        <v>0</v>
      </c>
      <c r="AL78" s="1484">
        <f t="shared" si="64"/>
        <v>0</v>
      </c>
      <c r="AM78" s="636">
        <f>AM32*$B$32/4</f>
        <v>0</v>
      </c>
      <c r="AN78" s="636">
        <f>AN32*$B$32/4</f>
        <v>0</v>
      </c>
      <c r="AO78" s="636">
        <f>AO32*$B$32/4</f>
        <v>0</v>
      </c>
      <c r="AP78" s="636">
        <f>AP32*$B$32/4</f>
        <v>0</v>
      </c>
      <c r="AQ78" s="1484">
        <f t="shared" si="65"/>
        <v>0</v>
      </c>
      <c r="AR78" s="636">
        <f>AR32*$B$32/4</f>
        <v>0</v>
      </c>
      <c r="AS78" s="636">
        <f>AS32*$B$32/4</f>
        <v>0</v>
      </c>
      <c r="AT78" s="636">
        <f>AT32*$B$32/4</f>
        <v>0</v>
      </c>
      <c r="AU78" s="636">
        <f>AU32*$B$32/4</f>
        <v>0</v>
      </c>
      <c r="AV78" s="1484">
        <f t="shared" si="66"/>
        <v>0</v>
      </c>
      <c r="AW78" s="636">
        <f>AW32*$B$32/4</f>
        <v>0</v>
      </c>
      <c r="AX78" s="636">
        <f>AX32*$B$32/4</f>
        <v>0</v>
      </c>
      <c r="AY78" s="636">
        <f>AY32*$B$32/4</f>
        <v>0</v>
      </c>
      <c r="AZ78" s="636">
        <f>AZ32*$B$32/4</f>
        <v>0</v>
      </c>
      <c r="BA78" s="1484">
        <f t="shared" si="67"/>
        <v>0</v>
      </c>
      <c r="BB78" s="636">
        <f>BB32*$B$32/4</f>
        <v>0</v>
      </c>
      <c r="BC78" s="636">
        <f>BC32*$B$32/4</f>
        <v>0</v>
      </c>
      <c r="BD78" s="636">
        <f>BD32*$B$32/4</f>
        <v>0</v>
      </c>
      <c r="BE78" s="636">
        <f>BE32*$B$32/4</f>
        <v>0</v>
      </c>
      <c r="BF78" s="1484">
        <f t="shared" si="68"/>
        <v>0</v>
      </c>
    </row>
    <row r="79" spans="1:58" hidden="1" x14ac:dyDescent="0.25">
      <c r="A79" s="1807" t="s">
        <v>552</v>
      </c>
      <c r="B79" s="1798"/>
      <c r="C79" s="1809">
        <v>39567</v>
      </c>
      <c r="D79" s="1809">
        <v>42123</v>
      </c>
      <c r="E79" s="628"/>
      <c r="F79" s="636">
        <f>F33*$B$33/4</f>
        <v>1.3344999999999998</v>
      </c>
      <c r="G79" s="636">
        <f t="shared" ref="G79:L79" si="72">G33*$B$33/4</f>
        <v>1.3344999999999998</v>
      </c>
      <c r="H79" s="1484"/>
      <c r="I79" s="636">
        <f t="shared" si="72"/>
        <v>1.3344999999999998</v>
      </c>
      <c r="J79" s="636">
        <f t="shared" si="72"/>
        <v>1.3344999999999998</v>
      </c>
      <c r="K79" s="636">
        <f t="shared" si="72"/>
        <v>1.3344999999999998</v>
      </c>
      <c r="L79" s="636">
        <f t="shared" si="72"/>
        <v>1.3344999999999998</v>
      </c>
      <c r="M79" s="1484">
        <f t="shared" si="61"/>
        <v>5.3379999999999992</v>
      </c>
      <c r="N79" s="636">
        <f>N33*$B$33/4</f>
        <v>1.3344999999999998</v>
      </c>
      <c r="O79" s="636">
        <f>O33*$B$33/4</f>
        <v>1.3344999999999998</v>
      </c>
      <c r="P79" s="636">
        <f>P33*$B$33/4</f>
        <v>1.3344999999999998</v>
      </c>
      <c r="Q79" s="636">
        <f>Q33*$B$33/4</f>
        <v>1.3344999999999998</v>
      </c>
      <c r="R79" s="1484">
        <f t="shared" si="62"/>
        <v>5.3379999999999992</v>
      </c>
      <c r="S79" s="636">
        <f>S33*$B$33/4</f>
        <v>1.3344999999999998</v>
      </c>
      <c r="T79" s="636">
        <f>T33*$B$33/4</f>
        <v>0</v>
      </c>
      <c r="U79" s="636">
        <f>U33*$B$33/4</f>
        <v>0</v>
      </c>
      <c r="V79" s="636">
        <f>V33*$B$33/4</f>
        <v>0</v>
      </c>
      <c r="W79" s="1484">
        <f>W33*$B$33</f>
        <v>0</v>
      </c>
      <c r="X79" s="636">
        <f>X33*$B$33/4</f>
        <v>0</v>
      </c>
      <c r="Y79" s="636">
        <f>Y33*$B$33/4</f>
        <v>0</v>
      </c>
      <c r="Z79" s="636">
        <f>Z33*$B$33/4</f>
        <v>0</v>
      </c>
      <c r="AA79" s="636">
        <f>AA33*$B$33/4</f>
        <v>0</v>
      </c>
      <c r="AB79" s="1484">
        <f>(AB33*$B33)*(7/12)+(W33*$B33)*(5/12)</f>
        <v>0</v>
      </c>
      <c r="AC79" s="636">
        <f>AC33*$B$33/4</f>
        <v>0</v>
      </c>
      <c r="AD79" s="636">
        <f>AD33*$B$33/4</f>
        <v>0</v>
      </c>
      <c r="AE79" s="636">
        <f>AE33*$B$33/4</f>
        <v>0</v>
      </c>
      <c r="AF79" s="636">
        <f>AF33*$B$33/4</f>
        <v>0</v>
      </c>
      <c r="AG79" s="1484">
        <f t="shared" si="63"/>
        <v>0</v>
      </c>
      <c r="AH79" s="636">
        <f>AH33*$B$33/4</f>
        <v>0</v>
      </c>
      <c r="AI79" s="636">
        <f>AI33*$B$33/4</f>
        <v>0</v>
      </c>
      <c r="AJ79" s="636">
        <f>AJ33*$B$33/4</f>
        <v>0</v>
      </c>
      <c r="AK79" s="636">
        <f>AK33*$B$33/4</f>
        <v>0</v>
      </c>
      <c r="AL79" s="1484">
        <f t="shared" si="64"/>
        <v>0</v>
      </c>
      <c r="AM79" s="636">
        <f>AM33*$B$33/4</f>
        <v>0</v>
      </c>
      <c r="AN79" s="636">
        <f>AN33*$B$33/4</f>
        <v>0</v>
      </c>
      <c r="AO79" s="636">
        <f>AO33*$B$33/4</f>
        <v>0</v>
      </c>
      <c r="AP79" s="636">
        <f>AP33*$B$33/4</f>
        <v>0</v>
      </c>
      <c r="AQ79" s="1484">
        <f t="shared" si="65"/>
        <v>0</v>
      </c>
      <c r="AR79" s="636">
        <f>AR33*$B$33/4</f>
        <v>0</v>
      </c>
      <c r="AS79" s="636">
        <f>AS33*$B$33/4</f>
        <v>0</v>
      </c>
      <c r="AT79" s="636">
        <f>AT33*$B$33/4</f>
        <v>0</v>
      </c>
      <c r="AU79" s="636">
        <f>AU33*$B$33/4</f>
        <v>0</v>
      </c>
      <c r="AV79" s="1484">
        <f t="shared" si="66"/>
        <v>0</v>
      </c>
      <c r="AW79" s="636">
        <f>AW33*$B$33/4</f>
        <v>0</v>
      </c>
      <c r="AX79" s="636">
        <f>AX33*$B$33/4</f>
        <v>0</v>
      </c>
      <c r="AY79" s="636">
        <f>AY33*$B$33/4</f>
        <v>0</v>
      </c>
      <c r="AZ79" s="636">
        <f>AZ33*$B$33/4</f>
        <v>0</v>
      </c>
      <c r="BA79" s="1484">
        <f t="shared" si="67"/>
        <v>0</v>
      </c>
      <c r="BB79" s="636">
        <f>BB33*$B$33/4</f>
        <v>0</v>
      </c>
      <c r="BC79" s="636">
        <f>BC33*$B$33/4</f>
        <v>0</v>
      </c>
      <c r="BD79" s="636">
        <f>BD33*$B$33/4</f>
        <v>0</v>
      </c>
      <c r="BE79" s="636">
        <f>BE33*$B$33/4</f>
        <v>0</v>
      </c>
      <c r="BF79" s="1484">
        <f t="shared" si="68"/>
        <v>0</v>
      </c>
    </row>
    <row r="80" spans="1:58" hidden="1" x14ac:dyDescent="0.25">
      <c r="A80" s="1807" t="s">
        <v>538</v>
      </c>
      <c r="B80" s="1798"/>
      <c r="C80" s="1809">
        <v>39979</v>
      </c>
      <c r="D80" s="1809">
        <v>42536</v>
      </c>
      <c r="E80" s="628"/>
      <c r="F80" s="636">
        <f>F34*$B$34/4</f>
        <v>0.85625000000000007</v>
      </c>
      <c r="G80" s="636">
        <f>G34*$B$34/4</f>
        <v>0.85625000000000007</v>
      </c>
      <c r="H80" s="1484"/>
      <c r="I80" s="636">
        <f>I34*$B$34/4</f>
        <v>0.85625000000000007</v>
      </c>
      <c r="J80" s="636">
        <f>J34*$B$34/4</f>
        <v>0.85625000000000007</v>
      </c>
      <c r="K80" s="636">
        <f>K34*$B$34/4</f>
        <v>0.85625000000000007</v>
      </c>
      <c r="L80" s="636">
        <f>L34*$B$34/4</f>
        <v>0.85625000000000007</v>
      </c>
      <c r="M80" s="1484">
        <f t="shared" si="61"/>
        <v>3.4250000000000003</v>
      </c>
      <c r="N80" s="636">
        <f>N34*$B$34/4</f>
        <v>0.85625000000000007</v>
      </c>
      <c r="O80" s="636">
        <f>O34*$B$34/4</f>
        <v>0.85625000000000007</v>
      </c>
      <c r="P80" s="636">
        <f>P34*$B$34/4</f>
        <v>0.85625000000000007</v>
      </c>
      <c r="Q80" s="636">
        <f>Q34*$B$34/4</f>
        <v>0.85625000000000007</v>
      </c>
      <c r="R80" s="1484">
        <f t="shared" si="62"/>
        <v>3.4250000000000003</v>
      </c>
      <c r="S80" s="636">
        <f>S34*$B$34/4</f>
        <v>0.85625000000000007</v>
      </c>
      <c r="T80" s="636">
        <f>T34*$B$34/4</f>
        <v>0.85625000000000007</v>
      </c>
      <c r="U80" s="636">
        <f>U34*$B$34/4</f>
        <v>0.85625000000000007</v>
      </c>
      <c r="V80" s="636">
        <f>V34*$B$34/4</f>
        <v>0.85625000000000007</v>
      </c>
      <c r="W80" s="1484">
        <f>W34*$B$34</f>
        <v>3.4250000000000003</v>
      </c>
      <c r="X80" s="636">
        <f>X34*$B$34/4</f>
        <v>0.85625000000000007</v>
      </c>
      <c r="Y80" s="636">
        <f>Y34*$B$34/4</f>
        <v>0</v>
      </c>
      <c r="Z80" s="636">
        <f>Z34*$B$34/4</f>
        <v>0</v>
      </c>
      <c r="AA80" s="636">
        <f>AA34*$B$34/4</f>
        <v>0</v>
      </c>
      <c r="AB80" s="1484">
        <f>AB34*$B$34</f>
        <v>0</v>
      </c>
      <c r="AC80" s="1843">
        <f>AC34*$B$34/4</f>
        <v>0</v>
      </c>
      <c r="AD80" s="1843">
        <f>AD34*$B$34/4</f>
        <v>0</v>
      </c>
      <c r="AE80" s="636">
        <f>AE34*$B$34/4</f>
        <v>0</v>
      </c>
      <c r="AF80" s="636">
        <f>AF34*$B$34/4</f>
        <v>0</v>
      </c>
      <c r="AG80" s="1484">
        <f t="shared" si="63"/>
        <v>0</v>
      </c>
      <c r="AH80" s="636">
        <f>AH34*$B$34/4</f>
        <v>0</v>
      </c>
      <c r="AI80" s="636">
        <f>AI34*$B$34/4</f>
        <v>0</v>
      </c>
      <c r="AJ80" s="636">
        <f>AJ34*$B$34/4</f>
        <v>0</v>
      </c>
      <c r="AK80" s="636">
        <f>AK34*$B$34/4</f>
        <v>0</v>
      </c>
      <c r="AL80" s="1484">
        <f t="shared" si="64"/>
        <v>0</v>
      </c>
      <c r="AM80" s="1843">
        <f>AM34*$B$34/4</f>
        <v>0</v>
      </c>
      <c r="AN80" s="1843">
        <f>AN34*$B$34/4</f>
        <v>0</v>
      </c>
      <c r="AO80" s="636">
        <f>AO34*$B$34/4</f>
        <v>0</v>
      </c>
      <c r="AP80" s="636">
        <f>AP34*$B$34/4</f>
        <v>0</v>
      </c>
      <c r="AQ80" s="1484">
        <f t="shared" si="65"/>
        <v>0</v>
      </c>
      <c r="AR80" s="1843">
        <f>AR34*$B$34/4</f>
        <v>0</v>
      </c>
      <c r="AS80" s="1843">
        <f>AS34*$B$34/4</f>
        <v>0</v>
      </c>
      <c r="AT80" s="636">
        <f>AT34*$B$34/4</f>
        <v>0</v>
      </c>
      <c r="AU80" s="636">
        <f>AU34*$B$34/4</f>
        <v>0</v>
      </c>
      <c r="AV80" s="1484">
        <f t="shared" si="66"/>
        <v>0</v>
      </c>
      <c r="AW80" s="1843">
        <f>AW34*$B$34/4</f>
        <v>0</v>
      </c>
      <c r="AX80" s="1843">
        <f>AX34*$B$34/4</f>
        <v>0</v>
      </c>
      <c r="AY80" s="636">
        <f>AY34*$B$34/4</f>
        <v>0</v>
      </c>
      <c r="AZ80" s="636">
        <f>AZ34*$B$34/4</f>
        <v>0</v>
      </c>
      <c r="BA80" s="1484">
        <f t="shared" si="67"/>
        <v>0</v>
      </c>
      <c r="BB80" s="1843">
        <f>BB34*$B$34/4</f>
        <v>0</v>
      </c>
      <c r="BC80" s="1843">
        <f>BC34*$B$34/4</f>
        <v>0</v>
      </c>
      <c r="BD80" s="636">
        <f>BD34*$B$34/4</f>
        <v>0</v>
      </c>
      <c r="BE80" s="636">
        <f>BE34*$B$34/4</f>
        <v>0</v>
      </c>
      <c r="BF80" s="1484">
        <f t="shared" si="68"/>
        <v>0</v>
      </c>
    </row>
    <row r="81" spans="1:58" hidden="1" x14ac:dyDescent="0.25">
      <c r="A81" s="1807"/>
      <c r="B81" s="1798"/>
      <c r="C81" s="1809"/>
      <c r="D81" s="1809"/>
      <c r="E81" s="628"/>
      <c r="F81" s="636"/>
      <c r="G81" s="636"/>
      <c r="H81" s="1484"/>
      <c r="I81" s="636"/>
      <c r="J81" s="636"/>
      <c r="K81" s="636"/>
      <c r="L81" s="636"/>
      <c r="M81" s="1484"/>
      <c r="N81" s="636"/>
      <c r="O81" s="636"/>
      <c r="P81" s="636"/>
      <c r="Q81" s="636"/>
      <c r="R81" s="1484"/>
      <c r="S81" s="636"/>
      <c r="T81" s="636"/>
      <c r="U81" s="636"/>
      <c r="V81" s="636"/>
      <c r="W81" s="1484"/>
      <c r="X81" s="636"/>
      <c r="Y81" s="636"/>
      <c r="Z81" s="636"/>
      <c r="AA81" s="636"/>
      <c r="AB81" s="1484"/>
      <c r="AC81" s="636"/>
      <c r="AD81" s="636"/>
      <c r="AE81" s="636"/>
      <c r="AF81" s="636"/>
      <c r="AG81" s="1484"/>
      <c r="AH81" s="636"/>
      <c r="AI81" s="636"/>
      <c r="AJ81" s="636"/>
      <c r="AK81" s="636"/>
      <c r="AL81" s="1484"/>
      <c r="AM81" s="636"/>
      <c r="AN81" s="636"/>
      <c r="AO81" s="636"/>
      <c r="AP81" s="636"/>
      <c r="AQ81" s="1484"/>
      <c r="AR81" s="636"/>
      <c r="AS81" s="636"/>
      <c r="AT81" s="636"/>
      <c r="AU81" s="636"/>
      <c r="AV81" s="1484"/>
      <c r="AW81" s="636"/>
      <c r="AX81" s="636"/>
      <c r="AY81" s="636"/>
      <c r="AZ81" s="636"/>
      <c r="BA81" s="1484"/>
      <c r="BB81" s="636"/>
      <c r="BC81" s="636"/>
      <c r="BD81" s="636"/>
      <c r="BE81" s="636"/>
      <c r="BF81" s="1484"/>
    </row>
    <row r="82" spans="1:58" hidden="1" x14ac:dyDescent="0.25">
      <c r="A82" s="1807"/>
      <c r="B82" s="1798"/>
      <c r="C82" s="1798"/>
      <c r="D82" s="1798"/>
      <c r="E82" s="628"/>
      <c r="F82" s="636"/>
      <c r="G82" s="636"/>
      <c r="H82" s="1484"/>
      <c r="I82" s="636"/>
      <c r="J82" s="636"/>
      <c r="K82" s="636"/>
      <c r="L82" s="636"/>
      <c r="M82" s="1484"/>
      <c r="N82" s="636"/>
      <c r="O82" s="636"/>
      <c r="P82" s="636"/>
      <c r="Q82" s="636"/>
      <c r="R82" s="1484"/>
      <c r="S82" s="636"/>
      <c r="T82" s="636"/>
      <c r="U82" s="636"/>
      <c r="V82" s="636"/>
      <c r="W82" s="1484"/>
      <c r="X82" s="636"/>
      <c r="Y82" s="636"/>
      <c r="Z82" s="636"/>
      <c r="AA82" s="636"/>
      <c r="AB82" s="1484"/>
      <c r="AC82" s="636"/>
      <c r="AD82" s="636"/>
      <c r="AE82" s="636"/>
      <c r="AF82" s="636"/>
      <c r="AG82" s="1484"/>
      <c r="AH82" s="636"/>
      <c r="AI82" s="636"/>
      <c r="AJ82" s="636"/>
      <c r="AK82" s="636"/>
      <c r="AL82" s="1484"/>
      <c r="AM82" s="636"/>
      <c r="AN82" s="636"/>
      <c r="AO82" s="636"/>
      <c r="AP82" s="636"/>
      <c r="AQ82" s="1484"/>
      <c r="AR82" s="636"/>
      <c r="AS82" s="636"/>
      <c r="AT82" s="636"/>
      <c r="AU82" s="636"/>
      <c r="AV82" s="1484"/>
      <c r="AW82" s="636"/>
      <c r="AX82" s="636"/>
      <c r="AY82" s="636"/>
      <c r="AZ82" s="636"/>
      <c r="BA82" s="1484"/>
      <c r="BB82" s="636"/>
      <c r="BC82" s="636"/>
      <c r="BD82" s="636"/>
      <c r="BE82" s="636"/>
      <c r="BF82" s="1484"/>
    </row>
    <row r="83" spans="1:58" hidden="1" x14ac:dyDescent="0.25">
      <c r="A83" s="1807"/>
      <c r="B83" s="1798"/>
      <c r="C83" s="1798"/>
      <c r="D83" s="1798"/>
      <c r="E83" s="628"/>
      <c r="F83" s="636"/>
      <c r="G83" s="636"/>
      <c r="H83" s="1484"/>
      <c r="I83" s="636"/>
      <c r="J83" s="636"/>
      <c r="K83" s="636"/>
      <c r="L83" s="636"/>
      <c r="M83" s="1484"/>
      <c r="N83" s="636"/>
      <c r="O83" s="636"/>
      <c r="P83" s="636"/>
      <c r="Q83" s="636"/>
      <c r="R83" s="1484"/>
      <c r="S83" s="636"/>
      <c r="T83" s="636"/>
      <c r="U83" s="636"/>
      <c r="V83" s="636"/>
      <c r="W83" s="1484"/>
      <c r="X83" s="636"/>
      <c r="Y83" s="636"/>
      <c r="Z83" s="636"/>
      <c r="AA83" s="636"/>
      <c r="AB83" s="1484"/>
      <c r="AC83" s="636"/>
      <c r="AD83" s="636"/>
      <c r="AE83" s="636"/>
      <c r="AF83" s="636"/>
      <c r="AG83" s="1484"/>
      <c r="AH83" s="636"/>
      <c r="AI83" s="636"/>
      <c r="AJ83" s="636"/>
      <c r="AK83" s="636"/>
      <c r="AL83" s="1484"/>
      <c r="AM83" s="636"/>
      <c r="AN83" s="636"/>
      <c r="AO83" s="636"/>
      <c r="AP83" s="636"/>
      <c r="AQ83" s="1484"/>
      <c r="AR83" s="636"/>
      <c r="AS83" s="636"/>
      <c r="AT83" s="636"/>
      <c r="AU83" s="636"/>
      <c r="AV83" s="1484"/>
      <c r="AW83" s="636"/>
      <c r="AX83" s="636"/>
      <c r="AY83" s="636"/>
      <c r="AZ83" s="636"/>
      <c r="BA83" s="1484"/>
      <c r="BB83" s="636"/>
      <c r="BC83" s="636"/>
      <c r="BD83" s="636"/>
      <c r="BE83" s="636"/>
      <c r="BF83" s="1484"/>
    </row>
    <row r="84" spans="1:58" hidden="1" x14ac:dyDescent="0.25">
      <c r="A84" s="1803" t="s">
        <v>553</v>
      </c>
      <c r="B84" s="1798"/>
      <c r="C84" s="1798"/>
      <c r="D84" s="1798"/>
      <c r="E84" s="628"/>
      <c r="F84" s="636"/>
      <c r="G84" s="636"/>
      <c r="H84" s="1484"/>
      <c r="I84" s="636"/>
      <c r="J84" s="636"/>
      <c r="K84" s="636"/>
      <c r="L84" s="636"/>
      <c r="M84" s="1484"/>
      <c r="N84" s="636"/>
      <c r="O84" s="636"/>
      <c r="P84" s="636"/>
      <c r="Q84" s="636"/>
      <c r="R84" s="1484"/>
      <c r="S84" s="636"/>
      <c r="T84" s="636"/>
      <c r="U84" s="636"/>
      <c r="V84" s="636"/>
      <c r="W84" s="1484"/>
      <c r="X84" s="636"/>
      <c r="Y84" s="636"/>
      <c r="Z84" s="636"/>
      <c r="AA84" s="636"/>
      <c r="AB84" s="1484"/>
      <c r="AC84" s="636"/>
      <c r="AD84" s="636"/>
      <c r="AE84" s="636"/>
      <c r="AF84" s="636"/>
      <c r="AG84" s="1484"/>
      <c r="AH84" s="636"/>
      <c r="AI84" s="636"/>
      <c r="AJ84" s="636"/>
      <c r="AK84" s="636"/>
      <c r="AL84" s="1484"/>
      <c r="AM84" s="636"/>
      <c r="AN84" s="636"/>
      <c r="AO84" s="636"/>
      <c r="AP84" s="636"/>
      <c r="AQ84" s="1484"/>
      <c r="AR84" s="636"/>
      <c r="AS84" s="636"/>
      <c r="AT84" s="636"/>
      <c r="AU84" s="636"/>
      <c r="AV84" s="1484"/>
      <c r="AW84" s="636"/>
      <c r="AX84" s="636"/>
      <c r="AY84" s="636"/>
      <c r="AZ84" s="636"/>
      <c r="BA84" s="1484"/>
      <c r="BB84" s="636"/>
      <c r="BC84" s="636"/>
      <c r="BD84" s="636"/>
      <c r="BE84" s="636"/>
      <c r="BF84" s="1484"/>
    </row>
    <row r="85" spans="1:58" hidden="1" x14ac:dyDescent="0.25">
      <c r="A85" s="1807" t="s">
        <v>554</v>
      </c>
      <c r="B85" s="1798"/>
      <c r="C85" s="1809">
        <v>38937</v>
      </c>
      <c r="D85" s="1809">
        <v>41494</v>
      </c>
      <c r="E85" s="628"/>
      <c r="F85" s="636">
        <f>F39*$B$39/4</f>
        <v>0.38500000000000001</v>
      </c>
      <c r="G85" s="636">
        <f t="shared" ref="G85:L85" si="73">G39*$B$39/4</f>
        <v>0.38500000000000001</v>
      </c>
      <c r="H85" s="1484"/>
      <c r="I85" s="636">
        <f t="shared" si="73"/>
        <v>0.38500000000000001</v>
      </c>
      <c r="J85" s="636">
        <f t="shared" si="73"/>
        <v>0.38500000000000001</v>
      </c>
      <c r="K85" s="636">
        <f t="shared" si="73"/>
        <v>0</v>
      </c>
      <c r="L85" s="636">
        <f t="shared" si="73"/>
        <v>0</v>
      </c>
      <c r="M85" s="1484">
        <f>SUM(I85:L85)</f>
        <v>0.77</v>
      </c>
      <c r="N85" s="636">
        <f>N39*$B$39/4</f>
        <v>0</v>
      </c>
      <c r="O85" s="636">
        <f>O39*$B$39/4</f>
        <v>0</v>
      </c>
      <c r="P85" s="636">
        <f>P39*$B$39/4</f>
        <v>0</v>
      </c>
      <c r="Q85" s="636">
        <f>Q39*$B$39/4</f>
        <v>0</v>
      </c>
      <c r="R85" s="1484">
        <f>SUM(N85:Q85)</f>
        <v>0</v>
      </c>
      <c r="S85" s="636">
        <f>S39*$B$39/4</f>
        <v>0</v>
      </c>
      <c r="T85" s="636">
        <f>T39*$B$39/4</f>
        <v>0</v>
      </c>
      <c r="U85" s="636">
        <f>U39*$B$39/4</f>
        <v>0</v>
      </c>
      <c r="V85" s="636">
        <f>V39*$B$39/4</f>
        <v>0</v>
      </c>
      <c r="W85" s="1484">
        <f>W39*$B$39</f>
        <v>0</v>
      </c>
      <c r="X85" s="636">
        <f>X39*$B$39/4</f>
        <v>0</v>
      </c>
      <c r="Y85" s="636">
        <f>Y39*$B$39/4</f>
        <v>0</v>
      </c>
      <c r="Z85" s="636">
        <f>Z39*$B$39/4</f>
        <v>0</v>
      </c>
      <c r="AA85" s="636">
        <f>AA39*$B$39/4</f>
        <v>0</v>
      </c>
      <c r="AB85" s="1484">
        <f>AB39*$B$39</f>
        <v>0</v>
      </c>
      <c r="AC85" s="636">
        <f>AC39*$B$39/4</f>
        <v>0</v>
      </c>
      <c r="AD85" s="636">
        <f>AD39*$B$39/4</f>
        <v>0</v>
      </c>
      <c r="AE85" s="636">
        <f>AE39*$B$39/4</f>
        <v>0</v>
      </c>
      <c r="AF85" s="636">
        <f>AF39*$B$39/4</f>
        <v>0</v>
      </c>
      <c r="AG85" s="1484">
        <f>AG39*$B$39</f>
        <v>0</v>
      </c>
      <c r="AH85" s="636">
        <f>AH39*$B$39/4</f>
        <v>0</v>
      </c>
      <c r="AI85" s="636">
        <f>AI39*$B$39/4</f>
        <v>0</v>
      </c>
      <c r="AJ85" s="636">
        <f>AJ39*$B$39/4</f>
        <v>0</v>
      </c>
      <c r="AK85" s="636">
        <f>AK39*$B$39/4</f>
        <v>0</v>
      </c>
      <c r="AL85" s="1484">
        <f>AL39*$B$39</f>
        <v>0</v>
      </c>
      <c r="AM85" s="636">
        <f>AM39*$B$39/4</f>
        <v>0</v>
      </c>
      <c r="AN85" s="636">
        <f>AN39*$B$39/4</f>
        <v>0</v>
      </c>
      <c r="AO85" s="636">
        <f>AO39*$B$39/4</f>
        <v>0</v>
      </c>
      <c r="AP85" s="636">
        <f>AP39*$B$39/4</f>
        <v>0</v>
      </c>
      <c r="AQ85" s="1484">
        <f>AQ39*$B$39</f>
        <v>0</v>
      </c>
      <c r="AR85" s="636">
        <f>AR39*$B$39/4</f>
        <v>0</v>
      </c>
      <c r="AS85" s="636">
        <f>AS39*$B$39/4</f>
        <v>0</v>
      </c>
      <c r="AT85" s="636">
        <f>AT39*$B$39/4</f>
        <v>0</v>
      </c>
      <c r="AU85" s="636">
        <f>AU39*$B$39/4</f>
        <v>0</v>
      </c>
      <c r="AV85" s="1484">
        <f>AV39*$B$39</f>
        <v>0</v>
      </c>
      <c r="AW85" s="636">
        <f>AW39*$B$39/4</f>
        <v>0</v>
      </c>
      <c r="AX85" s="636">
        <f>AX39*$B$39/4</f>
        <v>0</v>
      </c>
      <c r="AY85" s="636">
        <f>AY39*$B$39/4</f>
        <v>0</v>
      </c>
      <c r="AZ85" s="636">
        <f>AZ39*$B$39/4</f>
        <v>0</v>
      </c>
      <c r="BA85" s="1484">
        <f>BA39*$B$39</f>
        <v>0</v>
      </c>
      <c r="BB85" s="636">
        <f>BB39*$B$39/4</f>
        <v>0</v>
      </c>
      <c r="BC85" s="636">
        <f>BC39*$B$39/4</f>
        <v>0</v>
      </c>
      <c r="BD85" s="636">
        <f>BD39*$B$39/4</f>
        <v>0</v>
      </c>
      <c r="BE85" s="636">
        <f>BE39*$B$39/4</f>
        <v>0</v>
      </c>
      <c r="BF85" s="1484">
        <f>BF39*$B$39</f>
        <v>0</v>
      </c>
    </row>
    <row r="86" spans="1:58" hidden="1" x14ac:dyDescent="0.25">
      <c r="A86" s="1807"/>
      <c r="B86" s="1798"/>
      <c r="C86" s="1809"/>
      <c r="D86" s="1809"/>
      <c r="E86" s="628"/>
      <c r="F86" s="636"/>
      <c r="G86" s="636"/>
      <c r="H86" s="1484"/>
      <c r="I86" s="636"/>
      <c r="J86" s="636"/>
      <c r="K86" s="636"/>
      <c r="L86" s="636"/>
      <c r="M86" s="1484"/>
      <c r="N86" s="636"/>
      <c r="O86" s="636"/>
      <c r="P86" s="636"/>
      <c r="Q86" s="636"/>
      <c r="R86" s="1484"/>
      <c r="S86" s="636"/>
      <c r="T86" s="636"/>
      <c r="U86" s="636"/>
      <c r="V86" s="636"/>
      <c r="W86" s="1484"/>
      <c r="X86" s="636"/>
      <c r="Y86" s="636"/>
      <c r="Z86" s="636"/>
      <c r="AA86" s="636"/>
      <c r="AB86" s="1484"/>
      <c r="AC86" s="636"/>
      <c r="AD86" s="636"/>
      <c r="AE86" s="636"/>
      <c r="AF86" s="636"/>
      <c r="AG86" s="1484"/>
      <c r="AH86" s="636"/>
      <c r="AI86" s="636"/>
      <c r="AJ86" s="636"/>
      <c r="AK86" s="636"/>
      <c r="AL86" s="1484"/>
      <c r="AM86" s="636"/>
      <c r="AN86" s="636"/>
      <c r="AO86" s="636"/>
      <c r="AP86" s="636"/>
      <c r="AQ86" s="1484"/>
      <c r="AR86" s="636"/>
      <c r="AS86" s="636"/>
      <c r="AT86" s="636"/>
      <c r="AU86" s="636"/>
      <c r="AV86" s="1484"/>
      <c r="AW86" s="636"/>
      <c r="AX86" s="636"/>
      <c r="AY86" s="636"/>
      <c r="AZ86" s="636"/>
      <c r="BA86" s="1484"/>
      <c r="BB86" s="636"/>
      <c r="BC86" s="636"/>
      <c r="BD86" s="636"/>
      <c r="BE86" s="636"/>
      <c r="BF86" s="1484"/>
    </row>
    <row r="87" spans="1:58" hidden="1" x14ac:dyDescent="0.25">
      <c r="A87" s="1807"/>
      <c r="B87" s="1798"/>
      <c r="C87" s="1798"/>
      <c r="D87" s="1798"/>
      <c r="E87" s="628"/>
      <c r="F87" s="636"/>
      <c r="G87" s="636"/>
      <c r="H87" s="1484"/>
      <c r="I87" s="636"/>
      <c r="J87" s="636"/>
      <c r="K87" s="636"/>
      <c r="L87" s="636"/>
      <c r="M87" s="1484"/>
      <c r="N87" s="636"/>
      <c r="O87" s="636"/>
      <c r="P87" s="636"/>
      <c r="Q87" s="636"/>
      <c r="R87" s="1484"/>
      <c r="S87" s="636"/>
      <c r="T87" s="636"/>
      <c r="U87" s="636"/>
      <c r="V87" s="636"/>
      <c r="W87" s="1484"/>
      <c r="X87" s="636"/>
      <c r="Y87" s="636"/>
      <c r="Z87" s="636"/>
      <c r="AA87" s="636"/>
      <c r="AB87" s="1484"/>
      <c r="AC87" s="636"/>
      <c r="AD87" s="636"/>
      <c r="AE87" s="636"/>
      <c r="AF87" s="636"/>
      <c r="AG87" s="1484"/>
      <c r="AH87" s="636"/>
      <c r="AI87" s="636"/>
      <c r="AJ87" s="636"/>
      <c r="AK87" s="636"/>
      <c r="AL87" s="1484"/>
      <c r="AM87" s="636"/>
      <c r="AN87" s="636"/>
      <c r="AO87" s="636"/>
      <c r="AP87" s="636"/>
      <c r="AQ87" s="1484"/>
      <c r="AR87" s="636"/>
      <c r="AS87" s="636"/>
      <c r="AT87" s="636"/>
      <c r="AU87" s="636"/>
      <c r="AV87" s="1484"/>
      <c r="AW87" s="636"/>
      <c r="AX87" s="636"/>
      <c r="AY87" s="636"/>
      <c r="AZ87" s="636"/>
      <c r="BA87" s="1484"/>
      <c r="BB87" s="636"/>
      <c r="BC87" s="636"/>
      <c r="BD87" s="636"/>
      <c r="BE87" s="636"/>
      <c r="BF87" s="1484"/>
    </row>
    <row r="88" spans="1:58" hidden="1" x14ac:dyDescent="0.25">
      <c r="A88" s="1807"/>
      <c r="B88" s="1798"/>
      <c r="C88" s="1798"/>
      <c r="D88" s="1798"/>
      <c r="E88" s="628"/>
      <c r="F88" s="636"/>
      <c r="G88" s="636"/>
      <c r="H88" s="1484"/>
      <c r="I88" s="636"/>
      <c r="J88" s="636"/>
      <c r="K88" s="636"/>
      <c r="L88" s="636"/>
      <c r="M88" s="1484"/>
      <c r="N88" s="636"/>
      <c r="O88" s="636"/>
      <c r="P88" s="636"/>
      <c r="Q88" s="636"/>
      <c r="R88" s="1484"/>
      <c r="S88" s="636"/>
      <c r="T88" s="636"/>
      <c r="U88" s="636"/>
      <c r="V88" s="636"/>
      <c r="W88" s="1484"/>
      <c r="X88" s="636"/>
      <c r="Y88" s="636"/>
      <c r="Z88" s="636"/>
      <c r="AA88" s="636"/>
      <c r="AB88" s="1484"/>
      <c r="AC88" s="636"/>
      <c r="AD88" s="636"/>
      <c r="AE88" s="636"/>
      <c r="AF88" s="636"/>
      <c r="AG88" s="1484"/>
      <c r="AH88" s="636"/>
      <c r="AI88" s="636"/>
      <c r="AJ88" s="636"/>
      <c r="AK88" s="636"/>
      <c r="AL88" s="1484"/>
      <c r="AM88" s="636"/>
      <c r="AN88" s="636"/>
      <c r="AO88" s="636"/>
      <c r="AP88" s="636"/>
      <c r="AQ88" s="1484"/>
      <c r="AR88" s="636"/>
      <c r="AS88" s="636"/>
      <c r="AT88" s="636"/>
      <c r="AU88" s="636"/>
      <c r="AV88" s="1484"/>
      <c r="AW88" s="636"/>
      <c r="AX88" s="636"/>
      <c r="AY88" s="636"/>
      <c r="AZ88" s="636"/>
      <c r="BA88" s="1484"/>
      <c r="BB88" s="636"/>
      <c r="BC88" s="636"/>
      <c r="BD88" s="636"/>
      <c r="BE88" s="636"/>
      <c r="BF88" s="1484"/>
    </row>
    <row r="89" spans="1:58" hidden="1" x14ac:dyDescent="0.25">
      <c r="A89" s="1803" t="s">
        <v>555</v>
      </c>
      <c r="B89" s="1798"/>
      <c r="C89" s="1798"/>
      <c r="D89" s="1798"/>
      <c r="E89" s="628"/>
      <c r="F89" s="636"/>
      <c r="G89" s="636"/>
      <c r="H89" s="1484"/>
      <c r="I89" s="636"/>
      <c r="J89" s="636"/>
      <c r="K89" s="636"/>
      <c r="L89" s="636"/>
      <c r="M89" s="1484"/>
      <c r="N89" s="636"/>
      <c r="O89" s="636"/>
      <c r="P89" s="636"/>
      <c r="Q89" s="636"/>
      <c r="R89" s="1484"/>
      <c r="S89" s="636"/>
      <c r="T89" s="636"/>
      <c r="U89" s="636"/>
      <c r="V89" s="636"/>
      <c r="W89" s="1484"/>
      <c r="X89" s="636"/>
      <c r="Y89" s="636"/>
      <c r="Z89" s="636"/>
      <c r="AA89" s="636"/>
      <c r="AB89" s="1484"/>
      <c r="AC89" s="636"/>
      <c r="AD89" s="636"/>
      <c r="AE89" s="636"/>
      <c r="AF89" s="636"/>
      <c r="AG89" s="1484"/>
      <c r="AH89" s="636"/>
      <c r="AI89" s="636"/>
      <c r="AJ89" s="636"/>
      <c r="AK89" s="636"/>
      <c r="AL89" s="1484"/>
      <c r="AM89" s="636"/>
      <c r="AN89" s="636"/>
      <c r="AO89" s="636"/>
      <c r="AP89" s="636"/>
      <c r="AQ89" s="1484"/>
      <c r="AR89" s="636"/>
      <c r="AS89" s="636"/>
      <c r="AT89" s="636"/>
      <c r="AU89" s="636"/>
      <c r="AV89" s="1484"/>
      <c r="AW89" s="636"/>
      <c r="AX89" s="636"/>
      <c r="AY89" s="636"/>
      <c r="AZ89" s="636"/>
      <c r="BA89" s="1484"/>
      <c r="BB89" s="636"/>
      <c r="BC89" s="636"/>
      <c r="BD89" s="636"/>
      <c r="BE89" s="636"/>
      <c r="BF89" s="1484"/>
    </row>
    <row r="90" spans="1:58" hidden="1" x14ac:dyDescent="0.25">
      <c r="A90" s="1807" t="s">
        <v>556</v>
      </c>
      <c r="B90" s="1798"/>
      <c r="C90" s="1809">
        <v>39381</v>
      </c>
      <c r="D90" s="1809">
        <v>41573</v>
      </c>
      <c r="E90" s="628"/>
      <c r="F90" s="636">
        <f>F44*$B$44/4</f>
        <v>0.2568125</v>
      </c>
      <c r="G90" s="636">
        <f t="shared" ref="G90:L90" si="74">G44*$B$44/4</f>
        <v>0.2568125</v>
      </c>
      <c r="H90" s="1484"/>
      <c r="I90" s="636">
        <f t="shared" si="74"/>
        <v>0.2568125</v>
      </c>
      <c r="J90" s="636">
        <f t="shared" si="74"/>
        <v>0.2568125</v>
      </c>
      <c r="K90" s="636">
        <f t="shared" si="74"/>
        <v>0.2568125</v>
      </c>
      <c r="L90" s="636">
        <f t="shared" si="74"/>
        <v>0</v>
      </c>
      <c r="M90" s="1484">
        <f>SUM(I90:L90)</f>
        <v>0.7704375</v>
      </c>
      <c r="N90" s="636">
        <f>N44*$B$44/4</f>
        <v>0</v>
      </c>
      <c r="O90" s="636">
        <f>O44*$B$44/4</f>
        <v>0</v>
      </c>
      <c r="P90" s="636">
        <f>P44*$B$44/4</f>
        <v>0</v>
      </c>
      <c r="Q90" s="636">
        <f>Q44*$B$44/4</f>
        <v>0</v>
      </c>
      <c r="R90" s="1484">
        <f>SUM(N90:Q90)</f>
        <v>0</v>
      </c>
      <c r="S90" s="636">
        <f>S44*$B$44/4</f>
        <v>0</v>
      </c>
      <c r="T90" s="636">
        <f>T44*$B$44/4</f>
        <v>0</v>
      </c>
      <c r="U90" s="636">
        <f>U44*$B$44/4</f>
        <v>0</v>
      </c>
      <c r="V90" s="636">
        <f>V44*$B$44/4</f>
        <v>0</v>
      </c>
      <c r="W90" s="1484">
        <f>W44*$B$44</f>
        <v>0</v>
      </c>
      <c r="X90" s="636">
        <f>X44*$B$44/4</f>
        <v>0</v>
      </c>
      <c r="Y90" s="636">
        <f>Y44*$B$44/4</f>
        <v>0</v>
      </c>
      <c r="Z90" s="636">
        <f>Z44*$B$44/4</f>
        <v>0</v>
      </c>
      <c r="AA90" s="636">
        <f>AA44*$B$44/4</f>
        <v>0</v>
      </c>
      <c r="AB90" s="1484">
        <f>AB44*$B$44</f>
        <v>0</v>
      </c>
      <c r="AC90" s="636">
        <f>AC44*$B$44/4</f>
        <v>0</v>
      </c>
      <c r="AD90" s="636">
        <f>AD44*$B$44/4</f>
        <v>0</v>
      </c>
      <c r="AE90" s="636">
        <f>AE44*$B$44/4</f>
        <v>0</v>
      </c>
      <c r="AF90" s="636">
        <f>AF44*$B$44/4</f>
        <v>0</v>
      </c>
      <c r="AG90" s="1484">
        <f>AG44*$B$44</f>
        <v>0</v>
      </c>
      <c r="AH90" s="636">
        <f>AH44*$B$44/4</f>
        <v>0</v>
      </c>
      <c r="AI90" s="636">
        <f>AI44*$B$44/4</f>
        <v>0</v>
      </c>
      <c r="AJ90" s="636">
        <f>AJ44*$B$44/4</f>
        <v>0</v>
      </c>
      <c r="AK90" s="636">
        <f>AK44*$B$44/4</f>
        <v>0</v>
      </c>
      <c r="AL90" s="1484">
        <f>AL44*$B$44</f>
        <v>0</v>
      </c>
      <c r="AM90" s="636">
        <f>AM44*$B$44/4</f>
        <v>0</v>
      </c>
      <c r="AN90" s="636">
        <f>AN44*$B$44/4</f>
        <v>0</v>
      </c>
      <c r="AO90" s="636">
        <f>AO44*$B$44/4</f>
        <v>0</v>
      </c>
      <c r="AP90" s="636">
        <f>AP44*$B$44/4</f>
        <v>0</v>
      </c>
      <c r="AQ90" s="1484">
        <f>AQ44*$B$44</f>
        <v>0</v>
      </c>
      <c r="AR90" s="636">
        <f>AR44*$B$44/4</f>
        <v>0</v>
      </c>
      <c r="AS90" s="636">
        <f>AS44*$B$44/4</f>
        <v>0</v>
      </c>
      <c r="AT90" s="636">
        <f>AT44*$B$44/4</f>
        <v>0</v>
      </c>
      <c r="AU90" s="636">
        <f>AU44*$B$44/4</f>
        <v>0</v>
      </c>
      <c r="AV90" s="1484">
        <f>AV44*$B$44</f>
        <v>0</v>
      </c>
      <c r="AW90" s="636">
        <f>AW44*$B$44/4</f>
        <v>0</v>
      </c>
      <c r="AX90" s="636">
        <f>AX44*$B$44/4</f>
        <v>0</v>
      </c>
      <c r="AY90" s="636">
        <f>AY44*$B$44/4</f>
        <v>0</v>
      </c>
      <c r="AZ90" s="636">
        <f>AZ44*$B$44/4</f>
        <v>0</v>
      </c>
      <c r="BA90" s="1484">
        <f>BA44*$B$44</f>
        <v>0</v>
      </c>
      <c r="BB90" s="636">
        <f>BB44*$B$44/4</f>
        <v>0</v>
      </c>
      <c r="BC90" s="636">
        <f>BC44*$B$44/4</f>
        <v>0</v>
      </c>
      <c r="BD90" s="636">
        <f>BD44*$B$44/4</f>
        <v>0</v>
      </c>
      <c r="BE90" s="636">
        <f>BE44*$B$44/4</f>
        <v>0</v>
      </c>
      <c r="BF90" s="1484">
        <f>BF44*$B$44</f>
        <v>0</v>
      </c>
    </row>
    <row r="91" spans="1:58" hidden="1" x14ac:dyDescent="0.25">
      <c r="A91" s="1807" t="s">
        <v>556</v>
      </c>
      <c r="B91" s="1798"/>
      <c r="C91" s="1809">
        <v>39381</v>
      </c>
      <c r="D91" s="1809">
        <v>42303</v>
      </c>
      <c r="E91" s="628"/>
      <c r="F91" s="636">
        <f>F45*$B$45/4</f>
        <v>0.2568125</v>
      </c>
      <c r="G91" s="636">
        <f t="shared" ref="G91:L91" si="75">G45*$B$45/4</f>
        <v>0.2568125</v>
      </c>
      <c r="H91" s="1484"/>
      <c r="I91" s="636">
        <f t="shared" si="75"/>
        <v>0.2568125</v>
      </c>
      <c r="J91" s="636">
        <f t="shared" si="75"/>
        <v>0.2568125</v>
      </c>
      <c r="K91" s="636">
        <f t="shared" si="75"/>
        <v>0.2568125</v>
      </c>
      <c r="L91" s="636">
        <f t="shared" si="75"/>
        <v>0.2568125</v>
      </c>
      <c r="M91" s="1484">
        <f>SUM(I91:L91)</f>
        <v>1.02725</v>
      </c>
      <c r="N91" s="636">
        <f>N45*$B$45/4</f>
        <v>0.2568125</v>
      </c>
      <c r="O91" s="636">
        <f>O45*$B$45/4</f>
        <v>0.2568125</v>
      </c>
      <c r="P91" s="636">
        <f>P45*$B$45/4</f>
        <v>0.2568125</v>
      </c>
      <c r="Q91" s="636">
        <f>Q45*$B$45/4</f>
        <v>0.2568125</v>
      </c>
      <c r="R91" s="1484">
        <f>SUM(N91:Q91)</f>
        <v>1.02725</v>
      </c>
      <c r="S91" s="636">
        <f>S45*$B$45/4</f>
        <v>0.2568125</v>
      </c>
      <c r="T91" s="636">
        <f>T45*$B$45/4</f>
        <v>0.2568125</v>
      </c>
      <c r="U91" s="636">
        <f>U45*$B$45/4</f>
        <v>0.2568125</v>
      </c>
      <c r="V91" s="636">
        <f>V45*$B$45/4</f>
        <v>0</v>
      </c>
      <c r="W91" s="1484">
        <f>W45*$B$45</f>
        <v>1.02725</v>
      </c>
      <c r="X91" s="636">
        <f>X45*$B$45/4</f>
        <v>0</v>
      </c>
      <c r="Y91" s="636">
        <f>Y45*$B$45/4</f>
        <v>0</v>
      </c>
      <c r="Z91" s="636">
        <f>Z45*$B$45/4</f>
        <v>0</v>
      </c>
      <c r="AA91" s="636">
        <f>AA45*$B$45/4</f>
        <v>0</v>
      </c>
      <c r="AB91" s="1484">
        <f>(AB45*$B45)*(1/12)+(W45*$B45)*(11/12)</f>
        <v>0.94164583333333329</v>
      </c>
      <c r="AC91" s="636">
        <f>AC45*$B$45/4</f>
        <v>0</v>
      </c>
      <c r="AD91" s="636">
        <f>AD45*$B$45/4</f>
        <v>0</v>
      </c>
      <c r="AE91" s="636">
        <f>AE45*$B$45/4</f>
        <v>0</v>
      </c>
      <c r="AF91" s="636">
        <f>AF45*$B$45/4</f>
        <v>0</v>
      </c>
      <c r="AG91" s="1484">
        <f>(AG45*$B45)*(1/12)+(AB45*$B45)*(11/12)</f>
        <v>0</v>
      </c>
      <c r="AH91" s="636">
        <f>AH45*$B$45/4</f>
        <v>0</v>
      </c>
      <c r="AI91" s="636">
        <f>AI45*$B$45/4</f>
        <v>0</v>
      </c>
      <c r="AJ91" s="636">
        <f>AJ45*$B$45/4</f>
        <v>0</v>
      </c>
      <c r="AK91" s="636">
        <f>AK45*$B$45/4</f>
        <v>0</v>
      </c>
      <c r="AL91" s="1484">
        <f>(AL45*$B45)*(1/12)+(AG45*$B45)*(11/12)</f>
        <v>0</v>
      </c>
      <c r="AM91" s="636">
        <f>AM45*$B$45/4</f>
        <v>0</v>
      </c>
      <c r="AN91" s="636">
        <f>AN45*$B$45/4</f>
        <v>0</v>
      </c>
      <c r="AO91" s="636">
        <f>AO45*$B$45/4</f>
        <v>0</v>
      </c>
      <c r="AP91" s="636">
        <f>AP45*$B$45/4</f>
        <v>0</v>
      </c>
      <c r="AQ91" s="1484">
        <f>(AQ45*$B45)*(1/12)+(AL45*$B45)*(11/12)</f>
        <v>0</v>
      </c>
      <c r="AR91" s="636">
        <f>AR45*$B$45/4</f>
        <v>0</v>
      </c>
      <c r="AS91" s="636">
        <f>AS45*$B$45/4</f>
        <v>0</v>
      </c>
      <c r="AT91" s="636">
        <f>AT45*$B$45/4</f>
        <v>0</v>
      </c>
      <c r="AU91" s="636">
        <f>AU45*$B$45/4</f>
        <v>0</v>
      </c>
      <c r="AV91" s="1484">
        <f>(AV45*$B45)*(1/12)+(AQ45*$B45)*(11/12)</f>
        <v>0</v>
      </c>
      <c r="AW91" s="636">
        <f>AW45*$B$45/4</f>
        <v>0</v>
      </c>
      <c r="AX91" s="636">
        <f>AX45*$B$45/4</f>
        <v>0</v>
      </c>
      <c r="AY91" s="636">
        <f>AY45*$B$45/4</f>
        <v>0</v>
      </c>
      <c r="AZ91" s="636">
        <f>AZ45*$B$45/4</f>
        <v>0</v>
      </c>
      <c r="BA91" s="1484">
        <f>(BA45*$B45)*(1/12)+(AV45*$B45)*(11/12)</f>
        <v>0</v>
      </c>
      <c r="BB91" s="636">
        <f>BB45*$B$45/4</f>
        <v>0</v>
      </c>
      <c r="BC91" s="636">
        <f>BC45*$B$45/4</f>
        <v>0</v>
      </c>
      <c r="BD91" s="636">
        <f>BD45*$B$45/4</f>
        <v>0</v>
      </c>
      <c r="BE91" s="636">
        <f>BE45*$B$45/4</f>
        <v>0</v>
      </c>
      <c r="BF91" s="1484">
        <f>(BF45*$B45)*(1/12)+(BA45*$B45)*(11/12)</f>
        <v>0</v>
      </c>
    </row>
    <row r="92" spans="1:58" hidden="1" x14ac:dyDescent="0.25">
      <c r="A92" s="1807" t="s">
        <v>554</v>
      </c>
      <c r="B92" s="1798"/>
      <c r="C92" s="1809">
        <v>39567</v>
      </c>
      <c r="D92" s="1809">
        <v>41393</v>
      </c>
      <c r="E92" s="628"/>
      <c r="F92" s="636">
        <f>F46*$B$46/4</f>
        <v>0.79374999999999996</v>
      </c>
      <c r="G92" s="636">
        <f t="shared" ref="G92:L92" si="76">G46*$B$46/4</f>
        <v>0.79374999999999996</v>
      </c>
      <c r="H92" s="1484"/>
      <c r="I92" s="636">
        <f t="shared" si="76"/>
        <v>0.79374999999999996</v>
      </c>
      <c r="J92" s="636">
        <f t="shared" si="76"/>
        <v>0.79374999999999996</v>
      </c>
      <c r="K92" s="636">
        <f t="shared" si="76"/>
        <v>0.79374999999999996</v>
      </c>
      <c r="L92" s="636">
        <f t="shared" si="76"/>
        <v>0.79374999999999996</v>
      </c>
      <c r="M92" s="1484">
        <f>SUM(I92:L92)</f>
        <v>3.1749999999999998</v>
      </c>
      <c r="N92" s="636">
        <f>N46*$B$46/4</f>
        <v>0.79374999999999996</v>
      </c>
      <c r="O92" s="636">
        <f>O46*$B$46/4</f>
        <v>0.79374999999999996</v>
      </c>
      <c r="P92" s="636">
        <f>P46*$B$46/4</f>
        <v>0.79374999999999996</v>
      </c>
      <c r="Q92" s="636">
        <f>Q46*$B$46/4</f>
        <v>0.79374999999999996</v>
      </c>
      <c r="R92" s="1484">
        <f>SUM(N92:Q92)</f>
        <v>3.1749999999999998</v>
      </c>
      <c r="S92" s="636">
        <f>S46*$B$46/4</f>
        <v>0.79374999999999996</v>
      </c>
      <c r="T92" s="636">
        <f>T46*$B$46/4</f>
        <v>0</v>
      </c>
      <c r="U92" s="636">
        <f>U46*$B$46/4</f>
        <v>0</v>
      </c>
      <c r="V92" s="636">
        <f>V46*$B$46/4</f>
        <v>0</v>
      </c>
      <c r="W92" s="1484">
        <f>W46*$B$46</f>
        <v>0</v>
      </c>
      <c r="X92" s="636">
        <f>X46*$B$46/4</f>
        <v>0</v>
      </c>
      <c r="Y92" s="636">
        <f>Y46*$B$46/4</f>
        <v>0</v>
      </c>
      <c r="Z92" s="636">
        <f>Z46*$B$46/4</f>
        <v>0</v>
      </c>
      <c r="AA92" s="636">
        <f>AA46*$B$46/4</f>
        <v>0</v>
      </c>
      <c r="AB92" s="1484">
        <f>AB46*$B$46</f>
        <v>0</v>
      </c>
      <c r="AC92" s="636">
        <f>AC46*$B$46/4</f>
        <v>0</v>
      </c>
      <c r="AD92" s="636">
        <f>AD46*$B$46/4</f>
        <v>0</v>
      </c>
      <c r="AE92" s="636">
        <f>AE46*$B$46/4</f>
        <v>0</v>
      </c>
      <c r="AF92" s="636">
        <f>AF46*$B$46/4</f>
        <v>0</v>
      </c>
      <c r="AG92" s="1484">
        <f>AG46*$B$46</f>
        <v>0</v>
      </c>
      <c r="AH92" s="636">
        <f>AH46*$B$46/4</f>
        <v>0</v>
      </c>
      <c r="AI92" s="636">
        <f>AI46*$B$46/4</f>
        <v>0</v>
      </c>
      <c r="AJ92" s="636">
        <f>AJ46*$B$46/4</f>
        <v>0</v>
      </c>
      <c r="AK92" s="636">
        <f>AK46*$B$46/4</f>
        <v>0</v>
      </c>
      <c r="AL92" s="1484">
        <f>AL46*$B$46</f>
        <v>0</v>
      </c>
      <c r="AM92" s="636">
        <f>AM46*$B$46/4</f>
        <v>0</v>
      </c>
      <c r="AN92" s="636">
        <f>AN46*$B$46/4</f>
        <v>0</v>
      </c>
      <c r="AO92" s="636">
        <f>AO46*$B$46/4</f>
        <v>0</v>
      </c>
      <c r="AP92" s="636">
        <f>AP46*$B$46/4</f>
        <v>0</v>
      </c>
      <c r="AQ92" s="1484">
        <f>AQ46*$B$46</f>
        <v>0</v>
      </c>
      <c r="AR92" s="636">
        <f>AR46*$B$46/4</f>
        <v>0</v>
      </c>
      <c r="AS92" s="636">
        <f>AS46*$B$46/4</f>
        <v>0</v>
      </c>
      <c r="AT92" s="636">
        <f>AT46*$B$46/4</f>
        <v>0</v>
      </c>
      <c r="AU92" s="636">
        <f>AU46*$B$46/4</f>
        <v>0</v>
      </c>
      <c r="AV92" s="1484">
        <f>AV46*$B$46</f>
        <v>0</v>
      </c>
      <c r="AW92" s="636">
        <f>AW46*$B$46/4</f>
        <v>0</v>
      </c>
      <c r="AX92" s="636">
        <f>AX46*$B$46/4</f>
        <v>0</v>
      </c>
      <c r="AY92" s="636">
        <f>AY46*$B$46/4</f>
        <v>0</v>
      </c>
      <c r="AZ92" s="636">
        <f>AZ46*$B$46/4</f>
        <v>0</v>
      </c>
      <c r="BA92" s="1484">
        <f>BA46*$B$46</f>
        <v>0</v>
      </c>
      <c r="BB92" s="636">
        <f>BB46*$B$46/4</f>
        <v>0</v>
      </c>
      <c r="BC92" s="636">
        <f>BC46*$B$46/4</f>
        <v>0</v>
      </c>
      <c r="BD92" s="636">
        <f>BD46*$B$46/4</f>
        <v>0</v>
      </c>
      <c r="BE92" s="636">
        <f>BE46*$B$46/4</f>
        <v>0</v>
      </c>
      <c r="BF92" s="1484">
        <f>BF46*$B$46</f>
        <v>0</v>
      </c>
    </row>
    <row r="93" spans="1:58" hidden="1" x14ac:dyDescent="0.25">
      <c r="A93" s="1807"/>
      <c r="B93" s="1798"/>
      <c r="C93" s="1809"/>
      <c r="D93" s="1809"/>
      <c r="E93" s="628"/>
      <c r="F93" s="636"/>
      <c r="G93" s="636"/>
      <c r="H93" s="1484"/>
      <c r="I93" s="636"/>
      <c r="J93" s="636"/>
      <c r="K93" s="636"/>
      <c r="L93" s="636"/>
      <c r="M93" s="1484"/>
      <c r="N93" s="636"/>
      <c r="O93" s="636"/>
      <c r="P93" s="636"/>
      <c r="Q93" s="636"/>
      <c r="R93" s="1484"/>
      <c r="S93" s="636"/>
      <c r="T93" s="636"/>
      <c r="U93" s="636"/>
      <c r="V93" s="636"/>
      <c r="W93" s="1484"/>
      <c r="X93" s="636"/>
      <c r="Y93" s="636"/>
      <c r="Z93" s="636"/>
      <c r="AA93" s="636"/>
      <c r="AB93" s="1484"/>
      <c r="AC93" s="636"/>
      <c r="AD93" s="636"/>
      <c r="AE93" s="636"/>
      <c r="AF93" s="636"/>
      <c r="AG93" s="1484"/>
      <c r="AH93" s="636"/>
      <c r="AI93" s="636"/>
      <c r="AJ93" s="636"/>
      <c r="AK93" s="636"/>
      <c r="AL93" s="1484"/>
      <c r="AM93" s="636"/>
      <c r="AN93" s="636"/>
      <c r="AO93" s="636"/>
      <c r="AP93" s="636"/>
      <c r="AQ93" s="1484"/>
      <c r="AR93" s="636"/>
      <c r="AS93" s="636"/>
      <c r="AT93" s="636"/>
      <c r="AU93" s="636"/>
      <c r="AV93" s="1484"/>
      <c r="AW93" s="636"/>
      <c r="AX93" s="636"/>
      <c r="AY93" s="636"/>
      <c r="AZ93" s="636"/>
      <c r="BA93" s="1484"/>
      <c r="BB93" s="636"/>
      <c r="BC93" s="636"/>
      <c r="BD93" s="636"/>
      <c r="BE93" s="636"/>
      <c r="BF93" s="1484"/>
    </row>
    <row r="94" spans="1:58" hidden="1" x14ac:dyDescent="0.25">
      <c r="A94" s="1803"/>
      <c r="B94" s="1798"/>
      <c r="C94" s="1798"/>
      <c r="D94" s="1798"/>
      <c r="E94" s="628"/>
      <c r="F94" s="636"/>
      <c r="G94" s="636"/>
      <c r="H94" s="1484"/>
      <c r="I94" s="636"/>
      <c r="J94" s="636"/>
      <c r="K94" s="636"/>
      <c r="L94" s="636"/>
      <c r="M94" s="1484"/>
      <c r="N94" s="636"/>
      <c r="O94" s="636"/>
      <c r="P94" s="636"/>
      <c r="Q94" s="636"/>
      <c r="R94" s="1484"/>
      <c r="S94" s="636"/>
      <c r="T94" s="636"/>
      <c r="U94" s="636"/>
      <c r="V94" s="636"/>
      <c r="W94" s="1484"/>
      <c r="X94" s="636"/>
      <c r="Y94" s="636"/>
      <c r="Z94" s="636"/>
      <c r="AA94" s="636"/>
      <c r="AB94" s="1484"/>
      <c r="AC94" s="636"/>
      <c r="AD94" s="636"/>
      <c r="AE94" s="636"/>
      <c r="AF94" s="636"/>
      <c r="AG94" s="1484"/>
      <c r="AH94" s="636"/>
      <c r="AI94" s="636"/>
      <c r="AJ94" s="636"/>
      <c r="AK94" s="636"/>
      <c r="AL94" s="1484"/>
      <c r="AM94" s="636"/>
      <c r="AN94" s="636"/>
      <c r="AO94" s="636"/>
      <c r="AP94" s="636"/>
      <c r="AQ94" s="1484"/>
      <c r="AR94" s="636"/>
      <c r="AS94" s="636"/>
      <c r="AT94" s="636"/>
      <c r="AU94" s="636"/>
      <c r="AV94" s="1484"/>
      <c r="AW94" s="636"/>
      <c r="AX94" s="636"/>
      <c r="AY94" s="636"/>
      <c r="AZ94" s="636"/>
      <c r="BA94" s="1484"/>
      <c r="BB94" s="636"/>
      <c r="BC94" s="636"/>
      <c r="BD94" s="636"/>
      <c r="BE94" s="636"/>
      <c r="BF94" s="1484"/>
    </row>
    <row r="95" spans="1:58" hidden="1" x14ac:dyDescent="0.25">
      <c r="A95" s="1803" t="s">
        <v>566</v>
      </c>
      <c r="B95" s="1798"/>
      <c r="C95" s="1809">
        <v>39930</v>
      </c>
      <c r="D95" s="1809">
        <v>41391</v>
      </c>
      <c r="E95" s="628"/>
      <c r="F95" s="636">
        <f>F50*$B$50/4</f>
        <v>0.48450000000000004</v>
      </c>
      <c r="G95" s="636">
        <f>G50*$B$50/4</f>
        <v>0.48450000000000004</v>
      </c>
      <c r="H95" s="1484"/>
      <c r="I95" s="636">
        <f>I50*$B$50/4</f>
        <v>0.48450000000000004</v>
      </c>
      <c r="J95" s="636">
        <f>J50*$B$50/4</f>
        <v>0</v>
      </c>
      <c r="K95" s="636">
        <f>K50*$B$50/4</f>
        <v>0</v>
      </c>
      <c r="L95" s="636">
        <f>L50*$B$50/4</f>
        <v>0</v>
      </c>
      <c r="M95" s="1484">
        <f>SUM(I95:L95)</f>
        <v>0.48450000000000004</v>
      </c>
      <c r="N95" s="636">
        <f>N50*$B$50/4</f>
        <v>0</v>
      </c>
      <c r="O95" s="636">
        <f>O50*$B$50/4</f>
        <v>0</v>
      </c>
      <c r="P95" s="636">
        <f>P50*$B$50/4</f>
        <v>0</v>
      </c>
      <c r="Q95" s="636">
        <f>Q50*$B$50/4</f>
        <v>0</v>
      </c>
      <c r="R95" s="1484">
        <f>SUM(N95:Q95)</f>
        <v>0</v>
      </c>
      <c r="S95" s="636">
        <f>S50*$B$50/4</f>
        <v>0</v>
      </c>
      <c r="T95" s="636">
        <f>T50*$B$50/4</f>
        <v>0</v>
      </c>
      <c r="U95" s="636">
        <f>U50*$B$50/4</f>
        <v>0</v>
      </c>
      <c r="V95" s="636">
        <f>V50*$B$50/4</f>
        <v>0</v>
      </c>
      <c r="W95" s="1484">
        <f>W50*$B$50</f>
        <v>0</v>
      </c>
      <c r="X95" s="636">
        <f>X50*$B$50/4</f>
        <v>0</v>
      </c>
      <c r="Y95" s="636">
        <f>Y50*$B$50/4</f>
        <v>0</v>
      </c>
      <c r="Z95" s="636">
        <f>Z50*$B$50/4</f>
        <v>0</v>
      </c>
      <c r="AA95" s="636">
        <f>AA50*$B$50/4</f>
        <v>0</v>
      </c>
      <c r="AB95" s="1484">
        <f>AB50*$B$50</f>
        <v>0</v>
      </c>
      <c r="AC95" s="636">
        <f>AC50*$B$50/4</f>
        <v>0</v>
      </c>
      <c r="AD95" s="636">
        <f>AD50*$B$50/4</f>
        <v>0</v>
      </c>
      <c r="AE95" s="636">
        <f>AE50*$B$50/4</f>
        <v>0</v>
      </c>
      <c r="AF95" s="636">
        <f>AF50*$B$50/4</f>
        <v>0</v>
      </c>
      <c r="AG95" s="1484">
        <f>AG50*$B$50</f>
        <v>0</v>
      </c>
      <c r="AH95" s="636">
        <f>AH50*$B$50/4</f>
        <v>0</v>
      </c>
      <c r="AI95" s="636">
        <f>AI50*$B$50/4</f>
        <v>0</v>
      </c>
      <c r="AJ95" s="636">
        <f>AJ50*$B$50/4</f>
        <v>0</v>
      </c>
      <c r="AK95" s="636">
        <f>AK50*$B$50/4</f>
        <v>0</v>
      </c>
      <c r="AL95" s="1484">
        <f>AL50*$B$50</f>
        <v>0</v>
      </c>
      <c r="AM95" s="636">
        <f>AM50*$B$50/4</f>
        <v>0</v>
      </c>
      <c r="AN95" s="636">
        <f>AN50*$B$50/4</f>
        <v>0</v>
      </c>
      <c r="AO95" s="636">
        <f>AO50*$B$50/4</f>
        <v>0</v>
      </c>
      <c r="AP95" s="636">
        <f>AP50*$B$50/4</f>
        <v>0</v>
      </c>
      <c r="AQ95" s="1484">
        <f>AQ50*$B$50</f>
        <v>0</v>
      </c>
      <c r="AR95" s="636">
        <f>AR50*$B$50/4</f>
        <v>0</v>
      </c>
      <c r="AS95" s="636">
        <f>AS50*$B$50/4</f>
        <v>0</v>
      </c>
      <c r="AT95" s="636">
        <f>AT50*$B$50/4</f>
        <v>0</v>
      </c>
      <c r="AU95" s="636">
        <f>AU50*$B$50/4</f>
        <v>0</v>
      </c>
      <c r="AV95" s="1484">
        <f>AV50*$B$50</f>
        <v>0</v>
      </c>
      <c r="AW95" s="636">
        <f>AW50*$B$50/4</f>
        <v>0</v>
      </c>
      <c r="AX95" s="636">
        <f>AX50*$B$50/4</f>
        <v>0</v>
      </c>
      <c r="AY95" s="636">
        <f>AY50*$B$50/4</f>
        <v>0</v>
      </c>
      <c r="AZ95" s="636">
        <f>AZ50*$B$50/4</f>
        <v>0</v>
      </c>
      <c r="BA95" s="1484">
        <f>BA50*$B$50</f>
        <v>0</v>
      </c>
      <c r="BB95" s="636">
        <f>BB50*$B$50/4</f>
        <v>0</v>
      </c>
      <c r="BC95" s="636">
        <f>BC50*$B$50/4</f>
        <v>0</v>
      </c>
      <c r="BD95" s="636">
        <f>BD50*$B$50/4</f>
        <v>0</v>
      </c>
      <c r="BE95" s="636">
        <f>BE50*$B$50/4</f>
        <v>0</v>
      </c>
      <c r="BF95" s="1484">
        <f>BF50*$B$50</f>
        <v>0</v>
      </c>
    </row>
    <row r="96" spans="1:58" hidden="1" x14ac:dyDescent="0.25">
      <c r="A96" s="1807"/>
      <c r="B96" s="1798"/>
      <c r="C96" s="1809"/>
      <c r="D96" s="1809"/>
      <c r="E96" s="628"/>
      <c r="F96" s="636"/>
      <c r="G96" s="636"/>
      <c r="H96" s="1484"/>
      <c r="I96" s="636"/>
      <c r="J96" s="636"/>
      <c r="K96" s="636"/>
      <c r="L96" s="636"/>
      <c r="M96" s="1484"/>
      <c r="N96" s="636"/>
      <c r="O96" s="636"/>
      <c r="P96" s="636"/>
      <c r="Q96" s="636"/>
      <c r="R96" s="1484"/>
      <c r="S96" s="636"/>
      <c r="T96" s="636"/>
      <c r="U96" s="636"/>
      <c r="V96" s="636"/>
      <c r="W96" s="1484"/>
      <c r="X96" s="636"/>
      <c r="Y96" s="636"/>
      <c r="Z96" s="636"/>
      <c r="AA96" s="636"/>
      <c r="AB96" s="1484"/>
      <c r="AC96" s="636"/>
      <c r="AD96" s="636"/>
      <c r="AE96" s="636"/>
      <c r="AF96" s="636"/>
      <c r="AG96" s="1484"/>
      <c r="AH96" s="636"/>
      <c r="AI96" s="636"/>
      <c r="AJ96" s="636"/>
      <c r="AK96" s="636"/>
      <c r="AL96" s="1484"/>
      <c r="AM96" s="636"/>
      <c r="AN96" s="636"/>
      <c r="AO96" s="636"/>
      <c r="AP96" s="636"/>
      <c r="AQ96" s="1484"/>
      <c r="AR96" s="636"/>
      <c r="AS96" s="636"/>
      <c r="AT96" s="636"/>
      <c r="AU96" s="636"/>
      <c r="AV96" s="1484"/>
      <c r="AW96" s="636"/>
      <c r="AX96" s="636"/>
      <c r="AY96" s="636"/>
      <c r="AZ96" s="636"/>
      <c r="BA96" s="1484"/>
      <c r="BB96" s="636"/>
      <c r="BC96" s="636"/>
      <c r="BD96" s="636"/>
      <c r="BE96" s="636"/>
      <c r="BF96" s="1484"/>
    </row>
    <row r="97" spans="1:58" x14ac:dyDescent="0.25">
      <c r="A97" s="1803" t="s">
        <v>557</v>
      </c>
      <c r="B97" s="1798"/>
      <c r="C97" s="1798"/>
      <c r="D97" s="1798"/>
      <c r="E97" s="628"/>
      <c r="F97" s="636"/>
      <c r="G97" s="636"/>
      <c r="H97" s="1484"/>
      <c r="I97" s="636"/>
      <c r="J97" s="636"/>
      <c r="K97" s="636"/>
      <c r="L97" s="636"/>
      <c r="M97" s="1484"/>
      <c r="N97" s="636"/>
      <c r="O97" s="636"/>
      <c r="P97" s="636"/>
      <c r="Q97" s="636"/>
      <c r="R97" s="1484"/>
      <c r="S97" s="636"/>
      <c r="T97" s="636"/>
      <c r="U97" s="636"/>
      <c r="V97" s="636"/>
      <c r="W97" s="1484"/>
      <c r="X97" s="636"/>
      <c r="Y97" s="636">
        <f>Y52*$B$52/4*(1/2)</f>
        <v>4.4761350000000002</v>
      </c>
      <c r="Z97" s="636">
        <f>Z52*$B$52/4</f>
        <v>8.953479999999999</v>
      </c>
      <c r="AA97" s="636">
        <f>AA52*$B$52/4</f>
        <v>8.9546799999999998</v>
      </c>
      <c r="AB97" s="1484">
        <f>SUM(X97:AA97)</f>
        <v>22.384294999999998</v>
      </c>
      <c r="AC97" s="636">
        <f>AC52*$B$52/4</f>
        <v>8.8869100000000003</v>
      </c>
      <c r="AD97" s="636">
        <f>AD52*$B$52/4</f>
        <v>8.8900100000000002</v>
      </c>
      <c r="AE97" s="636">
        <f>AE52*$B$52/4</f>
        <v>8.8931100000000001</v>
      </c>
      <c r="AF97" s="636">
        <f>AF52*$B$52/4</f>
        <v>8.8960000000000008</v>
      </c>
      <c r="AG97" s="1484">
        <f>SUM(AC97:AF97)</f>
        <v>35.566029999999998</v>
      </c>
      <c r="AH97" s="636">
        <f>AH52*$B$52/4</f>
        <v>8.8989999999999991</v>
      </c>
      <c r="AI97" s="636">
        <f>AI52*$B$52/4</f>
        <v>8.902000000000001</v>
      </c>
      <c r="AJ97" s="636">
        <f>AJ52*$B$52/4</f>
        <v>8.9049999999999994</v>
      </c>
      <c r="AK97" s="636">
        <f>AK52*$B$52/4</f>
        <v>8.9090000000000007</v>
      </c>
      <c r="AL97" s="1484">
        <f>SUM(AH97:AK97)</f>
        <v>35.615000000000002</v>
      </c>
      <c r="AM97" s="636">
        <f>AM52*$B$52/4</f>
        <v>8.9090000000000007</v>
      </c>
      <c r="AN97" s="636">
        <f>AN52*$B$52/4</f>
        <v>8.9090000000000007</v>
      </c>
      <c r="AO97" s="636">
        <f>AO52*$B$52/4</f>
        <v>8.9090000000000007</v>
      </c>
      <c r="AP97" s="636">
        <f>AP52*$B$52/4</f>
        <v>8.9090000000000007</v>
      </c>
      <c r="AQ97" s="1484">
        <f>SUM(AM97:AP97)</f>
        <v>35.636000000000003</v>
      </c>
      <c r="AR97" s="636">
        <f>AR52*$B$52/4</f>
        <v>8.9090000000000007</v>
      </c>
      <c r="AS97" s="636">
        <f>AS52*$B$52/4</f>
        <v>8.9090000000000007</v>
      </c>
      <c r="AT97" s="636">
        <f>AT52*$B$52/4</f>
        <v>8.9090000000000007</v>
      </c>
      <c r="AU97" s="636">
        <f>AU52*$B$52/4</f>
        <v>8.9090000000000007</v>
      </c>
      <c r="AV97" s="1484">
        <f>SUM(AR97:AU97)</f>
        <v>35.636000000000003</v>
      </c>
      <c r="AW97" s="636">
        <f>AW52*$B$52/4</f>
        <v>8.9090000000000007</v>
      </c>
      <c r="AX97" s="636">
        <f>AX52*$B$52/4</f>
        <v>8.9090000000000007</v>
      </c>
      <c r="AY97" s="636">
        <f>AY52*$B$52/4</f>
        <v>8.9090000000000007</v>
      </c>
      <c r="AZ97" s="636">
        <f>AZ52*$B$52/4</f>
        <v>8.9090000000000007</v>
      </c>
      <c r="BA97" s="1484">
        <f>SUM(AW97:AZ97)</f>
        <v>35.636000000000003</v>
      </c>
      <c r="BB97" s="636">
        <f>BB52*$B$52/4</f>
        <v>8.9090000000000007</v>
      </c>
      <c r="BC97" s="636">
        <f>BC52*$B$52/4</f>
        <v>8.9090000000000007</v>
      </c>
      <c r="BD97" s="636">
        <f>BD52*$B$52/4</f>
        <v>8.9090000000000007</v>
      </c>
      <c r="BE97" s="636">
        <f>BE52*$B$52/4</f>
        <v>8.9090000000000007</v>
      </c>
      <c r="BF97" s="1484">
        <f>SUM(BB97:BE97)</f>
        <v>35.636000000000003</v>
      </c>
    </row>
    <row r="98" spans="1:58" x14ac:dyDescent="0.25">
      <c r="A98" s="1803" t="s">
        <v>558</v>
      </c>
      <c r="B98" s="1798"/>
      <c r="C98" s="1798"/>
      <c r="D98" s="1798"/>
      <c r="E98" s="628"/>
      <c r="F98" s="636"/>
      <c r="G98" s="636"/>
      <c r="H98" s="1484"/>
      <c r="I98" s="636"/>
      <c r="J98" s="636"/>
      <c r="K98" s="636"/>
      <c r="L98" s="636"/>
      <c r="M98" s="1484"/>
      <c r="N98" s="636"/>
      <c r="O98" s="636"/>
      <c r="P98" s="636"/>
      <c r="Q98" s="636"/>
      <c r="R98" s="1484"/>
      <c r="S98" s="636"/>
      <c r="T98" s="636"/>
      <c r="U98" s="636"/>
      <c r="V98" s="636"/>
      <c r="W98" s="1484"/>
      <c r="X98" s="636"/>
      <c r="Y98" s="636">
        <f>Y53*$B$53/4*(1/2)</f>
        <v>2.3980343749999999</v>
      </c>
      <c r="Z98" s="636">
        <f>Z53*$B$53/4</f>
        <v>4.79620625</v>
      </c>
      <c r="AA98" s="636">
        <f>AA53*$B$53/4</f>
        <v>4.7963437500000001</v>
      </c>
      <c r="AB98" s="1484">
        <f>SUM(X98:AA98)</f>
        <v>11.990584375000001</v>
      </c>
      <c r="AC98" s="636">
        <f>AC53*$B$53/4</f>
        <v>4.7412475000000001</v>
      </c>
      <c r="AD98" s="636">
        <f>AD53*$B$53/4</f>
        <v>4.7418525000000002</v>
      </c>
      <c r="AE98" s="636">
        <f>AE53*$B$53/4</f>
        <v>4.7424575000000004</v>
      </c>
      <c r="AF98" s="636">
        <f>AF53*$B$53/4</f>
        <v>4.7437500000000004</v>
      </c>
      <c r="AG98" s="1484">
        <f>SUM(AC98:AF98)</f>
        <v>18.969307499999999</v>
      </c>
      <c r="AH98" s="636">
        <f>AH53*$B$53/4</f>
        <v>4.7437500000000004</v>
      </c>
      <c r="AI98" s="636">
        <f>AI53*$B$53/4</f>
        <v>4.7437500000000004</v>
      </c>
      <c r="AJ98" s="636">
        <f>AJ53*$B$53/4</f>
        <v>4.7451250000000007</v>
      </c>
      <c r="AK98" s="636">
        <f>AK53*$B$53/4</f>
        <v>4.7451250000000007</v>
      </c>
      <c r="AL98" s="1484">
        <f>SUM(AH98:AK98)</f>
        <v>18.977750000000004</v>
      </c>
      <c r="AM98" s="636">
        <f>AM53*$B$53/4</f>
        <v>4.7451250000000007</v>
      </c>
      <c r="AN98" s="636">
        <f>AN53*$B$53/4</f>
        <v>4.7451250000000007</v>
      </c>
      <c r="AO98" s="636">
        <f>AO53*$B$53/4</f>
        <v>4.7451250000000007</v>
      </c>
      <c r="AP98" s="636">
        <f>AP53*$B$53/4</f>
        <v>4.7451250000000007</v>
      </c>
      <c r="AQ98" s="1484">
        <f>SUM(AM98:AP98)</f>
        <v>18.980500000000003</v>
      </c>
      <c r="AR98" s="636">
        <f>AR53*$B$53/4</f>
        <v>4.7451250000000007</v>
      </c>
      <c r="AS98" s="636">
        <f>AS53*$B$53/4</f>
        <v>4.7451250000000007</v>
      </c>
      <c r="AT98" s="636">
        <f>AT53*$B$53/4</f>
        <v>4.7451250000000007</v>
      </c>
      <c r="AU98" s="636">
        <f>AU53*$B$53/4</f>
        <v>4.7451250000000007</v>
      </c>
      <c r="AV98" s="1484">
        <f>SUM(AR98:AU98)</f>
        <v>18.980500000000003</v>
      </c>
      <c r="AW98" s="636">
        <f>AW53*$B$53/4</f>
        <v>4.7451250000000007</v>
      </c>
      <c r="AX98" s="636">
        <f>AX53*$B$53/4</f>
        <v>4.7451250000000007</v>
      </c>
      <c r="AY98" s="636">
        <f>AY53*$B$53/4</f>
        <v>4.7451250000000007</v>
      </c>
      <c r="AZ98" s="636">
        <f>AZ53*$B$53/4</f>
        <v>4.7451250000000007</v>
      </c>
      <c r="BA98" s="1484">
        <f>SUM(AW98:AZ98)</f>
        <v>18.980500000000003</v>
      </c>
      <c r="BB98" s="636">
        <f>BB53*$B$53/4</f>
        <v>4.7451250000000007</v>
      </c>
      <c r="BC98" s="636">
        <f>BC53*$B$53/4</f>
        <v>4.7451250000000007</v>
      </c>
      <c r="BD98" s="636">
        <f>BD53*$B$53/4</f>
        <v>4.7451250000000007</v>
      </c>
      <c r="BE98" s="636">
        <f>BE53*$B$53/4</f>
        <v>4.7451250000000007</v>
      </c>
      <c r="BF98" s="1484">
        <f>SUM(BB98:BE98)</f>
        <v>18.980500000000003</v>
      </c>
    </row>
    <row r="99" spans="1:58" hidden="1" x14ac:dyDescent="0.25">
      <c r="A99" s="1807"/>
      <c r="B99" s="1798"/>
      <c r="C99" s="1809"/>
      <c r="D99" s="1809"/>
      <c r="E99" s="628"/>
      <c r="F99" s="636"/>
      <c r="G99" s="636"/>
      <c r="H99" s="1484"/>
      <c r="I99" s="636"/>
      <c r="J99" s="636"/>
      <c r="K99" s="636"/>
      <c r="L99" s="636"/>
      <c r="M99" s="1484"/>
      <c r="N99" s="636"/>
      <c r="O99" s="636"/>
      <c r="P99" s="636"/>
      <c r="Q99" s="636"/>
      <c r="R99" s="1484"/>
      <c r="S99" s="636"/>
      <c r="T99" s="636"/>
      <c r="U99" s="636"/>
      <c r="V99" s="636"/>
      <c r="W99" s="1484"/>
      <c r="X99" s="636"/>
      <c r="Y99" s="636"/>
      <c r="Z99" s="636"/>
      <c r="AA99" s="636"/>
      <c r="AB99" s="1484"/>
      <c r="AC99" s="636"/>
      <c r="AD99" s="636"/>
      <c r="AE99" s="636"/>
      <c r="AF99" s="636"/>
      <c r="AG99" s="1484"/>
      <c r="AH99" s="636"/>
      <c r="AI99" s="636"/>
      <c r="AJ99" s="636"/>
      <c r="AK99" s="636"/>
      <c r="AL99" s="1484"/>
      <c r="AM99" s="636"/>
      <c r="AN99" s="636"/>
      <c r="AO99" s="636"/>
      <c r="AP99" s="636"/>
      <c r="AQ99" s="1484"/>
      <c r="AR99" s="636"/>
      <c r="AS99" s="636"/>
      <c r="AT99" s="636"/>
      <c r="AU99" s="636"/>
      <c r="AV99" s="1484"/>
      <c r="AW99" s="636"/>
      <c r="AX99" s="636"/>
      <c r="AY99" s="636"/>
      <c r="AZ99" s="636"/>
      <c r="BA99" s="1484"/>
      <c r="BB99" s="636"/>
      <c r="BC99" s="636"/>
      <c r="BD99" s="636"/>
      <c r="BE99" s="636"/>
      <c r="BF99" s="1484"/>
    </row>
    <row r="100" spans="1:58" hidden="1" x14ac:dyDescent="0.25">
      <c r="A100" s="1803"/>
      <c r="B100" s="1798"/>
      <c r="C100" s="1798"/>
      <c r="D100" s="1798"/>
      <c r="E100" s="628"/>
      <c r="F100" s="636"/>
      <c r="G100" s="636"/>
      <c r="H100" s="1484"/>
      <c r="I100" s="636"/>
      <c r="J100" s="636"/>
      <c r="K100" s="636"/>
      <c r="L100" s="636"/>
      <c r="M100" s="1484"/>
      <c r="N100" s="636"/>
      <c r="O100" s="636"/>
      <c r="P100" s="636"/>
      <c r="Q100" s="636"/>
      <c r="R100" s="1484"/>
      <c r="S100" s="636"/>
      <c r="T100" s="636"/>
      <c r="U100" s="636"/>
      <c r="V100" s="636"/>
      <c r="W100" s="1484"/>
      <c r="X100" s="636"/>
      <c r="Y100" s="636"/>
      <c r="Z100" s="636"/>
      <c r="AA100" s="636"/>
      <c r="AB100" s="1484"/>
      <c r="AC100" s="636"/>
      <c r="AD100" s="636"/>
      <c r="AE100" s="636"/>
      <c r="AF100" s="636"/>
      <c r="AG100" s="1484"/>
      <c r="AH100" s="636"/>
      <c r="AI100" s="636"/>
      <c r="AJ100" s="636"/>
      <c r="AK100" s="636"/>
      <c r="AL100" s="1484"/>
      <c r="AM100" s="636"/>
      <c r="AN100" s="636"/>
      <c r="AO100" s="636"/>
      <c r="AP100" s="636"/>
      <c r="AQ100" s="1484"/>
      <c r="AR100" s="636"/>
      <c r="AS100" s="636"/>
      <c r="AT100" s="636"/>
      <c r="AU100" s="636"/>
      <c r="AV100" s="1484"/>
      <c r="AW100" s="636"/>
      <c r="AX100" s="636"/>
      <c r="AY100" s="636"/>
      <c r="AZ100" s="636"/>
      <c r="BA100" s="1484"/>
      <c r="BB100" s="636"/>
      <c r="BC100" s="636"/>
      <c r="BD100" s="636"/>
      <c r="BE100" s="636"/>
      <c r="BF100" s="1484"/>
    </row>
    <row r="101" spans="1:58" x14ac:dyDescent="0.25">
      <c r="A101" s="1803" t="s">
        <v>542</v>
      </c>
      <c r="B101" s="1798"/>
      <c r="C101" s="1798" t="s">
        <v>530</v>
      </c>
      <c r="D101" s="1798" t="s">
        <v>530</v>
      </c>
      <c r="E101" s="628"/>
      <c r="F101" s="636">
        <f>F55*F102/4</f>
        <v>5.7162500000000005E-2</v>
      </c>
      <c r="G101" s="636">
        <f>G55*G102/4</f>
        <v>4.5937499999999999E-2</v>
      </c>
      <c r="H101" s="1484"/>
      <c r="I101" s="636">
        <f>I55*I102/4</f>
        <v>3.1462499999999997E-2</v>
      </c>
      <c r="J101" s="636">
        <f>J55*J102/4</f>
        <v>3.1462499999999997E-2</v>
      </c>
      <c r="K101" s="636">
        <f>K55*K102/4</f>
        <v>4.2962500000000008E-2</v>
      </c>
      <c r="L101" s="636">
        <f>L55*L102/4</f>
        <v>3.06775E-2</v>
      </c>
      <c r="M101" s="1484">
        <f>SUM(I101:L101)</f>
        <v>0.13656499999999999</v>
      </c>
      <c r="N101" s="636">
        <f>N55*N102/4</f>
        <v>3.2864999999999998E-2</v>
      </c>
      <c r="O101" s="1844">
        <f>O55*O102/4</f>
        <v>3.7467500000000001E-2</v>
      </c>
      <c r="P101" s="636">
        <f>P55*P102/4</f>
        <v>0.10886750000000001</v>
      </c>
      <c r="Q101" s="636">
        <f>Q55*Q102/4</f>
        <v>0.11042500000000001</v>
      </c>
      <c r="R101" s="1484">
        <f>SUM(N101:Q101)</f>
        <v>0.28962500000000002</v>
      </c>
      <c r="S101" s="636">
        <f>S55*S102/4</f>
        <v>9.9452500000000013E-2</v>
      </c>
      <c r="T101" s="1844">
        <f>T55*T102/4</f>
        <v>9.0230000000000005E-2</v>
      </c>
      <c r="U101" s="636">
        <f>U55*U102/4</f>
        <v>9.6897500000000011E-2</v>
      </c>
      <c r="V101" s="636">
        <f>V55*V102/4</f>
        <v>6.2825000000000006E-2</v>
      </c>
      <c r="W101" s="1484">
        <f>W55*W102</f>
        <v>0.44170000000000004</v>
      </c>
      <c r="X101" s="636">
        <f>X55*X102/4</f>
        <v>7.5757500000000005E-2</v>
      </c>
      <c r="Y101" s="1843">
        <f>Y55*Y102/4</f>
        <v>4.5287500000000008E-2</v>
      </c>
      <c r="Z101" s="636">
        <f>Z55*Z102/4</f>
        <v>2.9249999999999998E-2</v>
      </c>
      <c r="AA101" s="636">
        <f>AA55*AA102/4</f>
        <v>2.8962500000000002E-2</v>
      </c>
      <c r="AB101" s="1484">
        <f>AB55*AB102</f>
        <v>0.11585000000000001</v>
      </c>
      <c r="AC101" s="1843">
        <f>AC55*AC102/4</f>
        <v>-3.8450000000000005E-2</v>
      </c>
      <c r="AD101" s="1843">
        <f>AD55*AD102/4</f>
        <v>-3.4187500000000003E-2</v>
      </c>
      <c r="AE101" s="1843">
        <f>AE55*AE102/4</f>
        <v>3.5812500000000004E-2</v>
      </c>
      <c r="AF101" s="1843">
        <f>AF55*AF102/4</f>
        <v>3.6249999999999998E-2</v>
      </c>
      <c r="AG101" s="1484">
        <f>AG55*AG102</f>
        <v>0.14499999999999999</v>
      </c>
      <c r="AH101" s="1843">
        <f>AH55*AH102/4</f>
        <v>3.4999999999999996E-2</v>
      </c>
      <c r="AI101" s="1843">
        <f>AI55*AI102/4</f>
        <v>-2.8750000000000005E-2</v>
      </c>
      <c r="AJ101" s="1843">
        <f>AJ55*AJ102/4</f>
        <v>-1.3750000000000002E-2</v>
      </c>
      <c r="AK101" s="1843">
        <f>AK55*AK102/4</f>
        <v>4.7500000000000001E-2</v>
      </c>
      <c r="AL101" s="1484">
        <f>AL55*AL102</f>
        <v>0.19</v>
      </c>
      <c r="AM101" s="1843">
        <f>AM55*AM102/4</f>
        <v>4.7500000000000001E-2</v>
      </c>
      <c r="AN101" s="1843">
        <f>AN55*AN102/4</f>
        <v>4.7500000000000001E-2</v>
      </c>
      <c r="AO101" s="1843">
        <f>AO55*AO102/4</f>
        <v>4.7500000000000001E-2</v>
      </c>
      <c r="AP101" s="1843">
        <f>AP55*AP102/4</f>
        <v>4.7500000000000001E-2</v>
      </c>
      <c r="AQ101" s="1484">
        <f>AQ55*AQ102</f>
        <v>0.19</v>
      </c>
      <c r="AR101" s="1843">
        <f>AR55*AR102/4</f>
        <v>4.7500000000000001E-2</v>
      </c>
      <c r="AS101" s="1843">
        <f>AS55*AS102/4</f>
        <v>4.7500000000000001E-2</v>
      </c>
      <c r="AT101" s="1843">
        <f>AT55*AT102/4</f>
        <v>4.7500000000000001E-2</v>
      </c>
      <c r="AU101" s="1843">
        <f>AU55*AU102/4</f>
        <v>4.7500000000000001E-2</v>
      </c>
      <c r="AV101" s="1484">
        <f>AV55*AV102</f>
        <v>0.19</v>
      </c>
      <c r="AW101" s="1843">
        <f>AW55*AW102/4</f>
        <v>4.7500000000000001E-2</v>
      </c>
      <c r="AX101" s="1843">
        <f>AX55*AX102/4</f>
        <v>4.7500000000000001E-2</v>
      </c>
      <c r="AY101" s="1843">
        <f>AY55*AY102/4</f>
        <v>4.7500000000000001E-2</v>
      </c>
      <c r="AZ101" s="1843">
        <f>AZ55*AZ102/4</f>
        <v>4.7500000000000001E-2</v>
      </c>
      <c r="BA101" s="1484">
        <f>BA55*BA102</f>
        <v>0.19</v>
      </c>
      <c r="BB101" s="1843">
        <f>BB55*BB102/4</f>
        <v>4.7500000000000001E-2</v>
      </c>
      <c r="BC101" s="1843">
        <f>BC55*BC102/4</f>
        <v>4.7500000000000001E-2</v>
      </c>
      <c r="BD101" s="1843">
        <f>BD55*BD102/4</f>
        <v>4.7500000000000001E-2</v>
      </c>
      <c r="BE101" s="1843">
        <f>BE55*BE102/4</f>
        <v>4.7500000000000001E-2</v>
      </c>
      <c r="BF101" s="1484">
        <f>BF55*BF102</f>
        <v>0.19</v>
      </c>
    </row>
    <row r="102" spans="1:58" x14ac:dyDescent="0.25">
      <c r="A102" s="1807" t="s">
        <v>564</v>
      </c>
      <c r="B102" s="1798"/>
      <c r="C102" s="1798"/>
      <c r="D102" s="1798"/>
      <c r="E102" s="628"/>
      <c r="F102" s="1840">
        <v>0.05</v>
      </c>
      <c r="G102" s="1840">
        <v>0.05</v>
      </c>
      <c r="H102" s="1841"/>
      <c r="I102" s="1840">
        <v>0.05</v>
      </c>
      <c r="J102" s="1840">
        <v>0.05</v>
      </c>
      <c r="K102" s="1840">
        <v>7.0000000000000007E-2</v>
      </c>
      <c r="L102" s="1840">
        <v>7.0000000000000007E-2</v>
      </c>
      <c r="M102" s="1842"/>
      <c r="N102" s="1840">
        <v>7.0000000000000007E-2</v>
      </c>
      <c r="O102" s="1840">
        <v>7.0000000000000007E-2</v>
      </c>
      <c r="P102" s="1840">
        <v>7.0000000000000007E-2</v>
      </c>
      <c r="Q102" s="1840">
        <v>7.0000000000000007E-2</v>
      </c>
      <c r="R102" s="1842"/>
      <c r="S102" s="1840">
        <v>7.0000000000000007E-2</v>
      </c>
      <c r="T102" s="1840">
        <v>7.0000000000000007E-2</v>
      </c>
      <c r="U102" s="1840">
        <v>7.0000000000000007E-2</v>
      </c>
      <c r="V102" s="1840">
        <v>0.05</v>
      </c>
      <c r="W102" s="1842">
        <v>7.0000000000000007E-2</v>
      </c>
      <c r="X102" s="1840">
        <v>7.0000000000000007E-2</v>
      </c>
      <c r="Y102" s="1840">
        <v>0.05</v>
      </c>
      <c r="Z102" s="1840">
        <f t="shared" ref="Z102:AL102" si="77">Y102</f>
        <v>0.05</v>
      </c>
      <c r="AA102" s="1840">
        <f t="shared" si="77"/>
        <v>0.05</v>
      </c>
      <c r="AB102" s="1842">
        <f t="shared" si="77"/>
        <v>0.05</v>
      </c>
      <c r="AC102" s="1840">
        <f t="shared" si="77"/>
        <v>0.05</v>
      </c>
      <c r="AD102" s="1840">
        <f t="shared" si="77"/>
        <v>0.05</v>
      </c>
      <c r="AE102" s="1840">
        <f t="shared" si="77"/>
        <v>0.05</v>
      </c>
      <c r="AF102" s="1840">
        <f t="shared" si="77"/>
        <v>0.05</v>
      </c>
      <c r="AG102" s="1842">
        <f t="shared" si="77"/>
        <v>0.05</v>
      </c>
      <c r="AH102" s="1840">
        <f t="shared" si="77"/>
        <v>0.05</v>
      </c>
      <c r="AI102" s="1840">
        <f t="shared" si="77"/>
        <v>0.05</v>
      </c>
      <c r="AJ102" s="1840">
        <f t="shared" si="77"/>
        <v>0.05</v>
      </c>
      <c r="AK102" s="1840">
        <f t="shared" si="77"/>
        <v>0.05</v>
      </c>
      <c r="AL102" s="1842">
        <f t="shared" si="77"/>
        <v>0.05</v>
      </c>
      <c r="AM102" s="1840">
        <f t="shared" ref="AM102:BF102" si="78">AL102</f>
        <v>0.05</v>
      </c>
      <c r="AN102" s="1840">
        <f t="shared" si="78"/>
        <v>0.05</v>
      </c>
      <c r="AO102" s="1840">
        <f t="shared" si="78"/>
        <v>0.05</v>
      </c>
      <c r="AP102" s="1840">
        <f t="shared" si="78"/>
        <v>0.05</v>
      </c>
      <c r="AQ102" s="1842">
        <f t="shared" si="78"/>
        <v>0.05</v>
      </c>
      <c r="AR102" s="1840">
        <f t="shared" si="78"/>
        <v>0.05</v>
      </c>
      <c r="AS102" s="1840">
        <f t="shared" si="78"/>
        <v>0.05</v>
      </c>
      <c r="AT102" s="1840">
        <f t="shared" si="78"/>
        <v>0.05</v>
      </c>
      <c r="AU102" s="1840">
        <f t="shared" si="78"/>
        <v>0.05</v>
      </c>
      <c r="AV102" s="1842">
        <f t="shared" si="78"/>
        <v>0.05</v>
      </c>
      <c r="AW102" s="1840">
        <f t="shared" si="78"/>
        <v>0.05</v>
      </c>
      <c r="AX102" s="1840">
        <f t="shared" si="78"/>
        <v>0.05</v>
      </c>
      <c r="AY102" s="1840">
        <f t="shared" si="78"/>
        <v>0.05</v>
      </c>
      <c r="AZ102" s="1840">
        <f t="shared" si="78"/>
        <v>0.05</v>
      </c>
      <c r="BA102" s="1842">
        <f t="shared" si="78"/>
        <v>0.05</v>
      </c>
      <c r="BB102" s="1840">
        <f t="shared" si="78"/>
        <v>0.05</v>
      </c>
      <c r="BC102" s="1840">
        <f t="shared" si="78"/>
        <v>0.05</v>
      </c>
      <c r="BD102" s="1840">
        <f t="shared" si="78"/>
        <v>0.05</v>
      </c>
      <c r="BE102" s="1840">
        <f t="shared" si="78"/>
        <v>0.05</v>
      </c>
      <c r="BF102" s="1842">
        <f t="shared" si="78"/>
        <v>0.05</v>
      </c>
    </row>
    <row r="103" spans="1:58" x14ac:dyDescent="0.25">
      <c r="A103" s="628"/>
      <c r="B103" s="1798"/>
      <c r="C103" s="1798"/>
      <c r="D103" s="1798"/>
      <c r="E103" s="628"/>
      <c r="F103" s="636"/>
      <c r="G103" s="636"/>
      <c r="H103" s="1484"/>
      <c r="I103" s="636"/>
      <c r="J103" s="636"/>
      <c r="K103" s="636"/>
      <c r="L103" s="636"/>
      <c r="M103" s="1484"/>
      <c r="N103" s="636"/>
      <c r="O103" s="636"/>
      <c r="P103" s="636"/>
      <c r="Q103" s="636"/>
      <c r="R103" s="1484"/>
      <c r="S103" s="636"/>
      <c r="T103" s="636"/>
      <c r="U103" s="636"/>
      <c r="V103" s="636"/>
      <c r="W103" s="1484"/>
      <c r="X103" s="636"/>
      <c r="Y103" s="636"/>
      <c r="Z103" s="636"/>
      <c r="AA103" s="636"/>
      <c r="AB103" s="1484"/>
      <c r="AC103" s="636"/>
      <c r="AD103" s="636"/>
      <c r="AE103" s="14"/>
      <c r="AF103" s="14"/>
      <c r="AG103" s="1484"/>
      <c r="AH103" s="636"/>
      <c r="AI103" s="636"/>
      <c r="AJ103" s="636"/>
      <c r="AK103" s="636"/>
      <c r="AL103" s="1484"/>
      <c r="AM103" s="636"/>
      <c r="AN103" s="636"/>
      <c r="AO103" s="636"/>
      <c r="AP103" s="636"/>
      <c r="AQ103" s="1484"/>
      <c r="AR103" s="636"/>
      <c r="AS103" s="636"/>
      <c r="AT103" s="636"/>
      <c r="AU103" s="636"/>
      <c r="AV103" s="1484"/>
      <c r="AW103" s="636"/>
      <c r="AX103" s="636"/>
      <c r="AY103" s="636"/>
      <c r="AZ103" s="636"/>
      <c r="BA103" s="1484"/>
      <c r="BB103" s="636"/>
      <c r="BC103" s="636"/>
      <c r="BD103" s="636"/>
      <c r="BE103" s="636"/>
      <c r="BF103" s="1484"/>
    </row>
    <row r="104" spans="1:58" x14ac:dyDescent="0.25">
      <c r="A104" s="1515" t="s">
        <v>567</v>
      </c>
      <c r="B104" s="1799"/>
      <c r="C104" s="1799"/>
      <c r="D104" s="1799"/>
      <c r="E104" s="1515"/>
      <c r="F104" s="1223">
        <f>SUM(F70:F101)+F67</f>
        <v>14.591507750000002</v>
      </c>
      <c r="G104" s="1830">
        <f>SUM(G70:G101)+G67</f>
        <v>14.774262825342465</v>
      </c>
      <c r="H104" s="1845"/>
      <c r="I104" s="1831">
        <f t="shared" ref="I104:AA104" si="79">SUM(I70:I101)+I67</f>
        <v>16.3850431175</v>
      </c>
      <c r="J104" s="1831">
        <f t="shared" si="79"/>
        <v>17.377260796249999</v>
      </c>
      <c r="K104" s="1831">
        <f t="shared" si="79"/>
        <v>18.133041875</v>
      </c>
      <c r="L104" s="1831">
        <f t="shared" si="79"/>
        <v>20.612862445000001</v>
      </c>
      <c r="M104" s="1846">
        <f t="shared" si="79"/>
        <v>72.508208233749997</v>
      </c>
      <c r="N104" s="1733">
        <f t="shared" si="79"/>
        <v>20.0929725875</v>
      </c>
      <c r="O104" s="1733">
        <f t="shared" si="79"/>
        <v>19.698173062500004</v>
      </c>
      <c r="P104" s="1733">
        <f t="shared" si="79"/>
        <v>18.688215437500002</v>
      </c>
      <c r="Q104" s="1733">
        <f t="shared" si="79"/>
        <v>17.651899750000002</v>
      </c>
      <c r="R104" s="1845">
        <f t="shared" si="79"/>
        <v>76.131260837500008</v>
      </c>
      <c r="S104" s="1733">
        <f t="shared" si="79"/>
        <v>16.803883387500004</v>
      </c>
      <c r="T104" s="1733">
        <f t="shared" si="79"/>
        <v>15.461328937500001</v>
      </c>
      <c r="U104" s="1733">
        <f t="shared" si="79"/>
        <v>17.230010625000002</v>
      </c>
      <c r="V104" s="1733">
        <f t="shared" si="79"/>
        <v>17.622833249999999</v>
      </c>
      <c r="W104" s="1845">
        <f t="shared" si="79"/>
        <v>65.573213574999997</v>
      </c>
      <c r="X104" s="1733">
        <f t="shared" si="79"/>
        <v>17.927496812499999</v>
      </c>
      <c r="Y104" s="1733">
        <f t="shared" si="79"/>
        <v>28.519683437500007</v>
      </c>
      <c r="Z104" s="1733">
        <f t="shared" si="79"/>
        <v>31.445829374999999</v>
      </c>
      <c r="AA104" s="1733">
        <f t="shared" si="79"/>
        <v>31.295696187499999</v>
      </c>
      <c r="AB104" s="1845">
        <f>SUM(X104:AA104)</f>
        <v>109.1887058125</v>
      </c>
      <c r="AC104" s="1733">
        <f>SUM(AC70:AC101)+AC67</f>
        <v>31.0999090625</v>
      </c>
      <c r="AD104" s="1733">
        <f>SUM(AD70:AD101)+AD67</f>
        <v>26.695445062499999</v>
      </c>
      <c r="AE104" s="1733">
        <f>SUM(AE70:AE101)+AE67</f>
        <v>26.803766562500002</v>
      </c>
      <c r="AF104" s="1733">
        <f>SUM(AF70:AF101)+AF67</f>
        <v>27.43679375</v>
      </c>
      <c r="AG104" s="1845">
        <f>SUM(AC104:AF104)</f>
        <v>112.0359144375</v>
      </c>
      <c r="AH104" s="1733">
        <f>SUM(AH70:AH101)+AH67</f>
        <v>26.836193749999996</v>
      </c>
      <c r="AI104" s="1733">
        <f>SUM(AI70:AI101)+AI67</f>
        <v>27.832112500000001</v>
      </c>
      <c r="AJ104" s="1733">
        <f>SUM(AJ70:AJ101)+AJ67</f>
        <v>32.024762499999994</v>
      </c>
      <c r="AK104" s="1733">
        <f>SUM(AK70:AK101)+AK67</f>
        <v>33.156837500000002</v>
      </c>
      <c r="AL104" s="1845">
        <f>SUM(AH104:AK104)</f>
        <v>119.84990625</v>
      </c>
      <c r="AM104" s="1733">
        <f>SUM(AM70:AM101)+AM67</f>
        <v>33.156837500000002</v>
      </c>
      <c r="AN104" s="1733">
        <f>SUM(AN70:AN101)+AN67</f>
        <v>33.156837500000002</v>
      </c>
      <c r="AO104" s="1733">
        <f>SUM(AO70:AO101)+AO67</f>
        <v>33.156837500000002</v>
      </c>
      <c r="AP104" s="1733">
        <f>SUM(AP70:AP101)+AP67</f>
        <v>33.156837500000002</v>
      </c>
      <c r="AQ104" s="1845">
        <f>SUM(AM104:AP104)</f>
        <v>132.62735000000001</v>
      </c>
      <c r="AR104" s="1733">
        <f>SUM(AR70:AR101)+AR67</f>
        <v>33.156837500000002</v>
      </c>
      <c r="AS104" s="1733">
        <f>SUM(AS70:AS101)+AS67</f>
        <v>33.156837500000002</v>
      </c>
      <c r="AT104" s="1733">
        <f>SUM(AT70:AT101)+AT67</f>
        <v>33.156837500000002</v>
      </c>
      <c r="AU104" s="1733">
        <f>SUM(AU70:AU101)+AU67</f>
        <v>33.156837500000002</v>
      </c>
      <c r="AV104" s="1845">
        <f>SUM(AR104:AU104)</f>
        <v>132.62735000000001</v>
      </c>
      <c r="AW104" s="1733">
        <f>SUM(AW70:AW101)+AW67</f>
        <v>33.156837500000002</v>
      </c>
      <c r="AX104" s="1733">
        <f>SUM(AX70:AX101)+AX67</f>
        <v>33.156837500000002</v>
      </c>
      <c r="AY104" s="1733">
        <f>SUM(AY70:AY101)+AY67</f>
        <v>33.156837500000002</v>
      </c>
      <c r="AZ104" s="1733">
        <f>SUM(AZ70:AZ101)+AZ67</f>
        <v>33.156837500000002</v>
      </c>
      <c r="BA104" s="1845">
        <f>SUM(AW104:AZ104)</f>
        <v>132.62735000000001</v>
      </c>
      <c r="BB104" s="1733">
        <f>SUM(BB70:BB101)+BB67</f>
        <v>33.156837500000002</v>
      </c>
      <c r="BC104" s="1733">
        <f>SUM(BC70:BC101)+BC67</f>
        <v>33.156837500000002</v>
      </c>
      <c r="BD104" s="1733">
        <f>SUM(BD70:BD101)+BD67</f>
        <v>33.156837500000002</v>
      </c>
      <c r="BE104" s="1733">
        <f>SUM(BE70:BE101)+BE67</f>
        <v>33.156837500000002</v>
      </c>
      <c r="BF104" s="1845">
        <f>SUM(BB104:BE104)</f>
        <v>132.62735000000001</v>
      </c>
    </row>
    <row r="105" spans="1:58" s="677" customFormat="1" ht="12.75" x14ac:dyDescent="0.2">
      <c r="A105" s="1847" t="s">
        <v>568</v>
      </c>
      <c r="B105" s="1848"/>
      <c r="C105" s="1848"/>
      <c r="D105" s="1848"/>
      <c r="E105" s="1191"/>
      <c r="F105" s="1833">
        <f>-VA!AA46</f>
        <v>14.593</v>
      </c>
      <c r="G105" s="1833">
        <f>-VA!AB46</f>
        <v>14.754</v>
      </c>
      <c r="H105" s="1833"/>
      <c r="I105" s="1849">
        <f>-VA!AD46</f>
        <v>16.385000000000002</v>
      </c>
      <c r="J105" s="1849">
        <f>-VA!AE46</f>
        <v>17.376999999999999</v>
      </c>
      <c r="K105" s="1849">
        <f>-VA!AF46</f>
        <v>18.132999999999999</v>
      </c>
      <c r="L105" s="1849">
        <f>-VA!AG46</f>
        <v>20.613</v>
      </c>
      <c r="M105" s="1849">
        <f>-VA!AH46</f>
        <v>72.507999999999996</v>
      </c>
      <c r="N105" s="1850">
        <f>-VA!AI46</f>
        <v>20.09</v>
      </c>
      <c r="O105" s="1850">
        <f>-VA!AJ46</f>
        <v>19.704000000000001</v>
      </c>
      <c r="P105" s="1850">
        <f>-VA!AK46</f>
        <v>18.692</v>
      </c>
      <c r="Q105" s="1850">
        <f>-VA!AL46</f>
        <v>17.649999999999999</v>
      </c>
      <c r="R105" s="1833">
        <f>-VA!AM46</f>
        <v>76.135999999999996</v>
      </c>
      <c r="S105" s="1850">
        <f>-VA!AN46</f>
        <v>17.439</v>
      </c>
      <c r="T105" s="1850">
        <f>-VA!AO46</f>
        <v>17.459</v>
      </c>
      <c r="U105" s="1850">
        <f>-VA!AP46</f>
        <v>17.498000000000001</v>
      </c>
      <c r="V105" s="1850">
        <f>-VA!AQ46</f>
        <v>17.588000000000001</v>
      </c>
      <c r="W105" s="1833">
        <f>-VA!AR46</f>
        <v>69.984000000000009</v>
      </c>
      <c r="X105" s="1850">
        <f>-VA!AS46</f>
        <v>18.262</v>
      </c>
      <c r="Y105" s="1850">
        <f>-VA!AT46</f>
        <v>37.661999999999999</v>
      </c>
      <c r="Z105" s="1850">
        <f>-VA!AU46</f>
        <v>33.003</v>
      </c>
      <c r="AA105" s="1850">
        <f>-VA!AV46</f>
        <v>32.389000000000003</v>
      </c>
      <c r="AB105" s="1833">
        <f>-VA!AW46</f>
        <v>121.316</v>
      </c>
      <c r="AC105" s="1850">
        <f>-VA!AX46</f>
        <v>32.031999999999996</v>
      </c>
      <c r="AD105" s="1850">
        <f>-VA!AY46</f>
        <v>31.434999999999999</v>
      </c>
      <c r="AE105" s="1850">
        <f>-VA!AZ46</f>
        <v>28.15</v>
      </c>
      <c r="AF105" s="1850">
        <f>-VA!BA46</f>
        <v>28.4</v>
      </c>
      <c r="AG105" s="1833">
        <f>-VA!BB46</f>
        <v>120.017</v>
      </c>
      <c r="AH105" s="1850">
        <f>-VA!BC46</f>
        <v>28.4</v>
      </c>
      <c r="AI105" s="1850">
        <f>-VA!BD46</f>
        <v>28.5</v>
      </c>
      <c r="AJ105" s="1850">
        <f>-VA!BE46</f>
        <v>30.3</v>
      </c>
      <c r="AK105" s="1850">
        <f>-VA!BF46</f>
        <v>32.1</v>
      </c>
      <c r="AL105" s="1833">
        <f>SUM(AH105:AK105)</f>
        <v>119.30000000000001</v>
      </c>
      <c r="AM105" s="1850">
        <f>-VA!BH46</f>
        <v>33.156837500000002</v>
      </c>
      <c r="AN105" s="1850">
        <f>-VA!BI46</f>
        <v>33.156837500000002</v>
      </c>
      <c r="AO105" s="1850">
        <f>-VA!BJ46</f>
        <v>33.156837500000002</v>
      </c>
      <c r="AP105" s="1850">
        <f>-VA!BK46</f>
        <v>33.156837500000002</v>
      </c>
      <c r="AQ105" s="1833">
        <f>-VA!BL46</f>
        <v>132.62735000000001</v>
      </c>
      <c r="AR105" s="1850">
        <f>-VA!BM46</f>
        <v>33.156837500000002</v>
      </c>
      <c r="AS105" s="1850">
        <f>-VA!BN46</f>
        <v>33.156837500000002</v>
      </c>
      <c r="AT105" s="1850">
        <f>-VA!BO46</f>
        <v>33.156837500000002</v>
      </c>
      <c r="AU105" s="1850">
        <f>-VA!BP46</f>
        <v>33.156837500000002</v>
      </c>
      <c r="AV105" s="1833">
        <f>-VA!BQ46</f>
        <v>132.62735000000001</v>
      </c>
      <c r="AW105" s="1850">
        <f>-VA!BR46</f>
        <v>33.156837500000002</v>
      </c>
      <c r="AX105" s="1850">
        <f>-VA!BS46</f>
        <v>33.156837500000002</v>
      </c>
      <c r="AY105" s="1850">
        <f>-VA!BT46</f>
        <v>33.156837500000002</v>
      </c>
      <c r="AZ105" s="1850">
        <f>-VA!BU46</f>
        <v>33.156837500000002</v>
      </c>
      <c r="BA105" s="1833">
        <f>-VA!BV46</f>
        <v>132.62735000000001</v>
      </c>
      <c r="BB105" s="1850">
        <f>-VA!BW46</f>
        <v>33.156837500000002</v>
      </c>
      <c r="BC105" s="1850">
        <f>-VA!BX46</f>
        <v>33.156837500000002</v>
      </c>
      <c r="BD105" s="1850">
        <f>-VA!BY46</f>
        <v>33.156837500000002</v>
      </c>
      <c r="BE105" s="1850">
        <f>-VA!BZ46</f>
        <v>33.156837500000002</v>
      </c>
      <c r="BF105" s="1833">
        <f>-VA!CA46</f>
        <v>132.62735000000001</v>
      </c>
    </row>
    <row r="106" spans="1:58" x14ac:dyDescent="0.25">
      <c r="A106" s="628"/>
      <c r="B106" s="1798"/>
      <c r="C106" s="1798"/>
      <c r="D106" s="1798"/>
      <c r="E106" s="628"/>
      <c r="F106" s="1833"/>
      <c r="G106" s="1833"/>
      <c r="H106" s="1833"/>
      <c r="I106" s="1833"/>
      <c r="J106" s="1833"/>
      <c r="K106" s="1833"/>
      <c r="L106" s="1833"/>
      <c r="M106" s="1833"/>
      <c r="N106" s="1833"/>
      <c r="O106" s="1833"/>
      <c r="P106" s="1833"/>
      <c r="Q106" s="1833"/>
      <c r="R106" s="1833"/>
      <c r="S106" s="1851">
        <f>+S104/S57*4</f>
        <v>5.2884308909890876E-2</v>
      </c>
      <c r="T106" s="1833"/>
      <c r="U106" s="1833"/>
      <c r="V106" s="1833"/>
      <c r="W106" s="1833"/>
      <c r="X106" s="1851"/>
      <c r="Y106" s="1851"/>
      <c r="Z106" s="1833"/>
      <c r="AA106" s="1833"/>
      <c r="AB106" s="1833"/>
      <c r="AC106" s="1833"/>
      <c r="AD106" s="1833"/>
      <c r="AE106" s="1850"/>
      <c r="AF106" s="1850"/>
      <c r="AG106" s="1833"/>
      <c r="AH106" s="1833"/>
      <c r="AI106" s="1833"/>
      <c r="AJ106" s="1833"/>
      <c r="AK106" s="1833"/>
      <c r="AL106" s="1833"/>
      <c r="AM106" s="1833"/>
      <c r="AN106" s="1833"/>
      <c r="AO106" s="1833"/>
      <c r="AP106" s="1833"/>
      <c r="AQ106" s="1833"/>
      <c r="AR106" s="1833"/>
      <c r="AS106" s="1833"/>
      <c r="AT106" s="1833"/>
      <c r="AU106" s="1833"/>
      <c r="AV106" s="1833"/>
      <c r="AW106" s="1833"/>
      <c r="AX106" s="1833"/>
      <c r="AY106" s="1833"/>
      <c r="AZ106" s="1833"/>
      <c r="BA106" s="1833"/>
      <c r="BB106" s="1833"/>
      <c r="BC106" s="1833"/>
      <c r="BD106" s="1833"/>
      <c r="BE106" s="1833"/>
      <c r="BF106" s="1833"/>
    </row>
    <row r="107" spans="1:58" hidden="1" x14ac:dyDescent="0.25">
      <c r="A107" s="628"/>
      <c r="B107" s="1798"/>
      <c r="C107" s="1798"/>
      <c r="D107" s="1798"/>
      <c r="E107" s="628"/>
      <c r="F107" s="1852"/>
      <c r="G107" s="1852"/>
      <c r="H107" s="1852"/>
      <c r="I107" s="1852"/>
      <c r="J107" s="1852"/>
      <c r="K107" s="1852"/>
      <c r="L107" s="1852"/>
      <c r="M107" s="1852"/>
      <c r="N107" s="1852"/>
      <c r="O107" s="1852"/>
      <c r="P107" s="1852"/>
      <c r="Q107" s="1852"/>
      <c r="R107" s="1852"/>
      <c r="S107" s="1852"/>
      <c r="T107" s="1852"/>
      <c r="U107" s="1852"/>
      <c r="V107" s="1852"/>
      <c r="W107" s="1852"/>
      <c r="X107" s="1852"/>
      <c r="Y107" s="1852"/>
      <c r="Z107" s="1852"/>
      <c r="AA107" s="1852"/>
      <c r="AB107" s="1852"/>
      <c r="AC107" s="1852"/>
      <c r="AD107" s="1852"/>
      <c r="AE107" s="1852"/>
      <c r="AF107" s="1852"/>
      <c r="AG107" s="1852"/>
      <c r="AH107" s="1852"/>
      <c r="AI107" s="1852"/>
      <c r="AJ107" s="1852"/>
      <c r="AK107" s="1852"/>
      <c r="AL107" s="1852"/>
      <c r="AM107" s="1852"/>
      <c r="AN107" s="1852"/>
      <c r="AO107" s="1852"/>
      <c r="AP107" s="1852"/>
      <c r="AQ107" s="1852"/>
      <c r="AR107" s="1852"/>
      <c r="AS107" s="1852"/>
      <c r="AT107" s="1852"/>
      <c r="AU107" s="1852"/>
      <c r="AV107" s="1852"/>
      <c r="AW107" s="1852"/>
      <c r="AX107" s="1852"/>
      <c r="AY107" s="1852"/>
      <c r="AZ107" s="1852"/>
      <c r="BA107" s="1852"/>
      <c r="BB107" s="1852"/>
      <c r="BC107" s="1852"/>
      <c r="BD107" s="1852"/>
      <c r="BE107" s="1852"/>
      <c r="BF107" s="1852"/>
    </row>
    <row r="108" spans="1:58" hidden="1" x14ac:dyDescent="0.25">
      <c r="A108" s="628"/>
      <c r="B108" s="1798"/>
      <c r="C108" s="1798"/>
      <c r="D108" s="1798"/>
      <c r="E108" s="628"/>
      <c r="F108" s="628"/>
      <c r="G108" s="628"/>
      <c r="H108" s="628"/>
      <c r="I108" s="628"/>
      <c r="J108" s="628"/>
      <c r="K108" s="628"/>
      <c r="L108" s="628"/>
      <c r="M108" s="628"/>
      <c r="N108" s="628"/>
      <c r="O108" s="628"/>
      <c r="P108" s="628"/>
      <c r="Q108" s="628"/>
      <c r="R108" s="628"/>
      <c r="S108" s="628"/>
      <c r="T108" s="628"/>
      <c r="U108" s="628"/>
      <c r="V108" s="628"/>
      <c r="W108" s="628"/>
      <c r="X108" s="628"/>
      <c r="Y108" s="628"/>
      <c r="Z108" s="628"/>
      <c r="AA108" s="628"/>
      <c r="AB108" s="628"/>
      <c r="AC108" s="628"/>
      <c r="AD108" s="628"/>
      <c r="AE108" s="628"/>
      <c r="AF108" s="628"/>
      <c r="AG108" s="628"/>
      <c r="AH108" s="628"/>
      <c r="AI108" s="628"/>
      <c r="AJ108" s="628"/>
      <c r="AK108" s="628"/>
      <c r="AL108" s="628"/>
      <c r="AM108" s="628"/>
      <c r="AN108" s="628"/>
      <c r="AO108" s="628"/>
      <c r="AP108" s="628"/>
      <c r="AQ108" s="628"/>
      <c r="AR108" s="628"/>
      <c r="AS108" s="628"/>
      <c r="AT108" s="628"/>
      <c r="AU108" s="628"/>
      <c r="AV108" s="628"/>
      <c r="AW108" s="628"/>
      <c r="AX108" s="628"/>
      <c r="AY108" s="628"/>
      <c r="AZ108" s="628"/>
      <c r="BA108" s="628"/>
      <c r="BB108" s="628"/>
      <c r="BC108" s="628"/>
      <c r="BD108" s="628"/>
      <c r="BE108" s="628"/>
      <c r="BF108" s="628"/>
    </row>
    <row r="109" spans="1:58" s="1824" customFormat="1" ht="12.75" x14ac:dyDescent="0.2">
      <c r="A109" s="1839" t="s">
        <v>569</v>
      </c>
      <c r="B109" s="1853"/>
      <c r="C109" s="1853"/>
      <c r="D109" s="1853"/>
      <c r="E109" s="1839"/>
      <c r="F109" s="1839"/>
      <c r="G109" s="1839"/>
      <c r="H109" s="1839"/>
      <c r="I109" s="1839"/>
      <c r="J109" s="1839"/>
      <c r="K109" s="1839"/>
      <c r="L109" s="1839"/>
      <c r="M109" s="1839"/>
      <c r="N109" s="1839"/>
      <c r="O109" s="1839"/>
      <c r="P109" s="1839"/>
      <c r="Q109" s="1839"/>
      <c r="R109" s="1839"/>
      <c r="S109" s="1839"/>
      <c r="T109" s="1839"/>
      <c r="U109" s="1839"/>
      <c r="V109" s="1839"/>
      <c r="W109" s="1839"/>
      <c r="X109" s="1854"/>
      <c r="Y109" s="1854"/>
      <c r="Z109" s="1854"/>
      <c r="AA109" s="1854"/>
      <c r="AB109" s="1854"/>
      <c r="AC109" s="1854"/>
      <c r="AD109" s="1854"/>
      <c r="AE109" s="1854"/>
      <c r="AF109" s="1854"/>
      <c r="AG109" s="1854"/>
      <c r="AH109" s="1854">
        <v>-28.4</v>
      </c>
      <c r="AI109" s="1854">
        <v>-28.5</v>
      </c>
      <c r="AJ109" s="1854">
        <v>-30.3</v>
      </c>
      <c r="AK109" s="1854">
        <f t="shared" ref="AK109:BF109" si="80">-AK104</f>
        <v>-33.156837500000002</v>
      </c>
      <c r="AL109" s="1854">
        <f>-AL105</f>
        <v>-119.30000000000001</v>
      </c>
      <c r="AM109" s="1854">
        <f t="shared" si="80"/>
        <v>-33.156837500000002</v>
      </c>
      <c r="AN109" s="1854">
        <f t="shared" si="80"/>
        <v>-33.156837500000002</v>
      </c>
      <c r="AO109" s="1854">
        <f t="shared" si="80"/>
        <v>-33.156837500000002</v>
      </c>
      <c r="AP109" s="1854">
        <f t="shared" si="80"/>
        <v>-33.156837500000002</v>
      </c>
      <c r="AQ109" s="1854">
        <f t="shared" si="80"/>
        <v>-132.62735000000001</v>
      </c>
      <c r="AR109" s="1854">
        <f t="shared" si="80"/>
        <v>-33.156837500000002</v>
      </c>
      <c r="AS109" s="1854">
        <f t="shared" si="80"/>
        <v>-33.156837500000002</v>
      </c>
      <c r="AT109" s="1854">
        <f t="shared" si="80"/>
        <v>-33.156837500000002</v>
      </c>
      <c r="AU109" s="1854">
        <f t="shared" si="80"/>
        <v>-33.156837500000002</v>
      </c>
      <c r="AV109" s="1854">
        <f t="shared" si="80"/>
        <v>-132.62735000000001</v>
      </c>
      <c r="AW109" s="1854">
        <f t="shared" si="80"/>
        <v>-33.156837500000002</v>
      </c>
      <c r="AX109" s="1854">
        <f t="shared" si="80"/>
        <v>-33.156837500000002</v>
      </c>
      <c r="AY109" s="1854">
        <f t="shared" si="80"/>
        <v>-33.156837500000002</v>
      </c>
      <c r="AZ109" s="1854">
        <f t="shared" si="80"/>
        <v>-33.156837500000002</v>
      </c>
      <c r="BA109" s="1854">
        <f t="shared" si="80"/>
        <v>-132.62735000000001</v>
      </c>
      <c r="BB109" s="1854">
        <f t="shared" si="80"/>
        <v>-33.156837500000002</v>
      </c>
      <c r="BC109" s="1854">
        <f t="shared" si="80"/>
        <v>-33.156837500000002</v>
      </c>
      <c r="BD109" s="1854">
        <f t="shared" si="80"/>
        <v>-33.156837500000002</v>
      </c>
      <c r="BE109" s="1854">
        <f t="shared" si="80"/>
        <v>-33.156837500000002</v>
      </c>
      <c r="BF109" s="1854">
        <f t="shared" si="80"/>
        <v>-132.62735000000001</v>
      </c>
    </row>
    <row r="110" spans="1:58" x14ac:dyDescent="0.25">
      <c r="A110" s="628"/>
      <c r="B110" s="1798"/>
      <c r="C110" s="1798"/>
      <c r="D110" s="1798"/>
      <c r="E110" s="628"/>
      <c r="F110" s="628"/>
      <c r="G110" s="628"/>
      <c r="H110" s="628"/>
      <c r="I110" s="628"/>
      <c r="J110" s="628"/>
      <c r="K110" s="628"/>
      <c r="L110" s="628"/>
      <c r="M110" s="628"/>
      <c r="N110" s="628"/>
      <c r="O110" s="628"/>
      <c r="P110" s="628"/>
      <c r="Q110" s="628"/>
      <c r="R110" s="628"/>
      <c r="S110" s="628"/>
      <c r="T110" s="628"/>
      <c r="U110" s="628"/>
      <c r="V110" s="628"/>
      <c r="W110" s="628"/>
      <c r="X110" s="628"/>
      <c r="Y110" s="628"/>
      <c r="Z110" s="628"/>
      <c r="AA110" s="628"/>
      <c r="AB110" s="628"/>
      <c r="AC110" s="628"/>
      <c r="AD110" s="628"/>
      <c r="AE110" s="628"/>
      <c r="AF110" s="628"/>
      <c r="AG110" s="628"/>
      <c r="AH110" s="628"/>
      <c r="AI110" s="628"/>
      <c r="AJ110" s="628"/>
      <c r="AK110" s="628"/>
      <c r="AL110" s="628"/>
      <c r="AM110" s="628"/>
      <c r="AN110" s="628"/>
      <c r="AO110" s="628"/>
      <c r="AP110" s="628"/>
      <c r="AQ110" s="628"/>
      <c r="AR110" s="628"/>
      <c r="AS110" s="628"/>
      <c r="AT110" s="628"/>
      <c r="AU110" s="628"/>
      <c r="AV110" s="628"/>
      <c r="AW110" s="628"/>
      <c r="AX110" s="628"/>
      <c r="AY110" s="628"/>
      <c r="AZ110" s="628"/>
      <c r="BA110" s="628"/>
      <c r="BB110" s="628"/>
      <c r="BC110" s="628"/>
      <c r="BD110" s="628"/>
      <c r="BE110" s="628"/>
      <c r="BF110" s="628"/>
    </row>
    <row r="111" spans="1:58" hidden="1" x14ac:dyDescent="0.25">
      <c r="A111" s="1855" t="s">
        <v>570</v>
      </c>
      <c r="B111" s="1856"/>
      <c r="C111" s="1856"/>
      <c r="D111" s="1856"/>
      <c r="E111" s="1855"/>
      <c r="F111" s="1855"/>
      <c r="G111" s="1855"/>
      <c r="H111" s="1855"/>
      <c r="I111" s="1855"/>
      <c r="J111" s="1855"/>
      <c r="K111" s="1857"/>
      <c r="L111" s="1857"/>
      <c r="M111" s="1857"/>
      <c r="N111" s="1857"/>
      <c r="O111" s="1857"/>
      <c r="P111" s="1857"/>
      <c r="Q111" s="1857"/>
      <c r="R111" s="1857"/>
      <c r="S111" s="1857"/>
      <c r="T111" s="1857"/>
      <c r="U111" s="1857"/>
      <c r="V111" s="1857"/>
      <c r="W111" s="1857"/>
      <c r="X111" s="1857"/>
      <c r="Y111" s="1857"/>
      <c r="Z111" s="1857"/>
      <c r="AA111" s="1857"/>
      <c r="AB111" s="1857"/>
      <c r="AC111" s="1857"/>
      <c r="AD111" s="1857"/>
      <c r="AE111" s="1857"/>
      <c r="AF111" s="1857"/>
      <c r="AG111" s="1857"/>
      <c r="AH111" s="1857"/>
      <c r="AI111" s="1857"/>
      <c r="AJ111" s="1857"/>
      <c r="AK111" s="1857"/>
      <c r="AL111" s="1857"/>
      <c r="AM111" s="1857"/>
      <c r="AN111" s="1857"/>
      <c r="AO111" s="1857"/>
      <c r="AP111" s="1857"/>
      <c r="AQ111" s="1857"/>
      <c r="AR111" s="1857"/>
      <c r="AS111" s="1857"/>
      <c r="AT111" s="1857"/>
      <c r="AU111" s="1857"/>
      <c r="AV111" s="1857"/>
      <c r="AW111" s="1857"/>
      <c r="AX111" s="1857"/>
      <c r="AY111" s="1857"/>
      <c r="AZ111" s="1857"/>
      <c r="BA111" s="1857"/>
      <c r="BB111" s="1857"/>
      <c r="BC111" s="1857"/>
      <c r="BD111" s="1857"/>
      <c r="BE111" s="1857"/>
      <c r="BF111" s="1857"/>
    </row>
    <row r="112" spans="1:58" ht="15.75" hidden="1" thickBot="1" x14ac:dyDescent="0.3">
      <c r="A112" s="1858"/>
      <c r="B112" s="1859" t="s">
        <v>571</v>
      </c>
      <c r="C112" s="1859" t="s">
        <v>572</v>
      </c>
      <c r="D112" s="1859" t="s">
        <v>515</v>
      </c>
      <c r="E112" s="1858"/>
      <c r="F112" s="1858"/>
      <c r="G112" s="1858"/>
      <c r="H112" s="1858"/>
      <c r="I112" s="1858"/>
      <c r="J112" s="1858"/>
      <c r="K112" s="1858"/>
      <c r="L112" s="1858"/>
      <c r="M112" s="1860"/>
      <c r="N112" s="1861" t="s">
        <v>524</v>
      </c>
      <c r="O112" s="1861" t="s">
        <v>525</v>
      </c>
      <c r="P112" s="1861" t="s">
        <v>526</v>
      </c>
      <c r="Q112" s="1861" t="s">
        <v>527</v>
      </c>
      <c r="R112" s="1862">
        <v>2013</v>
      </c>
      <c r="S112" s="1861" t="str">
        <f>VA!AN111</f>
        <v>1Q14</v>
      </c>
      <c r="T112" s="1861" t="str">
        <f>VA!AO111</f>
        <v>2Q14</v>
      </c>
      <c r="U112" s="1861" t="str">
        <f>VA!AP111</f>
        <v>3Q14</v>
      </c>
      <c r="V112" s="1861" t="str">
        <f>VA!AQ111</f>
        <v>4Q14</v>
      </c>
      <c r="W112" s="1862">
        <v>2014</v>
      </c>
      <c r="X112" s="1861" t="str">
        <f>VA!AS111</f>
        <v>1Q15</v>
      </c>
      <c r="Y112" s="1861" t="str">
        <f>VA!AT111</f>
        <v>2Q15</v>
      </c>
      <c r="Z112" s="1861" t="str">
        <f>VA!AU111</f>
        <v>3Q15</v>
      </c>
      <c r="AA112" s="1861" t="str">
        <f>VA!AV111</f>
        <v>4Q15</v>
      </c>
      <c r="AB112" s="1862">
        <v>2015</v>
      </c>
      <c r="AC112" s="1861" t="str">
        <f>VA!AX111</f>
        <v>1Q16</v>
      </c>
      <c r="AD112" s="1861" t="str">
        <f>VA!AY111</f>
        <v>2Q16</v>
      </c>
      <c r="AE112" s="1861" t="str">
        <f>VA!AZ111</f>
        <v>3Q16</v>
      </c>
      <c r="AF112" s="1861" t="str">
        <f>VA!BA111</f>
        <v>4Q16</v>
      </c>
      <c r="AG112" s="1862">
        <v>2015</v>
      </c>
      <c r="AH112" s="1861" t="str">
        <f>VA!BC111</f>
        <v>1Q17</v>
      </c>
      <c r="AI112" s="1861" t="str">
        <f>VA!BD111</f>
        <v>2Q17</v>
      </c>
      <c r="AJ112" s="1861" t="str">
        <f>VA!BE111</f>
        <v>3Q17</v>
      </c>
      <c r="AK112" s="1861" t="str">
        <f>VA!BF111</f>
        <v>4Q17</v>
      </c>
      <c r="AL112" s="1862">
        <v>2015</v>
      </c>
      <c r="AM112" s="1861" t="str">
        <f>VA!BH111</f>
        <v>1Q18E</v>
      </c>
      <c r="AN112" s="1861" t="str">
        <f>VA!BI111</f>
        <v>2Q18E</v>
      </c>
      <c r="AO112" s="1861" t="str">
        <f>VA!BJ111</f>
        <v>3Q18E</v>
      </c>
      <c r="AP112" s="1861" t="str">
        <f>VA!BK111</f>
        <v>4Q18E</v>
      </c>
      <c r="AQ112" s="1862">
        <v>2015</v>
      </c>
      <c r="AR112" s="1861" t="str">
        <f>VA!BM111</f>
        <v>1Q19E</v>
      </c>
      <c r="AS112" s="1861" t="str">
        <f>VA!BN111</f>
        <v>2Q19E</v>
      </c>
      <c r="AT112" s="1861" t="str">
        <f>VA!BO111</f>
        <v>3Q19E</v>
      </c>
      <c r="AU112" s="1861" t="str">
        <f>VA!BP111</f>
        <v>4Q19E</v>
      </c>
      <c r="AV112" s="1862">
        <v>2015</v>
      </c>
      <c r="AW112" s="1861" t="str">
        <f>VA!BR111</f>
        <v>1Q20E</v>
      </c>
      <c r="AX112" s="1861" t="str">
        <f>VA!BS111</f>
        <v>2Q20E</v>
      </c>
      <c r="AY112" s="1861" t="str">
        <f>VA!BT111</f>
        <v>3Q20E</v>
      </c>
      <c r="AZ112" s="1861" t="str">
        <f>VA!BU111</f>
        <v>4Q20E</v>
      </c>
      <c r="BA112" s="1862">
        <v>2015</v>
      </c>
      <c r="BB112" s="1861" t="str">
        <f>VA!BW111</f>
        <v>1Q21E</v>
      </c>
      <c r="BC112" s="1861" t="str">
        <f>VA!BX111</f>
        <v>2Q21E</v>
      </c>
      <c r="BD112" s="1861" t="str">
        <f>VA!BY111</f>
        <v>3Q21E</v>
      </c>
      <c r="BE112" s="1861" t="str">
        <f>VA!BZ111</f>
        <v>4Q21E</v>
      </c>
      <c r="BF112" s="1862">
        <v>2015</v>
      </c>
    </row>
    <row r="113" spans="1:58" hidden="1" x14ac:dyDescent="0.25">
      <c r="A113" s="628" t="s">
        <v>573</v>
      </c>
      <c r="B113" s="1798"/>
      <c r="C113" s="1798"/>
      <c r="D113" s="1798"/>
      <c r="E113" s="628"/>
      <c r="F113" s="628"/>
      <c r="G113" s="628"/>
      <c r="H113" s="628"/>
      <c r="I113" s="628"/>
      <c r="J113" s="628"/>
      <c r="K113" s="628"/>
      <c r="L113" s="628"/>
      <c r="M113" s="628"/>
      <c r="N113" s="628"/>
      <c r="O113" s="628"/>
      <c r="P113" s="628"/>
      <c r="Q113" s="628"/>
      <c r="R113" s="628"/>
      <c r="S113" s="628"/>
      <c r="T113" s="628"/>
      <c r="U113" s="628"/>
      <c r="V113" s="628"/>
      <c r="W113" s="628"/>
      <c r="X113" s="628"/>
      <c r="Y113" s="628"/>
      <c r="Z113" s="628"/>
      <c r="AA113" s="628"/>
      <c r="AB113" s="628"/>
      <c r="AC113" s="628"/>
      <c r="AD113" s="628"/>
      <c r="AE113" s="628"/>
      <c r="AF113" s="628"/>
      <c r="AG113" s="628"/>
      <c r="AH113" s="628"/>
      <c r="AI113" s="628"/>
      <c r="AJ113" s="628"/>
      <c r="AK113" s="628"/>
      <c r="AL113" s="628"/>
      <c r="AM113" s="628"/>
      <c r="AN113" s="628"/>
      <c r="AO113" s="628"/>
      <c r="AP113" s="628"/>
      <c r="AQ113" s="628"/>
      <c r="AR113" s="628"/>
      <c r="AS113" s="628"/>
      <c r="AT113" s="628"/>
      <c r="AU113" s="628"/>
      <c r="AV113" s="628"/>
      <c r="AW113" s="628"/>
      <c r="AX113" s="628"/>
      <c r="AY113" s="628"/>
      <c r="AZ113" s="628"/>
      <c r="BA113" s="628"/>
      <c r="BB113" s="628"/>
      <c r="BC113" s="628"/>
      <c r="BD113" s="628"/>
      <c r="BE113" s="628"/>
      <c r="BF113" s="628"/>
    </row>
    <row r="114" spans="1:58" hidden="1" x14ac:dyDescent="0.25">
      <c r="A114" s="628" t="s">
        <v>574</v>
      </c>
      <c r="B114" s="1798"/>
      <c r="C114" s="1809">
        <v>41393</v>
      </c>
      <c r="D114" s="1798">
        <v>6.2799999999999995E-2</v>
      </c>
      <c r="E114" s="628" t="s">
        <v>525</v>
      </c>
      <c r="F114" s="628"/>
      <c r="G114" s="628"/>
      <c r="H114" s="628"/>
      <c r="I114" s="628"/>
      <c r="J114" s="628"/>
      <c r="K114" s="628"/>
      <c r="L114" s="628"/>
      <c r="M114" s="628"/>
      <c r="N114" s="636">
        <f>-(15*D114)*(1/4)</f>
        <v>-0.23549999999999999</v>
      </c>
      <c r="O114" s="636">
        <f>(1/3)*N114</f>
        <v>-7.8499999999999986E-2</v>
      </c>
      <c r="P114" s="1802"/>
      <c r="Q114" s="1802"/>
      <c r="R114" s="672">
        <f t="shared" ref="R114:R119" si="81">SUM(N114:Q114)</f>
        <v>-0.31399999999999995</v>
      </c>
      <c r="S114" s="636"/>
      <c r="T114" s="636"/>
      <c r="U114" s="636"/>
      <c r="V114" s="1802"/>
      <c r="W114" s="1802"/>
      <c r="X114" s="636"/>
      <c r="Y114" s="636"/>
      <c r="Z114" s="636"/>
      <c r="AA114" s="1802"/>
      <c r="AB114" s="1802"/>
      <c r="AC114" s="636"/>
      <c r="AD114" s="636"/>
      <c r="AE114" s="636"/>
      <c r="AF114" s="636"/>
      <c r="AG114" s="1802"/>
      <c r="AH114" s="636"/>
      <c r="AI114" s="636"/>
      <c r="AJ114" s="636"/>
      <c r="AK114" s="636"/>
      <c r="AL114" s="1802"/>
      <c r="AM114" s="636"/>
      <c r="AN114" s="636"/>
      <c r="AO114" s="636"/>
      <c r="AP114" s="636"/>
      <c r="AQ114" s="1802"/>
      <c r="AR114" s="636"/>
      <c r="AS114" s="636"/>
      <c r="AT114" s="636"/>
      <c r="AU114" s="636"/>
      <c r="AV114" s="1802"/>
      <c r="AW114" s="636"/>
      <c r="AX114" s="636"/>
      <c r="AY114" s="636"/>
      <c r="AZ114" s="636"/>
      <c r="BA114" s="1802"/>
      <c r="BB114" s="636"/>
      <c r="BC114" s="636"/>
      <c r="BD114" s="636"/>
      <c r="BE114" s="636"/>
      <c r="BF114" s="1802"/>
    </row>
    <row r="115" spans="1:58" hidden="1" x14ac:dyDescent="0.25">
      <c r="A115" s="628" t="s">
        <v>575</v>
      </c>
      <c r="B115" s="1799">
        <v>75</v>
      </c>
      <c r="C115" s="1809">
        <v>41494</v>
      </c>
      <c r="D115" s="1810">
        <v>6.13E-2</v>
      </c>
      <c r="E115" s="628" t="s">
        <v>526</v>
      </c>
      <c r="F115" s="628"/>
      <c r="G115" s="628"/>
      <c r="H115" s="628"/>
      <c r="I115" s="628"/>
      <c r="J115" s="628"/>
      <c r="K115" s="628"/>
      <c r="L115" s="628"/>
      <c r="M115" s="628"/>
      <c r="N115" s="636">
        <f>-$B$115*($D$115/4)</f>
        <v>-1.149375</v>
      </c>
      <c r="O115" s="636">
        <f>-$B$115*($D$115/4)</f>
        <v>-1.149375</v>
      </c>
      <c r="P115" s="636">
        <f>-($B$115*($D$115/4))*1/3</f>
        <v>-0.38312499999999999</v>
      </c>
      <c r="Q115" s="1806"/>
      <c r="R115" s="1806">
        <f t="shared" si="81"/>
        <v>-2.6818750000000002</v>
      </c>
      <c r="S115" s="636"/>
      <c r="T115" s="636"/>
      <c r="U115" s="636"/>
      <c r="V115" s="1806"/>
      <c r="W115" s="1802"/>
      <c r="X115" s="636"/>
      <c r="Y115" s="636"/>
      <c r="Z115" s="636"/>
      <c r="AA115" s="1806"/>
      <c r="AB115" s="1802"/>
      <c r="AC115" s="636"/>
      <c r="AD115" s="636"/>
      <c r="AE115" s="636"/>
      <c r="AF115" s="636"/>
      <c r="AG115" s="1802"/>
      <c r="AH115" s="636"/>
      <c r="AI115" s="636"/>
      <c r="AJ115" s="636"/>
      <c r="AK115" s="636"/>
      <c r="AL115" s="1802"/>
      <c r="AM115" s="636"/>
      <c r="AN115" s="636"/>
      <c r="AO115" s="636"/>
      <c r="AP115" s="636"/>
      <c r="AQ115" s="1802"/>
      <c r="AR115" s="636"/>
      <c r="AS115" s="636"/>
      <c r="AT115" s="636"/>
      <c r="AU115" s="636"/>
      <c r="AV115" s="1802"/>
      <c r="AW115" s="636"/>
      <c r="AX115" s="636"/>
      <c r="AY115" s="636"/>
      <c r="AZ115" s="636"/>
      <c r="BA115" s="1802"/>
      <c r="BB115" s="636"/>
      <c r="BC115" s="636"/>
      <c r="BD115" s="636"/>
      <c r="BE115" s="636"/>
      <c r="BF115" s="1802"/>
    </row>
    <row r="116" spans="1:58" hidden="1" x14ac:dyDescent="0.25">
      <c r="A116" s="628" t="s">
        <v>576</v>
      </c>
      <c r="B116" s="1799">
        <v>17.5</v>
      </c>
      <c r="C116" s="1809">
        <v>41573</v>
      </c>
      <c r="D116" s="1810">
        <v>5.8400000000000001E-2</v>
      </c>
      <c r="E116" s="628" t="s">
        <v>527</v>
      </c>
      <c r="F116" s="628"/>
      <c r="G116" s="628"/>
      <c r="H116" s="628"/>
      <c r="I116" s="628"/>
      <c r="J116" s="628"/>
      <c r="K116" s="628"/>
      <c r="L116" s="628"/>
      <c r="M116" s="628"/>
      <c r="N116" s="636">
        <f>-$B$116*($D$116/4)</f>
        <v>-0.2555</v>
      </c>
      <c r="O116" s="636">
        <f>-$B$116*($D$116/4)</f>
        <v>-0.2555</v>
      </c>
      <c r="P116" s="636">
        <f>-$B$116*($D$116/4)</f>
        <v>-0.2555</v>
      </c>
      <c r="Q116" s="636">
        <f>-($B$116*($D$116/4))*1/3</f>
        <v>-8.5166666666666668E-2</v>
      </c>
      <c r="R116" s="1806">
        <f t="shared" si="81"/>
        <v>-0.85166666666666657</v>
      </c>
      <c r="S116" s="636"/>
      <c r="T116" s="636"/>
      <c r="U116" s="636"/>
      <c r="V116" s="636"/>
      <c r="W116" s="1802"/>
      <c r="X116" s="636"/>
      <c r="Y116" s="636"/>
      <c r="Z116" s="636"/>
      <c r="AA116" s="636"/>
      <c r="AB116" s="1802"/>
      <c r="AC116" s="636"/>
      <c r="AD116" s="636"/>
      <c r="AE116" s="636"/>
      <c r="AF116" s="636"/>
      <c r="AG116" s="1802"/>
      <c r="AH116" s="636"/>
      <c r="AI116" s="636"/>
      <c r="AJ116" s="636"/>
      <c r="AK116" s="636"/>
      <c r="AL116" s="1802"/>
      <c r="AM116" s="636"/>
      <c r="AN116" s="636"/>
      <c r="AO116" s="636"/>
      <c r="AP116" s="636"/>
      <c r="AQ116" s="1802"/>
      <c r="AR116" s="636"/>
      <c r="AS116" s="636"/>
      <c r="AT116" s="636"/>
      <c r="AU116" s="636"/>
      <c r="AV116" s="1802"/>
      <c r="AW116" s="636"/>
      <c r="AX116" s="636"/>
      <c r="AY116" s="636"/>
      <c r="AZ116" s="636"/>
      <c r="BA116" s="1802"/>
      <c r="BB116" s="636"/>
      <c r="BC116" s="636"/>
      <c r="BD116" s="636"/>
      <c r="BE116" s="636"/>
      <c r="BF116" s="1802"/>
    </row>
    <row r="117" spans="1:58" hidden="1" x14ac:dyDescent="0.25">
      <c r="A117" s="628" t="s">
        <v>576</v>
      </c>
      <c r="B117" s="1799">
        <v>17.5</v>
      </c>
      <c r="C117" s="1809">
        <v>42303</v>
      </c>
      <c r="D117" s="1810">
        <v>5.8400000000000001E-2</v>
      </c>
      <c r="E117" s="628" t="s">
        <v>577</v>
      </c>
      <c r="F117" s="628"/>
      <c r="G117" s="628"/>
      <c r="H117" s="628"/>
      <c r="I117" s="628"/>
      <c r="J117" s="628"/>
      <c r="K117" s="628"/>
      <c r="L117" s="628"/>
      <c r="M117" s="628"/>
      <c r="N117" s="636">
        <f>-$B$117*($D$117/4)</f>
        <v>-0.2555</v>
      </c>
      <c r="O117" s="636">
        <f>-$B$117*($D$117/4)</f>
        <v>-0.2555</v>
      </c>
      <c r="P117" s="636">
        <f>-$B$117*($D$117/4)</f>
        <v>-0.2555</v>
      </c>
      <c r="Q117" s="636">
        <f>-$B$117*($D$117/4)</f>
        <v>-0.2555</v>
      </c>
      <c r="R117" s="636">
        <f t="shared" si="81"/>
        <v>-1.022</v>
      </c>
      <c r="S117" s="636">
        <f>-$B$117*($D$117/4)</f>
        <v>-0.2555</v>
      </c>
      <c r="T117" s="636">
        <f>-$B$117*($D$117/4)</f>
        <v>-0.2555</v>
      </c>
      <c r="U117" s="636">
        <f>-$B$117*($D$117/4)</f>
        <v>-0.2555</v>
      </c>
      <c r="V117" s="636">
        <f>-$B$117*($D$117/4)</f>
        <v>-0.2555</v>
      </c>
      <c r="W117" s="672">
        <f>SUM(S117:V117)</f>
        <v>-1.022</v>
      </c>
      <c r="X117" s="636">
        <f>-$B$117*($D$117/4)</f>
        <v>-0.2555</v>
      </c>
      <c r="Y117" s="636">
        <f>-$B$117*($D$117/4)</f>
        <v>-0.2555</v>
      </c>
      <c r="Z117" s="636">
        <f>-$B$117*($D$117/4)</f>
        <v>-0.2555</v>
      </c>
      <c r="AA117" s="636">
        <f>-$B$117*($D$117/4)</f>
        <v>-0.2555</v>
      </c>
      <c r="AB117" s="672">
        <f>SUM(X117:AA117)</f>
        <v>-1.022</v>
      </c>
      <c r="AC117" s="636">
        <f>-$B$117*($D$117/4)</f>
        <v>-0.2555</v>
      </c>
      <c r="AD117" s="636">
        <f>-$B$117*($D$117/4)</f>
        <v>-0.2555</v>
      </c>
      <c r="AE117" s="636">
        <f>-$B$117*($D$117/4)</f>
        <v>-0.2555</v>
      </c>
      <c r="AF117" s="636">
        <f>-$B$117*($D$117/4)</f>
        <v>-0.2555</v>
      </c>
      <c r="AG117" s="672">
        <f>SUM(AC117:AF117)</f>
        <v>-1.022</v>
      </c>
      <c r="AH117" s="636">
        <f>-$B$117*($D$117/4)</f>
        <v>-0.2555</v>
      </c>
      <c r="AI117" s="636">
        <f>-$B$117*($D$117/4)</f>
        <v>-0.2555</v>
      </c>
      <c r="AJ117" s="636">
        <f>-$B$117*($D$117/4)</f>
        <v>-0.2555</v>
      </c>
      <c r="AK117" s="636">
        <f>-$B$117*($D$117/4)</f>
        <v>-0.2555</v>
      </c>
      <c r="AL117" s="672">
        <f>SUM(AH117:AK117)</f>
        <v>-1.022</v>
      </c>
      <c r="AM117" s="636">
        <f>-$B$117*($D$117/4)</f>
        <v>-0.2555</v>
      </c>
      <c r="AN117" s="636">
        <f>-$B$117*($D$117/4)</f>
        <v>-0.2555</v>
      </c>
      <c r="AO117" s="636">
        <f>-$B$117*($D$117/4)</f>
        <v>-0.2555</v>
      </c>
      <c r="AP117" s="636">
        <f>-$B$117*($D$117/4)</f>
        <v>-0.2555</v>
      </c>
      <c r="AQ117" s="672">
        <f>SUM(AM117:AP117)</f>
        <v>-1.022</v>
      </c>
      <c r="AR117" s="636">
        <f>-$B$117*($D$117/4)</f>
        <v>-0.2555</v>
      </c>
      <c r="AS117" s="636">
        <f>-$B$117*($D$117/4)</f>
        <v>-0.2555</v>
      </c>
      <c r="AT117" s="636">
        <f>-$B$117*($D$117/4)</f>
        <v>-0.2555</v>
      </c>
      <c r="AU117" s="636">
        <f>-$B$117*($D$117/4)</f>
        <v>-0.2555</v>
      </c>
      <c r="AV117" s="672">
        <f>SUM(AR117:AU117)</f>
        <v>-1.022</v>
      </c>
      <c r="AW117" s="636">
        <f>-$B$117*($D$117/4)</f>
        <v>-0.2555</v>
      </c>
      <c r="AX117" s="636">
        <f>-$B$117*($D$117/4)</f>
        <v>-0.2555</v>
      </c>
      <c r="AY117" s="636">
        <f>-$B$117*($D$117/4)</f>
        <v>-0.2555</v>
      </c>
      <c r="AZ117" s="636">
        <f>-$B$117*($D$117/4)</f>
        <v>-0.2555</v>
      </c>
      <c r="BA117" s="672">
        <f>SUM(AW117:AZ117)</f>
        <v>-1.022</v>
      </c>
      <c r="BB117" s="636">
        <f>-$B$117*($D$117/4)</f>
        <v>-0.2555</v>
      </c>
      <c r="BC117" s="636">
        <f>-$B$117*($D$117/4)</f>
        <v>-0.2555</v>
      </c>
      <c r="BD117" s="636">
        <f>-$B$117*($D$117/4)</f>
        <v>-0.2555</v>
      </c>
      <c r="BE117" s="636">
        <f>-$B$117*($D$117/4)</f>
        <v>-0.2555</v>
      </c>
      <c r="BF117" s="672">
        <f>SUM(BB117:BE117)</f>
        <v>-1.022</v>
      </c>
    </row>
    <row r="118" spans="1:58" hidden="1" x14ac:dyDescent="0.25">
      <c r="A118" s="628" t="s">
        <v>574</v>
      </c>
      <c r="B118" s="1799">
        <v>85</v>
      </c>
      <c r="C118" s="1809">
        <v>42123</v>
      </c>
      <c r="D118" s="1810">
        <v>6.2799999999999995E-2</v>
      </c>
      <c r="E118" s="628" t="s">
        <v>578</v>
      </c>
      <c r="F118" s="628"/>
      <c r="G118" s="628"/>
      <c r="H118" s="628"/>
      <c r="I118" s="628"/>
      <c r="J118" s="628"/>
      <c r="K118" s="628"/>
      <c r="L118" s="628"/>
      <c r="M118" s="628"/>
      <c r="N118" s="636">
        <f>-$B$118*($D$118/4)</f>
        <v>-1.3344999999999998</v>
      </c>
      <c r="O118" s="636">
        <f>-$B$118*($D$118/4)</f>
        <v>-1.3344999999999998</v>
      </c>
      <c r="P118" s="636">
        <f>-$B$118*($D$118/4)</f>
        <v>-1.3344999999999998</v>
      </c>
      <c r="Q118" s="636">
        <f>-$B$118*($D$118/4)</f>
        <v>-1.3344999999999998</v>
      </c>
      <c r="R118" s="636">
        <f t="shared" si="81"/>
        <v>-5.3379999999999992</v>
      </c>
      <c r="S118" s="636">
        <f>-$B$118*($D$118/4)</f>
        <v>-1.3344999999999998</v>
      </c>
      <c r="T118" s="636">
        <f>-$B$118*($D$118/4)</f>
        <v>-1.3344999999999998</v>
      </c>
      <c r="U118" s="636">
        <f>-$B$118*($D$118/4)</f>
        <v>-1.3344999999999998</v>
      </c>
      <c r="V118" s="636">
        <f>-$B$118*($D$118/4)</f>
        <v>-1.3344999999999998</v>
      </c>
      <c r="W118" s="672">
        <f>SUM(S118:V118)</f>
        <v>-5.3379999999999992</v>
      </c>
      <c r="X118" s="636">
        <f>-$B$118*($D$118/4)</f>
        <v>-1.3344999999999998</v>
      </c>
      <c r="Y118" s="636">
        <f>-$B$118*($D$118/4)</f>
        <v>-1.3344999999999998</v>
      </c>
      <c r="Z118" s="636">
        <f>-$B$118*($D$118/4)</f>
        <v>-1.3344999999999998</v>
      </c>
      <c r="AA118" s="636">
        <f>-$B$118*($D$118/4)</f>
        <v>-1.3344999999999998</v>
      </c>
      <c r="AB118" s="672">
        <f>SUM(X118:AA118)</f>
        <v>-5.3379999999999992</v>
      </c>
      <c r="AC118" s="636">
        <f>-$B$118*($D$118/4)</f>
        <v>-1.3344999999999998</v>
      </c>
      <c r="AD118" s="636">
        <f>-$B$118*($D$118/4)</f>
        <v>-1.3344999999999998</v>
      </c>
      <c r="AE118" s="636">
        <f>-$B$118*($D$118/4)</f>
        <v>-1.3344999999999998</v>
      </c>
      <c r="AF118" s="636">
        <f>-$B$118*($D$118/4)</f>
        <v>-1.3344999999999998</v>
      </c>
      <c r="AG118" s="672">
        <f>SUM(AC118:AF118)</f>
        <v>-5.3379999999999992</v>
      </c>
      <c r="AH118" s="636">
        <f>-$B$118*($D$118/4)</f>
        <v>-1.3344999999999998</v>
      </c>
      <c r="AI118" s="636">
        <f>-$B$118*($D$118/4)</f>
        <v>-1.3344999999999998</v>
      </c>
      <c r="AJ118" s="636">
        <f>-$B$118*($D$118/4)</f>
        <v>-1.3344999999999998</v>
      </c>
      <c r="AK118" s="636">
        <f>-$B$118*($D$118/4)</f>
        <v>-1.3344999999999998</v>
      </c>
      <c r="AL118" s="672">
        <f>SUM(AH118:AK118)</f>
        <v>-5.3379999999999992</v>
      </c>
      <c r="AM118" s="636">
        <f>-$B$118*($D$118/4)</f>
        <v>-1.3344999999999998</v>
      </c>
      <c r="AN118" s="636">
        <f>-$B$118*($D$118/4)</f>
        <v>-1.3344999999999998</v>
      </c>
      <c r="AO118" s="636">
        <f>-$B$118*($D$118/4)</f>
        <v>-1.3344999999999998</v>
      </c>
      <c r="AP118" s="636">
        <f>-$B$118*($D$118/4)</f>
        <v>-1.3344999999999998</v>
      </c>
      <c r="AQ118" s="672">
        <f>SUM(AM118:AP118)</f>
        <v>-5.3379999999999992</v>
      </c>
      <c r="AR118" s="636">
        <f>-$B$118*($D$118/4)</f>
        <v>-1.3344999999999998</v>
      </c>
      <c r="AS118" s="636">
        <f>-$B$118*($D$118/4)</f>
        <v>-1.3344999999999998</v>
      </c>
      <c r="AT118" s="636">
        <f>-$B$118*($D$118/4)</f>
        <v>-1.3344999999999998</v>
      </c>
      <c r="AU118" s="636">
        <f>-$B$118*($D$118/4)</f>
        <v>-1.3344999999999998</v>
      </c>
      <c r="AV118" s="672">
        <f>SUM(AR118:AU118)</f>
        <v>-5.3379999999999992</v>
      </c>
      <c r="AW118" s="636">
        <f>-$B$118*($D$118/4)</f>
        <v>-1.3344999999999998</v>
      </c>
      <c r="AX118" s="636">
        <f>-$B$118*($D$118/4)</f>
        <v>-1.3344999999999998</v>
      </c>
      <c r="AY118" s="636">
        <f>-$B$118*($D$118/4)</f>
        <v>-1.3344999999999998</v>
      </c>
      <c r="AZ118" s="636">
        <f>-$B$118*($D$118/4)</f>
        <v>-1.3344999999999998</v>
      </c>
      <c r="BA118" s="672">
        <f>SUM(AW118:AZ118)</f>
        <v>-5.3379999999999992</v>
      </c>
      <c r="BB118" s="636">
        <f>-$B$118*($D$118/4)</f>
        <v>-1.3344999999999998</v>
      </c>
      <c r="BC118" s="636">
        <f>-$B$118*($D$118/4)</f>
        <v>-1.3344999999999998</v>
      </c>
      <c r="BD118" s="636">
        <f>-$B$118*($D$118/4)</f>
        <v>-1.3344999999999998</v>
      </c>
      <c r="BE118" s="636">
        <f>-$B$118*($D$118/4)</f>
        <v>-1.3344999999999998</v>
      </c>
      <c r="BF118" s="672">
        <f>SUM(BB118:BE118)</f>
        <v>-5.3379999999999992</v>
      </c>
    </row>
    <row r="119" spans="1:58" hidden="1" x14ac:dyDescent="0.25">
      <c r="A119" s="628" t="s">
        <v>579</v>
      </c>
      <c r="B119" s="1799">
        <v>50</v>
      </c>
      <c r="C119" s="1809">
        <v>42536</v>
      </c>
      <c r="D119" s="1810">
        <v>6.8500000000000005E-2</v>
      </c>
      <c r="E119" s="628" t="s">
        <v>580</v>
      </c>
      <c r="F119" s="628"/>
      <c r="G119" s="628"/>
      <c r="H119" s="628"/>
      <c r="I119" s="628"/>
      <c r="J119" s="628"/>
      <c r="K119" s="628"/>
      <c r="L119" s="628"/>
      <c r="M119" s="628"/>
      <c r="N119" s="636">
        <f>-$B$119*($D$119/4)</f>
        <v>-0.85625000000000007</v>
      </c>
      <c r="O119" s="636">
        <f>-$B$119*($D$119/4)</f>
        <v>-0.85625000000000007</v>
      </c>
      <c r="P119" s="636">
        <f>-$B$119*($D$119/4)</f>
        <v>-0.85625000000000007</v>
      </c>
      <c r="Q119" s="636">
        <f>-$B$119*($D$119/4)</f>
        <v>-0.85625000000000007</v>
      </c>
      <c r="R119" s="636">
        <f t="shared" si="81"/>
        <v>-3.4250000000000003</v>
      </c>
      <c r="S119" s="636">
        <f>-$B$119*($D$119/4)</f>
        <v>-0.85625000000000007</v>
      </c>
      <c r="T119" s="636">
        <f>-$B$119*($D$119/4)</f>
        <v>-0.85625000000000007</v>
      </c>
      <c r="U119" s="636">
        <f>-$B$119*($D$119/4)</f>
        <v>-0.85625000000000007</v>
      </c>
      <c r="V119" s="636">
        <f>-$B$119*($D$119/4)</f>
        <v>-0.85625000000000007</v>
      </c>
      <c r="W119" s="672">
        <f>SUM(S119:V119)</f>
        <v>-3.4250000000000003</v>
      </c>
      <c r="X119" s="636">
        <f>-$B$119*($D$119/4)</f>
        <v>-0.85625000000000007</v>
      </c>
      <c r="Y119" s="636">
        <f>-$B$119*($D$119/4)</f>
        <v>-0.85625000000000007</v>
      </c>
      <c r="Z119" s="636">
        <f>-$B$119*($D$119/4)</f>
        <v>-0.85625000000000007</v>
      </c>
      <c r="AA119" s="636">
        <f>-$B$119*($D$119/4)</f>
        <v>-0.85625000000000007</v>
      </c>
      <c r="AB119" s="672">
        <f>SUM(X119:AA119)</f>
        <v>-3.4250000000000003</v>
      </c>
      <c r="AC119" s="636">
        <f>-$B$119*($D$119/4)</f>
        <v>-0.85625000000000007</v>
      </c>
      <c r="AD119" s="636">
        <f>-$B$119*($D$119/4)</f>
        <v>-0.85625000000000007</v>
      </c>
      <c r="AE119" s="636">
        <v>0</v>
      </c>
      <c r="AF119" s="636">
        <v>0</v>
      </c>
      <c r="AG119" s="672">
        <f>SUM(AC119:AF119)</f>
        <v>-1.7125000000000001</v>
      </c>
      <c r="AH119" s="636">
        <f>-$B$119*($D$119/4)</f>
        <v>-0.85625000000000007</v>
      </c>
      <c r="AI119" s="636">
        <f>-$B$119*($D$119/4)</f>
        <v>-0.85625000000000007</v>
      </c>
      <c r="AJ119" s="636">
        <v>0</v>
      </c>
      <c r="AK119" s="636">
        <v>0</v>
      </c>
      <c r="AL119" s="672">
        <f>SUM(AH119:AK119)</f>
        <v>-1.7125000000000001</v>
      </c>
      <c r="AM119" s="636">
        <f>-$B$119*($D$119/4)</f>
        <v>-0.85625000000000007</v>
      </c>
      <c r="AN119" s="636">
        <f>-$B$119*($D$119/4)</f>
        <v>-0.85625000000000007</v>
      </c>
      <c r="AO119" s="636">
        <v>0</v>
      </c>
      <c r="AP119" s="636">
        <v>0</v>
      </c>
      <c r="AQ119" s="672">
        <f>SUM(AM119:AP119)</f>
        <v>-1.7125000000000001</v>
      </c>
      <c r="AR119" s="636">
        <f>-$B$119*($D$119/4)</f>
        <v>-0.85625000000000007</v>
      </c>
      <c r="AS119" s="636">
        <f>-$B$119*($D$119/4)</f>
        <v>-0.85625000000000007</v>
      </c>
      <c r="AT119" s="636">
        <v>0</v>
      </c>
      <c r="AU119" s="636">
        <v>0</v>
      </c>
      <c r="AV119" s="672">
        <f>SUM(AR119:AU119)</f>
        <v>-1.7125000000000001</v>
      </c>
      <c r="AW119" s="636">
        <f>-$B$119*($D$119/4)</f>
        <v>-0.85625000000000007</v>
      </c>
      <c r="AX119" s="636">
        <f>-$B$119*($D$119/4)</f>
        <v>-0.85625000000000007</v>
      </c>
      <c r="AY119" s="636">
        <v>0</v>
      </c>
      <c r="AZ119" s="636">
        <v>0</v>
      </c>
      <c r="BA119" s="672">
        <f>SUM(AW119:AZ119)</f>
        <v>-1.7125000000000001</v>
      </c>
      <c r="BB119" s="636">
        <f>-$B$119*($D$119/4)</f>
        <v>-0.85625000000000007</v>
      </c>
      <c r="BC119" s="636">
        <f>-$B$119*($D$119/4)</f>
        <v>-0.85625000000000007</v>
      </c>
      <c r="BD119" s="636">
        <v>0</v>
      </c>
      <c r="BE119" s="636">
        <v>0</v>
      </c>
      <c r="BF119" s="672">
        <f>SUM(BB119:BE119)</f>
        <v>-1.7125000000000001</v>
      </c>
    </row>
    <row r="120" spans="1:58" hidden="1" x14ac:dyDescent="0.25">
      <c r="A120" s="628"/>
      <c r="B120" s="1798"/>
      <c r="C120" s="1798"/>
      <c r="D120" s="1810"/>
      <c r="E120" s="628"/>
      <c r="F120" s="628"/>
      <c r="G120" s="628"/>
      <c r="H120" s="628"/>
      <c r="I120" s="628"/>
      <c r="J120" s="628"/>
      <c r="K120" s="628"/>
      <c r="L120" s="628"/>
      <c r="M120" s="628"/>
      <c r="N120" s="628"/>
      <c r="O120" s="636"/>
      <c r="P120" s="636"/>
      <c r="Q120" s="636"/>
      <c r="R120" s="636"/>
      <c r="S120" s="628"/>
      <c r="T120" s="628"/>
      <c r="U120" s="636"/>
      <c r="V120" s="636"/>
      <c r="W120" s="628"/>
      <c r="X120" s="628"/>
      <c r="Y120" s="628"/>
      <c r="Z120" s="636"/>
      <c r="AA120" s="636"/>
      <c r="AB120" s="628"/>
      <c r="AC120" s="628"/>
      <c r="AD120" s="628"/>
      <c r="AE120" s="628"/>
      <c r="AF120" s="628"/>
      <c r="AG120" s="628"/>
      <c r="AH120" s="628"/>
      <c r="AI120" s="628"/>
      <c r="AJ120" s="628"/>
      <c r="AK120" s="628"/>
      <c r="AL120" s="628"/>
      <c r="AM120" s="628"/>
      <c r="AN120" s="628"/>
      <c r="AO120" s="628"/>
      <c r="AP120" s="628"/>
      <c r="AQ120" s="628"/>
      <c r="AR120" s="628"/>
      <c r="AS120" s="628"/>
      <c r="AT120" s="628"/>
      <c r="AU120" s="628"/>
      <c r="AV120" s="628"/>
      <c r="AW120" s="628"/>
      <c r="AX120" s="628"/>
      <c r="AY120" s="628"/>
      <c r="AZ120" s="628"/>
      <c r="BA120" s="628"/>
      <c r="BB120" s="628"/>
      <c r="BC120" s="628"/>
      <c r="BD120" s="628"/>
      <c r="BE120" s="628"/>
      <c r="BF120" s="628"/>
    </row>
    <row r="121" spans="1:58" hidden="1" x14ac:dyDescent="0.25">
      <c r="A121" s="628" t="s">
        <v>581</v>
      </c>
      <c r="B121" s="1798"/>
      <c r="C121" s="1798"/>
      <c r="D121" s="1810"/>
      <c r="E121" s="628"/>
      <c r="F121" s="628"/>
      <c r="G121" s="628"/>
      <c r="H121" s="628"/>
      <c r="I121" s="628"/>
      <c r="J121" s="628"/>
      <c r="K121" s="628"/>
      <c r="L121" s="628"/>
      <c r="M121" s="628"/>
      <c r="N121" s="628"/>
      <c r="O121" s="636"/>
      <c r="P121" s="636"/>
      <c r="Q121" s="636"/>
      <c r="R121" s="636"/>
      <c r="S121" s="628"/>
      <c r="T121" s="628"/>
      <c r="U121" s="636"/>
      <c r="V121" s="636"/>
      <c r="W121" s="628"/>
      <c r="X121" s="628"/>
      <c r="Y121" s="628"/>
      <c r="Z121" s="636"/>
      <c r="AA121" s="636"/>
      <c r="AB121" s="628"/>
      <c r="AC121" s="628"/>
      <c r="AD121" s="628"/>
      <c r="AE121" s="628"/>
      <c r="AF121" s="628"/>
      <c r="AG121" s="628"/>
      <c r="AH121" s="628"/>
      <c r="AI121" s="628"/>
      <c r="AJ121" s="628"/>
      <c r="AK121" s="628"/>
      <c r="AL121" s="628"/>
      <c r="AM121" s="628"/>
      <c r="AN121" s="628"/>
      <c r="AO121" s="628"/>
      <c r="AP121" s="628"/>
      <c r="AQ121" s="628"/>
      <c r="AR121" s="628"/>
      <c r="AS121" s="628"/>
      <c r="AT121" s="628"/>
      <c r="AU121" s="628"/>
      <c r="AV121" s="628"/>
      <c r="AW121" s="628"/>
      <c r="AX121" s="628"/>
      <c r="AY121" s="628"/>
      <c r="AZ121" s="628"/>
      <c r="BA121" s="628"/>
      <c r="BB121" s="628"/>
      <c r="BC121" s="628"/>
      <c r="BD121" s="628"/>
      <c r="BE121" s="628"/>
      <c r="BF121" s="628"/>
    </row>
    <row r="122" spans="1:58" hidden="1" x14ac:dyDescent="0.25">
      <c r="A122" s="628" t="s">
        <v>582</v>
      </c>
      <c r="B122" s="1799">
        <v>25</v>
      </c>
      <c r="C122" s="1809">
        <v>41494</v>
      </c>
      <c r="D122" s="1810">
        <v>6.1600000000000002E-2</v>
      </c>
      <c r="E122" s="628" t="s">
        <v>526</v>
      </c>
      <c r="F122" s="628"/>
      <c r="G122" s="628"/>
      <c r="H122" s="628"/>
      <c r="I122" s="628"/>
      <c r="J122" s="628"/>
      <c r="K122" s="628"/>
      <c r="L122" s="628"/>
      <c r="M122" s="628"/>
      <c r="N122" s="636">
        <f>-$B$122*($D$122/4)</f>
        <v>-0.38500000000000001</v>
      </c>
      <c r="O122" s="636">
        <f>-$B$122*($D$122/4)</f>
        <v>-0.38500000000000001</v>
      </c>
      <c r="P122" s="1843">
        <f>-$B$122*(D122/4)*(1/3)</f>
        <v>-0.12833333333333333</v>
      </c>
      <c r="Q122" s="1806"/>
      <c r="R122" s="1806">
        <f>SUM(N122:Q122)</f>
        <v>-0.89833333333333332</v>
      </c>
      <c r="S122" s="1843">
        <f>-$B$122*(G122/4)*(1/3)</f>
        <v>0</v>
      </c>
      <c r="T122" s="1843">
        <f>-$B$122*(H122/4)*(1/3)</f>
        <v>0</v>
      </c>
      <c r="U122" s="636"/>
      <c r="V122" s="1806"/>
      <c r="W122" s="1802"/>
      <c r="X122" s="1843">
        <f>-$B$122*(L122/4)*(1/3)</f>
        <v>0</v>
      </c>
      <c r="Y122" s="1843">
        <f>-$B$122*(M122/4)*(1/3)</f>
        <v>0</v>
      </c>
      <c r="Z122" s="636"/>
      <c r="AA122" s="1806"/>
      <c r="AB122" s="1802"/>
      <c r="AC122" s="1843"/>
      <c r="AD122" s="1843"/>
      <c r="AE122" s="1843"/>
      <c r="AF122" s="1843"/>
      <c r="AG122" s="1802"/>
      <c r="AH122" s="1843"/>
      <c r="AI122" s="1843"/>
      <c r="AJ122" s="1843"/>
      <c r="AK122" s="1843"/>
      <c r="AL122" s="1802"/>
      <c r="AM122" s="1843"/>
      <c r="AN122" s="1843"/>
      <c r="AO122" s="1843"/>
      <c r="AP122" s="1843"/>
      <c r="AQ122" s="1802"/>
      <c r="AR122" s="1843"/>
      <c r="AS122" s="1843"/>
      <c r="AT122" s="1843"/>
      <c r="AU122" s="1843"/>
      <c r="AV122" s="1802"/>
      <c r="AW122" s="1843"/>
      <c r="AX122" s="1843"/>
      <c r="AY122" s="1843"/>
      <c r="AZ122" s="1843"/>
      <c r="BA122" s="1802"/>
      <c r="BB122" s="1843"/>
      <c r="BC122" s="1843"/>
      <c r="BD122" s="1843"/>
      <c r="BE122" s="1843"/>
      <c r="BF122" s="1802"/>
    </row>
    <row r="123" spans="1:58" hidden="1" x14ac:dyDescent="0.25">
      <c r="A123" s="628"/>
      <c r="B123" s="1798"/>
      <c r="C123" s="1798"/>
      <c r="D123" s="1810"/>
      <c r="E123" s="628"/>
      <c r="F123" s="628"/>
      <c r="G123" s="628"/>
      <c r="H123" s="628"/>
      <c r="I123" s="628"/>
      <c r="J123" s="628"/>
      <c r="K123" s="628"/>
      <c r="L123" s="628"/>
      <c r="M123" s="628"/>
      <c r="N123" s="628"/>
      <c r="O123" s="636"/>
      <c r="P123" s="636"/>
      <c r="Q123" s="636"/>
      <c r="R123" s="636"/>
      <c r="S123" s="628"/>
      <c r="T123" s="628"/>
      <c r="U123" s="636"/>
      <c r="V123" s="636"/>
      <c r="W123" s="628"/>
      <c r="X123" s="628"/>
      <c r="Y123" s="628"/>
      <c r="Z123" s="636"/>
      <c r="AA123" s="636"/>
      <c r="AB123" s="628"/>
      <c r="AC123" s="628"/>
      <c r="AD123" s="628"/>
      <c r="AE123" s="628"/>
      <c r="AF123" s="628"/>
      <c r="AG123" s="628"/>
      <c r="AH123" s="628"/>
      <c r="AI123" s="628"/>
      <c r="AJ123" s="628"/>
      <c r="AK123" s="628"/>
      <c r="AL123" s="628"/>
      <c r="AM123" s="628"/>
      <c r="AN123" s="628"/>
      <c r="AO123" s="628"/>
      <c r="AP123" s="628"/>
      <c r="AQ123" s="628"/>
      <c r="AR123" s="628"/>
      <c r="AS123" s="628"/>
      <c r="AT123" s="628"/>
      <c r="AU123" s="628"/>
      <c r="AV123" s="628"/>
      <c r="AW123" s="628"/>
      <c r="AX123" s="628"/>
      <c r="AY123" s="628"/>
      <c r="AZ123" s="628"/>
      <c r="BA123" s="628"/>
      <c r="BB123" s="628"/>
      <c r="BC123" s="628"/>
      <c r="BD123" s="628"/>
      <c r="BE123" s="628"/>
      <c r="BF123" s="628"/>
    </row>
    <row r="124" spans="1:58" hidden="1" x14ac:dyDescent="0.25">
      <c r="A124" s="628" t="s">
        <v>583</v>
      </c>
      <c r="B124" s="1798"/>
      <c r="C124" s="1798"/>
      <c r="D124" s="1810"/>
      <c r="E124" s="628"/>
      <c r="F124" s="628"/>
      <c r="G124" s="628"/>
      <c r="H124" s="628"/>
      <c r="I124" s="628"/>
      <c r="J124" s="628"/>
      <c r="K124" s="628"/>
      <c r="L124" s="628"/>
      <c r="M124" s="628"/>
      <c r="N124" s="628"/>
      <c r="O124" s="636"/>
      <c r="P124" s="636"/>
      <c r="Q124" s="636"/>
      <c r="R124" s="636"/>
      <c r="S124" s="628"/>
      <c r="T124" s="628"/>
      <c r="U124" s="636"/>
      <c r="V124" s="636"/>
      <c r="W124" s="628"/>
      <c r="X124" s="628"/>
      <c r="Y124" s="628"/>
      <c r="Z124" s="636"/>
      <c r="AA124" s="636"/>
      <c r="AB124" s="628"/>
      <c r="AC124" s="628"/>
      <c r="AD124" s="628"/>
      <c r="AE124" s="628"/>
      <c r="AF124" s="628"/>
      <c r="AG124" s="628"/>
      <c r="AH124" s="628"/>
      <c r="AI124" s="628"/>
      <c r="AJ124" s="628"/>
      <c r="AK124" s="628"/>
      <c r="AL124" s="628"/>
      <c r="AM124" s="628"/>
      <c r="AN124" s="628"/>
      <c r="AO124" s="628"/>
      <c r="AP124" s="628"/>
      <c r="AQ124" s="628"/>
      <c r="AR124" s="628"/>
      <c r="AS124" s="628"/>
      <c r="AT124" s="628"/>
      <c r="AU124" s="628"/>
      <c r="AV124" s="628"/>
      <c r="AW124" s="628"/>
      <c r="AX124" s="628"/>
      <c r="AY124" s="628"/>
      <c r="AZ124" s="628"/>
      <c r="BA124" s="628"/>
      <c r="BB124" s="628"/>
      <c r="BC124" s="628"/>
      <c r="BD124" s="628"/>
      <c r="BE124" s="628"/>
      <c r="BF124" s="628"/>
    </row>
    <row r="125" spans="1:58" hidden="1" x14ac:dyDescent="0.25">
      <c r="A125" s="628" t="s">
        <v>584</v>
      </c>
      <c r="B125" s="1798"/>
      <c r="C125" s="1809">
        <v>41391</v>
      </c>
      <c r="D125" s="1810">
        <v>6.4600000000000005E-2</v>
      </c>
      <c r="E125" s="628" t="s">
        <v>525</v>
      </c>
      <c r="F125" s="628"/>
      <c r="G125" s="628"/>
      <c r="H125" s="628"/>
      <c r="I125" s="628"/>
      <c r="J125" s="628"/>
      <c r="K125" s="628"/>
      <c r="L125" s="628"/>
      <c r="M125" s="628"/>
      <c r="N125" s="1843">
        <f>-(30*(D125/4))</f>
        <v>-0.48450000000000004</v>
      </c>
      <c r="O125" s="636">
        <f>(1/3)*N125</f>
        <v>-0.1615</v>
      </c>
      <c r="P125" s="1806"/>
      <c r="Q125" s="1806"/>
      <c r="R125" s="1806">
        <f>SUM(N125:Q125)</f>
        <v>-0.64600000000000002</v>
      </c>
      <c r="S125" s="1843"/>
      <c r="T125" s="1843"/>
      <c r="U125" s="636"/>
      <c r="V125" s="1806"/>
      <c r="W125" s="1802"/>
      <c r="X125" s="1843"/>
      <c r="Y125" s="1843"/>
      <c r="Z125" s="636"/>
      <c r="AA125" s="1806"/>
      <c r="AB125" s="1802"/>
      <c r="AC125" s="1843"/>
      <c r="AD125" s="1843"/>
      <c r="AE125" s="1843"/>
      <c r="AF125" s="1843"/>
      <c r="AG125" s="1802"/>
      <c r="AH125" s="1843"/>
      <c r="AI125" s="1843"/>
      <c r="AJ125" s="1843"/>
      <c r="AK125" s="1843"/>
      <c r="AL125" s="1802"/>
      <c r="AM125" s="1843"/>
      <c r="AN125" s="1843"/>
      <c r="AO125" s="1843"/>
      <c r="AP125" s="1843"/>
      <c r="AQ125" s="1802"/>
      <c r="AR125" s="1843"/>
      <c r="AS125" s="1843"/>
      <c r="AT125" s="1843"/>
      <c r="AU125" s="1843"/>
      <c r="AV125" s="1802"/>
      <c r="AW125" s="1843"/>
      <c r="AX125" s="1843"/>
      <c r="AY125" s="1843"/>
      <c r="AZ125" s="1843"/>
      <c r="BA125" s="1802"/>
      <c r="BB125" s="1843"/>
      <c r="BC125" s="1843"/>
      <c r="BD125" s="1843"/>
      <c r="BE125" s="1843"/>
      <c r="BF125" s="1802"/>
    </row>
    <row r="126" spans="1:58" hidden="1" x14ac:dyDescent="0.25">
      <c r="A126" s="628" t="s">
        <v>584</v>
      </c>
      <c r="B126" s="1799">
        <v>17.5</v>
      </c>
      <c r="C126" s="1809">
        <v>41573</v>
      </c>
      <c r="D126" s="1810">
        <v>5.8700000000000002E-2</v>
      </c>
      <c r="E126" s="628" t="s">
        <v>27</v>
      </c>
      <c r="F126" s="628"/>
      <c r="G126" s="628"/>
      <c r="H126" s="628"/>
      <c r="I126" s="628"/>
      <c r="J126" s="628"/>
      <c r="K126" s="628"/>
      <c r="L126" s="628"/>
      <c r="M126" s="628"/>
      <c r="N126" s="636">
        <f>-$B$126*($D$126/4)</f>
        <v>-0.2568125</v>
      </c>
      <c r="O126" s="636">
        <f>-$B$126*($D$126/4)</f>
        <v>-0.2568125</v>
      </c>
      <c r="P126" s="636">
        <f>-$B$126*($D$126/4)</f>
        <v>-0.2568125</v>
      </c>
      <c r="Q126" s="636">
        <f>-($B$126*($D$126/4))*(2/3)</f>
        <v>-0.17120833333333332</v>
      </c>
      <c r="R126" s="1806">
        <f>SUM(N126:Q126)</f>
        <v>-0.94164583333333329</v>
      </c>
      <c r="S126" s="636"/>
      <c r="T126" s="636"/>
      <c r="U126" s="636"/>
      <c r="V126" s="636"/>
      <c r="W126" s="1806"/>
      <c r="X126" s="636"/>
      <c r="Y126" s="636"/>
      <c r="Z126" s="636"/>
      <c r="AA126" s="636"/>
      <c r="AB126" s="1806"/>
      <c r="AC126" s="636"/>
      <c r="AD126" s="636"/>
      <c r="AE126" s="636"/>
      <c r="AF126" s="636"/>
      <c r="AG126" s="1806"/>
      <c r="AH126" s="636"/>
      <c r="AI126" s="636"/>
      <c r="AJ126" s="636"/>
      <c r="AK126" s="636"/>
      <c r="AL126" s="1806"/>
      <c r="AM126" s="636"/>
      <c r="AN126" s="636"/>
      <c r="AO126" s="636"/>
      <c r="AP126" s="636"/>
      <c r="AQ126" s="1806"/>
      <c r="AR126" s="636"/>
      <c r="AS126" s="636"/>
      <c r="AT126" s="636"/>
      <c r="AU126" s="636"/>
      <c r="AV126" s="1806"/>
      <c r="AW126" s="636"/>
      <c r="AX126" s="636"/>
      <c r="AY126" s="636"/>
      <c r="AZ126" s="636"/>
      <c r="BA126" s="1806"/>
      <c r="BB126" s="636"/>
      <c r="BC126" s="636"/>
      <c r="BD126" s="636"/>
      <c r="BE126" s="636"/>
      <c r="BF126" s="1806"/>
    </row>
    <row r="127" spans="1:58" hidden="1" x14ac:dyDescent="0.25">
      <c r="A127" s="628" t="s">
        <v>584</v>
      </c>
      <c r="B127" s="1799">
        <v>17.5</v>
      </c>
      <c r="C127" s="1809">
        <v>42303</v>
      </c>
      <c r="D127" s="1810">
        <v>5.8700000000000002E-2</v>
      </c>
      <c r="E127" s="628" t="s">
        <v>35</v>
      </c>
      <c r="F127" s="628"/>
      <c r="G127" s="628"/>
      <c r="H127" s="628"/>
      <c r="I127" s="628"/>
      <c r="J127" s="628"/>
      <c r="K127" s="628"/>
      <c r="L127" s="628"/>
      <c r="M127" s="628"/>
      <c r="N127" s="636">
        <f>-$B$127*($D$127/4)</f>
        <v>-0.2568125</v>
      </c>
      <c r="O127" s="636">
        <f>-$B$127*($D$127/4)</f>
        <v>-0.2568125</v>
      </c>
      <c r="P127" s="636">
        <f>-$B$127*($D$127/4)</f>
        <v>-0.2568125</v>
      </c>
      <c r="Q127" s="636">
        <f>-$B$127*($D$127/4)</f>
        <v>-0.2568125</v>
      </c>
      <c r="R127" s="636">
        <f>SUM(N127:Q127)</f>
        <v>-1.02725</v>
      </c>
      <c r="S127" s="636">
        <f>-$B$127*($D$127/4)</f>
        <v>-0.2568125</v>
      </c>
      <c r="T127" s="636">
        <f>-$B$127*($D$127/4)</f>
        <v>-0.2568125</v>
      </c>
      <c r="U127" s="636">
        <f>-$B$127*($D$127/4)</f>
        <v>-0.2568125</v>
      </c>
      <c r="V127" s="636">
        <f>-$B$127*($D$127/4)</f>
        <v>-0.2568125</v>
      </c>
      <c r="W127" s="672">
        <f>SUM(S127:V127)</f>
        <v>-1.02725</v>
      </c>
      <c r="X127" s="636">
        <f>-$B$127*($D$127/4)</f>
        <v>-0.2568125</v>
      </c>
      <c r="Y127" s="636">
        <f>-$B$127*($D$127/4)</f>
        <v>-0.2568125</v>
      </c>
      <c r="Z127" s="636">
        <f>-$B$127*($D$127/4)</f>
        <v>-0.2568125</v>
      </c>
      <c r="AA127" s="636">
        <f>-$B$127*($D$127/4)</f>
        <v>-0.2568125</v>
      </c>
      <c r="AB127" s="672">
        <f>SUM(X127:AA127)</f>
        <v>-1.02725</v>
      </c>
      <c r="AC127" s="636">
        <f>-$B$127*($D$127/4)</f>
        <v>-0.2568125</v>
      </c>
      <c r="AD127" s="636">
        <f>-$B$127*($D$127/4)</f>
        <v>-0.2568125</v>
      </c>
      <c r="AE127" s="636">
        <f>-$B$127*($D$127/4)</f>
        <v>-0.2568125</v>
      </c>
      <c r="AF127" s="636">
        <f>-$B$127*($D$127/4)</f>
        <v>-0.2568125</v>
      </c>
      <c r="AG127" s="672">
        <f>SUM(AC127:AF127)</f>
        <v>-1.02725</v>
      </c>
      <c r="AH127" s="636">
        <f>-$B$127*($D$127/4)</f>
        <v>-0.2568125</v>
      </c>
      <c r="AI127" s="636">
        <f>-$B$127*($D$127/4)</f>
        <v>-0.2568125</v>
      </c>
      <c r="AJ127" s="636">
        <f>-$B$127*($D$127/4)</f>
        <v>-0.2568125</v>
      </c>
      <c r="AK127" s="636">
        <f>-$B$127*($D$127/4)</f>
        <v>-0.2568125</v>
      </c>
      <c r="AL127" s="672">
        <f>SUM(AH127:AK127)</f>
        <v>-1.02725</v>
      </c>
      <c r="AM127" s="636">
        <f>-$B$127*($D$127/4)</f>
        <v>-0.2568125</v>
      </c>
      <c r="AN127" s="636">
        <f>-$B$127*($D$127/4)</f>
        <v>-0.2568125</v>
      </c>
      <c r="AO127" s="636">
        <f>-$B$127*($D$127/4)</f>
        <v>-0.2568125</v>
      </c>
      <c r="AP127" s="636">
        <f>-$B$127*($D$127/4)</f>
        <v>-0.2568125</v>
      </c>
      <c r="AQ127" s="672">
        <f>SUM(AM127:AP127)</f>
        <v>-1.02725</v>
      </c>
      <c r="AR127" s="636">
        <f>-$B$127*($D$127/4)</f>
        <v>-0.2568125</v>
      </c>
      <c r="AS127" s="636">
        <f>-$B$127*($D$127/4)</f>
        <v>-0.2568125</v>
      </c>
      <c r="AT127" s="636">
        <f>-$B$127*($D$127/4)</f>
        <v>-0.2568125</v>
      </c>
      <c r="AU127" s="636">
        <f>-$B$127*($D$127/4)</f>
        <v>-0.2568125</v>
      </c>
      <c r="AV127" s="672">
        <f>SUM(AR127:AU127)</f>
        <v>-1.02725</v>
      </c>
      <c r="AW127" s="636">
        <f>-$B$127*($D$127/4)</f>
        <v>-0.2568125</v>
      </c>
      <c r="AX127" s="636">
        <f>-$B$127*($D$127/4)</f>
        <v>-0.2568125</v>
      </c>
      <c r="AY127" s="636">
        <f>-$B$127*($D$127/4)</f>
        <v>-0.2568125</v>
      </c>
      <c r="AZ127" s="636">
        <f>-$B$127*($D$127/4)</f>
        <v>-0.2568125</v>
      </c>
      <c r="BA127" s="672">
        <f>SUM(AW127:AZ127)</f>
        <v>-1.02725</v>
      </c>
      <c r="BB127" s="636">
        <f>-$B$127*($D$127/4)</f>
        <v>-0.2568125</v>
      </c>
      <c r="BC127" s="636">
        <f>-$B$127*($D$127/4)</f>
        <v>-0.2568125</v>
      </c>
      <c r="BD127" s="636">
        <f>-$B$127*($D$127/4)</f>
        <v>-0.2568125</v>
      </c>
      <c r="BE127" s="636">
        <f>-$B$127*($D$127/4)</f>
        <v>-0.2568125</v>
      </c>
      <c r="BF127" s="672">
        <f>SUM(BB127:BE127)</f>
        <v>-1.02725</v>
      </c>
    </row>
    <row r="128" spans="1:58" hidden="1" x14ac:dyDescent="0.25">
      <c r="A128" s="628" t="s">
        <v>582</v>
      </c>
      <c r="B128" s="1799">
        <v>50</v>
      </c>
      <c r="C128" s="1809">
        <v>42123</v>
      </c>
      <c r="D128" s="1810">
        <v>6.3500000000000001E-2</v>
      </c>
      <c r="E128" s="628" t="s">
        <v>33</v>
      </c>
      <c r="F128" s="628"/>
      <c r="G128" s="628"/>
      <c r="H128" s="628"/>
      <c r="I128" s="628"/>
      <c r="J128" s="628"/>
      <c r="K128" s="628"/>
      <c r="L128" s="628"/>
      <c r="M128" s="628"/>
      <c r="N128" s="636">
        <f>-$B$128*($D$128/4)</f>
        <v>-0.79374999999999996</v>
      </c>
      <c r="O128" s="636">
        <f>-$B$128*($D$128/4)</f>
        <v>-0.79374999999999996</v>
      </c>
      <c r="P128" s="636">
        <f>-$B$128*($D$128/4)</f>
        <v>-0.79374999999999996</v>
      </c>
      <c r="Q128" s="636">
        <f>-$B$128*($D$128/4)</f>
        <v>-0.79374999999999996</v>
      </c>
      <c r="R128" s="636">
        <f>SUM(N128:Q128)</f>
        <v>-3.1749999999999998</v>
      </c>
      <c r="S128" s="636">
        <f>-$B$128*($D$128/4)</f>
        <v>-0.79374999999999996</v>
      </c>
      <c r="T128" s="636">
        <f>-$B$128*($D$128/4)</f>
        <v>-0.79374999999999996</v>
      </c>
      <c r="U128" s="636">
        <f>-$B$128*($D$128/4)</f>
        <v>-0.79374999999999996</v>
      </c>
      <c r="V128" s="636">
        <f>-$B$128*($D$128/4)</f>
        <v>-0.79374999999999996</v>
      </c>
      <c r="W128" s="672">
        <f>SUM(S128:V128)</f>
        <v>-3.1749999999999998</v>
      </c>
      <c r="X128" s="636">
        <f>-$B$128*($D$128/4)</f>
        <v>-0.79374999999999996</v>
      </c>
      <c r="Y128" s="636">
        <f>-$B$128*($D$128/4)</f>
        <v>-0.79374999999999996</v>
      </c>
      <c r="Z128" s="636">
        <f>-$B$128*($D$128/4)</f>
        <v>-0.79374999999999996</v>
      </c>
      <c r="AA128" s="636">
        <f>-$B$128*($D$128/4)</f>
        <v>-0.79374999999999996</v>
      </c>
      <c r="AB128" s="672">
        <f>SUM(X128:AA128)</f>
        <v>-3.1749999999999998</v>
      </c>
      <c r="AC128" s="636">
        <f>-$B$128*($D$128/4)</f>
        <v>-0.79374999999999996</v>
      </c>
      <c r="AD128" s="636">
        <f>-$B$128*($D$128/4)</f>
        <v>-0.79374999999999996</v>
      </c>
      <c r="AE128" s="636">
        <f>-$B$128*($D$128/4)</f>
        <v>-0.79374999999999996</v>
      </c>
      <c r="AF128" s="636">
        <f>-$B$128*($D$128/4)</f>
        <v>-0.79374999999999996</v>
      </c>
      <c r="AG128" s="672">
        <f>SUM(AC128:AF128)</f>
        <v>-3.1749999999999998</v>
      </c>
      <c r="AH128" s="636">
        <f>-$B$128*($D$128/4)</f>
        <v>-0.79374999999999996</v>
      </c>
      <c r="AI128" s="636">
        <f>-$B$128*($D$128/4)</f>
        <v>-0.79374999999999996</v>
      </c>
      <c r="AJ128" s="636">
        <f>-$B$128*($D$128/4)</f>
        <v>-0.79374999999999996</v>
      </c>
      <c r="AK128" s="636">
        <f>-$B$128*($D$128/4)</f>
        <v>-0.79374999999999996</v>
      </c>
      <c r="AL128" s="672">
        <f>SUM(AH128:AK128)</f>
        <v>-3.1749999999999998</v>
      </c>
      <c r="AM128" s="636">
        <f>-$B$128*($D$128/4)</f>
        <v>-0.79374999999999996</v>
      </c>
      <c r="AN128" s="636">
        <f>-$B$128*($D$128/4)</f>
        <v>-0.79374999999999996</v>
      </c>
      <c r="AO128" s="636">
        <f>-$B$128*($D$128/4)</f>
        <v>-0.79374999999999996</v>
      </c>
      <c r="AP128" s="636">
        <f>-$B$128*($D$128/4)</f>
        <v>-0.79374999999999996</v>
      </c>
      <c r="AQ128" s="672">
        <f>SUM(AM128:AP128)</f>
        <v>-3.1749999999999998</v>
      </c>
      <c r="AR128" s="636">
        <f>-$B$128*($D$128/4)</f>
        <v>-0.79374999999999996</v>
      </c>
      <c r="AS128" s="636">
        <f>-$B$128*($D$128/4)</f>
        <v>-0.79374999999999996</v>
      </c>
      <c r="AT128" s="636">
        <f>-$B$128*($D$128/4)</f>
        <v>-0.79374999999999996</v>
      </c>
      <c r="AU128" s="636">
        <f>-$B$128*($D$128/4)</f>
        <v>-0.79374999999999996</v>
      </c>
      <c r="AV128" s="672">
        <f>SUM(AR128:AU128)</f>
        <v>-3.1749999999999998</v>
      </c>
      <c r="AW128" s="636">
        <f>-$B$128*($D$128/4)</f>
        <v>-0.79374999999999996</v>
      </c>
      <c r="AX128" s="636">
        <f>-$B$128*($D$128/4)</f>
        <v>-0.79374999999999996</v>
      </c>
      <c r="AY128" s="636">
        <f>-$B$128*($D$128/4)</f>
        <v>-0.79374999999999996</v>
      </c>
      <c r="AZ128" s="636">
        <f>-$B$128*($D$128/4)</f>
        <v>-0.79374999999999996</v>
      </c>
      <c r="BA128" s="672">
        <f>SUM(AW128:AZ128)</f>
        <v>-3.1749999999999998</v>
      </c>
      <c r="BB128" s="636">
        <f>-$B$128*($D$128/4)</f>
        <v>-0.79374999999999996</v>
      </c>
      <c r="BC128" s="636">
        <f>-$B$128*($D$128/4)</f>
        <v>-0.79374999999999996</v>
      </c>
      <c r="BD128" s="636">
        <f>-$B$128*($D$128/4)</f>
        <v>-0.79374999999999996</v>
      </c>
      <c r="BE128" s="636">
        <f>-$B$128*($D$128/4)</f>
        <v>-0.79374999999999996</v>
      </c>
      <c r="BF128" s="672">
        <f>SUM(BB128:BE128)</f>
        <v>-3.1749999999999998</v>
      </c>
    </row>
    <row r="129" spans="1:58" hidden="1" x14ac:dyDescent="0.25">
      <c r="A129" s="628"/>
      <c r="B129" s="1798"/>
      <c r="C129" s="1798"/>
      <c r="D129" s="1810"/>
      <c r="E129" s="628"/>
      <c r="F129" s="628"/>
      <c r="G129" s="628"/>
      <c r="H129" s="628"/>
      <c r="I129" s="628"/>
      <c r="J129" s="628"/>
      <c r="K129" s="628"/>
      <c r="L129" s="628"/>
      <c r="M129" s="628"/>
      <c r="N129" s="628"/>
      <c r="O129" s="636"/>
      <c r="P129" s="636"/>
      <c r="Q129" s="636"/>
      <c r="R129" s="636"/>
      <c r="S129" s="628"/>
      <c r="T129" s="628"/>
      <c r="U129" s="636"/>
      <c r="V129" s="636"/>
      <c r="W129" s="628"/>
      <c r="X129" s="628"/>
      <c r="Y129" s="628"/>
      <c r="Z129" s="636"/>
      <c r="AA129" s="636"/>
      <c r="AB129" s="628"/>
      <c r="AC129" s="628"/>
      <c r="AD129" s="628"/>
      <c r="AE129" s="628"/>
      <c r="AF129" s="628"/>
      <c r="AG129" s="628"/>
      <c r="AH129" s="628"/>
      <c r="AI129" s="628"/>
      <c r="AJ129" s="628"/>
      <c r="AK129" s="628"/>
      <c r="AL129" s="628"/>
      <c r="AM129" s="628"/>
      <c r="AN129" s="628"/>
      <c r="AO129" s="628"/>
      <c r="AP129" s="628"/>
      <c r="AQ129" s="628"/>
      <c r="AR129" s="628"/>
      <c r="AS129" s="628"/>
      <c r="AT129" s="628"/>
      <c r="AU129" s="628"/>
      <c r="AV129" s="628"/>
      <c r="AW129" s="628"/>
      <c r="AX129" s="628"/>
      <c r="AY129" s="628"/>
      <c r="AZ129" s="628"/>
      <c r="BA129" s="628"/>
      <c r="BB129" s="628"/>
      <c r="BC129" s="628"/>
      <c r="BD129" s="628"/>
      <c r="BE129" s="628"/>
      <c r="BF129" s="628"/>
    </row>
    <row r="130" spans="1:58" hidden="1" x14ac:dyDescent="0.25">
      <c r="A130" s="628" t="s">
        <v>585</v>
      </c>
      <c r="B130" s="1798"/>
      <c r="C130" s="1798"/>
      <c r="D130" s="1810"/>
      <c r="E130" s="628"/>
      <c r="F130" s="628"/>
      <c r="G130" s="628"/>
      <c r="H130" s="628"/>
      <c r="I130" s="628"/>
      <c r="J130" s="628"/>
      <c r="K130" s="628"/>
      <c r="L130" s="628"/>
      <c r="M130" s="628"/>
      <c r="N130" s="628"/>
      <c r="O130" s="636"/>
      <c r="P130" s="636"/>
      <c r="Q130" s="636"/>
      <c r="R130" s="636"/>
      <c r="S130" s="628"/>
      <c r="T130" s="628"/>
      <c r="U130" s="636"/>
      <c r="V130" s="636"/>
      <c r="W130" s="628"/>
      <c r="X130" s="628"/>
      <c r="Y130" s="628"/>
      <c r="Z130" s="636"/>
      <c r="AA130" s="636"/>
      <c r="AB130" s="628"/>
      <c r="AC130" s="628"/>
      <c r="AD130" s="628"/>
      <c r="AE130" s="628"/>
      <c r="AF130" s="628"/>
      <c r="AG130" s="628"/>
      <c r="AH130" s="628"/>
      <c r="AI130" s="628"/>
      <c r="AJ130" s="628"/>
      <c r="AK130" s="628"/>
      <c r="AL130" s="628"/>
      <c r="AM130" s="628"/>
      <c r="AN130" s="628"/>
      <c r="AO130" s="628"/>
      <c r="AP130" s="628"/>
      <c r="AQ130" s="628"/>
      <c r="AR130" s="628"/>
      <c r="AS130" s="628"/>
      <c r="AT130" s="628"/>
      <c r="AU130" s="628"/>
      <c r="AV130" s="628"/>
      <c r="AW130" s="628"/>
      <c r="AX130" s="628"/>
      <c r="AY130" s="628"/>
      <c r="AZ130" s="628"/>
      <c r="BA130" s="628"/>
      <c r="BB130" s="628"/>
      <c r="BC130" s="628"/>
      <c r="BD130" s="628"/>
      <c r="BE130" s="628"/>
      <c r="BF130" s="628"/>
    </row>
    <row r="131" spans="1:58" hidden="1" x14ac:dyDescent="0.25">
      <c r="A131" s="628" t="s">
        <v>586</v>
      </c>
      <c r="B131" s="1798">
        <v>450</v>
      </c>
      <c r="C131" s="1798">
        <v>2021</v>
      </c>
      <c r="D131" s="1810">
        <v>5.8000000000000003E-2</v>
      </c>
      <c r="E131" s="628">
        <v>2021</v>
      </c>
      <c r="F131" s="628"/>
      <c r="G131" s="628"/>
      <c r="H131" s="628"/>
      <c r="I131" s="628"/>
      <c r="J131" s="628"/>
      <c r="K131" s="628"/>
      <c r="L131" s="628"/>
      <c r="M131" s="628"/>
      <c r="N131" s="636">
        <f>-$B$131*($D$131/4)</f>
        <v>-6.5250000000000004</v>
      </c>
      <c r="O131" s="636">
        <f>-$B$131*($D$131/4)</f>
        <v>-6.5250000000000004</v>
      </c>
      <c r="P131" s="636">
        <f>-$B$131*($D$131/4)</f>
        <v>-6.5250000000000004</v>
      </c>
      <c r="Q131" s="636">
        <f>-$B$131*($D$131/4)</f>
        <v>-6.5250000000000004</v>
      </c>
      <c r="R131" s="636">
        <f>SUM(N131:Q131)</f>
        <v>-26.1</v>
      </c>
      <c r="S131" s="636">
        <f>-$B$131*($D$131/4)</f>
        <v>-6.5250000000000004</v>
      </c>
      <c r="T131" s="636">
        <f>-$B$131*($D$131/4)</f>
        <v>-6.5250000000000004</v>
      </c>
      <c r="U131" s="636">
        <f>-$B$131*($D$131/4)</f>
        <v>-6.5250000000000004</v>
      </c>
      <c r="V131" s="636">
        <f>-$B$131*($D$131/4)</f>
        <v>-6.5250000000000004</v>
      </c>
      <c r="W131" s="672">
        <f>SUM(S131:V131)</f>
        <v>-26.1</v>
      </c>
      <c r="X131" s="636">
        <f>-$B$131*($D$131/4)</f>
        <v>-6.5250000000000004</v>
      </c>
      <c r="Y131" s="636">
        <f>-$B$131*($D$131/4)</f>
        <v>-6.5250000000000004</v>
      </c>
      <c r="Z131" s="636">
        <f>-$B$131*($D$131/4)</f>
        <v>-6.5250000000000004</v>
      </c>
      <c r="AA131" s="636">
        <f>-$B$131*($D$131/4)</f>
        <v>-6.5250000000000004</v>
      </c>
      <c r="AB131" s="672">
        <f>SUM(X131:AA131)</f>
        <v>-26.1</v>
      </c>
      <c r="AC131" s="636">
        <f>-$B$131*($D$131/4)</f>
        <v>-6.5250000000000004</v>
      </c>
      <c r="AD131" s="636">
        <f>-$B$131*($D$131/4)</f>
        <v>-6.5250000000000004</v>
      </c>
      <c r="AE131" s="636">
        <f>-$B$131*($D$131/4)</f>
        <v>-6.5250000000000004</v>
      </c>
      <c r="AF131" s="636">
        <f>-$B$131*($D$131/4)</f>
        <v>-6.5250000000000004</v>
      </c>
      <c r="AG131" s="672">
        <f>SUM(AC131:AF131)</f>
        <v>-26.1</v>
      </c>
      <c r="AH131" s="636">
        <f>-$B$131*($D$131/4)</f>
        <v>-6.5250000000000004</v>
      </c>
      <c r="AI131" s="636">
        <f>-$B$131*($D$131/4)</f>
        <v>-6.5250000000000004</v>
      </c>
      <c r="AJ131" s="636">
        <f>-$B$131*($D$131/4)</f>
        <v>-6.5250000000000004</v>
      </c>
      <c r="AK131" s="636">
        <f>-$B$131*($D$131/4)</f>
        <v>-6.5250000000000004</v>
      </c>
      <c r="AL131" s="672">
        <f>SUM(AH131:AK131)</f>
        <v>-26.1</v>
      </c>
      <c r="AM131" s="636">
        <f>-$B$131*($D$131/4)</f>
        <v>-6.5250000000000004</v>
      </c>
      <c r="AN131" s="636">
        <f>-$B$131*($D$131/4)</f>
        <v>-6.5250000000000004</v>
      </c>
      <c r="AO131" s="636">
        <f>-$B$131*($D$131/4)</f>
        <v>-6.5250000000000004</v>
      </c>
      <c r="AP131" s="636">
        <f>-$B$131*($D$131/4)</f>
        <v>-6.5250000000000004</v>
      </c>
      <c r="AQ131" s="672">
        <f>SUM(AM131:AP131)</f>
        <v>-26.1</v>
      </c>
      <c r="AR131" s="636">
        <f>-$B$131*($D$131/4)</f>
        <v>-6.5250000000000004</v>
      </c>
      <c r="AS131" s="636">
        <f>-$B$131*($D$131/4)</f>
        <v>-6.5250000000000004</v>
      </c>
      <c r="AT131" s="636">
        <f>-$B$131*($D$131/4)</f>
        <v>-6.5250000000000004</v>
      </c>
      <c r="AU131" s="636">
        <f>-$B$131*($D$131/4)</f>
        <v>-6.5250000000000004</v>
      </c>
      <c r="AV131" s="672">
        <f>SUM(AR131:AU131)</f>
        <v>-26.1</v>
      </c>
      <c r="AW131" s="636">
        <f>-$B$131*($D$131/4)</f>
        <v>-6.5250000000000004</v>
      </c>
      <c r="AX131" s="636">
        <f>-$B$131*($D$131/4)</f>
        <v>-6.5250000000000004</v>
      </c>
      <c r="AY131" s="636">
        <f>-$B$131*($D$131/4)</f>
        <v>-6.5250000000000004</v>
      </c>
      <c r="AZ131" s="636">
        <f>-$B$131*($D$131/4)</f>
        <v>-6.5250000000000004</v>
      </c>
      <c r="BA131" s="672">
        <f>SUM(AW131:AZ131)</f>
        <v>-26.1</v>
      </c>
      <c r="BB131" s="636">
        <f>-$B$131*($D$131/4)</f>
        <v>-6.5250000000000004</v>
      </c>
      <c r="BC131" s="636">
        <f>-$B$131*($D$131/4)</f>
        <v>-6.5250000000000004</v>
      </c>
      <c r="BD131" s="636">
        <f>-$B$131*($D$131/4)</f>
        <v>-6.5250000000000004</v>
      </c>
      <c r="BE131" s="636">
        <f>-$B$131*($D$131/4)</f>
        <v>-6.5250000000000004</v>
      </c>
      <c r="BF131" s="672">
        <f>SUM(BB131:BE131)</f>
        <v>-26.1</v>
      </c>
    </row>
    <row r="132" spans="1:58" hidden="1" x14ac:dyDescent="0.25">
      <c r="A132" s="628" t="s">
        <v>587</v>
      </c>
      <c r="B132" s="1798">
        <v>250</v>
      </c>
      <c r="C132" s="1798">
        <v>2019</v>
      </c>
      <c r="D132" s="1810">
        <v>4.8800000000000003E-2</v>
      </c>
      <c r="E132" s="628">
        <v>2019</v>
      </c>
      <c r="F132" s="628"/>
      <c r="G132" s="628"/>
      <c r="H132" s="628"/>
      <c r="I132" s="628"/>
      <c r="J132" s="628"/>
      <c r="K132" s="628"/>
      <c r="L132" s="628"/>
      <c r="M132" s="628"/>
      <c r="N132" s="636">
        <f>-$B$132*($D$132/4)</f>
        <v>-3.0500000000000003</v>
      </c>
      <c r="O132" s="636">
        <f>-$B$132*($D$132/4)</f>
        <v>-3.0500000000000003</v>
      </c>
      <c r="P132" s="636">
        <f>-$B$132*($D$132/4)</f>
        <v>-3.0500000000000003</v>
      </c>
      <c r="Q132" s="636">
        <f>-$B$132*($D$132/4)</f>
        <v>-3.0500000000000003</v>
      </c>
      <c r="R132" s="636">
        <f>SUM(N132:Q132)</f>
        <v>-12.200000000000001</v>
      </c>
      <c r="S132" s="636">
        <f>-$B$132*($D$132/4)</f>
        <v>-3.0500000000000003</v>
      </c>
      <c r="T132" s="636">
        <f>-$B$132*($D$132/4)</f>
        <v>-3.0500000000000003</v>
      </c>
      <c r="U132" s="636">
        <f>-$B$132*($D$132/4)</f>
        <v>-3.0500000000000003</v>
      </c>
      <c r="V132" s="636">
        <f>-$B$132*($D$132/4)</f>
        <v>-3.0500000000000003</v>
      </c>
      <c r="W132" s="672">
        <f>SUM(S132:V132)</f>
        <v>-12.200000000000001</v>
      </c>
      <c r="X132" s="636">
        <f>-$B$132*($D$132/4)</f>
        <v>-3.0500000000000003</v>
      </c>
      <c r="Y132" s="636">
        <f>-$B$132*($D$132/4)</f>
        <v>-3.0500000000000003</v>
      </c>
      <c r="Z132" s="636">
        <f>-$B$132*($D$132/4)</f>
        <v>-3.0500000000000003</v>
      </c>
      <c r="AA132" s="636">
        <f>-$B$132*($D$132/4)</f>
        <v>-3.0500000000000003</v>
      </c>
      <c r="AB132" s="672">
        <f>SUM(X132:AA132)</f>
        <v>-12.200000000000001</v>
      </c>
      <c r="AC132" s="636">
        <f>-$B$132*($D$132/4)</f>
        <v>-3.0500000000000003</v>
      </c>
      <c r="AD132" s="636">
        <f>-$B$132*($D$132/4)</f>
        <v>-3.0500000000000003</v>
      </c>
      <c r="AE132" s="636">
        <f>-$B$132*($D$132/4)</f>
        <v>-3.0500000000000003</v>
      </c>
      <c r="AF132" s="636">
        <f>-$B$132*($D$132/4)</f>
        <v>-3.0500000000000003</v>
      </c>
      <c r="AG132" s="672">
        <f>SUM(AC132:AF132)</f>
        <v>-12.200000000000001</v>
      </c>
      <c r="AH132" s="636">
        <f>-$B$132*($D$132/4)</f>
        <v>-3.0500000000000003</v>
      </c>
      <c r="AI132" s="636">
        <f>-$B$132*($D$132/4)</f>
        <v>-3.0500000000000003</v>
      </c>
      <c r="AJ132" s="636">
        <f>-$B$132*($D$132/4)</f>
        <v>-3.0500000000000003</v>
      </c>
      <c r="AK132" s="636">
        <f>-$B$132*($D$132/4)</f>
        <v>-3.0500000000000003</v>
      </c>
      <c r="AL132" s="672">
        <f>SUM(AH132:AK132)</f>
        <v>-12.200000000000001</v>
      </c>
      <c r="AM132" s="636">
        <f>-$B$132*($D$132/4)</f>
        <v>-3.0500000000000003</v>
      </c>
      <c r="AN132" s="636">
        <f>-$B$132*($D$132/4)</f>
        <v>-3.0500000000000003</v>
      </c>
      <c r="AO132" s="636">
        <f>-$B$132*($D$132/4)</f>
        <v>-3.0500000000000003</v>
      </c>
      <c r="AP132" s="636">
        <f>-$B$132*($D$132/4)</f>
        <v>-3.0500000000000003</v>
      </c>
      <c r="AQ132" s="672">
        <f>SUM(AM132:AP132)</f>
        <v>-12.200000000000001</v>
      </c>
      <c r="AR132" s="636">
        <f>-$B$132*($D$132/4)</f>
        <v>-3.0500000000000003</v>
      </c>
      <c r="AS132" s="636">
        <f>-$B$132*($D$132/4)</f>
        <v>-3.0500000000000003</v>
      </c>
      <c r="AT132" s="636">
        <f>-$B$132*($D$132/4)</f>
        <v>-3.0500000000000003</v>
      </c>
      <c r="AU132" s="636">
        <f>-$B$132*($D$132/4)</f>
        <v>-3.0500000000000003</v>
      </c>
      <c r="AV132" s="672">
        <f>SUM(AR132:AU132)</f>
        <v>-12.200000000000001</v>
      </c>
      <c r="AW132" s="636">
        <f>-$B$132*($D$132/4)</f>
        <v>-3.0500000000000003</v>
      </c>
      <c r="AX132" s="636">
        <f>-$B$132*($D$132/4)</f>
        <v>-3.0500000000000003</v>
      </c>
      <c r="AY132" s="636">
        <f>-$B$132*($D$132/4)</f>
        <v>-3.0500000000000003</v>
      </c>
      <c r="AZ132" s="636">
        <f>-$B$132*($D$132/4)</f>
        <v>-3.0500000000000003</v>
      </c>
      <c r="BA132" s="672">
        <f>SUM(AW132:AZ132)</f>
        <v>-12.200000000000001</v>
      </c>
      <c r="BB132" s="636">
        <f>-$B$132*($D$132/4)</f>
        <v>-3.0500000000000003</v>
      </c>
      <c r="BC132" s="636">
        <f>-$B$132*($D$132/4)</f>
        <v>-3.0500000000000003</v>
      </c>
      <c r="BD132" s="636">
        <f>-$B$132*($D$132/4)</f>
        <v>-3.0500000000000003</v>
      </c>
      <c r="BE132" s="636">
        <f>-$B$132*($D$132/4)</f>
        <v>-3.0500000000000003</v>
      </c>
      <c r="BF132" s="672">
        <f>SUM(BB132:BE132)</f>
        <v>-12.200000000000001</v>
      </c>
    </row>
    <row r="133" spans="1:58" hidden="1" x14ac:dyDescent="0.25">
      <c r="A133" s="628" t="s">
        <v>588</v>
      </c>
      <c r="B133" s="1798">
        <v>350</v>
      </c>
      <c r="C133" s="1798">
        <v>2022</v>
      </c>
      <c r="D133" s="1810">
        <v>4.1300000000000003E-2</v>
      </c>
      <c r="E133" s="628">
        <v>2022</v>
      </c>
      <c r="F133" s="628"/>
      <c r="G133" s="628"/>
      <c r="H133" s="628"/>
      <c r="I133" s="628"/>
      <c r="J133" s="628"/>
      <c r="K133" s="628"/>
      <c r="L133" s="628"/>
      <c r="M133" s="628"/>
      <c r="N133" s="636">
        <f>-$B$133*($D$133/4)</f>
        <v>-3.6137500000000005</v>
      </c>
      <c r="O133" s="636">
        <f>-$B$133*($D$133/4)</f>
        <v>-3.6137500000000005</v>
      </c>
      <c r="P133" s="636">
        <f>-$B$133*($D$133/4)</f>
        <v>-3.6137500000000005</v>
      </c>
      <c r="Q133" s="636">
        <f>-$B$133*($D$133/4)</f>
        <v>-3.6137500000000005</v>
      </c>
      <c r="R133" s="636">
        <f>SUM(N133:Q133)</f>
        <v>-14.455000000000002</v>
      </c>
      <c r="S133" s="636">
        <f>-$B$133*($D$133/4)</f>
        <v>-3.6137500000000005</v>
      </c>
      <c r="T133" s="636">
        <f>-$B$133*($D$133/4)</f>
        <v>-3.6137500000000005</v>
      </c>
      <c r="U133" s="636">
        <f>-$B$133*($D$133/4)</f>
        <v>-3.6137500000000005</v>
      </c>
      <c r="V133" s="636">
        <f>-$B$133*($D$133/4)</f>
        <v>-3.6137500000000005</v>
      </c>
      <c r="W133" s="672">
        <f>SUM(S133:V133)</f>
        <v>-14.455000000000002</v>
      </c>
      <c r="X133" s="636">
        <f>-$B$133*($D$133/4)</f>
        <v>-3.6137500000000005</v>
      </c>
      <c r="Y133" s="636">
        <f>-$B$133*($D$133/4)</f>
        <v>-3.6137500000000005</v>
      </c>
      <c r="Z133" s="636">
        <f>-$B$133*($D$133/4)</f>
        <v>-3.6137500000000005</v>
      </c>
      <c r="AA133" s="636">
        <f>-$B$133*($D$133/4)</f>
        <v>-3.6137500000000005</v>
      </c>
      <c r="AB133" s="672">
        <f>SUM(X133:AA133)</f>
        <v>-14.455000000000002</v>
      </c>
      <c r="AC133" s="636">
        <f>-$B$133*($D$133/4)</f>
        <v>-3.6137500000000005</v>
      </c>
      <c r="AD133" s="636">
        <f>-$B$133*($D$133/4)</f>
        <v>-3.6137500000000005</v>
      </c>
      <c r="AE133" s="636">
        <f>-$B$133*($D$133/4)</f>
        <v>-3.6137500000000005</v>
      </c>
      <c r="AF133" s="636">
        <f>-$B$133*($D$133/4)</f>
        <v>-3.6137500000000005</v>
      </c>
      <c r="AG133" s="672">
        <f>SUM(AC133:AF133)</f>
        <v>-14.455000000000002</v>
      </c>
      <c r="AH133" s="636">
        <f>-$B$133*($D$133/4)</f>
        <v>-3.6137500000000005</v>
      </c>
      <c r="AI133" s="636">
        <f>-$B$133*($D$133/4)</f>
        <v>-3.6137500000000005</v>
      </c>
      <c r="AJ133" s="636">
        <f>-$B$133*($D$133/4)</f>
        <v>-3.6137500000000005</v>
      </c>
      <c r="AK133" s="636">
        <f>-$B$133*($D$133/4)</f>
        <v>-3.6137500000000005</v>
      </c>
      <c r="AL133" s="672">
        <f>SUM(AH133:AK133)</f>
        <v>-14.455000000000002</v>
      </c>
      <c r="AM133" s="636">
        <f>-$B$133*($D$133/4)</f>
        <v>-3.6137500000000005</v>
      </c>
      <c r="AN133" s="636">
        <f>-$B$133*($D$133/4)</f>
        <v>-3.6137500000000005</v>
      </c>
      <c r="AO133" s="636">
        <f>-$B$133*($D$133/4)</f>
        <v>-3.6137500000000005</v>
      </c>
      <c r="AP133" s="636">
        <f>-$B$133*($D$133/4)</f>
        <v>-3.6137500000000005</v>
      </c>
      <c r="AQ133" s="672">
        <f>SUM(AM133:AP133)</f>
        <v>-14.455000000000002</v>
      </c>
      <c r="AR133" s="636">
        <f>-$B$133*($D$133/4)</f>
        <v>-3.6137500000000005</v>
      </c>
      <c r="AS133" s="636">
        <f>-$B$133*($D$133/4)</f>
        <v>-3.6137500000000005</v>
      </c>
      <c r="AT133" s="636">
        <f>-$B$133*($D$133/4)</f>
        <v>-3.6137500000000005</v>
      </c>
      <c r="AU133" s="636">
        <f>-$B$133*($D$133/4)</f>
        <v>-3.6137500000000005</v>
      </c>
      <c r="AV133" s="672">
        <f>SUM(AR133:AU133)</f>
        <v>-14.455000000000002</v>
      </c>
      <c r="AW133" s="636">
        <f>-$B$133*($D$133/4)</f>
        <v>-3.6137500000000005</v>
      </c>
      <c r="AX133" s="636">
        <f>-$B$133*($D$133/4)</f>
        <v>-3.6137500000000005</v>
      </c>
      <c r="AY133" s="636">
        <f>-$B$133*($D$133/4)</f>
        <v>-3.6137500000000005</v>
      </c>
      <c r="AZ133" s="636">
        <f>-$B$133*($D$133/4)</f>
        <v>-3.6137500000000005</v>
      </c>
      <c r="BA133" s="672">
        <f>SUM(AW133:AZ133)</f>
        <v>-14.455000000000002</v>
      </c>
      <c r="BB133" s="636">
        <f>-$B$133*($D$133/4)</f>
        <v>-3.6137500000000005</v>
      </c>
      <c r="BC133" s="636">
        <f>-$B$133*($D$133/4)</f>
        <v>-3.6137500000000005</v>
      </c>
      <c r="BD133" s="636">
        <f>-$B$133*($D$133/4)</f>
        <v>-3.6137500000000005</v>
      </c>
      <c r="BE133" s="636">
        <f>-$B$133*($D$133/4)</f>
        <v>-3.6137500000000005</v>
      </c>
      <c r="BF133" s="672">
        <f>SUM(BB133:BE133)</f>
        <v>-14.455000000000002</v>
      </c>
    </row>
    <row r="134" spans="1:58" hidden="1" x14ac:dyDescent="0.25">
      <c r="A134" s="628"/>
      <c r="B134" s="1798"/>
      <c r="C134" s="1798"/>
      <c r="D134" s="1810"/>
      <c r="E134" s="628"/>
      <c r="F134" s="628"/>
      <c r="G134" s="628"/>
      <c r="H134" s="628"/>
      <c r="I134" s="628"/>
      <c r="J134" s="628"/>
      <c r="K134" s="628"/>
      <c r="L134" s="628"/>
      <c r="M134" s="628"/>
      <c r="N134" s="628"/>
      <c r="O134" s="628"/>
      <c r="P134" s="628"/>
      <c r="Q134" s="628"/>
      <c r="R134" s="628"/>
      <c r="S134" s="628"/>
      <c r="T134" s="628"/>
      <c r="U134" s="628"/>
      <c r="V134" s="628"/>
      <c r="W134" s="628"/>
      <c r="X134" s="628"/>
      <c r="Y134" s="628"/>
      <c r="Z134" s="628"/>
      <c r="AA134" s="628"/>
      <c r="AB134" s="628"/>
      <c r="AC134" s="628"/>
      <c r="AD134" s="628"/>
      <c r="AE134" s="628"/>
      <c r="AF134" s="628"/>
      <c r="AG134" s="628"/>
      <c r="AH134" s="628"/>
      <c r="AI134" s="628"/>
      <c r="AJ134" s="628"/>
      <c r="AK134" s="628"/>
      <c r="AL134" s="628"/>
      <c r="AM134" s="628"/>
      <c r="AN134" s="628"/>
      <c r="AO134" s="628"/>
      <c r="AP134" s="628"/>
      <c r="AQ134" s="628"/>
      <c r="AR134" s="628"/>
      <c r="AS134" s="628"/>
      <c r="AT134" s="628"/>
      <c r="AU134" s="628"/>
      <c r="AV134" s="628"/>
      <c r="AW134" s="628"/>
      <c r="AX134" s="628"/>
      <c r="AY134" s="628"/>
      <c r="AZ134" s="628"/>
      <c r="BA134" s="628"/>
      <c r="BB134" s="628"/>
      <c r="BC134" s="628"/>
      <c r="BD134" s="628"/>
      <c r="BE134" s="628"/>
      <c r="BF134" s="628"/>
    </row>
    <row r="135" spans="1:58" hidden="1" x14ac:dyDescent="0.25">
      <c r="A135" s="628" t="s">
        <v>589</v>
      </c>
      <c r="B135" s="1798">
        <v>0</v>
      </c>
      <c r="C135" s="1798"/>
      <c r="D135" s="1810" t="s">
        <v>590</v>
      </c>
      <c r="E135" s="628"/>
      <c r="F135" s="628"/>
      <c r="G135" s="628"/>
      <c r="H135" s="628"/>
      <c r="I135" s="628"/>
      <c r="J135" s="628"/>
      <c r="K135" s="628"/>
      <c r="L135" s="628"/>
      <c r="M135" s="628"/>
      <c r="N135" s="628"/>
      <c r="O135" s="628"/>
      <c r="P135" s="628"/>
      <c r="Q135" s="628"/>
      <c r="R135" s="628"/>
      <c r="S135" s="628"/>
      <c r="T135" s="628"/>
      <c r="U135" s="628"/>
      <c r="V135" s="628"/>
      <c r="W135" s="628"/>
      <c r="X135" s="628"/>
      <c r="Y135" s="628"/>
      <c r="Z135" s="628"/>
      <c r="AA135" s="628"/>
      <c r="AB135" s="628"/>
      <c r="AC135" s="628"/>
      <c r="AD135" s="628"/>
      <c r="AE135" s="628"/>
      <c r="AF135" s="628"/>
      <c r="AG135" s="628"/>
      <c r="AH135" s="628"/>
      <c r="AI135" s="628"/>
      <c r="AJ135" s="628"/>
      <c r="AK135" s="628"/>
      <c r="AL135" s="628"/>
      <c r="AM135" s="628"/>
      <c r="AN135" s="628"/>
      <c r="AO135" s="628"/>
      <c r="AP135" s="628"/>
      <c r="AQ135" s="628"/>
      <c r="AR135" s="628"/>
      <c r="AS135" s="628"/>
      <c r="AT135" s="628"/>
      <c r="AU135" s="628"/>
      <c r="AV135" s="628"/>
      <c r="AW135" s="628"/>
      <c r="AX135" s="628"/>
      <c r="AY135" s="628"/>
      <c r="AZ135" s="628"/>
      <c r="BA135" s="628"/>
      <c r="BB135" s="628"/>
      <c r="BC135" s="628"/>
      <c r="BD135" s="628"/>
      <c r="BE135" s="628"/>
      <c r="BF135" s="628"/>
    </row>
    <row r="136" spans="1:58" hidden="1" x14ac:dyDescent="0.25">
      <c r="A136" s="628"/>
      <c r="B136" s="1798"/>
      <c r="C136" s="1798"/>
      <c r="D136" s="1810"/>
      <c r="E136" s="628"/>
      <c r="F136" s="628"/>
      <c r="G136" s="628"/>
      <c r="H136" s="628"/>
      <c r="I136" s="628"/>
      <c r="J136" s="628"/>
      <c r="K136" s="628"/>
      <c r="L136" s="628"/>
      <c r="M136" s="628"/>
      <c r="N136" s="628"/>
      <c r="O136" s="628"/>
      <c r="P136" s="628"/>
      <c r="Q136" s="628"/>
      <c r="R136" s="628"/>
      <c r="S136" s="628"/>
      <c r="T136" s="628"/>
      <c r="U136" s="628"/>
      <c r="V136" s="628"/>
      <c r="W136" s="628"/>
      <c r="X136" s="628"/>
      <c r="Y136" s="628"/>
      <c r="Z136" s="628"/>
      <c r="AA136" s="628"/>
      <c r="AB136" s="628"/>
      <c r="AC136" s="628"/>
      <c r="AD136" s="628"/>
      <c r="AE136" s="628"/>
      <c r="AF136" s="628"/>
      <c r="AG136" s="628"/>
      <c r="AH136" s="628"/>
      <c r="AI136" s="628"/>
      <c r="AJ136" s="628"/>
      <c r="AK136" s="628"/>
      <c r="AL136" s="628"/>
      <c r="AM136" s="628"/>
      <c r="AN136" s="628"/>
      <c r="AO136" s="628"/>
      <c r="AP136" s="628"/>
      <c r="AQ136" s="628"/>
      <c r="AR136" s="628"/>
      <c r="AS136" s="628"/>
      <c r="AT136" s="628"/>
      <c r="AU136" s="628"/>
      <c r="AV136" s="628"/>
      <c r="AW136" s="628"/>
      <c r="AX136" s="628"/>
      <c r="AY136" s="628"/>
      <c r="AZ136" s="628"/>
      <c r="BA136" s="628"/>
      <c r="BB136" s="628"/>
      <c r="BC136" s="628"/>
      <c r="BD136" s="628"/>
      <c r="BE136" s="628"/>
      <c r="BF136" s="628"/>
    </row>
    <row r="137" spans="1:58" hidden="1" x14ac:dyDescent="0.25">
      <c r="A137" s="628" t="s">
        <v>591</v>
      </c>
      <c r="B137" s="1798">
        <f>SUM(B115:B135)</f>
        <v>1405</v>
      </c>
      <c r="C137" s="1798"/>
      <c r="D137" s="1810"/>
      <c r="E137" s="628"/>
      <c r="F137" s="628"/>
      <c r="G137" s="628"/>
      <c r="H137" s="628"/>
      <c r="I137" s="628"/>
      <c r="J137" s="628"/>
      <c r="K137" s="628"/>
      <c r="L137" s="628"/>
      <c r="M137" s="628"/>
      <c r="N137" s="672">
        <f t="shared" ref="N137:AG137" si="82">SUM(N114:N135)</f>
        <v>-19.452249999999999</v>
      </c>
      <c r="O137" s="672">
        <f t="shared" si="82"/>
        <v>-18.972250000000003</v>
      </c>
      <c r="P137" s="672">
        <f t="shared" si="82"/>
        <v>-17.709333333333333</v>
      </c>
      <c r="Q137" s="672">
        <f t="shared" si="82"/>
        <v>-16.941937500000002</v>
      </c>
      <c r="R137" s="672">
        <f t="shared" si="82"/>
        <v>-73.075770833333337</v>
      </c>
      <c r="S137" s="672">
        <f t="shared" si="82"/>
        <v>-16.6855625</v>
      </c>
      <c r="T137" s="672">
        <f t="shared" si="82"/>
        <v>-16.6855625</v>
      </c>
      <c r="U137" s="672">
        <f t="shared" si="82"/>
        <v>-16.6855625</v>
      </c>
      <c r="V137" s="672">
        <f t="shared" si="82"/>
        <v>-16.6855625</v>
      </c>
      <c r="W137" s="672">
        <f t="shared" si="82"/>
        <v>-66.742249999999999</v>
      </c>
      <c r="X137" s="672">
        <f t="shared" si="82"/>
        <v>-16.6855625</v>
      </c>
      <c r="Y137" s="672">
        <f t="shared" si="82"/>
        <v>-16.6855625</v>
      </c>
      <c r="Z137" s="672">
        <f t="shared" si="82"/>
        <v>-16.6855625</v>
      </c>
      <c r="AA137" s="672">
        <f>SUM(AA114:AA135)</f>
        <v>-16.6855625</v>
      </c>
      <c r="AB137" s="672">
        <f t="shared" si="82"/>
        <v>-66.742249999999999</v>
      </c>
      <c r="AC137" s="672">
        <f t="shared" si="82"/>
        <v>-16.6855625</v>
      </c>
      <c r="AD137" s="672">
        <f t="shared" si="82"/>
        <v>-16.6855625</v>
      </c>
      <c r="AE137" s="672">
        <f t="shared" si="82"/>
        <v>-15.8293125</v>
      </c>
      <c r="AF137" s="672">
        <f t="shared" si="82"/>
        <v>-15.8293125</v>
      </c>
      <c r="AG137" s="672">
        <f t="shared" si="82"/>
        <v>-65.029750000000007</v>
      </c>
      <c r="AH137" s="672">
        <f t="shared" ref="AH137:BF137" si="83">SUM(AH114:AH135)</f>
        <v>-16.6855625</v>
      </c>
      <c r="AI137" s="672">
        <f t="shared" si="83"/>
        <v>-16.6855625</v>
      </c>
      <c r="AJ137" s="672">
        <f t="shared" si="83"/>
        <v>-15.8293125</v>
      </c>
      <c r="AK137" s="672">
        <f t="shared" si="83"/>
        <v>-15.8293125</v>
      </c>
      <c r="AL137" s="672">
        <f t="shared" si="83"/>
        <v>-65.029750000000007</v>
      </c>
      <c r="AM137" s="672">
        <f t="shared" si="83"/>
        <v>-16.6855625</v>
      </c>
      <c r="AN137" s="672">
        <f t="shared" si="83"/>
        <v>-16.6855625</v>
      </c>
      <c r="AO137" s="672">
        <f t="shared" si="83"/>
        <v>-15.8293125</v>
      </c>
      <c r="AP137" s="672">
        <f t="shared" si="83"/>
        <v>-15.8293125</v>
      </c>
      <c r="AQ137" s="672">
        <f t="shared" si="83"/>
        <v>-65.029750000000007</v>
      </c>
      <c r="AR137" s="672">
        <f t="shared" si="83"/>
        <v>-16.6855625</v>
      </c>
      <c r="AS137" s="672">
        <f t="shared" si="83"/>
        <v>-16.6855625</v>
      </c>
      <c r="AT137" s="672">
        <f t="shared" si="83"/>
        <v>-15.8293125</v>
      </c>
      <c r="AU137" s="672">
        <f t="shared" si="83"/>
        <v>-15.8293125</v>
      </c>
      <c r="AV137" s="672">
        <f t="shared" si="83"/>
        <v>-65.029750000000007</v>
      </c>
      <c r="AW137" s="672">
        <f t="shared" si="83"/>
        <v>-16.6855625</v>
      </c>
      <c r="AX137" s="672">
        <f t="shared" si="83"/>
        <v>-16.6855625</v>
      </c>
      <c r="AY137" s="672">
        <f t="shared" si="83"/>
        <v>-15.8293125</v>
      </c>
      <c r="AZ137" s="672">
        <f t="shared" si="83"/>
        <v>-15.8293125</v>
      </c>
      <c r="BA137" s="672">
        <f t="shared" si="83"/>
        <v>-65.029750000000007</v>
      </c>
      <c r="BB137" s="672">
        <f t="shared" si="83"/>
        <v>-16.6855625</v>
      </c>
      <c r="BC137" s="672">
        <f t="shared" si="83"/>
        <v>-16.6855625</v>
      </c>
      <c r="BD137" s="672">
        <f t="shared" si="83"/>
        <v>-15.8293125</v>
      </c>
      <c r="BE137" s="672">
        <f t="shared" si="83"/>
        <v>-15.8293125</v>
      </c>
      <c r="BF137" s="672">
        <f t="shared" si="83"/>
        <v>-65.029750000000007</v>
      </c>
    </row>
    <row r="138" spans="1:58" hidden="1" x14ac:dyDescent="0.25">
      <c r="A138" s="1617" t="s">
        <v>592</v>
      </c>
      <c r="B138" s="1863"/>
      <c r="C138" s="1863"/>
      <c r="D138" s="1863"/>
      <c r="E138" s="1617"/>
      <c r="F138" s="1617"/>
      <c r="G138" s="1617"/>
      <c r="H138" s="1617"/>
      <c r="I138" s="1617"/>
      <c r="J138" s="1617"/>
      <c r="K138" s="1617"/>
      <c r="L138" s="1617"/>
      <c r="M138" s="1617"/>
      <c r="N138" s="1864">
        <f>-20.09-N137</f>
        <v>-0.63775000000000048</v>
      </c>
      <c r="O138" s="1864">
        <f>-19.704-O137</f>
        <v>-0.73174999999999812</v>
      </c>
      <c r="P138" s="1864">
        <f>-P105-P137</f>
        <v>-0.9826666666666668</v>
      </c>
      <c r="Q138" s="1864">
        <f>-Q105-Q137</f>
        <v>-0.70806249999999693</v>
      </c>
      <c r="R138" s="1864">
        <f>SUM(N138:Q138)</f>
        <v>-3.0602291666666623</v>
      </c>
      <c r="S138" s="1864">
        <f>Q138</f>
        <v>-0.70806249999999693</v>
      </c>
      <c r="T138" s="1864">
        <f>S138</f>
        <v>-0.70806249999999693</v>
      </c>
      <c r="U138" s="1864">
        <f>T138</f>
        <v>-0.70806249999999693</v>
      </c>
      <c r="V138" s="1864">
        <f>U138</f>
        <v>-0.70806249999999693</v>
      </c>
      <c r="W138" s="1864">
        <f>SUM(S138:V138)</f>
        <v>-2.8322499999999877</v>
      </c>
      <c r="X138" s="1864">
        <f>V138</f>
        <v>-0.70806249999999693</v>
      </c>
      <c r="Y138" s="1864">
        <f>X138</f>
        <v>-0.70806249999999693</v>
      </c>
      <c r="Z138" s="1864">
        <f>Y138</f>
        <v>-0.70806249999999693</v>
      </c>
      <c r="AA138" s="1864">
        <f>Z138</f>
        <v>-0.70806249999999693</v>
      </c>
      <c r="AB138" s="1864">
        <f>SUM(X138:AA138)</f>
        <v>-2.8322499999999877</v>
      </c>
      <c r="AC138" s="1864">
        <f>AB138</f>
        <v>-2.8322499999999877</v>
      </c>
      <c r="AD138" s="1864">
        <f>AC138</f>
        <v>-2.8322499999999877</v>
      </c>
      <c r="AE138" s="1864">
        <f>AD138</f>
        <v>-2.8322499999999877</v>
      </c>
      <c r="AF138" s="1864">
        <f>AE138</f>
        <v>-2.8322499999999877</v>
      </c>
      <c r="AG138" s="1864">
        <f>SUM(AC138:AF138)</f>
        <v>-11.328999999999951</v>
      </c>
      <c r="AH138" s="1864">
        <f>AG138</f>
        <v>-11.328999999999951</v>
      </c>
      <c r="AI138" s="1864">
        <f>AH138</f>
        <v>-11.328999999999951</v>
      </c>
      <c r="AJ138" s="1864">
        <f>AI138</f>
        <v>-11.328999999999951</v>
      </c>
      <c r="AK138" s="1864">
        <f>AJ138</f>
        <v>-11.328999999999951</v>
      </c>
      <c r="AL138" s="1864">
        <f>SUM(AH138:AK138)</f>
        <v>-45.315999999999804</v>
      </c>
      <c r="AM138" s="1864">
        <f>AL138</f>
        <v>-45.315999999999804</v>
      </c>
      <c r="AN138" s="1864">
        <f>AM138</f>
        <v>-45.315999999999804</v>
      </c>
      <c r="AO138" s="1864">
        <f>AN138</f>
        <v>-45.315999999999804</v>
      </c>
      <c r="AP138" s="1864">
        <f>AO138</f>
        <v>-45.315999999999804</v>
      </c>
      <c r="AQ138" s="1864">
        <f>SUM(AM138:AP138)</f>
        <v>-181.26399999999921</v>
      </c>
      <c r="AR138" s="1864">
        <f>AQ138</f>
        <v>-181.26399999999921</v>
      </c>
      <c r="AS138" s="1864">
        <f>AR138</f>
        <v>-181.26399999999921</v>
      </c>
      <c r="AT138" s="1864">
        <f>AS138</f>
        <v>-181.26399999999921</v>
      </c>
      <c r="AU138" s="1864">
        <f>AT138</f>
        <v>-181.26399999999921</v>
      </c>
      <c r="AV138" s="1864">
        <f>SUM(AR138:AU138)</f>
        <v>-725.05599999999686</v>
      </c>
      <c r="AW138" s="1864">
        <f>AV138</f>
        <v>-725.05599999999686</v>
      </c>
      <c r="AX138" s="1864">
        <f>AW138</f>
        <v>-725.05599999999686</v>
      </c>
      <c r="AY138" s="1864">
        <f>AX138</f>
        <v>-725.05599999999686</v>
      </c>
      <c r="AZ138" s="1864">
        <f>AY138</f>
        <v>-725.05599999999686</v>
      </c>
      <c r="BA138" s="1864">
        <f>SUM(AW138:AZ138)</f>
        <v>-2900.2239999999874</v>
      </c>
      <c r="BB138" s="1864">
        <f>BA138</f>
        <v>-2900.2239999999874</v>
      </c>
      <c r="BC138" s="1864">
        <f>BB138</f>
        <v>-2900.2239999999874</v>
      </c>
      <c r="BD138" s="1864">
        <f>BC138</f>
        <v>-2900.2239999999874</v>
      </c>
      <c r="BE138" s="1864">
        <f>BD138</f>
        <v>-2900.2239999999874</v>
      </c>
      <c r="BF138" s="1864">
        <f>SUM(BB138:BE138)</f>
        <v>-11600.89599999995</v>
      </c>
    </row>
    <row r="139" spans="1:58" hidden="1" x14ac:dyDescent="0.25">
      <c r="A139" s="628" t="s">
        <v>593</v>
      </c>
      <c r="B139" s="1798"/>
      <c r="C139" s="1798"/>
      <c r="D139" s="1798"/>
      <c r="E139" s="628"/>
      <c r="F139" s="628"/>
      <c r="G139" s="628"/>
      <c r="H139" s="628"/>
      <c r="I139" s="628"/>
      <c r="J139" s="628"/>
      <c r="K139" s="628"/>
      <c r="L139" s="628"/>
      <c r="M139" s="628"/>
      <c r="N139" s="1865">
        <f>N137+N138</f>
        <v>-20.09</v>
      </c>
      <c r="O139" s="1865">
        <f>O137+O138</f>
        <v>-19.704000000000001</v>
      </c>
      <c r="P139" s="1865">
        <f>P137+P138</f>
        <v>-18.692</v>
      </c>
      <c r="Q139" s="1865">
        <f>Q137+Q138</f>
        <v>-17.649999999999999</v>
      </c>
      <c r="R139" s="1865">
        <f>SUM(N139:Q139)</f>
        <v>-76.135999999999996</v>
      </c>
      <c r="S139" s="1865">
        <f t="shared" ref="S139:AM139" si="84">S137+S138</f>
        <v>-17.393624999999997</v>
      </c>
      <c r="T139" s="1865">
        <f t="shared" si="84"/>
        <v>-17.393624999999997</v>
      </c>
      <c r="U139" s="1865">
        <f t="shared" si="84"/>
        <v>-17.393624999999997</v>
      </c>
      <c r="V139" s="1865">
        <f t="shared" si="84"/>
        <v>-17.393624999999997</v>
      </c>
      <c r="W139" s="1865">
        <f t="shared" si="84"/>
        <v>-69.574499999999986</v>
      </c>
      <c r="X139" s="1865">
        <f>X137+X138</f>
        <v>-17.393624999999997</v>
      </c>
      <c r="Y139" s="1865">
        <f>Y137+Y138</f>
        <v>-17.393624999999997</v>
      </c>
      <c r="Z139" s="1865">
        <f>Z137+Z138</f>
        <v>-17.393624999999997</v>
      </c>
      <c r="AA139" s="1865">
        <f>AA137+AA138</f>
        <v>-17.393624999999997</v>
      </c>
      <c r="AB139" s="1865">
        <f t="shared" si="84"/>
        <v>-69.574499999999986</v>
      </c>
      <c r="AC139" s="1865">
        <f t="shared" si="84"/>
        <v>-19.517812499999987</v>
      </c>
      <c r="AD139" s="1865">
        <f t="shared" si="84"/>
        <v>-19.517812499999987</v>
      </c>
      <c r="AE139" s="1865">
        <f t="shared" si="84"/>
        <v>-18.661562499999988</v>
      </c>
      <c r="AF139" s="1865">
        <f t="shared" si="84"/>
        <v>-18.661562499999988</v>
      </c>
      <c r="AG139" s="1865">
        <f t="shared" si="84"/>
        <v>-76.358749999999958</v>
      </c>
      <c r="AH139" s="1865">
        <f t="shared" si="84"/>
        <v>-28.014562499999951</v>
      </c>
      <c r="AI139" s="1865">
        <f t="shared" si="84"/>
        <v>-28.014562499999951</v>
      </c>
      <c r="AJ139" s="1865">
        <f t="shared" si="84"/>
        <v>-27.158312499999951</v>
      </c>
      <c r="AK139" s="1865">
        <f t="shared" si="84"/>
        <v>-27.158312499999951</v>
      </c>
      <c r="AL139" s="1865">
        <f t="shared" si="84"/>
        <v>-110.34574999999981</v>
      </c>
      <c r="AM139" s="1865">
        <f t="shared" si="84"/>
        <v>-62.001562499999807</v>
      </c>
      <c r="AN139" s="1865">
        <f>AN137+AN138</f>
        <v>-62.001562499999807</v>
      </c>
      <c r="AO139" s="1865">
        <f>AO137+AO138</f>
        <v>-61.145312499999804</v>
      </c>
      <c r="AP139" s="1865">
        <f>AP137+AP138</f>
        <v>-61.145312499999804</v>
      </c>
      <c r="AQ139" s="1865">
        <f>AQ137+AQ138</f>
        <v>-246.29374999999922</v>
      </c>
      <c r="AR139" s="1865">
        <f>AR137+AR138</f>
        <v>-197.94956249999922</v>
      </c>
      <c r="AS139" s="1865">
        <f t="shared" ref="AS139:BA139" si="85">AS137+AS138</f>
        <v>-197.94956249999922</v>
      </c>
      <c r="AT139" s="1865">
        <f t="shared" si="85"/>
        <v>-197.09331249999923</v>
      </c>
      <c r="AU139" s="1865">
        <f t="shared" si="85"/>
        <v>-197.09331249999923</v>
      </c>
      <c r="AV139" s="1865">
        <f t="shared" si="85"/>
        <v>-790.08574999999689</v>
      </c>
      <c r="AW139" s="1865">
        <f t="shared" si="85"/>
        <v>-741.7415624999968</v>
      </c>
      <c r="AX139" s="1865">
        <f t="shared" si="85"/>
        <v>-741.7415624999968</v>
      </c>
      <c r="AY139" s="1865">
        <f t="shared" si="85"/>
        <v>-740.88531249999687</v>
      </c>
      <c r="AZ139" s="1865">
        <f t="shared" si="85"/>
        <v>-740.88531249999687</v>
      </c>
      <c r="BA139" s="1865">
        <f t="shared" si="85"/>
        <v>-2965.2537499999876</v>
      </c>
      <c r="BB139" s="1865">
        <f>BB137+BB138</f>
        <v>-2916.9095624999873</v>
      </c>
      <c r="BC139" s="1865">
        <f>BC137+BC138</f>
        <v>-2916.9095624999873</v>
      </c>
      <c r="BD139" s="1865">
        <f>BD137+BD138</f>
        <v>-2916.0533124999874</v>
      </c>
      <c r="BE139" s="1865">
        <f>BE137+BE138</f>
        <v>-2916.0533124999874</v>
      </c>
      <c r="BF139" s="1865">
        <f>BF137+BF138</f>
        <v>-11665.925749999949</v>
      </c>
    </row>
    <row r="140" spans="1:58" hidden="1" x14ac:dyDescent="0.25">
      <c r="A140" s="628"/>
      <c r="B140" s="1798"/>
      <c r="C140" s="1798"/>
      <c r="D140" s="1798"/>
      <c r="E140" s="628"/>
      <c r="F140" s="628"/>
      <c r="G140" s="628"/>
      <c r="H140" s="628"/>
      <c r="I140" s="628"/>
      <c r="J140" s="628"/>
      <c r="K140" s="628"/>
      <c r="L140" s="628"/>
      <c r="M140" s="628"/>
      <c r="N140" s="628"/>
      <c r="O140" s="628"/>
      <c r="P140" s="628"/>
      <c r="Q140" s="628"/>
      <c r="R140" s="628"/>
      <c r="S140" s="628"/>
      <c r="T140" s="628"/>
      <c r="U140" s="628"/>
      <c r="V140" s="628"/>
      <c r="W140" s="628"/>
      <c r="X140" s="628"/>
      <c r="Y140" s="628"/>
      <c r="Z140" s="628"/>
      <c r="AA140" s="628"/>
      <c r="AB140" s="628"/>
      <c r="AC140" s="628"/>
      <c r="AD140" s="628"/>
      <c r="AE140" s="628"/>
      <c r="AF140" s="628"/>
      <c r="AG140" s="628"/>
      <c r="AH140" s="628"/>
      <c r="AI140" s="628"/>
      <c r="AJ140" s="628"/>
      <c r="AK140" s="628"/>
      <c r="AL140" s="628"/>
      <c r="AM140" s="628"/>
      <c r="AN140" s="628"/>
      <c r="AO140" s="628"/>
      <c r="AP140" s="628"/>
      <c r="AQ140" s="628"/>
      <c r="AR140" s="628"/>
      <c r="AS140" s="628"/>
      <c r="AT140" s="628"/>
      <c r="AU140" s="628"/>
      <c r="AV140" s="628"/>
      <c r="AW140" s="628"/>
      <c r="AX140" s="628"/>
      <c r="AY140" s="628"/>
      <c r="AZ140" s="628"/>
      <c r="BA140" s="628"/>
      <c r="BB140" s="628"/>
      <c r="BC140" s="628"/>
      <c r="BD140" s="628"/>
      <c r="BE140" s="628"/>
      <c r="BF140" s="628"/>
    </row>
    <row r="141" spans="1:58" hidden="1" x14ac:dyDescent="0.25">
      <c r="A141" s="628" t="s">
        <v>594</v>
      </c>
      <c r="B141" s="1798"/>
      <c r="C141" s="1798"/>
      <c r="D141" s="1798"/>
      <c r="E141" s="628"/>
      <c r="F141" s="628"/>
      <c r="G141" s="628"/>
      <c r="H141" s="628"/>
      <c r="I141" s="628"/>
      <c r="J141" s="628"/>
      <c r="K141" s="628"/>
      <c r="L141" s="628"/>
      <c r="M141" s="628"/>
      <c r="N141" s="1866"/>
      <c r="O141" s="1866"/>
      <c r="P141" s="1866">
        <f>-(B115+B122)</f>
        <v>-100</v>
      </c>
      <c r="Q141" s="1866">
        <f>-(B116+B126)</f>
        <v>-35</v>
      </c>
      <c r="R141" s="1866"/>
      <c r="S141" s="1866"/>
      <c r="T141" s="1866"/>
      <c r="U141" s="1866"/>
      <c r="V141" s="1866"/>
      <c r="W141" s="1866"/>
      <c r="X141" s="1866">
        <v>0</v>
      </c>
      <c r="Y141" s="1866">
        <f>-B118-B128</f>
        <v>-135</v>
      </c>
      <c r="Z141" s="1866">
        <v>0</v>
      </c>
      <c r="AA141" s="1866">
        <f>+-B117-B127</f>
        <v>-35</v>
      </c>
      <c r="AB141" s="1866">
        <f>-(B117+B118+B127+B128)</f>
        <v>-170</v>
      </c>
      <c r="AC141" s="1866">
        <v>0</v>
      </c>
      <c r="AD141" s="1866">
        <v>0</v>
      </c>
      <c r="AE141" s="1866">
        <v>0</v>
      </c>
      <c r="AF141" s="1866">
        <v>0</v>
      </c>
      <c r="AG141" s="1866">
        <f>-(G117+G118+G127+G128)</f>
        <v>0</v>
      </c>
      <c r="AH141" s="1866">
        <v>0</v>
      </c>
      <c r="AI141" s="1866">
        <v>0</v>
      </c>
      <c r="AJ141" s="1866">
        <v>0</v>
      </c>
      <c r="AK141" s="1866">
        <v>0</v>
      </c>
      <c r="AL141" s="1866">
        <f>-(L117+L118+L127+L128)</f>
        <v>0</v>
      </c>
      <c r="AM141" s="1866">
        <v>0</v>
      </c>
      <c r="AN141" s="1866">
        <v>0</v>
      </c>
      <c r="AO141" s="1866">
        <v>0</v>
      </c>
      <c r="AP141" s="1866">
        <v>0</v>
      </c>
      <c r="AQ141" s="1866">
        <f>-(Q117+Q118+Q127+Q128)</f>
        <v>2.6405624999999997</v>
      </c>
      <c r="AR141" s="1866">
        <v>0</v>
      </c>
      <c r="AS141" s="1866">
        <v>0</v>
      </c>
      <c r="AT141" s="1866">
        <v>0</v>
      </c>
      <c r="AU141" s="1866">
        <v>0</v>
      </c>
      <c r="AV141" s="1866">
        <f>-(V117+V118+V127+V128)</f>
        <v>2.6405624999999997</v>
      </c>
      <c r="AW141" s="1866">
        <v>0</v>
      </c>
      <c r="AX141" s="1866">
        <v>0</v>
      </c>
      <c r="AY141" s="1866">
        <v>0</v>
      </c>
      <c r="AZ141" s="1866">
        <v>0</v>
      </c>
      <c r="BA141" s="1866">
        <f>-(AA117+AA118+AA127+AA128)</f>
        <v>2.6405624999999997</v>
      </c>
      <c r="BB141" s="1866">
        <v>0</v>
      </c>
      <c r="BC141" s="1866">
        <v>0</v>
      </c>
      <c r="BD141" s="1866">
        <v>0</v>
      </c>
      <c r="BE141" s="1866">
        <v>0</v>
      </c>
      <c r="BF141" s="1866">
        <f>-(AF117+AF118+AF127+AF128)</f>
        <v>2.6405624999999997</v>
      </c>
    </row>
    <row r="142" spans="1:58" x14ac:dyDescent="0.2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row>
  </sheetData>
  <pageMargins left="0.75" right="0.75" top="1" bottom="1" header="0.5" footer="0.5"/>
  <pageSetup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43"/>
  <sheetViews>
    <sheetView workbookViewId="0">
      <selection activeCell="B42" sqref="B42"/>
    </sheetView>
  </sheetViews>
  <sheetFormatPr defaultRowHeight="12.75" x14ac:dyDescent="0.2"/>
  <cols>
    <col min="1" max="1" width="29.5703125" style="2018" bestFit="1" customWidth="1"/>
    <col min="2" max="2" width="19.85546875" style="2032" customWidth="1"/>
    <col min="3" max="3" width="12" style="2018" bestFit="1" customWidth="1"/>
    <col min="4" max="256" width="9.140625" style="2018"/>
    <col min="257" max="257" width="29.5703125" style="2018" bestFit="1" customWidth="1"/>
    <col min="258" max="258" width="19.85546875" style="2018" customWidth="1"/>
    <col min="259" max="259" width="12" style="2018" bestFit="1" customWidth="1"/>
    <col min="260" max="512" width="9.140625" style="2018"/>
    <col min="513" max="513" width="29.5703125" style="2018" bestFit="1" customWidth="1"/>
    <col min="514" max="514" width="19.85546875" style="2018" customWidth="1"/>
    <col min="515" max="515" width="12" style="2018" bestFit="1" customWidth="1"/>
    <col min="516" max="768" width="9.140625" style="2018"/>
    <col min="769" max="769" width="29.5703125" style="2018" bestFit="1" customWidth="1"/>
    <col min="770" max="770" width="19.85546875" style="2018" customWidth="1"/>
    <col min="771" max="771" width="12" style="2018" bestFit="1" customWidth="1"/>
    <col min="772" max="1024" width="9.140625" style="2018"/>
    <col min="1025" max="1025" width="29.5703125" style="2018" bestFit="1" customWidth="1"/>
    <col min="1026" max="1026" width="19.85546875" style="2018" customWidth="1"/>
    <col min="1027" max="1027" width="12" style="2018" bestFit="1" customWidth="1"/>
    <col min="1028" max="1280" width="9.140625" style="2018"/>
    <col min="1281" max="1281" width="29.5703125" style="2018" bestFit="1" customWidth="1"/>
    <col min="1282" max="1282" width="19.85546875" style="2018" customWidth="1"/>
    <col min="1283" max="1283" width="12" style="2018" bestFit="1" customWidth="1"/>
    <col min="1284" max="1536" width="9.140625" style="2018"/>
    <col min="1537" max="1537" width="29.5703125" style="2018" bestFit="1" customWidth="1"/>
    <col min="1538" max="1538" width="19.85546875" style="2018" customWidth="1"/>
    <col min="1539" max="1539" width="12" style="2018" bestFit="1" customWidth="1"/>
    <col min="1540" max="1792" width="9.140625" style="2018"/>
    <col min="1793" max="1793" width="29.5703125" style="2018" bestFit="1" customWidth="1"/>
    <col min="1794" max="1794" width="19.85546875" style="2018" customWidth="1"/>
    <col min="1795" max="1795" width="12" style="2018" bestFit="1" customWidth="1"/>
    <col min="1796" max="2048" width="9.140625" style="2018"/>
    <col min="2049" max="2049" width="29.5703125" style="2018" bestFit="1" customWidth="1"/>
    <col min="2050" max="2050" width="19.85546875" style="2018" customWidth="1"/>
    <col min="2051" max="2051" width="12" style="2018" bestFit="1" customWidth="1"/>
    <col min="2052" max="2304" width="9.140625" style="2018"/>
    <col min="2305" max="2305" width="29.5703125" style="2018" bestFit="1" customWidth="1"/>
    <col min="2306" max="2306" width="19.85546875" style="2018" customWidth="1"/>
    <col min="2307" max="2307" width="12" style="2018" bestFit="1" customWidth="1"/>
    <col min="2308" max="2560" width="9.140625" style="2018"/>
    <col min="2561" max="2561" width="29.5703125" style="2018" bestFit="1" customWidth="1"/>
    <col min="2562" max="2562" width="19.85546875" style="2018" customWidth="1"/>
    <col min="2563" max="2563" width="12" style="2018" bestFit="1" customWidth="1"/>
    <col min="2564" max="2816" width="9.140625" style="2018"/>
    <col min="2817" max="2817" width="29.5703125" style="2018" bestFit="1" customWidth="1"/>
    <col min="2818" max="2818" width="19.85546875" style="2018" customWidth="1"/>
    <col min="2819" max="2819" width="12" style="2018" bestFit="1" customWidth="1"/>
    <col min="2820" max="3072" width="9.140625" style="2018"/>
    <col min="3073" max="3073" width="29.5703125" style="2018" bestFit="1" customWidth="1"/>
    <col min="3074" max="3074" width="19.85546875" style="2018" customWidth="1"/>
    <col min="3075" max="3075" width="12" style="2018" bestFit="1" customWidth="1"/>
    <col min="3076" max="3328" width="9.140625" style="2018"/>
    <col min="3329" max="3329" width="29.5703125" style="2018" bestFit="1" customWidth="1"/>
    <col min="3330" max="3330" width="19.85546875" style="2018" customWidth="1"/>
    <col min="3331" max="3331" width="12" style="2018" bestFit="1" customWidth="1"/>
    <col min="3332" max="3584" width="9.140625" style="2018"/>
    <col min="3585" max="3585" width="29.5703125" style="2018" bestFit="1" customWidth="1"/>
    <col min="3586" max="3586" width="19.85546875" style="2018" customWidth="1"/>
    <col min="3587" max="3587" width="12" style="2018" bestFit="1" customWidth="1"/>
    <col min="3588" max="3840" width="9.140625" style="2018"/>
    <col min="3841" max="3841" width="29.5703125" style="2018" bestFit="1" customWidth="1"/>
    <col min="3842" max="3842" width="19.85546875" style="2018" customWidth="1"/>
    <col min="3843" max="3843" width="12" style="2018" bestFit="1" customWidth="1"/>
    <col min="3844" max="4096" width="9.140625" style="2018"/>
    <col min="4097" max="4097" width="29.5703125" style="2018" bestFit="1" customWidth="1"/>
    <col min="4098" max="4098" width="19.85546875" style="2018" customWidth="1"/>
    <col min="4099" max="4099" width="12" style="2018" bestFit="1" customWidth="1"/>
    <col min="4100" max="4352" width="9.140625" style="2018"/>
    <col min="4353" max="4353" width="29.5703125" style="2018" bestFit="1" customWidth="1"/>
    <col min="4354" max="4354" width="19.85546875" style="2018" customWidth="1"/>
    <col min="4355" max="4355" width="12" style="2018" bestFit="1" customWidth="1"/>
    <col min="4356" max="4608" width="9.140625" style="2018"/>
    <col min="4609" max="4609" width="29.5703125" style="2018" bestFit="1" customWidth="1"/>
    <col min="4610" max="4610" width="19.85546875" style="2018" customWidth="1"/>
    <col min="4611" max="4611" width="12" style="2018" bestFit="1" customWidth="1"/>
    <col min="4612" max="4864" width="9.140625" style="2018"/>
    <col min="4865" max="4865" width="29.5703125" style="2018" bestFit="1" customWidth="1"/>
    <col min="4866" max="4866" width="19.85546875" style="2018" customWidth="1"/>
    <col min="4867" max="4867" width="12" style="2018" bestFit="1" customWidth="1"/>
    <col min="4868" max="5120" width="9.140625" style="2018"/>
    <col min="5121" max="5121" width="29.5703125" style="2018" bestFit="1" customWidth="1"/>
    <col min="5122" max="5122" width="19.85546875" style="2018" customWidth="1"/>
    <col min="5123" max="5123" width="12" style="2018" bestFit="1" customWidth="1"/>
    <col min="5124" max="5376" width="9.140625" style="2018"/>
    <col min="5377" max="5377" width="29.5703125" style="2018" bestFit="1" customWidth="1"/>
    <col min="5378" max="5378" width="19.85546875" style="2018" customWidth="1"/>
    <col min="5379" max="5379" width="12" style="2018" bestFit="1" customWidth="1"/>
    <col min="5380" max="5632" width="9.140625" style="2018"/>
    <col min="5633" max="5633" width="29.5703125" style="2018" bestFit="1" customWidth="1"/>
    <col min="5634" max="5634" width="19.85546875" style="2018" customWidth="1"/>
    <col min="5635" max="5635" width="12" style="2018" bestFit="1" customWidth="1"/>
    <col min="5636" max="5888" width="9.140625" style="2018"/>
    <col min="5889" max="5889" width="29.5703125" style="2018" bestFit="1" customWidth="1"/>
    <col min="5890" max="5890" width="19.85546875" style="2018" customWidth="1"/>
    <col min="5891" max="5891" width="12" style="2018" bestFit="1" customWidth="1"/>
    <col min="5892" max="6144" width="9.140625" style="2018"/>
    <col min="6145" max="6145" width="29.5703125" style="2018" bestFit="1" customWidth="1"/>
    <col min="6146" max="6146" width="19.85546875" style="2018" customWidth="1"/>
    <col min="6147" max="6147" width="12" style="2018" bestFit="1" customWidth="1"/>
    <col min="6148" max="6400" width="9.140625" style="2018"/>
    <col min="6401" max="6401" width="29.5703125" style="2018" bestFit="1" customWidth="1"/>
    <col min="6402" max="6402" width="19.85546875" style="2018" customWidth="1"/>
    <col min="6403" max="6403" width="12" style="2018" bestFit="1" customWidth="1"/>
    <col min="6404" max="6656" width="9.140625" style="2018"/>
    <col min="6657" max="6657" width="29.5703125" style="2018" bestFit="1" customWidth="1"/>
    <col min="6658" max="6658" width="19.85546875" style="2018" customWidth="1"/>
    <col min="6659" max="6659" width="12" style="2018" bestFit="1" customWidth="1"/>
    <col min="6660" max="6912" width="9.140625" style="2018"/>
    <col min="6913" max="6913" width="29.5703125" style="2018" bestFit="1" customWidth="1"/>
    <col min="6914" max="6914" width="19.85546875" style="2018" customWidth="1"/>
    <col min="6915" max="6915" width="12" style="2018" bestFit="1" customWidth="1"/>
    <col min="6916" max="7168" width="9.140625" style="2018"/>
    <col min="7169" max="7169" width="29.5703125" style="2018" bestFit="1" customWidth="1"/>
    <col min="7170" max="7170" width="19.85546875" style="2018" customWidth="1"/>
    <col min="7171" max="7171" width="12" style="2018" bestFit="1" customWidth="1"/>
    <col min="7172" max="7424" width="9.140625" style="2018"/>
    <col min="7425" max="7425" width="29.5703125" style="2018" bestFit="1" customWidth="1"/>
    <col min="7426" max="7426" width="19.85546875" style="2018" customWidth="1"/>
    <col min="7427" max="7427" width="12" style="2018" bestFit="1" customWidth="1"/>
    <col min="7428" max="7680" width="9.140625" style="2018"/>
    <col min="7681" max="7681" width="29.5703125" style="2018" bestFit="1" customWidth="1"/>
    <col min="7682" max="7682" width="19.85546875" style="2018" customWidth="1"/>
    <col min="7683" max="7683" width="12" style="2018" bestFit="1" customWidth="1"/>
    <col min="7684" max="7936" width="9.140625" style="2018"/>
    <col min="7937" max="7937" width="29.5703125" style="2018" bestFit="1" customWidth="1"/>
    <col min="7938" max="7938" width="19.85546875" style="2018" customWidth="1"/>
    <col min="7939" max="7939" width="12" style="2018" bestFit="1" customWidth="1"/>
    <col min="7940" max="8192" width="9.140625" style="2018"/>
    <col min="8193" max="8193" width="29.5703125" style="2018" bestFit="1" customWidth="1"/>
    <col min="8194" max="8194" width="19.85546875" style="2018" customWidth="1"/>
    <col min="8195" max="8195" width="12" style="2018" bestFit="1" customWidth="1"/>
    <col min="8196" max="8448" width="9.140625" style="2018"/>
    <col min="8449" max="8449" width="29.5703125" style="2018" bestFit="1" customWidth="1"/>
    <col min="8450" max="8450" width="19.85546875" style="2018" customWidth="1"/>
    <col min="8451" max="8451" width="12" style="2018" bestFit="1" customWidth="1"/>
    <col min="8452" max="8704" width="9.140625" style="2018"/>
    <col min="8705" max="8705" width="29.5703125" style="2018" bestFit="1" customWidth="1"/>
    <col min="8706" max="8706" width="19.85546875" style="2018" customWidth="1"/>
    <col min="8707" max="8707" width="12" style="2018" bestFit="1" customWidth="1"/>
    <col min="8708" max="8960" width="9.140625" style="2018"/>
    <col min="8961" max="8961" width="29.5703125" style="2018" bestFit="1" customWidth="1"/>
    <col min="8962" max="8962" width="19.85546875" style="2018" customWidth="1"/>
    <col min="8963" max="8963" width="12" style="2018" bestFit="1" customWidth="1"/>
    <col min="8964" max="9216" width="9.140625" style="2018"/>
    <col min="9217" max="9217" width="29.5703125" style="2018" bestFit="1" customWidth="1"/>
    <col min="9218" max="9218" width="19.85546875" style="2018" customWidth="1"/>
    <col min="9219" max="9219" width="12" style="2018" bestFit="1" customWidth="1"/>
    <col min="9220" max="9472" width="9.140625" style="2018"/>
    <col min="9473" max="9473" width="29.5703125" style="2018" bestFit="1" customWidth="1"/>
    <col min="9474" max="9474" width="19.85546875" style="2018" customWidth="1"/>
    <col min="9475" max="9475" width="12" style="2018" bestFit="1" customWidth="1"/>
    <col min="9476" max="9728" width="9.140625" style="2018"/>
    <col min="9729" max="9729" width="29.5703125" style="2018" bestFit="1" customWidth="1"/>
    <col min="9730" max="9730" width="19.85546875" style="2018" customWidth="1"/>
    <col min="9731" max="9731" width="12" style="2018" bestFit="1" customWidth="1"/>
    <col min="9732" max="9984" width="9.140625" style="2018"/>
    <col min="9985" max="9985" width="29.5703125" style="2018" bestFit="1" customWidth="1"/>
    <col min="9986" max="9986" width="19.85546875" style="2018" customWidth="1"/>
    <col min="9987" max="9987" width="12" style="2018" bestFit="1" customWidth="1"/>
    <col min="9988" max="10240" width="9.140625" style="2018"/>
    <col min="10241" max="10241" width="29.5703125" style="2018" bestFit="1" customWidth="1"/>
    <col min="10242" max="10242" width="19.85546875" style="2018" customWidth="1"/>
    <col min="10243" max="10243" width="12" style="2018" bestFit="1" customWidth="1"/>
    <col min="10244" max="10496" width="9.140625" style="2018"/>
    <col min="10497" max="10497" width="29.5703125" style="2018" bestFit="1" customWidth="1"/>
    <col min="10498" max="10498" width="19.85546875" style="2018" customWidth="1"/>
    <col min="10499" max="10499" width="12" style="2018" bestFit="1" customWidth="1"/>
    <col min="10500" max="10752" width="9.140625" style="2018"/>
    <col min="10753" max="10753" width="29.5703125" style="2018" bestFit="1" customWidth="1"/>
    <col min="10754" max="10754" width="19.85546875" style="2018" customWidth="1"/>
    <col min="10755" max="10755" width="12" style="2018" bestFit="1" customWidth="1"/>
    <col min="10756" max="11008" width="9.140625" style="2018"/>
    <col min="11009" max="11009" width="29.5703125" style="2018" bestFit="1" customWidth="1"/>
    <col min="11010" max="11010" width="19.85546875" style="2018" customWidth="1"/>
    <col min="11011" max="11011" width="12" style="2018" bestFit="1" customWidth="1"/>
    <col min="11012" max="11264" width="9.140625" style="2018"/>
    <col min="11265" max="11265" width="29.5703125" style="2018" bestFit="1" customWidth="1"/>
    <col min="11266" max="11266" width="19.85546875" style="2018" customWidth="1"/>
    <col min="11267" max="11267" width="12" style="2018" bestFit="1" customWidth="1"/>
    <col min="11268" max="11520" width="9.140625" style="2018"/>
    <col min="11521" max="11521" width="29.5703125" style="2018" bestFit="1" customWidth="1"/>
    <col min="11522" max="11522" width="19.85546875" style="2018" customWidth="1"/>
    <col min="11523" max="11523" width="12" style="2018" bestFit="1" customWidth="1"/>
    <col min="11524" max="11776" width="9.140625" style="2018"/>
    <col min="11777" max="11777" width="29.5703125" style="2018" bestFit="1" customWidth="1"/>
    <col min="11778" max="11778" width="19.85546875" style="2018" customWidth="1"/>
    <col min="11779" max="11779" width="12" style="2018" bestFit="1" customWidth="1"/>
    <col min="11780" max="12032" width="9.140625" style="2018"/>
    <col min="12033" max="12033" width="29.5703125" style="2018" bestFit="1" customWidth="1"/>
    <col min="12034" max="12034" width="19.85546875" style="2018" customWidth="1"/>
    <col min="12035" max="12035" width="12" style="2018" bestFit="1" customWidth="1"/>
    <col min="12036" max="12288" width="9.140625" style="2018"/>
    <col min="12289" max="12289" width="29.5703125" style="2018" bestFit="1" customWidth="1"/>
    <col min="12290" max="12290" width="19.85546875" style="2018" customWidth="1"/>
    <col min="12291" max="12291" width="12" style="2018" bestFit="1" customWidth="1"/>
    <col min="12292" max="12544" width="9.140625" style="2018"/>
    <col min="12545" max="12545" width="29.5703125" style="2018" bestFit="1" customWidth="1"/>
    <col min="12546" max="12546" width="19.85546875" style="2018" customWidth="1"/>
    <col min="12547" max="12547" width="12" style="2018" bestFit="1" customWidth="1"/>
    <col min="12548" max="12800" width="9.140625" style="2018"/>
    <col min="12801" max="12801" width="29.5703125" style="2018" bestFit="1" customWidth="1"/>
    <col min="12802" max="12802" width="19.85546875" style="2018" customWidth="1"/>
    <col min="12803" max="12803" width="12" style="2018" bestFit="1" customWidth="1"/>
    <col min="12804" max="13056" width="9.140625" style="2018"/>
    <col min="13057" max="13057" width="29.5703125" style="2018" bestFit="1" customWidth="1"/>
    <col min="13058" max="13058" width="19.85546875" style="2018" customWidth="1"/>
    <col min="13059" max="13059" width="12" style="2018" bestFit="1" customWidth="1"/>
    <col min="13060" max="13312" width="9.140625" style="2018"/>
    <col min="13313" max="13313" width="29.5703125" style="2018" bestFit="1" customWidth="1"/>
    <col min="13314" max="13314" width="19.85546875" style="2018" customWidth="1"/>
    <col min="13315" max="13315" width="12" style="2018" bestFit="1" customWidth="1"/>
    <col min="13316" max="13568" width="9.140625" style="2018"/>
    <col min="13569" max="13569" width="29.5703125" style="2018" bestFit="1" customWidth="1"/>
    <col min="13570" max="13570" width="19.85546875" style="2018" customWidth="1"/>
    <col min="13571" max="13571" width="12" style="2018" bestFit="1" customWidth="1"/>
    <col min="13572" max="13824" width="9.140625" style="2018"/>
    <col min="13825" max="13825" width="29.5703125" style="2018" bestFit="1" customWidth="1"/>
    <col min="13826" max="13826" width="19.85546875" style="2018" customWidth="1"/>
    <col min="13827" max="13827" width="12" style="2018" bestFit="1" customWidth="1"/>
    <col min="13828" max="14080" width="9.140625" style="2018"/>
    <col min="14081" max="14081" width="29.5703125" style="2018" bestFit="1" customWidth="1"/>
    <col min="14082" max="14082" width="19.85546875" style="2018" customWidth="1"/>
    <col min="14083" max="14083" width="12" style="2018" bestFit="1" customWidth="1"/>
    <col min="14084" max="14336" width="9.140625" style="2018"/>
    <col min="14337" max="14337" width="29.5703125" style="2018" bestFit="1" customWidth="1"/>
    <col min="14338" max="14338" width="19.85546875" style="2018" customWidth="1"/>
    <col min="14339" max="14339" width="12" style="2018" bestFit="1" customWidth="1"/>
    <col min="14340" max="14592" width="9.140625" style="2018"/>
    <col min="14593" max="14593" width="29.5703125" style="2018" bestFit="1" customWidth="1"/>
    <col min="14594" max="14594" width="19.85546875" style="2018" customWidth="1"/>
    <col min="14595" max="14595" width="12" style="2018" bestFit="1" customWidth="1"/>
    <col min="14596" max="14848" width="9.140625" style="2018"/>
    <col min="14849" max="14849" width="29.5703125" style="2018" bestFit="1" customWidth="1"/>
    <col min="14850" max="14850" width="19.85546875" style="2018" customWidth="1"/>
    <col min="14851" max="14851" width="12" style="2018" bestFit="1" customWidth="1"/>
    <col min="14852" max="15104" width="9.140625" style="2018"/>
    <col min="15105" max="15105" width="29.5703125" style="2018" bestFit="1" customWidth="1"/>
    <col min="15106" max="15106" width="19.85546875" style="2018" customWidth="1"/>
    <col min="15107" max="15107" width="12" style="2018" bestFit="1" customWidth="1"/>
    <col min="15108" max="15360" width="9.140625" style="2018"/>
    <col min="15361" max="15361" width="29.5703125" style="2018" bestFit="1" customWidth="1"/>
    <col min="15362" max="15362" width="19.85546875" style="2018" customWidth="1"/>
    <col min="15363" max="15363" width="12" style="2018" bestFit="1" customWidth="1"/>
    <col min="15364" max="15616" width="9.140625" style="2018"/>
    <col min="15617" max="15617" width="29.5703125" style="2018" bestFit="1" customWidth="1"/>
    <col min="15618" max="15618" width="19.85546875" style="2018" customWidth="1"/>
    <col min="15619" max="15619" width="12" style="2018" bestFit="1" customWidth="1"/>
    <col min="15620" max="15872" width="9.140625" style="2018"/>
    <col min="15873" max="15873" width="29.5703125" style="2018" bestFit="1" customWidth="1"/>
    <col min="15874" max="15874" width="19.85546875" style="2018" customWidth="1"/>
    <col min="15875" max="15875" width="12" style="2018" bestFit="1" customWidth="1"/>
    <col min="15876" max="16128" width="9.140625" style="2018"/>
    <col min="16129" max="16129" width="29.5703125" style="2018" bestFit="1" customWidth="1"/>
    <col min="16130" max="16130" width="19.85546875" style="2018" customWidth="1"/>
    <col min="16131" max="16131" width="12" style="2018" bestFit="1" customWidth="1"/>
    <col min="16132" max="16384" width="9.140625" style="2018"/>
  </cols>
  <sheetData>
    <row r="1" spans="1:2" x14ac:dyDescent="0.2">
      <c r="A1" s="2018" t="s">
        <v>936</v>
      </c>
      <c r="B1" s="2031">
        <v>6.1</v>
      </c>
    </row>
    <row r="2" spans="1:2" x14ac:dyDescent="0.2">
      <c r="A2" s="2018" t="s">
        <v>937</v>
      </c>
      <c r="B2" s="2035">
        <v>43152.756631944445</v>
      </c>
    </row>
    <row r="3" spans="1:2" x14ac:dyDescent="0.2">
      <c r="A3" s="2018" t="s">
        <v>938</v>
      </c>
      <c r="B3" s="2032" t="s">
        <v>638</v>
      </c>
    </row>
    <row r="4" spans="1:2" x14ac:dyDescent="0.2">
      <c r="A4" s="2018" t="s">
        <v>939</v>
      </c>
      <c r="B4" s="2032" t="s">
        <v>940</v>
      </c>
    </row>
    <row r="5" spans="1:2" x14ac:dyDescent="0.2">
      <c r="A5" s="2018" t="s">
        <v>941</v>
      </c>
      <c r="B5" s="2032" t="s">
        <v>942</v>
      </c>
    </row>
    <row r="6" spans="1:2" x14ac:dyDescent="0.2">
      <c r="A6" s="2018" t="s">
        <v>943</v>
      </c>
    </row>
    <row r="7" spans="1:2" x14ac:dyDescent="0.2">
      <c r="A7" s="2018" t="s">
        <v>944</v>
      </c>
      <c r="B7" s="2032" t="s">
        <v>596</v>
      </c>
    </row>
    <row r="8" spans="1:2" x14ac:dyDescent="0.2">
      <c r="A8" s="2018" t="s">
        <v>945</v>
      </c>
      <c r="B8" s="2032" t="s">
        <v>946</v>
      </c>
    </row>
    <row r="9" spans="1:2" x14ac:dyDescent="0.2">
      <c r="A9" s="2018" t="s">
        <v>947</v>
      </c>
      <c r="B9" s="2032" t="s">
        <v>984</v>
      </c>
    </row>
    <row r="10" spans="1:2" x14ac:dyDescent="0.2">
      <c r="A10" s="2018" t="s">
        <v>948</v>
      </c>
    </row>
    <row r="11" spans="1:2" x14ac:dyDescent="0.2">
      <c r="A11" s="2018" t="s">
        <v>949</v>
      </c>
    </row>
    <row r="12" spans="1:2" x14ac:dyDescent="0.2">
      <c r="A12" s="2018" t="s">
        <v>950</v>
      </c>
    </row>
    <row r="13" spans="1:2" x14ac:dyDescent="0.2">
      <c r="A13" s="2018" t="s">
        <v>951</v>
      </c>
    </row>
    <row r="14" spans="1:2" x14ac:dyDescent="0.2">
      <c r="A14" s="2018" t="s">
        <v>952</v>
      </c>
    </row>
    <row r="15" spans="1:2" x14ac:dyDescent="0.2">
      <c r="A15" s="2018" t="s">
        <v>953</v>
      </c>
    </row>
    <row r="16" spans="1:2" x14ac:dyDescent="0.2">
      <c r="A16" s="2018" t="s">
        <v>954</v>
      </c>
    </row>
    <row r="17" spans="1:4" x14ac:dyDescent="0.2">
      <c r="A17" s="2018" t="s">
        <v>955</v>
      </c>
      <c r="B17" s="2032" t="s">
        <v>985</v>
      </c>
    </row>
    <row r="18" spans="1:4" x14ac:dyDescent="0.2">
      <c r="A18" s="2018" t="s">
        <v>956</v>
      </c>
      <c r="B18" s="2032" t="s">
        <v>988</v>
      </c>
    </row>
    <row r="19" spans="1:4" x14ac:dyDescent="0.2">
      <c r="A19" s="2018" t="s">
        <v>957</v>
      </c>
      <c r="B19" s="2032" t="s">
        <v>595</v>
      </c>
    </row>
    <row r="20" spans="1:4" x14ac:dyDescent="0.2">
      <c r="A20" s="2018" t="s">
        <v>958</v>
      </c>
      <c r="B20" s="2033" t="s">
        <v>989</v>
      </c>
    </row>
    <row r="21" spans="1:4" x14ac:dyDescent="0.2">
      <c r="A21" s="2018" t="s">
        <v>959</v>
      </c>
      <c r="B21" s="2032" t="s">
        <v>595</v>
      </c>
    </row>
    <row r="22" spans="1:4" x14ac:dyDescent="0.2">
      <c r="A22" s="2018" t="s">
        <v>960</v>
      </c>
      <c r="B22" s="2033" t="s">
        <v>606</v>
      </c>
    </row>
    <row r="23" spans="1:4" x14ac:dyDescent="0.2">
      <c r="A23" s="2018" t="s">
        <v>598</v>
      </c>
      <c r="B23" s="2031">
        <v>99.23</v>
      </c>
    </row>
    <row r="24" spans="1:4" x14ac:dyDescent="0.2">
      <c r="A24" s="2018" t="s">
        <v>597</v>
      </c>
      <c r="B24" s="2032" t="s">
        <v>600</v>
      </c>
      <c r="D24" s="2018" t="s">
        <v>51</v>
      </c>
    </row>
    <row r="25" spans="1:4" x14ac:dyDescent="0.2">
      <c r="A25" s="2018" t="s">
        <v>961</v>
      </c>
      <c r="B25" s="2032" t="s">
        <v>990</v>
      </c>
    </row>
    <row r="26" spans="1:4" x14ac:dyDescent="0.2">
      <c r="A26" s="2018" t="s">
        <v>962</v>
      </c>
      <c r="B26" s="2032">
        <v>0</v>
      </c>
    </row>
    <row r="27" spans="1:4" x14ac:dyDescent="0.2">
      <c r="A27" s="2018" t="s">
        <v>963</v>
      </c>
      <c r="B27" s="2032" t="s">
        <v>964</v>
      </c>
    </row>
    <row r="28" spans="1:4" x14ac:dyDescent="0.2">
      <c r="A28" s="2018" t="s">
        <v>965</v>
      </c>
      <c r="B28" s="2032" t="s">
        <v>966</v>
      </c>
    </row>
    <row r="29" spans="1:4" x14ac:dyDescent="0.2">
      <c r="A29" s="2018" t="s">
        <v>967</v>
      </c>
    </row>
    <row r="30" spans="1:4" x14ac:dyDescent="0.2">
      <c r="A30" s="2018" t="s">
        <v>968</v>
      </c>
    </row>
    <row r="31" spans="1:4" x14ac:dyDescent="0.2">
      <c r="A31" s="2018" t="s">
        <v>969</v>
      </c>
    </row>
    <row r="32" spans="1:4" x14ac:dyDescent="0.2">
      <c r="A32" s="2018" t="s">
        <v>970</v>
      </c>
      <c r="B32" s="2031"/>
    </row>
    <row r="33" spans="1:2" x14ac:dyDescent="0.2">
      <c r="A33" s="2018" t="s">
        <v>971</v>
      </c>
      <c r="B33" s="2031"/>
    </row>
    <row r="34" spans="1:2" x14ac:dyDescent="0.2">
      <c r="A34" s="2018" t="s">
        <v>972</v>
      </c>
      <c r="B34" s="2031"/>
    </row>
    <row r="35" spans="1:2" x14ac:dyDescent="0.2">
      <c r="A35" s="2018" t="s">
        <v>973</v>
      </c>
      <c r="B35" s="2032">
        <v>1000000</v>
      </c>
    </row>
    <row r="36" spans="1:2" x14ac:dyDescent="0.2">
      <c r="A36" s="2018" t="s">
        <v>974</v>
      </c>
      <c r="B36" s="2032" t="s">
        <v>986</v>
      </c>
    </row>
    <row r="37" spans="1:2" x14ac:dyDescent="0.2">
      <c r="A37" s="2018" t="s">
        <v>975</v>
      </c>
      <c r="B37" s="2032" t="s">
        <v>976</v>
      </c>
    </row>
    <row r="38" spans="1:2" x14ac:dyDescent="0.2">
      <c r="A38" s="2018" t="s">
        <v>977</v>
      </c>
      <c r="B38" s="2032" t="s">
        <v>978</v>
      </c>
    </row>
    <row r="39" spans="1:2" x14ac:dyDescent="0.2">
      <c r="A39" s="2018" t="s">
        <v>979</v>
      </c>
      <c r="B39" s="2032" t="s">
        <v>987</v>
      </c>
    </row>
    <row r="40" spans="1:2" x14ac:dyDescent="0.2">
      <c r="A40" s="2018" t="s">
        <v>980</v>
      </c>
      <c r="B40" s="2032">
        <v>1500005463</v>
      </c>
    </row>
    <row r="41" spans="1:2" x14ac:dyDescent="0.2">
      <c r="A41" s="2018" t="s">
        <v>981</v>
      </c>
      <c r="B41" s="2032">
        <v>1</v>
      </c>
    </row>
    <row r="42" spans="1:2" x14ac:dyDescent="0.2">
      <c r="A42" s="2034" t="s">
        <v>982</v>
      </c>
      <c r="B42" s="2032" t="s">
        <v>991</v>
      </c>
    </row>
    <row r="43" spans="1:2" x14ac:dyDescent="0.2">
      <c r="A43" s="2018" t="s">
        <v>983</v>
      </c>
    </row>
  </sheetData>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13"/>
  <sheetViews>
    <sheetView workbookViewId="0">
      <selection activeCell="E11" sqref="E11"/>
    </sheetView>
  </sheetViews>
  <sheetFormatPr defaultRowHeight="12.75" x14ac:dyDescent="0.2"/>
  <cols>
    <col min="1" max="1" width="28.5703125" style="2018" bestFit="1" customWidth="1"/>
    <col min="2" max="256" width="9.140625" style="2018"/>
    <col min="257" max="257" width="28.5703125" style="2018" bestFit="1" customWidth="1"/>
    <col min="258" max="512" width="9.140625" style="2018"/>
    <col min="513" max="513" width="28.5703125" style="2018" bestFit="1" customWidth="1"/>
    <col min="514" max="768" width="9.140625" style="2018"/>
    <col min="769" max="769" width="28.5703125" style="2018" bestFit="1" customWidth="1"/>
    <col min="770" max="1024" width="9.140625" style="2018"/>
    <col min="1025" max="1025" width="28.5703125" style="2018" bestFit="1" customWidth="1"/>
    <col min="1026" max="1280" width="9.140625" style="2018"/>
    <col min="1281" max="1281" width="28.5703125" style="2018" bestFit="1" customWidth="1"/>
    <col min="1282" max="1536" width="9.140625" style="2018"/>
    <col min="1537" max="1537" width="28.5703125" style="2018" bestFit="1" customWidth="1"/>
    <col min="1538" max="1792" width="9.140625" style="2018"/>
    <col min="1793" max="1793" width="28.5703125" style="2018" bestFit="1" customWidth="1"/>
    <col min="1794" max="2048" width="9.140625" style="2018"/>
    <col min="2049" max="2049" width="28.5703125" style="2018" bestFit="1" customWidth="1"/>
    <col min="2050" max="2304" width="9.140625" style="2018"/>
    <col min="2305" max="2305" width="28.5703125" style="2018" bestFit="1" customWidth="1"/>
    <col min="2306" max="2560" width="9.140625" style="2018"/>
    <col min="2561" max="2561" width="28.5703125" style="2018" bestFit="1" customWidth="1"/>
    <col min="2562" max="2816" width="9.140625" style="2018"/>
    <col min="2817" max="2817" width="28.5703125" style="2018" bestFit="1" customWidth="1"/>
    <col min="2818" max="3072" width="9.140625" style="2018"/>
    <col min="3073" max="3073" width="28.5703125" style="2018" bestFit="1" customWidth="1"/>
    <col min="3074" max="3328" width="9.140625" style="2018"/>
    <col min="3329" max="3329" width="28.5703125" style="2018" bestFit="1" customWidth="1"/>
    <col min="3330" max="3584" width="9.140625" style="2018"/>
    <col min="3585" max="3585" width="28.5703125" style="2018" bestFit="1" customWidth="1"/>
    <col min="3586" max="3840" width="9.140625" style="2018"/>
    <col min="3841" max="3841" width="28.5703125" style="2018" bestFit="1" customWidth="1"/>
    <col min="3842" max="4096" width="9.140625" style="2018"/>
    <col min="4097" max="4097" width="28.5703125" style="2018" bestFit="1" customWidth="1"/>
    <col min="4098" max="4352" width="9.140625" style="2018"/>
    <col min="4353" max="4353" width="28.5703125" style="2018" bestFit="1" customWidth="1"/>
    <col min="4354" max="4608" width="9.140625" style="2018"/>
    <col min="4609" max="4609" width="28.5703125" style="2018" bestFit="1" customWidth="1"/>
    <col min="4610" max="4864" width="9.140625" style="2018"/>
    <col min="4865" max="4865" width="28.5703125" style="2018" bestFit="1" customWidth="1"/>
    <col min="4866" max="5120" width="9.140625" style="2018"/>
    <col min="5121" max="5121" width="28.5703125" style="2018" bestFit="1" customWidth="1"/>
    <col min="5122" max="5376" width="9.140625" style="2018"/>
    <col min="5377" max="5377" width="28.5703125" style="2018" bestFit="1" customWidth="1"/>
    <col min="5378" max="5632" width="9.140625" style="2018"/>
    <col min="5633" max="5633" width="28.5703125" style="2018" bestFit="1" customWidth="1"/>
    <col min="5634" max="5888" width="9.140625" style="2018"/>
    <col min="5889" max="5889" width="28.5703125" style="2018" bestFit="1" customWidth="1"/>
    <col min="5890" max="6144" width="9.140625" style="2018"/>
    <col min="6145" max="6145" width="28.5703125" style="2018" bestFit="1" customWidth="1"/>
    <col min="6146" max="6400" width="9.140625" style="2018"/>
    <col min="6401" max="6401" width="28.5703125" style="2018" bestFit="1" customWidth="1"/>
    <col min="6402" max="6656" width="9.140625" style="2018"/>
    <col min="6657" max="6657" width="28.5703125" style="2018" bestFit="1" customWidth="1"/>
    <col min="6658" max="6912" width="9.140625" style="2018"/>
    <col min="6913" max="6913" width="28.5703125" style="2018" bestFit="1" customWidth="1"/>
    <col min="6914" max="7168" width="9.140625" style="2018"/>
    <col min="7169" max="7169" width="28.5703125" style="2018" bestFit="1" customWidth="1"/>
    <col min="7170" max="7424" width="9.140625" style="2018"/>
    <col min="7425" max="7425" width="28.5703125" style="2018" bestFit="1" customWidth="1"/>
    <col min="7426" max="7680" width="9.140625" style="2018"/>
    <col min="7681" max="7681" width="28.5703125" style="2018" bestFit="1" customWidth="1"/>
    <col min="7682" max="7936" width="9.140625" style="2018"/>
    <col min="7937" max="7937" width="28.5703125" style="2018" bestFit="1" customWidth="1"/>
    <col min="7938" max="8192" width="9.140625" style="2018"/>
    <col min="8193" max="8193" width="28.5703125" style="2018" bestFit="1" customWidth="1"/>
    <col min="8194" max="8448" width="9.140625" style="2018"/>
    <col min="8449" max="8449" width="28.5703125" style="2018" bestFit="1" customWidth="1"/>
    <col min="8450" max="8704" width="9.140625" style="2018"/>
    <col min="8705" max="8705" width="28.5703125" style="2018" bestFit="1" customWidth="1"/>
    <col min="8706" max="8960" width="9.140625" style="2018"/>
    <col min="8961" max="8961" width="28.5703125" style="2018" bestFit="1" customWidth="1"/>
    <col min="8962" max="9216" width="9.140625" style="2018"/>
    <col min="9217" max="9217" width="28.5703125" style="2018" bestFit="1" customWidth="1"/>
    <col min="9218" max="9472" width="9.140625" style="2018"/>
    <col min="9473" max="9473" width="28.5703125" style="2018" bestFit="1" customWidth="1"/>
    <col min="9474" max="9728" width="9.140625" style="2018"/>
    <col min="9729" max="9729" width="28.5703125" style="2018" bestFit="1" customWidth="1"/>
    <col min="9730" max="9984" width="9.140625" style="2018"/>
    <col min="9985" max="9985" width="28.5703125" style="2018" bestFit="1" customWidth="1"/>
    <col min="9986" max="10240" width="9.140625" style="2018"/>
    <col min="10241" max="10241" width="28.5703125" style="2018" bestFit="1" customWidth="1"/>
    <col min="10242" max="10496" width="9.140625" style="2018"/>
    <col min="10497" max="10497" width="28.5703125" style="2018" bestFit="1" customWidth="1"/>
    <col min="10498" max="10752" width="9.140625" style="2018"/>
    <col min="10753" max="10753" width="28.5703125" style="2018" bestFit="1" customWidth="1"/>
    <col min="10754" max="11008" width="9.140625" style="2018"/>
    <col min="11009" max="11009" width="28.5703125" style="2018" bestFit="1" customWidth="1"/>
    <col min="11010" max="11264" width="9.140625" style="2018"/>
    <col min="11265" max="11265" width="28.5703125" style="2018" bestFit="1" customWidth="1"/>
    <col min="11266" max="11520" width="9.140625" style="2018"/>
    <col min="11521" max="11521" width="28.5703125" style="2018" bestFit="1" customWidth="1"/>
    <col min="11522" max="11776" width="9.140625" style="2018"/>
    <col min="11777" max="11777" width="28.5703125" style="2018" bestFit="1" customWidth="1"/>
    <col min="11778" max="12032" width="9.140625" style="2018"/>
    <col min="12033" max="12033" width="28.5703125" style="2018" bestFit="1" customWidth="1"/>
    <col min="12034" max="12288" width="9.140625" style="2018"/>
    <col min="12289" max="12289" width="28.5703125" style="2018" bestFit="1" customWidth="1"/>
    <col min="12290" max="12544" width="9.140625" style="2018"/>
    <col min="12545" max="12545" width="28.5703125" style="2018" bestFit="1" customWidth="1"/>
    <col min="12546" max="12800" width="9.140625" style="2018"/>
    <col min="12801" max="12801" width="28.5703125" style="2018" bestFit="1" customWidth="1"/>
    <col min="12802" max="13056" width="9.140625" style="2018"/>
    <col min="13057" max="13057" width="28.5703125" style="2018" bestFit="1" customWidth="1"/>
    <col min="13058" max="13312" width="9.140625" style="2018"/>
    <col min="13313" max="13313" width="28.5703125" style="2018" bestFit="1" customWidth="1"/>
    <col min="13314" max="13568" width="9.140625" style="2018"/>
    <col min="13569" max="13569" width="28.5703125" style="2018" bestFit="1" customWidth="1"/>
    <col min="13570" max="13824" width="9.140625" style="2018"/>
    <col min="13825" max="13825" width="28.5703125" style="2018" bestFit="1" customWidth="1"/>
    <col min="13826" max="14080" width="9.140625" style="2018"/>
    <col min="14081" max="14081" width="28.5703125" style="2018" bestFit="1" customWidth="1"/>
    <col min="14082" max="14336" width="9.140625" style="2018"/>
    <col min="14337" max="14337" width="28.5703125" style="2018" bestFit="1" customWidth="1"/>
    <col min="14338" max="14592" width="9.140625" style="2018"/>
    <col min="14593" max="14593" width="28.5703125" style="2018" bestFit="1" customWidth="1"/>
    <col min="14594" max="14848" width="9.140625" style="2018"/>
    <col min="14849" max="14849" width="28.5703125" style="2018" bestFit="1" customWidth="1"/>
    <col min="14850" max="15104" width="9.140625" style="2018"/>
    <col min="15105" max="15105" width="28.5703125" style="2018" bestFit="1" customWidth="1"/>
    <col min="15106" max="15360" width="9.140625" style="2018"/>
    <col min="15361" max="15361" width="28.5703125" style="2018" bestFit="1" customWidth="1"/>
    <col min="15362" max="15616" width="9.140625" style="2018"/>
    <col min="15617" max="15617" width="28.5703125" style="2018" bestFit="1" customWidth="1"/>
    <col min="15618" max="15872" width="9.140625" style="2018"/>
    <col min="15873" max="15873" width="28.5703125" style="2018" bestFit="1" customWidth="1"/>
    <col min="15874" max="16128" width="9.140625" style="2018"/>
    <col min="16129" max="16129" width="28.5703125" style="2018" bestFit="1" customWidth="1"/>
    <col min="16130" max="16384" width="9.140625" style="2018"/>
  </cols>
  <sheetData>
    <row r="1" spans="1:1" x14ac:dyDescent="0.2">
      <c r="A1" s="2036" t="s">
        <v>992</v>
      </c>
    </row>
    <row r="2" spans="1:1" x14ac:dyDescent="0.2">
      <c r="A2" s="2036" t="s">
        <v>997</v>
      </c>
    </row>
    <row r="3" spans="1:1" x14ac:dyDescent="0.2">
      <c r="A3" s="2036" t="s">
        <v>998</v>
      </c>
    </row>
    <row r="4" spans="1:1" x14ac:dyDescent="0.2">
      <c r="A4" s="2036" t="s">
        <v>999</v>
      </c>
    </row>
    <row r="5" spans="1:1" x14ac:dyDescent="0.2">
      <c r="A5" s="2036" t="s">
        <v>1000</v>
      </c>
    </row>
    <row r="6" spans="1:1" x14ac:dyDescent="0.2">
      <c r="A6" s="2036" t="s">
        <v>993</v>
      </c>
    </row>
    <row r="7" spans="1:1" x14ac:dyDescent="0.2">
      <c r="A7" s="2036" t="s">
        <v>1001</v>
      </c>
    </row>
    <row r="8" spans="1:1" x14ac:dyDescent="0.2">
      <c r="A8" s="2036" t="s">
        <v>1002</v>
      </c>
    </row>
    <row r="9" spans="1:1" x14ac:dyDescent="0.2">
      <c r="A9" s="2036" t="s">
        <v>1003</v>
      </c>
    </row>
    <row r="10" spans="1:1" x14ac:dyDescent="0.2">
      <c r="A10" s="2036" t="s">
        <v>994</v>
      </c>
    </row>
    <row r="11" spans="1:1" x14ac:dyDescent="0.2">
      <c r="A11" s="2036" t="s">
        <v>1004</v>
      </c>
    </row>
    <row r="12" spans="1:1" x14ac:dyDescent="0.2">
      <c r="A12" s="2036" t="s">
        <v>995</v>
      </c>
    </row>
    <row r="13" spans="1:1" x14ac:dyDescent="0.2">
      <c r="A13" s="2036" t="s">
        <v>996</v>
      </c>
    </row>
  </sheetData>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F2"/>
  <sheetViews>
    <sheetView workbookViewId="0"/>
  </sheetViews>
  <sheetFormatPr defaultRowHeight="15" x14ac:dyDescent="0.25"/>
  <sheetData>
    <row r="1" spans="1:6" x14ac:dyDescent="0.25">
      <c r="A1" s="1983" t="s">
        <v>605</v>
      </c>
      <c r="B1" s="1983"/>
      <c r="C1" s="1983"/>
      <c r="D1" s="1983"/>
      <c r="E1" s="1983"/>
      <c r="F1" s="1983"/>
    </row>
    <row r="2" spans="1:6" x14ac:dyDescent="0.25">
      <c r="A2" s="1984" t="s">
        <v>602</v>
      </c>
      <c r="B2" s="1984" t="s">
        <v>600</v>
      </c>
      <c r="C2" s="1984" t="s">
        <v>603</v>
      </c>
      <c r="D2" s="1985" t="s">
        <v>636</v>
      </c>
      <c r="E2" s="1984" t="s">
        <v>604</v>
      </c>
      <c r="F2" s="1984" t="s">
        <v>606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127</vt:i4>
      </vt:variant>
    </vt:vector>
  </HeadingPairs>
  <TitlesOfParts>
    <vt:vector size="135" baseType="lpstr">
      <vt:lpstr>ImportantDisclosures</vt:lpstr>
      <vt:lpstr>VA</vt:lpstr>
      <vt:lpstr>Revenue_end_mkt</vt:lpstr>
      <vt:lpstr>Variance</vt:lpstr>
      <vt:lpstr>DCF_Rev</vt:lpstr>
      <vt:lpstr>Debt and Int</vt:lpstr>
      <vt:lpstr>IndexInformation</vt:lpstr>
      <vt:lpstr>ModPubIndex</vt:lpstr>
      <vt:lpstr>AdditionalInstructions</vt:lpstr>
      <vt:lpstr>ImportantDisclosures!Address</vt:lpstr>
      <vt:lpstr>ModPubIndex!ANA</vt:lpstr>
      <vt:lpstr>ImportantDisclosures!Authors</vt:lpstr>
      <vt:lpstr>IndexInformation!Authors</vt:lpstr>
      <vt:lpstr>ModPubIndex!BRO</vt:lpstr>
      <vt:lpstr>CopyrightStamp</vt:lpstr>
      <vt:lpstr>ModPubIndex!COU</vt:lpstr>
      <vt:lpstr>IndexInformation!CQEnd</vt:lpstr>
      <vt:lpstr>IndexInformation!Currency</vt:lpstr>
      <vt:lpstr>IndexInformation!CurrentStockPrice</vt:lpstr>
      <vt:lpstr>IndexInformation!CurrQtrEPS</vt:lpstr>
      <vt:lpstr>IndexInformation!CurrYearEPS</vt:lpstr>
      <vt:lpstr>IndexInformation!CurrYearTotalRevenue</vt:lpstr>
      <vt:lpstr>IndexInformation!CurrYearTotalRevenueActual</vt:lpstr>
      <vt:lpstr>IndexInformation!CUSIP</vt:lpstr>
      <vt:lpstr>IndexInformation!CYEnd</vt:lpstr>
      <vt:lpstr>ImportantDisclosures!Date</vt:lpstr>
      <vt:lpstr>IndexInformation!Deleted</vt:lpstr>
      <vt:lpstr>IndexInformation!Description</vt:lpstr>
      <vt:lpstr>IndexInformation!Discipline</vt:lpstr>
      <vt:lpstr>ModPubIndex!DISCIPLINE</vt:lpstr>
      <vt:lpstr>DisclosuresText</vt:lpstr>
      <vt:lpstr>IndexInformation!Distribution</vt:lpstr>
      <vt:lpstr>ModPubIndex!DOCDAT</vt:lpstr>
      <vt:lpstr>ModPubIndex!DOCTIME</vt:lpstr>
      <vt:lpstr>IndexInformation!DocType</vt:lpstr>
      <vt:lpstr>ModPubIndex!EMAIL_ALERT</vt:lpstr>
      <vt:lpstr>IndexInformation!EmailAlert</vt:lpstr>
      <vt:lpstr>IndexInformation!FiveYearGrowthRate</vt:lpstr>
      <vt:lpstr>IndexInformation!FollowingYearEPS</vt:lpstr>
      <vt:lpstr>IndexInformation!FollowingYearTotalRevenue</vt:lpstr>
      <vt:lpstr>IndexInformation!FollowingYearTotalRevenueActual</vt:lpstr>
      <vt:lpstr>ModPubIndex!HL</vt:lpstr>
      <vt:lpstr>ModPubIndex!IND</vt:lpstr>
      <vt:lpstr>ImportantDisclosures!Industry</vt:lpstr>
      <vt:lpstr>IndustryId</vt:lpstr>
      <vt:lpstr>ImportantDisclosures!IndustryRating</vt:lpstr>
      <vt:lpstr>IndexInformation!KeepVersions</vt:lpstr>
      <vt:lpstr>LanguageCode</vt:lpstr>
      <vt:lpstr>ImportantDisclosures!LastCell</vt:lpstr>
      <vt:lpstr>Linking_1</vt:lpstr>
      <vt:lpstr>Linking_10</vt:lpstr>
      <vt:lpstr>Linking_11</vt:lpstr>
      <vt:lpstr>Linking_12</vt:lpstr>
      <vt:lpstr>Linking_13</vt:lpstr>
      <vt:lpstr>Linking_14</vt:lpstr>
      <vt:lpstr>Linking_15</vt:lpstr>
      <vt:lpstr>Linking_16</vt:lpstr>
      <vt:lpstr>Linking_17</vt:lpstr>
      <vt:lpstr>Linking_18</vt:lpstr>
      <vt:lpstr>Linking_19</vt:lpstr>
      <vt:lpstr>Linking_2</vt:lpstr>
      <vt:lpstr>Linking_20</vt:lpstr>
      <vt:lpstr>Linking_21</vt:lpstr>
      <vt:lpstr>Linking_22</vt:lpstr>
      <vt:lpstr>Linking_23</vt:lpstr>
      <vt:lpstr>Linking_24</vt:lpstr>
      <vt:lpstr>Linking_25</vt:lpstr>
      <vt:lpstr>Linking_26</vt:lpstr>
      <vt:lpstr>Linking_27</vt:lpstr>
      <vt:lpstr>Linking_28</vt:lpstr>
      <vt:lpstr>Linking_3</vt:lpstr>
      <vt:lpstr>Linking_30</vt:lpstr>
      <vt:lpstr>Linking_4</vt:lpstr>
      <vt:lpstr>Linking_5</vt:lpstr>
      <vt:lpstr>Linking_6</vt:lpstr>
      <vt:lpstr>Linking_7</vt:lpstr>
      <vt:lpstr>Linking_8</vt:lpstr>
      <vt:lpstr>Linking_9</vt:lpstr>
      <vt:lpstr>Linking_Range_12</vt:lpstr>
      <vt:lpstr>Linking_Range_14</vt:lpstr>
      <vt:lpstr>Linking_Range_15</vt:lpstr>
      <vt:lpstr>Linking_Range_16</vt:lpstr>
      <vt:lpstr>Linking_Range_2</vt:lpstr>
      <vt:lpstr>Linking_Range_23</vt:lpstr>
      <vt:lpstr>Linking_Range_3</vt:lpstr>
      <vt:lpstr>Linking_Range_31</vt:lpstr>
      <vt:lpstr>Linking_Range_39</vt:lpstr>
      <vt:lpstr>Linking_Range_40</vt:lpstr>
      <vt:lpstr>Linking_Range_43</vt:lpstr>
      <vt:lpstr>Linking_Range_44</vt:lpstr>
      <vt:lpstr>Linking_Range_5</vt:lpstr>
      <vt:lpstr>Linking_Range_8</vt:lpstr>
      <vt:lpstr>Linking_Range_9</vt:lpstr>
      <vt:lpstr>Linking_Text_1</vt:lpstr>
      <vt:lpstr>Linking_Text_10</vt:lpstr>
      <vt:lpstr>Linking_Text_11</vt:lpstr>
      <vt:lpstr>Linking_Text_12</vt:lpstr>
      <vt:lpstr>Linking_Text_13</vt:lpstr>
      <vt:lpstr>Linking_Text_14</vt:lpstr>
      <vt:lpstr>Linking_Text_15</vt:lpstr>
      <vt:lpstr>Linking_Text_2</vt:lpstr>
      <vt:lpstr>Linking_Text_3</vt:lpstr>
      <vt:lpstr>Linking_Text_4</vt:lpstr>
      <vt:lpstr>Linking_Text_5</vt:lpstr>
      <vt:lpstr>Linking_Text_6</vt:lpstr>
      <vt:lpstr>Linking_Text_7</vt:lpstr>
      <vt:lpstr>Linking_Text_9</vt:lpstr>
      <vt:lpstr>IndexInformation!MacroVersion</vt:lpstr>
      <vt:lpstr>ImportantDisclosures!ModelPrice</vt:lpstr>
      <vt:lpstr>IndexInformation!Multiplier</vt:lpstr>
      <vt:lpstr>IndexInformation!NextYearEPS</vt:lpstr>
      <vt:lpstr>IndexInformation!NextYearTotalRevenue</vt:lpstr>
      <vt:lpstr>IndexInformation!NextYearTotalRevenueActual</vt:lpstr>
      <vt:lpstr>ObjectType</vt:lpstr>
      <vt:lpstr>ModPubIndex!PANA</vt:lpstr>
      <vt:lpstr>IndexInformation!PathName</vt:lpstr>
      <vt:lpstr>ModPubIndex!PRODUCT</vt:lpstr>
      <vt:lpstr>ModPubIndex!PSYM</vt:lpstr>
      <vt:lpstr>IndexInformation!PublishDate</vt:lpstr>
      <vt:lpstr>IndexInformation!Rating</vt:lpstr>
      <vt:lpstr>ImportantDisclosures!RatingsDefined</vt:lpstr>
      <vt:lpstr>IndexInformation!ResearchTopic</vt:lpstr>
      <vt:lpstr>IndexInformation!RIC</vt:lpstr>
      <vt:lpstr>IndexInformation!SEDOL</vt:lpstr>
      <vt:lpstr>ImportantDisclosures!SourceDefined</vt:lpstr>
      <vt:lpstr>ImportantDisclosures!StockRating</vt:lpstr>
      <vt:lpstr>IndexInformation!SubjectCode</vt:lpstr>
      <vt:lpstr>SubmitterUserId</vt:lpstr>
      <vt:lpstr>ModPubIndex!SUPPRESSED</vt:lpstr>
      <vt:lpstr>ImportantDisclosures!TargetPrice</vt:lpstr>
      <vt:lpstr>TemplateRegion</vt:lpstr>
      <vt:lpstr>ImportantDisclosures!Ticker</vt:lpstr>
      <vt:lpstr>TickerRegion</vt:lpstr>
      <vt:lpstr>IndexInformation!Tickers</vt:lpstr>
      <vt:lpstr>IndexInformation!UpdateReason</vt:lpstr>
    </vt:vector>
  </TitlesOfParts>
  <Company>Morgan Stanley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2017-02-22T22:46:48Z</dcterms:created>
  <dc:creator>Halfmann, Patrick (Research)</dc:creator>
  <cp:lastModifiedBy>Badhautiya, Son Prakash (Research)</cp:lastModifiedBy>
  <cp:lastPrinted>2018-02-21T21:37:13Z</cp:lastPrinted>
  <dcterms:modified xsi:type="dcterms:W3CDTF">2018-02-21T23:25:16Z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ERModPubTicket" pid="2">
    <vt:lpwstr>NA</vt:lpwstr>
  </property>
  <property fmtid="{D5CDD505-2E9C-101B-9397-08002B2CF9AE}" name="ERCompanyUploadState" pid="3">
    <vt:lpwstr>P</vt:lpwstr>
  </property>
  <property fmtid="{D5CDD505-2E9C-101B-9397-08002B2CF9AE}" name="ModelId" pid="4">
    <vt:lpwstr>752034</vt:lpwstr>
  </property>
  <property fmtid="{D5CDD505-2E9C-101B-9397-08002B2CF9AE}" name="ERModPubCompanyName" pid="5">
    <vt:lpwstr>Verisk Analytics, Inc.</vt:lpwstr>
  </property>
  <property fmtid="{D5CDD505-2E9C-101B-9397-08002B2CF9AE}" name="MSDH34TAG" pid="6">
    <vt:lpwstr>.TEZUF76X5TAHATHESADREYAK-00-INB160+*94600-06=4f0fea68/-175c/-11e8/-9b87/-2a003cad125e,MD=20180221182619/-0500,ZZ=000Z-9591.</vt:lpwstr>
  </property>
</Properties>
</file>